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omments2.xml" ContentType="application/vnd.openxmlformats-officedocument.spreadsheetml.comment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026"/>
  <workbookPr codeName="ThisWorkbook" defaultThemeVersion="124226"/>
  <mc:AlternateContent xmlns:mc="http://schemas.openxmlformats.org/markup-compatibility/2006">
    <mc:Choice Requires="x15">
      <x15ac:absPath xmlns:x15ac="http://schemas.microsoft.com/office/spreadsheetml/2010/11/ac" url="C:\Users\ASUS\Desktop\Proyectos\pagina\Unidad2\"/>
    </mc:Choice>
  </mc:AlternateContent>
  <xr:revisionPtr revIDLastSave="0" documentId="8_{D9ABCB7E-08AB-4488-AC41-6C9CCE92FCEC}" xr6:coauthVersionLast="45" xr6:coauthVersionMax="45" xr10:uidLastSave="{00000000-0000-0000-0000-000000000000}"/>
  <bookViews>
    <workbookView xWindow="-120" yWindow="-120" windowWidth="20730" windowHeight="11160" activeTab="10"/>
  </bookViews>
  <sheets>
    <sheet name="leame" sheetId="7" r:id="rId1"/>
    <sheet name="VER datos de entrada" sheetId="14" state="hidden" r:id="rId2"/>
    <sheet name="datos de entrada" sheetId="1" state="hidden" r:id="rId3"/>
    <sheet name="GRAFIC VTAS" sheetId="4" state="hidden" r:id="rId4"/>
    <sheet name="ventas" sheetId="3" state="hidden" r:id="rId5"/>
    <sheet name="inver y financ" sheetId="6" state="hidden" r:id="rId6"/>
    <sheet name="inversion af" sheetId="5" state="hidden" r:id="rId7"/>
    <sheet name="cost var" sheetId="8" state="hidden" r:id="rId8"/>
    <sheet name="cost fijos" sheetId="9" state="hidden" r:id="rId9"/>
    <sheet name="TEXTOS IMP" sheetId="15" state="hidden" r:id="rId10"/>
    <sheet name="VISUAL" sheetId="11" r:id="rId11"/>
    <sheet name="textos" sheetId="13" state="hidden" r:id="rId12"/>
    <sheet name="ayuda" sheetId="12" state="hidden" r:id="rId13"/>
  </sheets>
  <definedNames>
    <definedName name="_Fill" localSheetId="1" hidden="1">'VER datos de entrada'!$B$82:$M$87</definedName>
    <definedName name="_Fill" hidden="1">'datos de entrada'!$B$81:$M$86</definedName>
    <definedName name="_xlnm.Print_Area" localSheetId="9">'TEXTOS IMP'!$A$1:$D$51</definedName>
    <definedName name="_xlnm.Print_Area" localSheetId="10">VISUAL!$A$1:$O$405</definedName>
    <definedName name="COSTO1" localSheetId="1">'VER datos de entrada'!$A$338</definedName>
    <definedName name="COSTO1">'datos de entrada'!$A$337</definedName>
    <definedName name="COSTO2" localSheetId="1">'VER datos de entrada'!$A$339</definedName>
    <definedName name="COSTO2">'datos de entrada'!$A$338</definedName>
    <definedName name="COSTO3" localSheetId="1">'VER datos de entrada'!$A$340</definedName>
    <definedName name="COSTO3">'datos de entrada'!$A$339</definedName>
    <definedName name="COSTO4" localSheetId="1">'VER datos de entrada'!$A$341</definedName>
    <definedName name="COSTO4">'datos de entrada'!$A$340</definedName>
    <definedName name="COSTO5" localSheetId="1">'VER datos de entrada'!$A$342</definedName>
    <definedName name="COSTO5">'datos de entrada'!$A$341</definedName>
    <definedName name="COSTO6" localSheetId="1">'VER datos de entrada'!$A$343</definedName>
    <definedName name="COSTO6">'datos de entrada'!$A$342</definedName>
    <definedName name="COSTO7" localSheetId="1">'VER datos de entrada'!$A$344</definedName>
    <definedName name="COSTO7">'datos de entrada'!$A$343</definedName>
    <definedName name="COSTO8" localSheetId="1">'VER datos de entrada'!$A$345</definedName>
    <definedName name="COSTO8">'datos de entrada'!$A$344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0" i="9" l="1"/>
  <c r="E40" i="9"/>
  <c r="D40" i="9"/>
  <c r="P40" i="9"/>
  <c r="J14" i="1"/>
  <c r="AL29" i="3" s="1"/>
  <c r="J15" i="1"/>
  <c r="J16" i="1"/>
  <c r="J17" i="1"/>
  <c r="AL32" i="3" s="1"/>
  <c r="J18" i="1"/>
  <c r="J19" i="1"/>
  <c r="AI34" i="3" s="1"/>
  <c r="J20" i="1"/>
  <c r="AL35" i="3"/>
  <c r="J21" i="1"/>
  <c r="AJ36" i="3" s="1"/>
  <c r="J22" i="1"/>
  <c r="AL37" i="3" s="1"/>
  <c r="J23" i="1"/>
  <c r="J24" i="1"/>
  <c r="AL39" i="3" s="1"/>
  <c r="J25" i="1"/>
  <c r="AK30" i="3"/>
  <c r="AK35" i="3"/>
  <c r="AK36" i="3"/>
  <c r="AK37" i="3"/>
  <c r="AJ33" i="3"/>
  <c r="AJ35" i="3"/>
  <c r="AJ39" i="3"/>
  <c r="AI35" i="3"/>
  <c r="AI37" i="3"/>
  <c r="AH30" i="3"/>
  <c r="AH35" i="3"/>
  <c r="AH37" i="3"/>
  <c r="AG30" i="3"/>
  <c r="AG35" i="3"/>
  <c r="AG36" i="3"/>
  <c r="AG37" i="3"/>
  <c r="AF33" i="3"/>
  <c r="AF35" i="3"/>
  <c r="AF39" i="3"/>
  <c r="AE35" i="3"/>
  <c r="AE37" i="3"/>
  <c r="AD30" i="3"/>
  <c r="AD35" i="3"/>
  <c r="D56" i="3" s="1"/>
  <c r="AD37" i="3"/>
  <c r="AC30" i="3"/>
  <c r="AC35" i="3"/>
  <c r="AC36" i="3"/>
  <c r="AC37" i="3"/>
  <c r="AB33" i="3"/>
  <c r="AB35" i="3"/>
  <c r="AB39" i="3"/>
  <c r="AA34" i="3"/>
  <c r="AA35" i="3"/>
  <c r="AA37" i="3"/>
  <c r="Z30" i="3"/>
  <c r="Z34" i="3"/>
  <c r="Z35" i="3"/>
  <c r="Z37" i="3"/>
  <c r="Y29" i="3"/>
  <c r="Y30" i="3"/>
  <c r="Y35" i="3"/>
  <c r="Y36" i="3"/>
  <c r="Y37" i="3"/>
  <c r="X29" i="3"/>
  <c r="X35" i="3"/>
  <c r="X36" i="3"/>
  <c r="X37" i="3"/>
  <c r="W33" i="3"/>
  <c r="W34" i="3"/>
  <c r="W35" i="3"/>
  <c r="W37" i="3"/>
  <c r="W38" i="3"/>
  <c r="W39" i="3"/>
  <c r="V30" i="3"/>
  <c r="V33" i="3"/>
  <c r="V34" i="3"/>
  <c r="V35" i="3"/>
  <c r="V37" i="3"/>
  <c r="V38" i="3"/>
  <c r="V39" i="3"/>
  <c r="U30" i="3"/>
  <c r="U31" i="3"/>
  <c r="U35" i="3"/>
  <c r="U37" i="3"/>
  <c r="U39" i="3"/>
  <c r="T33" i="3"/>
  <c r="T35" i="3"/>
  <c r="T37" i="3"/>
  <c r="T39" i="3"/>
  <c r="S34" i="3"/>
  <c r="S35" i="3"/>
  <c r="S37" i="3"/>
  <c r="R30" i="3"/>
  <c r="R34" i="3"/>
  <c r="R35" i="3"/>
  <c r="R37" i="3"/>
  <c r="Q29" i="3"/>
  <c r="Q30" i="3"/>
  <c r="Q35" i="3"/>
  <c r="C56" i="3" s="1"/>
  <c r="Q36" i="3"/>
  <c r="Q37" i="3"/>
  <c r="P29" i="3"/>
  <c r="P35" i="3"/>
  <c r="P36" i="3"/>
  <c r="P37" i="3"/>
  <c r="O33" i="3"/>
  <c r="O34" i="3"/>
  <c r="O35" i="3"/>
  <c r="O37" i="3"/>
  <c r="O38" i="3"/>
  <c r="O39" i="3"/>
  <c r="M30" i="3"/>
  <c r="M33" i="3"/>
  <c r="M34" i="3"/>
  <c r="M35" i="3"/>
  <c r="M37" i="3"/>
  <c r="M38" i="3"/>
  <c r="M39" i="3"/>
  <c r="L30" i="3"/>
  <c r="M101" i="3" s="1"/>
  <c r="L31" i="3"/>
  <c r="L35" i="3"/>
  <c r="M141" i="3" s="1"/>
  <c r="L37" i="3"/>
  <c r="J242" i="3" s="1"/>
  <c r="K34" i="3"/>
  <c r="K35" i="3"/>
  <c r="K37" i="3"/>
  <c r="J30" i="3"/>
  <c r="J34" i="3"/>
  <c r="J35" i="3"/>
  <c r="K141" i="3" s="1"/>
  <c r="J37" i="3"/>
  <c r="J40" i="3"/>
  <c r="I30" i="3"/>
  <c r="I35" i="3"/>
  <c r="I36" i="3"/>
  <c r="J149" i="3" s="1"/>
  <c r="I37" i="3"/>
  <c r="I39" i="3"/>
  <c r="H35" i="3"/>
  <c r="I141" i="3"/>
  <c r="H37" i="3"/>
  <c r="J158" i="3" s="1"/>
  <c r="H39" i="3"/>
  <c r="H172" i="3" s="1"/>
  <c r="G30" i="3"/>
  <c r="G33" i="3"/>
  <c r="G34" i="3"/>
  <c r="G35" i="3"/>
  <c r="G37" i="3"/>
  <c r="G38" i="3"/>
  <c r="G39" i="3"/>
  <c r="F30" i="3"/>
  <c r="F35" i="3"/>
  <c r="F37" i="3"/>
  <c r="G157" i="3" s="1"/>
  <c r="F40" i="3"/>
  <c r="E34" i="3"/>
  <c r="E35" i="3"/>
  <c r="E37" i="3"/>
  <c r="E39" i="3"/>
  <c r="D30" i="3"/>
  <c r="D34" i="3"/>
  <c r="D35" i="3"/>
  <c r="D37" i="3"/>
  <c r="F158" i="3" s="1"/>
  <c r="D39" i="3"/>
  <c r="H176" i="3" s="1"/>
  <c r="C35" i="3"/>
  <c r="C36" i="3"/>
  <c r="C37" i="3"/>
  <c r="B31" i="3"/>
  <c r="B35" i="3"/>
  <c r="B140" i="3" s="1"/>
  <c r="B206" i="3"/>
  <c r="B37" i="3"/>
  <c r="C157" i="3" s="1"/>
  <c r="B38" i="3"/>
  <c r="B39" i="3"/>
  <c r="B172" i="3" s="1"/>
  <c r="E52" i="6"/>
  <c r="I184" i="6"/>
  <c r="J223" i="6" s="1"/>
  <c r="F52" i="6"/>
  <c r="J184" i="6" s="1"/>
  <c r="H75" i="5"/>
  <c r="P75" i="5" s="1"/>
  <c r="F75" i="5"/>
  <c r="Q75" i="5" s="1"/>
  <c r="H74" i="5"/>
  <c r="P74" i="5" s="1"/>
  <c r="F74" i="5"/>
  <c r="Q74" i="5" s="1"/>
  <c r="H73" i="5"/>
  <c r="P73" i="5" s="1"/>
  <c r="F73" i="5"/>
  <c r="Q73" i="5" s="1"/>
  <c r="H72" i="5"/>
  <c r="P72" i="5" s="1"/>
  <c r="F72" i="5"/>
  <c r="H71" i="5"/>
  <c r="P71" i="5"/>
  <c r="F71" i="5"/>
  <c r="Q71" i="5" s="1"/>
  <c r="E72" i="5"/>
  <c r="T72" i="5"/>
  <c r="J39" i="6"/>
  <c r="I117" i="6" s="1"/>
  <c r="K39" i="6"/>
  <c r="J117" i="6"/>
  <c r="H52" i="6"/>
  <c r="H184" i="6" s="1"/>
  <c r="G184" i="6"/>
  <c r="E53" i="6"/>
  <c r="O184" i="6" s="1"/>
  <c r="F53" i="6"/>
  <c r="P184" i="6" s="1"/>
  <c r="J40" i="6"/>
  <c r="O117" i="6" s="1"/>
  <c r="K40" i="6"/>
  <c r="P117" i="6" s="1"/>
  <c r="E54" i="6"/>
  <c r="AM184" i="6" s="1"/>
  <c r="F54" i="6"/>
  <c r="V184" i="6" s="1"/>
  <c r="J41" i="6"/>
  <c r="U117" i="6" s="1"/>
  <c r="K41" i="6"/>
  <c r="V117" i="6" s="1"/>
  <c r="J42" i="6"/>
  <c r="AA117" i="6" s="1"/>
  <c r="K42" i="6"/>
  <c r="AB117" i="6" s="1"/>
  <c r="J43" i="6"/>
  <c r="AG117" i="6" s="1"/>
  <c r="K43" i="6"/>
  <c r="AH117" i="6" s="1"/>
  <c r="B197" i="1"/>
  <c r="D78" i="6" s="1"/>
  <c r="F89" i="6" s="1"/>
  <c r="F10" i="11" s="1"/>
  <c r="C7" i="9"/>
  <c r="AL373" i="1"/>
  <c r="AR19" i="9" s="1"/>
  <c r="AK373" i="1"/>
  <c r="AJ373" i="1"/>
  <c r="AP19" i="9" s="1"/>
  <c r="AI373" i="1"/>
  <c r="AO19" i="9"/>
  <c r="AH373" i="1"/>
  <c r="AN19" i="9" s="1"/>
  <c r="AG373" i="1"/>
  <c r="AM19" i="9" s="1"/>
  <c r="AF373" i="1"/>
  <c r="AL19" i="9" s="1"/>
  <c r="AE373" i="1"/>
  <c r="AD373" i="1"/>
  <c r="AJ19" i="9"/>
  <c r="AC373" i="1"/>
  <c r="AI19" i="9" s="1"/>
  <c r="AB373" i="1"/>
  <c r="AH19" i="9"/>
  <c r="AA373" i="1"/>
  <c r="AG19" i="9" s="1"/>
  <c r="AL372" i="1"/>
  <c r="AK372" i="1"/>
  <c r="AQ18" i="9" s="1"/>
  <c r="AJ372" i="1"/>
  <c r="AP18" i="9"/>
  <c r="AI372" i="1"/>
  <c r="AO18" i="9" s="1"/>
  <c r="AH372" i="1"/>
  <c r="AG372" i="1"/>
  <c r="AF372" i="1"/>
  <c r="AL18" i="9" s="1"/>
  <c r="AE372" i="1"/>
  <c r="AK18" i="9"/>
  <c r="AD372" i="1"/>
  <c r="AJ18" i="9" s="1"/>
  <c r="AC372" i="1"/>
  <c r="AI18" i="9" s="1"/>
  <c r="AB372" i="1"/>
  <c r="AH18" i="9" s="1"/>
  <c r="AA372" i="1"/>
  <c r="AG18" i="9" s="1"/>
  <c r="AL371" i="1"/>
  <c r="AR17" i="9" s="1"/>
  <c r="AK371" i="1"/>
  <c r="AQ17" i="9" s="1"/>
  <c r="AJ371" i="1"/>
  <c r="AP17" i="9" s="1"/>
  <c r="AI371" i="1"/>
  <c r="AO17" i="9" s="1"/>
  <c r="AH371" i="1"/>
  <c r="AN17" i="9" s="1"/>
  <c r="AG371" i="1"/>
  <c r="AM17" i="9" s="1"/>
  <c r="AF371" i="1"/>
  <c r="AL17" i="9" s="1"/>
  <c r="AE371" i="1"/>
  <c r="AD371" i="1"/>
  <c r="AJ17" i="9"/>
  <c r="AC371" i="1"/>
  <c r="AI17" i="9" s="1"/>
  <c r="AB371" i="1"/>
  <c r="AH17" i="9"/>
  <c r="AA371" i="1"/>
  <c r="AL370" i="1"/>
  <c r="AK370" i="1"/>
  <c r="AQ16" i="9"/>
  <c r="AJ370" i="1"/>
  <c r="AP16" i="9" s="1"/>
  <c r="AI370" i="1"/>
  <c r="AO16" i="9"/>
  <c r="AH370" i="1"/>
  <c r="AN16" i="9" s="1"/>
  <c r="AG370" i="1"/>
  <c r="AM16" i="9"/>
  <c r="AF370" i="1"/>
  <c r="AL16" i="9" s="1"/>
  <c r="AE370" i="1"/>
  <c r="AK16" i="9"/>
  <c r="AD370" i="1"/>
  <c r="AC370" i="1"/>
  <c r="AB370" i="1"/>
  <c r="AA370" i="1"/>
  <c r="AG16" i="9" s="1"/>
  <c r="AL369" i="1"/>
  <c r="AR15" i="9" s="1"/>
  <c r="AK369" i="1"/>
  <c r="AQ15" i="9" s="1"/>
  <c r="AJ369" i="1"/>
  <c r="AP15" i="9" s="1"/>
  <c r="AI369" i="1"/>
  <c r="AO15" i="9" s="1"/>
  <c r="AH369" i="1"/>
  <c r="AN15" i="9" s="1"/>
  <c r="AG369" i="1"/>
  <c r="AM15" i="9" s="1"/>
  <c r="AF369" i="1"/>
  <c r="AL15" i="9" s="1"/>
  <c r="AE369" i="1"/>
  <c r="AD369" i="1"/>
  <c r="AJ15" i="9" s="1"/>
  <c r="AC369" i="1"/>
  <c r="AB369" i="1"/>
  <c r="AH15" i="9" s="1"/>
  <c r="AA369" i="1"/>
  <c r="AG15" i="9" s="1"/>
  <c r="AL368" i="1"/>
  <c r="AR14" i="9" s="1"/>
  <c r="AK368" i="1"/>
  <c r="AQ14" i="9" s="1"/>
  <c r="AJ368" i="1"/>
  <c r="AP14" i="9" s="1"/>
  <c r="AI368" i="1"/>
  <c r="AO14" i="9" s="1"/>
  <c r="AH368" i="1"/>
  <c r="AN14" i="9" s="1"/>
  <c r="AG368" i="1"/>
  <c r="AM14" i="9" s="1"/>
  <c r="AF368" i="1"/>
  <c r="AL14" i="9"/>
  <c r="AE368" i="1"/>
  <c r="AK14" i="9" s="1"/>
  <c r="AD368" i="1"/>
  <c r="AC368" i="1"/>
  <c r="AB368" i="1"/>
  <c r="AH14" i="9" s="1"/>
  <c r="AA368" i="1"/>
  <c r="AG14" i="9"/>
  <c r="Z373" i="1"/>
  <c r="AF19" i="9" s="1"/>
  <c r="Y373" i="1"/>
  <c r="AE19" i="9"/>
  <c r="X373" i="1"/>
  <c r="AD19" i="9" s="1"/>
  <c r="W373" i="1"/>
  <c r="AC19" i="9"/>
  <c r="V373" i="1"/>
  <c r="AB19" i="9" s="1"/>
  <c r="U373" i="1"/>
  <c r="AA19" i="9"/>
  <c r="T373" i="1"/>
  <c r="Z19" i="9" s="1"/>
  <c r="S373" i="1"/>
  <c r="Y19" i="9"/>
  <c r="R373" i="1"/>
  <c r="X19" i="9" s="1"/>
  <c r="Q373" i="1"/>
  <c r="Q374" i="14"/>
  <c r="P373" i="1"/>
  <c r="V19" i="9" s="1"/>
  <c r="O373" i="1"/>
  <c r="Z372" i="1"/>
  <c r="AF18" i="9"/>
  <c r="Y372" i="1"/>
  <c r="AE18" i="9"/>
  <c r="X372" i="1"/>
  <c r="W372" i="1"/>
  <c r="AC18" i="9" s="1"/>
  <c r="V372" i="1"/>
  <c r="AB18" i="9"/>
  <c r="U372" i="1"/>
  <c r="AA18" i="9" s="1"/>
  <c r="T372" i="1"/>
  <c r="S372" i="1"/>
  <c r="Y18" i="9"/>
  <c r="R372" i="1"/>
  <c r="X18" i="9"/>
  <c r="Q372" i="1"/>
  <c r="Q373" i="14"/>
  <c r="P372" i="1"/>
  <c r="V18" i="9"/>
  <c r="O372" i="1"/>
  <c r="B372" i="1"/>
  <c r="Z371" i="1"/>
  <c r="AF17" i="9"/>
  <c r="Y371" i="1"/>
  <c r="AE17" i="9"/>
  <c r="X371" i="1"/>
  <c r="AD17" i="9"/>
  <c r="W371" i="1"/>
  <c r="AC17" i="9"/>
  <c r="V371" i="1"/>
  <c r="AB17" i="9"/>
  <c r="U371" i="1"/>
  <c r="AA17" i="9"/>
  <c r="T371" i="1"/>
  <c r="Z17" i="9"/>
  <c r="S371" i="1"/>
  <c r="S372" i="14"/>
  <c r="R371" i="1"/>
  <c r="X17" i="9"/>
  <c r="Q371" i="1"/>
  <c r="P371" i="1"/>
  <c r="V17" i="9" s="1"/>
  <c r="O371" i="1"/>
  <c r="B371" i="1"/>
  <c r="Z370" i="1"/>
  <c r="Y370" i="1"/>
  <c r="X370" i="1"/>
  <c r="AD16" i="9"/>
  <c r="W370" i="1"/>
  <c r="V370" i="1"/>
  <c r="U370" i="1"/>
  <c r="T370" i="1"/>
  <c r="Z16" i="9" s="1"/>
  <c r="S370" i="1"/>
  <c r="Y16" i="9"/>
  <c r="R370" i="1"/>
  <c r="Q370" i="1"/>
  <c r="Q371" i="14" s="1"/>
  <c r="P370" i="1"/>
  <c r="V16" i="9"/>
  <c r="O370" i="1"/>
  <c r="Z369" i="1"/>
  <c r="AF15" i="9"/>
  <c r="Y369" i="1"/>
  <c r="AE15" i="9" s="1"/>
  <c r="X369" i="1"/>
  <c r="AD15" i="9"/>
  <c r="W369" i="1"/>
  <c r="AC15" i="9" s="1"/>
  <c r="V369" i="1"/>
  <c r="AB15" i="9"/>
  <c r="U369" i="1"/>
  <c r="AA15" i="9" s="1"/>
  <c r="T369" i="1"/>
  <c r="Z15" i="9"/>
  <c r="S369" i="1"/>
  <c r="Y15" i="9" s="1"/>
  <c r="R369" i="1"/>
  <c r="X15" i="9" s="1"/>
  <c r="Q369" i="1"/>
  <c r="Q370" i="14" s="1"/>
  <c r="P369" i="1"/>
  <c r="O369" i="1"/>
  <c r="U15" i="9" s="1"/>
  <c r="Z368" i="1"/>
  <c r="AF14" i="9"/>
  <c r="Y368" i="1"/>
  <c r="X368" i="1"/>
  <c r="AD14" i="9"/>
  <c r="W368" i="1"/>
  <c r="V368" i="1"/>
  <c r="AB14" i="9" s="1"/>
  <c r="U368" i="1"/>
  <c r="AA14" i="9"/>
  <c r="T368" i="1"/>
  <c r="Z14" i="9" s="1"/>
  <c r="S368" i="1"/>
  <c r="Y14" i="9"/>
  <c r="R368" i="1"/>
  <c r="X14" i="9" s="1"/>
  <c r="Q368" i="1"/>
  <c r="P368" i="1"/>
  <c r="O368" i="1"/>
  <c r="U14" i="9" s="1"/>
  <c r="N373" i="1"/>
  <c r="T19" i="9"/>
  <c r="M373" i="1"/>
  <c r="L373" i="1"/>
  <c r="L374" i="14"/>
  <c r="K373" i="1"/>
  <c r="Q19" i="9" s="1"/>
  <c r="J373" i="1"/>
  <c r="I373" i="1"/>
  <c r="O19" i="9"/>
  <c r="H373" i="1"/>
  <c r="H374" i="14"/>
  <c r="G373" i="1"/>
  <c r="M19" i="9"/>
  <c r="F373" i="1"/>
  <c r="L19" i="9"/>
  <c r="E373" i="1"/>
  <c r="K19" i="9"/>
  <c r="D373" i="1"/>
  <c r="J19" i="9"/>
  <c r="C373" i="1"/>
  <c r="I19" i="9"/>
  <c r="N372" i="1"/>
  <c r="T18" i="9" s="1"/>
  <c r="M372" i="1"/>
  <c r="S18" i="9"/>
  <c r="L372" i="1"/>
  <c r="R18" i="9" s="1"/>
  <c r="K372" i="1"/>
  <c r="Q18" i="9"/>
  <c r="J372" i="1"/>
  <c r="P18" i="9" s="1"/>
  <c r="I372" i="1"/>
  <c r="O18" i="9"/>
  <c r="H372" i="1"/>
  <c r="N18" i="9" s="1"/>
  <c r="G372" i="1"/>
  <c r="M18" i="9"/>
  <c r="F372" i="1"/>
  <c r="L18" i="9" s="1"/>
  <c r="E372" i="1"/>
  <c r="K18" i="9"/>
  <c r="D372" i="1"/>
  <c r="J18" i="9" s="1"/>
  <c r="C372" i="1"/>
  <c r="I18" i="9"/>
  <c r="N371" i="1"/>
  <c r="T17" i="9" s="1"/>
  <c r="M371" i="1"/>
  <c r="M372" i="14"/>
  <c r="L371" i="1"/>
  <c r="R17" i="9" s="1"/>
  <c r="K371" i="1"/>
  <c r="K372" i="14"/>
  <c r="J371" i="1"/>
  <c r="P17" i="9" s="1"/>
  <c r="I371" i="1"/>
  <c r="O17" i="9"/>
  <c r="H371" i="1"/>
  <c r="N17" i="9" s="1"/>
  <c r="G371" i="1"/>
  <c r="M17" i="9"/>
  <c r="F371" i="1"/>
  <c r="L17" i="9" s="1"/>
  <c r="E371" i="1"/>
  <c r="K17" i="9"/>
  <c r="D371" i="1"/>
  <c r="J17" i="9" s="1"/>
  <c r="C371" i="1"/>
  <c r="I17" i="9"/>
  <c r="N370" i="1"/>
  <c r="T16" i="9" s="1"/>
  <c r="M370" i="1"/>
  <c r="L370" i="1"/>
  <c r="L371" i="14" s="1"/>
  <c r="K370" i="1"/>
  <c r="K371" i="14"/>
  <c r="J370" i="1"/>
  <c r="I370" i="1"/>
  <c r="I371" i="14"/>
  <c r="H370" i="1"/>
  <c r="N16" i="9" s="1"/>
  <c r="G370" i="1"/>
  <c r="M16" i="9"/>
  <c r="F370" i="1"/>
  <c r="L16" i="9" s="1"/>
  <c r="E370" i="1"/>
  <c r="K16" i="9"/>
  <c r="D370" i="1"/>
  <c r="J16" i="9" s="1"/>
  <c r="C370" i="1"/>
  <c r="I16" i="9"/>
  <c r="N369" i="1"/>
  <c r="M369" i="1"/>
  <c r="M370" i="14"/>
  <c r="L369" i="1"/>
  <c r="K369" i="1"/>
  <c r="Q15" i="9" s="1"/>
  <c r="J369" i="1"/>
  <c r="P15" i="9"/>
  <c r="I369" i="1"/>
  <c r="I370" i="14" s="1"/>
  <c r="H369" i="1"/>
  <c r="N15" i="9"/>
  <c r="G369" i="1"/>
  <c r="G370" i="14" s="1"/>
  <c r="F369" i="1"/>
  <c r="F370" i="14"/>
  <c r="E369" i="1"/>
  <c r="K15" i="9" s="1"/>
  <c r="D369" i="1"/>
  <c r="C369" i="1"/>
  <c r="C370" i="14" s="1"/>
  <c r="D368" i="1"/>
  <c r="J14" i="9"/>
  <c r="C368" i="1"/>
  <c r="I14" i="9" s="1"/>
  <c r="AL332" i="1"/>
  <c r="AK332" i="1"/>
  <c r="AJ332" i="1"/>
  <c r="AI332" i="1"/>
  <c r="AH332" i="1"/>
  <c r="AM74" i="9"/>
  <c r="AG332" i="1"/>
  <c r="AF332" i="1"/>
  <c r="AI361" i="14"/>
  <c r="AE332" i="1"/>
  <c r="AD332" i="1"/>
  <c r="AC332" i="1"/>
  <c r="AF361" i="14" s="1"/>
  <c r="AB332" i="1"/>
  <c r="AA332" i="1"/>
  <c r="AL331" i="1"/>
  <c r="AQ73" i="9" s="1"/>
  <c r="AK331" i="1"/>
  <c r="AN360" i="14"/>
  <c r="AJ331" i="1"/>
  <c r="AI331" i="1"/>
  <c r="AH331" i="1"/>
  <c r="AM73" i="9"/>
  <c r="AG331" i="1"/>
  <c r="AJ360" i="14" s="1"/>
  <c r="AF331" i="1"/>
  <c r="AI360" i="14"/>
  <c r="AE331" i="1"/>
  <c r="AH360" i="14" s="1"/>
  <c r="AD331" i="1"/>
  <c r="AI73" i="9"/>
  <c r="AC331" i="1"/>
  <c r="AF360" i="14" s="1"/>
  <c r="AB331" i="1"/>
  <c r="AA331" i="1"/>
  <c r="AL330" i="1"/>
  <c r="AO359" i="14"/>
  <c r="AK330" i="1"/>
  <c r="AN359" i="14" s="1"/>
  <c r="AJ330" i="1"/>
  <c r="AM359" i="14"/>
  <c r="AI330" i="1"/>
  <c r="AH330" i="1"/>
  <c r="AM72" i="9" s="1"/>
  <c r="AG330" i="1"/>
  <c r="AJ359" i="14"/>
  <c r="AF330" i="1"/>
  <c r="AI359" i="14" s="1"/>
  <c r="AE330" i="1"/>
  <c r="AD330" i="1"/>
  <c r="AC330" i="1"/>
  <c r="AB330" i="1"/>
  <c r="AA330" i="1"/>
  <c r="AD359" i="14" s="1"/>
  <c r="AL329" i="1"/>
  <c r="AO358" i="14"/>
  <c r="AK329" i="1"/>
  <c r="AN358" i="14" s="1"/>
  <c r="AJ329" i="1"/>
  <c r="AM358" i="14"/>
  <c r="AI329" i="1"/>
  <c r="AH329" i="1"/>
  <c r="AK358" i="14"/>
  <c r="AG329" i="1"/>
  <c r="AF329" i="1"/>
  <c r="AE329" i="1"/>
  <c r="AH358" i="14"/>
  <c r="AD329" i="1"/>
  <c r="AG358" i="14"/>
  <c r="AC329" i="1"/>
  <c r="AF358" i="14" s="1"/>
  <c r="AB329" i="1"/>
  <c r="AE358" i="14"/>
  <c r="AA329" i="1"/>
  <c r="AD358" i="14" s="1"/>
  <c r="AL328" i="1"/>
  <c r="AO357" i="14"/>
  <c r="AK328" i="1"/>
  <c r="AN357" i="14" s="1"/>
  <c r="AJ328" i="1"/>
  <c r="AI328" i="1"/>
  <c r="AH328" i="1"/>
  <c r="AK357" i="14" s="1"/>
  <c r="AG328" i="1"/>
  <c r="AF328" i="1"/>
  <c r="AE328" i="1"/>
  <c r="AD328" i="1"/>
  <c r="AG357" i="14"/>
  <c r="AC328" i="1"/>
  <c r="AF357" i="14" s="1"/>
  <c r="AB328" i="1"/>
  <c r="AE357" i="14"/>
  <c r="AA328" i="1"/>
  <c r="AL327" i="1"/>
  <c r="AO356" i="14"/>
  <c r="AK327" i="1"/>
  <c r="AN356" i="14" s="1"/>
  <c r="AJ327" i="1"/>
  <c r="AM356" i="14"/>
  <c r="AI327" i="1"/>
  <c r="AL356" i="14" s="1"/>
  <c r="AH327" i="1"/>
  <c r="AK356" i="14"/>
  <c r="AG327" i="1"/>
  <c r="AF327" i="1"/>
  <c r="AI356" i="14"/>
  <c r="AE327" i="1"/>
  <c r="AH356" i="14"/>
  <c r="AD327" i="1"/>
  <c r="AG356" i="14" s="1"/>
  <c r="AC327" i="1"/>
  <c r="AF356" i="14"/>
  <c r="AB327" i="1"/>
  <c r="AE356" i="14" s="1"/>
  <c r="AA327" i="1"/>
  <c r="AD356" i="14"/>
  <c r="AL326" i="1"/>
  <c r="AO355" i="14" s="1"/>
  <c r="AK326" i="1"/>
  <c r="AN355" i="14"/>
  <c r="AJ326" i="1"/>
  <c r="AM355" i="14" s="1"/>
  <c r="AI326" i="1"/>
  <c r="AL355" i="14"/>
  <c r="AH326" i="1"/>
  <c r="AM68" i="9" s="1"/>
  <c r="AG326" i="1"/>
  <c r="AJ355" i="14"/>
  <c r="AF326" i="1"/>
  <c r="AI355" i="14" s="1"/>
  <c r="AE326" i="1"/>
  <c r="AH355" i="14"/>
  <c r="AD326" i="1"/>
  <c r="AG355" i="14" s="1"/>
  <c r="AC326" i="1"/>
  <c r="AF355" i="14"/>
  <c r="AB326" i="1"/>
  <c r="AE355" i="14" s="1"/>
  <c r="AA326" i="1"/>
  <c r="AL325" i="1"/>
  <c r="AO354" i="14" s="1"/>
  <c r="AK325" i="1"/>
  <c r="AN354" i="14"/>
  <c r="AJ325" i="1"/>
  <c r="AI325" i="1"/>
  <c r="AL354" i="14"/>
  <c r="AH325" i="1"/>
  <c r="AM67" i="9" s="1"/>
  <c r="AG325" i="1"/>
  <c r="AJ354" i="14"/>
  <c r="AF325" i="1"/>
  <c r="AI354" i="14" s="1"/>
  <c r="AE325" i="1"/>
  <c r="AH354" i="14"/>
  <c r="AD325" i="1"/>
  <c r="AG354" i="14" s="1"/>
  <c r="AC325" i="1"/>
  <c r="AB325" i="1"/>
  <c r="AE354" i="14"/>
  <c r="AA325" i="1"/>
  <c r="Z332" i="1"/>
  <c r="AC361" i="14"/>
  <c r="Y332" i="1"/>
  <c r="X332" i="1"/>
  <c r="W332" i="1"/>
  <c r="Z361" i="14"/>
  <c r="V332" i="1"/>
  <c r="U332" i="1"/>
  <c r="X361" i="14"/>
  <c r="T332" i="1"/>
  <c r="S332" i="1"/>
  <c r="V361" i="14" s="1"/>
  <c r="R332" i="1"/>
  <c r="U361" i="14"/>
  <c r="Q332" i="1"/>
  <c r="P332" i="1"/>
  <c r="O332" i="1"/>
  <c r="Z331" i="1"/>
  <c r="AC360" i="14" s="1"/>
  <c r="Y331" i="1"/>
  <c r="AB360" i="14"/>
  <c r="X331" i="1"/>
  <c r="W331" i="1"/>
  <c r="Z360" i="14" s="1"/>
  <c r="V331" i="1"/>
  <c r="AA73" i="9"/>
  <c r="U331" i="1"/>
  <c r="X360" i="14" s="1"/>
  <c r="T331" i="1"/>
  <c r="S331" i="1"/>
  <c r="V360" i="14" s="1"/>
  <c r="R331" i="1"/>
  <c r="U360" i="14" s="1"/>
  <c r="Q331" i="1"/>
  <c r="T360" i="14"/>
  <c r="P331" i="1"/>
  <c r="O331" i="1"/>
  <c r="R360" i="14"/>
  <c r="Z330" i="1"/>
  <c r="AE72" i="9" s="1"/>
  <c r="Y330" i="1"/>
  <c r="X330" i="1"/>
  <c r="AA359" i="14"/>
  <c r="W330" i="1"/>
  <c r="V330" i="1"/>
  <c r="U330" i="1"/>
  <c r="T330" i="1"/>
  <c r="W359" i="14" s="1"/>
  <c r="S330" i="1"/>
  <c r="V359" i="14"/>
  <c r="R330" i="1"/>
  <c r="Q330" i="1"/>
  <c r="P330" i="1"/>
  <c r="S359" i="14"/>
  <c r="O330" i="1"/>
  <c r="Z329" i="1"/>
  <c r="AC358" i="14"/>
  <c r="Y329" i="1"/>
  <c r="X329" i="1"/>
  <c r="AA358" i="14" s="1"/>
  <c r="W329" i="1"/>
  <c r="Z358" i="14"/>
  <c r="V329" i="1"/>
  <c r="Y358" i="14" s="1"/>
  <c r="U329" i="1"/>
  <c r="T329" i="1"/>
  <c r="W358" i="14" s="1"/>
  <c r="S329" i="1"/>
  <c r="V358" i="14"/>
  <c r="R329" i="1"/>
  <c r="Q329" i="1"/>
  <c r="P329" i="1"/>
  <c r="S358" i="14"/>
  <c r="O329" i="1"/>
  <c r="Z328" i="1"/>
  <c r="AC357" i="14"/>
  <c r="Y328" i="1"/>
  <c r="AB357" i="14" s="1"/>
  <c r="X328" i="1"/>
  <c r="W328" i="1"/>
  <c r="Z357" i="14"/>
  <c r="V328" i="1"/>
  <c r="AA70" i="9" s="1"/>
  <c r="U328" i="1"/>
  <c r="X357" i="14"/>
  <c r="T328" i="1"/>
  <c r="S328" i="1"/>
  <c r="V357" i="14"/>
  <c r="R328" i="1"/>
  <c r="U357" i="14" s="1"/>
  <c r="Q328" i="1"/>
  <c r="T357" i="14"/>
  <c r="P328" i="1"/>
  <c r="O328" i="1"/>
  <c r="R357" i="14" s="1"/>
  <c r="Z327" i="1"/>
  <c r="AC356" i="14"/>
  <c r="Y327" i="1"/>
  <c r="AB356" i="14" s="1"/>
  <c r="X327" i="1"/>
  <c r="AA356" i="14"/>
  <c r="W327" i="1"/>
  <c r="Z356" i="14" s="1"/>
  <c r="V327" i="1"/>
  <c r="Y356" i="14"/>
  <c r="U327" i="1"/>
  <c r="T327" i="1"/>
  <c r="W356" i="14"/>
  <c r="S327" i="1"/>
  <c r="V356" i="14" s="1"/>
  <c r="R327" i="1"/>
  <c r="U356" i="14"/>
  <c r="Q327" i="1"/>
  <c r="P327" i="1"/>
  <c r="S356" i="14"/>
  <c r="O327" i="1"/>
  <c r="Z326" i="1"/>
  <c r="AC355" i="14" s="1"/>
  <c r="Y326" i="1"/>
  <c r="X326" i="1"/>
  <c r="AA355" i="14" s="1"/>
  <c r="W326" i="1"/>
  <c r="Z355" i="14"/>
  <c r="V326" i="1"/>
  <c r="Y355" i="14" s="1"/>
  <c r="U326" i="1"/>
  <c r="X355" i="14"/>
  <c r="T326" i="1"/>
  <c r="S326" i="1"/>
  <c r="V355" i="14"/>
  <c r="R326" i="1"/>
  <c r="U355" i="14" s="1"/>
  <c r="Q326" i="1"/>
  <c r="P326" i="1"/>
  <c r="S355" i="14"/>
  <c r="O326" i="1"/>
  <c r="R355" i="14"/>
  <c r="Z325" i="1"/>
  <c r="AC354" i="14"/>
  <c r="Y325" i="1"/>
  <c r="AB354" i="14"/>
  <c r="X325" i="1"/>
  <c r="AA354" i="14"/>
  <c r="W325" i="1"/>
  <c r="Z354" i="14" s="1"/>
  <c r="V325" i="1"/>
  <c r="Y354" i="14"/>
  <c r="U325" i="1"/>
  <c r="X354" i="14" s="1"/>
  <c r="T325" i="1"/>
  <c r="W354" i="14"/>
  <c r="S325" i="1"/>
  <c r="V354" i="14" s="1"/>
  <c r="R325" i="1"/>
  <c r="U354" i="14"/>
  <c r="Q325" i="1"/>
  <c r="P325" i="1"/>
  <c r="S354" i="14"/>
  <c r="O325" i="1"/>
  <c r="R354" i="14" s="1"/>
  <c r="N332" i="1"/>
  <c r="Q361" i="14"/>
  <c r="M332" i="1"/>
  <c r="P361" i="14" s="1"/>
  <c r="L332" i="1"/>
  <c r="K332" i="1"/>
  <c r="N361" i="14"/>
  <c r="J332" i="1"/>
  <c r="M361" i="14" s="1"/>
  <c r="I332" i="1"/>
  <c r="L361" i="14"/>
  <c r="H332" i="1"/>
  <c r="K361" i="14" s="1"/>
  <c r="G332" i="1"/>
  <c r="J361" i="14"/>
  <c r="F332" i="1"/>
  <c r="I361" i="14" s="1"/>
  <c r="E332" i="1"/>
  <c r="H361" i="14"/>
  <c r="D332" i="1"/>
  <c r="C332" i="1"/>
  <c r="F361" i="14"/>
  <c r="N331" i="1"/>
  <c r="Q360" i="14" s="1"/>
  <c r="M331" i="1"/>
  <c r="P360" i="14"/>
  <c r="L331" i="1"/>
  <c r="K331" i="1"/>
  <c r="N360" i="14" s="1"/>
  <c r="J331" i="1"/>
  <c r="M360" i="14"/>
  <c r="I331" i="1"/>
  <c r="L360" i="14" s="1"/>
  <c r="H331" i="1"/>
  <c r="G331" i="1"/>
  <c r="J360" i="14" s="1"/>
  <c r="F331" i="1"/>
  <c r="I360" i="14"/>
  <c r="E331" i="1"/>
  <c r="H360" i="14" s="1"/>
  <c r="D331" i="1"/>
  <c r="G360" i="14"/>
  <c r="C331" i="1"/>
  <c r="F360" i="14" s="1"/>
  <c r="N330" i="1"/>
  <c r="Q359" i="14"/>
  <c r="M330" i="1"/>
  <c r="L330" i="1"/>
  <c r="O359" i="14"/>
  <c r="K330" i="1"/>
  <c r="P72" i="9" s="1"/>
  <c r="J330" i="1"/>
  <c r="O72" i="9"/>
  <c r="I330" i="1"/>
  <c r="L359" i="14" s="1"/>
  <c r="H330" i="1"/>
  <c r="K359" i="14"/>
  <c r="G330" i="1"/>
  <c r="J359" i="14" s="1"/>
  <c r="F330" i="1"/>
  <c r="K72" i="9"/>
  <c r="E330" i="1"/>
  <c r="D330" i="1"/>
  <c r="I72" i="9"/>
  <c r="C330" i="1"/>
  <c r="F359" i="14" s="1"/>
  <c r="N329" i="1"/>
  <c r="S71" i="9"/>
  <c r="M329" i="1"/>
  <c r="P358" i="14" s="1"/>
  <c r="L329" i="1"/>
  <c r="O358" i="14"/>
  <c r="K329" i="1"/>
  <c r="N358" i="14" s="1"/>
  <c r="J329" i="1"/>
  <c r="O71" i="9"/>
  <c r="I329" i="1"/>
  <c r="H329" i="1"/>
  <c r="K358" i="14"/>
  <c r="G329" i="1"/>
  <c r="J358" i="14" s="1"/>
  <c r="F329" i="1"/>
  <c r="I358" i="14"/>
  <c r="E329" i="1"/>
  <c r="H358" i="14" s="1"/>
  <c r="D329" i="1"/>
  <c r="I71" i="9"/>
  <c r="C329" i="1"/>
  <c r="F358" i="14" s="1"/>
  <c r="N328" i="1"/>
  <c r="Q357" i="14"/>
  <c r="M328" i="1"/>
  <c r="L328" i="1"/>
  <c r="Q70" i="9"/>
  <c r="K328" i="1"/>
  <c r="P70" i="9" s="1"/>
  <c r="J328" i="1"/>
  <c r="O70" i="9"/>
  <c r="I328" i="1"/>
  <c r="L357" i="14" s="1"/>
  <c r="H328" i="1"/>
  <c r="M70" i="9"/>
  <c r="G328" i="1"/>
  <c r="J357" i="14" s="1"/>
  <c r="F328" i="1"/>
  <c r="I357" i="14"/>
  <c r="E328" i="1"/>
  <c r="D328" i="1"/>
  <c r="C328" i="1"/>
  <c r="F357" i="14" s="1"/>
  <c r="N327" i="1"/>
  <c r="S69" i="9"/>
  <c r="M327" i="1"/>
  <c r="P356" i="14" s="1"/>
  <c r="L327" i="1"/>
  <c r="K327" i="1"/>
  <c r="N356" i="14"/>
  <c r="J327" i="1"/>
  <c r="O69" i="9" s="1"/>
  <c r="I327" i="1"/>
  <c r="N69" i="9"/>
  <c r="H327" i="1"/>
  <c r="G327" i="1"/>
  <c r="J356" i="14"/>
  <c r="F327" i="1"/>
  <c r="K69" i="9"/>
  <c r="E327" i="1"/>
  <c r="H356" i="14"/>
  <c r="D327" i="1"/>
  <c r="C327" i="1"/>
  <c r="F356" i="14" s="1"/>
  <c r="N326" i="1"/>
  <c r="Q355" i="14"/>
  <c r="C326" i="1"/>
  <c r="F355" i="14" s="1"/>
  <c r="M326" i="1"/>
  <c r="P355" i="14"/>
  <c r="L326" i="1"/>
  <c r="Q68" i="9" s="1"/>
  <c r="K326" i="1"/>
  <c r="N355" i="14"/>
  <c r="J326" i="1"/>
  <c r="O68" i="9" s="1"/>
  <c r="I326" i="1"/>
  <c r="L355" i="14"/>
  <c r="H326" i="1"/>
  <c r="M68" i="9" s="1"/>
  <c r="G326" i="1"/>
  <c r="J355" i="14"/>
  <c r="F326" i="1"/>
  <c r="K68" i="9" s="1"/>
  <c r="E326" i="1"/>
  <c r="H355" i="14"/>
  <c r="D326" i="1"/>
  <c r="G355" i="14" s="1"/>
  <c r="M321" i="1"/>
  <c r="M320" i="1"/>
  <c r="M319" i="1"/>
  <c r="M318" i="1"/>
  <c r="M317" i="1"/>
  <c r="M316" i="1"/>
  <c r="M315" i="1"/>
  <c r="M314" i="1"/>
  <c r="M322" i="1" s="1"/>
  <c r="O322" i="1"/>
  <c r="N322" i="1"/>
  <c r="G408" i="14"/>
  <c r="G409" i="14"/>
  <c r="H408" i="1"/>
  <c r="H407" i="1"/>
  <c r="AL360" i="14"/>
  <c r="Y359" i="14"/>
  <c r="AL358" i="14"/>
  <c r="E413" i="1"/>
  <c r="D271" i="14"/>
  <c r="H275" i="1"/>
  <c r="H271" i="14" s="1"/>
  <c r="H285" i="1"/>
  <c r="H281" i="14"/>
  <c r="H295" i="1"/>
  <c r="H291" i="14" s="1"/>
  <c r="H305" i="1"/>
  <c r="P305" i="1"/>
  <c r="P301" i="14"/>
  <c r="P295" i="1"/>
  <c r="P291" i="14" s="1"/>
  <c r="P285" i="1"/>
  <c r="P281" i="14" s="1"/>
  <c r="P275" i="1"/>
  <c r="P271" i="14" s="1"/>
  <c r="P264" i="1"/>
  <c r="P260" i="14"/>
  <c r="P254" i="1"/>
  <c r="H264" i="1"/>
  <c r="H254" i="1"/>
  <c r="H250" i="14"/>
  <c r="B32" i="14"/>
  <c r="AR16" i="9"/>
  <c r="AR18" i="9"/>
  <c r="AQ19" i="9"/>
  <c r="AN18" i="9"/>
  <c r="AM18" i="9"/>
  <c r="AK15" i="9"/>
  <c r="AK17" i="9"/>
  <c r="AK19" i="9"/>
  <c r="AJ14" i="9"/>
  <c r="AJ16" i="9"/>
  <c r="AI14" i="9"/>
  <c r="AI15" i="9"/>
  <c r="AI16" i="9"/>
  <c r="AH16" i="9"/>
  <c r="AG17" i="9"/>
  <c r="AF16" i="9"/>
  <c r="AE14" i="9"/>
  <c r="AE16" i="9"/>
  <c r="AD18" i="9"/>
  <c r="AC14" i="9"/>
  <c r="AC16" i="9"/>
  <c r="AB16" i="9"/>
  <c r="AA16" i="9"/>
  <c r="Z18" i="9"/>
  <c r="X16" i="9"/>
  <c r="W14" i="9"/>
  <c r="W15" i="9"/>
  <c r="W17" i="9"/>
  <c r="W19" i="9"/>
  <c r="V14" i="9"/>
  <c r="I15" i="9"/>
  <c r="N19" i="9"/>
  <c r="P19" i="9"/>
  <c r="Q16" i="9"/>
  <c r="Q17" i="9"/>
  <c r="R19" i="9"/>
  <c r="S16" i="9"/>
  <c r="Q70" i="5"/>
  <c r="P70" i="5"/>
  <c r="U70" i="5" s="1"/>
  <c r="I70" i="5"/>
  <c r="T70" i="5" s="1"/>
  <c r="Q69" i="5"/>
  <c r="P69" i="5"/>
  <c r="Q68" i="5"/>
  <c r="P68" i="5"/>
  <c r="Q67" i="5"/>
  <c r="P67" i="5"/>
  <c r="Q66" i="5"/>
  <c r="P66" i="5"/>
  <c r="Q65" i="5"/>
  <c r="P65" i="5"/>
  <c r="Q64" i="5"/>
  <c r="P64" i="5"/>
  <c r="U64" i="5" s="1"/>
  <c r="I64" i="5" s="1"/>
  <c r="T64" i="5" s="1"/>
  <c r="Q63" i="5"/>
  <c r="P63" i="5"/>
  <c r="Q62" i="5"/>
  <c r="U62" i="5" s="1"/>
  <c r="I62" i="5" s="1"/>
  <c r="P62" i="5"/>
  <c r="T62" i="5"/>
  <c r="Q61" i="5"/>
  <c r="P61" i="5"/>
  <c r="Q60" i="5"/>
  <c r="P60" i="5"/>
  <c r="Q59" i="5"/>
  <c r="P59" i="5"/>
  <c r="Q58" i="5"/>
  <c r="P58" i="5"/>
  <c r="Q57" i="5"/>
  <c r="P57" i="5"/>
  <c r="Q56" i="5"/>
  <c r="P56" i="5"/>
  <c r="U56" i="5" s="1"/>
  <c r="I56" i="5" s="1"/>
  <c r="T56" i="5" s="1"/>
  <c r="Q55" i="5"/>
  <c r="P55" i="5"/>
  <c r="Q54" i="5"/>
  <c r="P54" i="5"/>
  <c r="U54" i="5"/>
  <c r="I54" i="5" s="1"/>
  <c r="T54" i="5" s="1"/>
  <c r="Q53" i="5"/>
  <c r="P53" i="5"/>
  <c r="Q52" i="5"/>
  <c r="U52" i="5" s="1"/>
  <c r="I52" i="5" s="1"/>
  <c r="T52" i="5" s="1"/>
  <c r="P52" i="5"/>
  <c r="Q51" i="5"/>
  <c r="P51" i="5"/>
  <c r="Q50" i="5"/>
  <c r="U50" i="5" s="1"/>
  <c r="I50" i="5" s="1"/>
  <c r="T50" i="5" s="1"/>
  <c r="P50" i="5"/>
  <c r="Q49" i="5"/>
  <c r="P49" i="5"/>
  <c r="Q48" i="5"/>
  <c r="P48" i="5"/>
  <c r="U48" i="5" s="1"/>
  <c r="I48" i="5" s="1"/>
  <c r="T48" i="5" s="1"/>
  <c r="Q47" i="5"/>
  <c r="P47" i="5"/>
  <c r="Q46" i="5"/>
  <c r="P46" i="5"/>
  <c r="U46" i="5"/>
  <c r="I46" i="5" s="1"/>
  <c r="T46" i="5" s="1"/>
  <c r="Q45" i="5"/>
  <c r="P45" i="5"/>
  <c r="Q44" i="5"/>
  <c r="U44" i="5" s="1"/>
  <c r="I44" i="5" s="1"/>
  <c r="T44" i="5" s="1"/>
  <c r="P44" i="5"/>
  <c r="Q43" i="5"/>
  <c r="P43" i="5"/>
  <c r="Q42" i="5"/>
  <c r="P42" i="5"/>
  <c r="Q41" i="5"/>
  <c r="P41" i="5"/>
  <c r="Q40" i="5"/>
  <c r="S40" i="5" s="1"/>
  <c r="P40" i="5"/>
  <c r="Q39" i="5"/>
  <c r="P39" i="5"/>
  <c r="U39" i="5"/>
  <c r="I39" i="5" s="1"/>
  <c r="T39" i="5" s="1"/>
  <c r="Q38" i="5"/>
  <c r="U38" i="5" s="1"/>
  <c r="P38" i="5"/>
  <c r="I38" i="5"/>
  <c r="T38" i="5" s="1"/>
  <c r="Q37" i="5"/>
  <c r="P37" i="5"/>
  <c r="Q36" i="5"/>
  <c r="P36" i="5"/>
  <c r="Q35" i="5"/>
  <c r="P35" i="5"/>
  <c r="Q34" i="5"/>
  <c r="P34" i="5"/>
  <c r="Q33" i="5"/>
  <c r="P33" i="5"/>
  <c r="Q32" i="5"/>
  <c r="U32" i="5"/>
  <c r="I32" i="5" s="1"/>
  <c r="T32" i="5" s="1"/>
  <c r="P32" i="5"/>
  <c r="Q31" i="5"/>
  <c r="P31" i="5"/>
  <c r="Q30" i="5"/>
  <c r="P30" i="5"/>
  <c r="Q29" i="5"/>
  <c r="U29" i="5" s="1"/>
  <c r="I29" i="5" s="1"/>
  <c r="P29" i="5"/>
  <c r="T29" i="5"/>
  <c r="Q28" i="5"/>
  <c r="P28" i="5"/>
  <c r="Q27" i="5"/>
  <c r="P27" i="5"/>
  <c r="U27" i="5" s="1"/>
  <c r="I27" i="5" s="1"/>
  <c r="T27" i="5" s="1"/>
  <c r="Q26" i="5"/>
  <c r="P26" i="5"/>
  <c r="Q25" i="5"/>
  <c r="P25" i="5"/>
  <c r="Q24" i="5"/>
  <c r="P24" i="5"/>
  <c r="Q23" i="5"/>
  <c r="U23" i="5"/>
  <c r="I23" i="5" s="1"/>
  <c r="T23" i="5" s="1"/>
  <c r="P23" i="5"/>
  <c r="Q22" i="5"/>
  <c r="P22" i="5"/>
  <c r="U22" i="5"/>
  <c r="I22" i="5" s="1"/>
  <c r="T22" i="5" s="1"/>
  <c r="Q21" i="5"/>
  <c r="U21" i="5"/>
  <c r="I21" i="5" s="1"/>
  <c r="T21" i="5" s="1"/>
  <c r="P21" i="5"/>
  <c r="Q20" i="5"/>
  <c r="U20" i="5" s="1"/>
  <c r="I20" i="5" s="1"/>
  <c r="P20" i="5"/>
  <c r="T20" i="5"/>
  <c r="Q19" i="5"/>
  <c r="U19" i="5"/>
  <c r="P19" i="5"/>
  <c r="I19" i="5"/>
  <c r="T19" i="5" s="1"/>
  <c r="Q18" i="5"/>
  <c r="P18" i="5"/>
  <c r="U18" i="5"/>
  <c r="I18" i="5" s="1"/>
  <c r="T18" i="5" s="1"/>
  <c r="Q17" i="5"/>
  <c r="P17" i="5"/>
  <c r="U17" i="5" s="1"/>
  <c r="I17" i="5" s="1"/>
  <c r="T17" i="5" s="1"/>
  <c r="Q16" i="5"/>
  <c r="P16" i="5"/>
  <c r="Q15" i="5"/>
  <c r="P15" i="5"/>
  <c r="U15" i="5"/>
  <c r="I15" i="5" s="1"/>
  <c r="T15" i="5" s="1"/>
  <c r="Q14" i="5"/>
  <c r="P14" i="5"/>
  <c r="U14" i="5" s="1"/>
  <c r="I14" i="5" s="1"/>
  <c r="T14" i="5" s="1"/>
  <c r="Q13" i="5"/>
  <c r="U13" i="5" s="1"/>
  <c r="I13" i="5" s="1"/>
  <c r="T13" i="5" s="1"/>
  <c r="P13" i="5"/>
  <c r="Q12" i="5"/>
  <c r="P12" i="5"/>
  <c r="Q11" i="5"/>
  <c r="P11" i="5"/>
  <c r="U11" i="5" s="1"/>
  <c r="I11" i="5" s="1"/>
  <c r="T11" i="5" s="1"/>
  <c r="Q10" i="5"/>
  <c r="U10" i="5" s="1"/>
  <c r="I10" i="5" s="1"/>
  <c r="T10" i="5" s="1"/>
  <c r="P10" i="5"/>
  <c r="Q9" i="5"/>
  <c r="U9" i="5"/>
  <c r="I9" i="5" s="1"/>
  <c r="T9" i="5"/>
  <c r="P9" i="5"/>
  <c r="E9" i="5"/>
  <c r="Q8" i="5"/>
  <c r="U8" i="5"/>
  <c r="I8" i="5" s="1"/>
  <c r="T8" i="5" s="1"/>
  <c r="P8" i="5"/>
  <c r="E8" i="5"/>
  <c r="Q7" i="5"/>
  <c r="P7" i="5"/>
  <c r="E7" i="5"/>
  <c r="Q6" i="5"/>
  <c r="P6" i="5"/>
  <c r="E6" i="5"/>
  <c r="G142" i="14" s="1"/>
  <c r="Q5" i="5"/>
  <c r="P5" i="5"/>
  <c r="E5" i="5"/>
  <c r="G141" i="14" s="1"/>
  <c r="Q4" i="5"/>
  <c r="P4" i="5"/>
  <c r="E4" i="5"/>
  <c r="Q3" i="5"/>
  <c r="P3" i="5"/>
  <c r="S3" i="5" s="1"/>
  <c r="E3" i="5"/>
  <c r="G139" i="14" s="1"/>
  <c r="Q2" i="5"/>
  <c r="P2" i="5"/>
  <c r="E2" i="5"/>
  <c r="G138" i="14" s="1"/>
  <c r="B23" i="6"/>
  <c r="B24" i="6"/>
  <c r="B48" i="6"/>
  <c r="B49" i="6"/>
  <c r="BT118" i="6" s="1"/>
  <c r="B73" i="6"/>
  <c r="B74" i="6"/>
  <c r="B193" i="1"/>
  <c r="D52" i="6" s="1"/>
  <c r="D53" i="6"/>
  <c r="D54" i="6"/>
  <c r="B196" i="1"/>
  <c r="AC79" i="1"/>
  <c r="AE80" i="1"/>
  <c r="AF78" i="1" s="1"/>
  <c r="B79" i="1" s="1"/>
  <c r="AB78" i="1"/>
  <c r="AB79" i="1"/>
  <c r="AE79" i="1" s="1"/>
  <c r="B3" i="3"/>
  <c r="L70" i="9"/>
  <c r="L72" i="9"/>
  <c r="A84" i="11"/>
  <c r="E38" i="12"/>
  <c r="J44" i="6"/>
  <c r="AM117" i="6"/>
  <c r="J46" i="6"/>
  <c r="AY117" i="6"/>
  <c r="B337" i="1"/>
  <c r="B86" i="9"/>
  <c r="B338" i="1"/>
  <c r="B87" i="9"/>
  <c r="C87" i="9" s="1"/>
  <c r="B339" i="1"/>
  <c r="B88" i="9" s="1"/>
  <c r="C88" i="9" s="1"/>
  <c r="B340" i="1"/>
  <c r="B89" i="9"/>
  <c r="C89" i="9" s="1"/>
  <c r="B341" i="1"/>
  <c r="B90" i="9" s="1"/>
  <c r="C90" i="9" s="1"/>
  <c r="B342" i="1"/>
  <c r="B91" i="9"/>
  <c r="C91" i="9" s="1"/>
  <c r="B343" i="1"/>
  <c r="B92" i="9" s="1"/>
  <c r="C92" i="9"/>
  <c r="B344" i="1"/>
  <c r="B93" i="9"/>
  <c r="C93" i="9" s="1"/>
  <c r="I24" i="9"/>
  <c r="J24" i="9"/>
  <c r="K24" i="9"/>
  <c r="L24" i="9"/>
  <c r="M24" i="9"/>
  <c r="N24" i="9"/>
  <c r="O24" i="9"/>
  <c r="P24" i="9"/>
  <c r="Q24" i="9"/>
  <c r="R24" i="9"/>
  <c r="S24" i="9"/>
  <c r="T24" i="9"/>
  <c r="D24" i="9" s="1"/>
  <c r="I25" i="9"/>
  <c r="I26" i="9"/>
  <c r="I27" i="9"/>
  <c r="I28" i="9"/>
  <c r="I29" i="9"/>
  <c r="I30" i="9"/>
  <c r="I31" i="9"/>
  <c r="I32" i="9"/>
  <c r="I33" i="9"/>
  <c r="I34" i="9"/>
  <c r="I35" i="9"/>
  <c r="I36" i="9"/>
  <c r="I37" i="9"/>
  <c r="I38" i="9"/>
  <c r="I39" i="9"/>
  <c r="J25" i="9"/>
  <c r="K25" i="9"/>
  <c r="K26" i="9"/>
  <c r="K27" i="9"/>
  <c r="K28" i="9"/>
  <c r="J28" i="9"/>
  <c r="L28" i="9"/>
  <c r="M28" i="9"/>
  <c r="N28" i="9"/>
  <c r="O28" i="9"/>
  <c r="P28" i="9"/>
  <c r="Q28" i="9"/>
  <c r="R28" i="9"/>
  <c r="S28" i="9"/>
  <c r="T28" i="9"/>
  <c r="K29" i="9"/>
  <c r="K30" i="9"/>
  <c r="K31" i="9"/>
  <c r="K32" i="9"/>
  <c r="K33" i="9"/>
  <c r="K34" i="9"/>
  <c r="K35" i="9"/>
  <c r="K36" i="9"/>
  <c r="K37" i="9"/>
  <c r="K38" i="9"/>
  <c r="K39" i="9"/>
  <c r="L25" i="9"/>
  <c r="M25" i="9"/>
  <c r="M26" i="9"/>
  <c r="M27" i="9"/>
  <c r="M29" i="9"/>
  <c r="M30" i="9"/>
  <c r="M31" i="9"/>
  <c r="D31" i="9" s="1"/>
  <c r="M32" i="9"/>
  <c r="M33" i="9"/>
  <c r="M34" i="9"/>
  <c r="M35" i="9"/>
  <c r="M36" i="9"/>
  <c r="M37" i="9"/>
  <c r="M38" i="9"/>
  <c r="M39" i="9"/>
  <c r="N25" i="9"/>
  <c r="O25" i="9"/>
  <c r="O26" i="9"/>
  <c r="O27" i="9"/>
  <c r="O29" i="9"/>
  <c r="O30" i="9"/>
  <c r="O31" i="9"/>
  <c r="O32" i="9"/>
  <c r="O33" i="9"/>
  <c r="O34" i="9"/>
  <c r="O35" i="9"/>
  <c r="O36" i="9"/>
  <c r="O37" i="9"/>
  <c r="O38" i="9"/>
  <c r="O39" i="9"/>
  <c r="P25" i="9"/>
  <c r="Q25" i="9"/>
  <c r="Q26" i="9"/>
  <c r="Q27" i="9"/>
  <c r="Q29" i="9"/>
  <c r="Q30" i="9"/>
  <c r="Q31" i="9"/>
  <c r="Q32" i="9"/>
  <c r="Q33" i="9"/>
  <c r="Q34" i="9"/>
  <c r="Q35" i="9"/>
  <c r="Q36" i="9"/>
  <c r="Q37" i="9"/>
  <c r="Q38" i="9"/>
  <c r="Q39" i="9"/>
  <c r="R25" i="9"/>
  <c r="D25" i="9"/>
  <c r="S25" i="9"/>
  <c r="S26" i="9"/>
  <c r="S27" i="9"/>
  <c r="S29" i="9"/>
  <c r="S30" i="9"/>
  <c r="S31" i="9"/>
  <c r="S32" i="9"/>
  <c r="S33" i="9"/>
  <c r="S34" i="9"/>
  <c r="S35" i="9"/>
  <c r="S36" i="9"/>
  <c r="S37" i="9"/>
  <c r="S38" i="9"/>
  <c r="S39" i="9"/>
  <c r="T25" i="9"/>
  <c r="J26" i="9"/>
  <c r="L26" i="9"/>
  <c r="N26" i="9"/>
  <c r="P26" i="9"/>
  <c r="R26" i="9"/>
  <c r="T26" i="9"/>
  <c r="J27" i="9"/>
  <c r="L27" i="9"/>
  <c r="N27" i="9"/>
  <c r="P27" i="9"/>
  <c r="R27" i="9"/>
  <c r="T27" i="9"/>
  <c r="J29" i="9"/>
  <c r="L29" i="9"/>
  <c r="N29" i="9"/>
  <c r="P29" i="9"/>
  <c r="R29" i="9"/>
  <c r="T29" i="9"/>
  <c r="J30" i="9"/>
  <c r="L30" i="9"/>
  <c r="N30" i="9"/>
  <c r="P30" i="9"/>
  <c r="R30" i="9"/>
  <c r="T30" i="9"/>
  <c r="J31" i="9"/>
  <c r="L31" i="9"/>
  <c r="N31" i="9"/>
  <c r="P31" i="9"/>
  <c r="R31" i="9"/>
  <c r="T31" i="9"/>
  <c r="J32" i="9"/>
  <c r="L32" i="9"/>
  <c r="N32" i="9"/>
  <c r="P32" i="9"/>
  <c r="R32" i="9"/>
  <c r="T32" i="9"/>
  <c r="J33" i="9"/>
  <c r="L33" i="9"/>
  <c r="N33" i="9"/>
  <c r="P33" i="9"/>
  <c r="R33" i="9"/>
  <c r="T33" i="9"/>
  <c r="J34" i="9"/>
  <c r="L34" i="9"/>
  <c r="N34" i="9"/>
  <c r="P34" i="9"/>
  <c r="R34" i="9"/>
  <c r="T34" i="9"/>
  <c r="J35" i="9"/>
  <c r="L35" i="9"/>
  <c r="N35" i="9"/>
  <c r="P35" i="9"/>
  <c r="R35" i="9"/>
  <c r="T35" i="9"/>
  <c r="J36" i="9"/>
  <c r="L36" i="9"/>
  <c r="N36" i="9"/>
  <c r="P36" i="9"/>
  <c r="R36" i="9"/>
  <c r="T36" i="9"/>
  <c r="J37" i="9"/>
  <c r="L37" i="9"/>
  <c r="N37" i="9"/>
  <c r="P37" i="9"/>
  <c r="R37" i="9"/>
  <c r="T37" i="9"/>
  <c r="J38" i="9"/>
  <c r="L38" i="9"/>
  <c r="N38" i="9"/>
  <c r="P38" i="9"/>
  <c r="R38" i="9"/>
  <c r="T38" i="9"/>
  <c r="J39" i="9"/>
  <c r="L39" i="9"/>
  <c r="N39" i="9"/>
  <c r="P39" i="9"/>
  <c r="R39" i="9"/>
  <c r="T39" i="9"/>
  <c r="A85" i="11"/>
  <c r="E39" i="12"/>
  <c r="A86" i="11"/>
  <c r="E40" i="12"/>
  <c r="E41" i="12"/>
  <c r="H41" i="12"/>
  <c r="E42" i="12"/>
  <c r="A10" i="3"/>
  <c r="A98" i="11" s="1"/>
  <c r="B328" i="1"/>
  <c r="C55" i="8"/>
  <c r="B55" i="8"/>
  <c r="C56" i="8"/>
  <c r="B56" i="8"/>
  <c r="C57" i="8"/>
  <c r="B57" i="8"/>
  <c r="C58" i="8"/>
  <c r="B58" i="8"/>
  <c r="B59" i="8"/>
  <c r="C59" i="8"/>
  <c r="D311" i="1"/>
  <c r="F311" i="1"/>
  <c r="F312" i="14" s="1"/>
  <c r="H311" i="1"/>
  <c r="H312" i="14" s="1"/>
  <c r="J311" i="1"/>
  <c r="A11" i="3"/>
  <c r="A30" i="3"/>
  <c r="B99" i="11"/>
  <c r="C63" i="8"/>
  <c r="B63" i="8"/>
  <c r="C64" i="8"/>
  <c r="B64" i="8"/>
  <c r="C65" i="8"/>
  <c r="B65" i="8"/>
  <c r="C66" i="8"/>
  <c r="B66" i="8"/>
  <c r="B67" i="8"/>
  <c r="C67" i="8"/>
  <c r="D312" i="1"/>
  <c r="F312" i="1"/>
  <c r="H312" i="1"/>
  <c r="J312" i="1"/>
  <c r="A12" i="3"/>
  <c r="A13" i="3"/>
  <c r="A101" i="11" s="1"/>
  <c r="A14" i="3"/>
  <c r="A102" i="11" s="1"/>
  <c r="A15" i="3"/>
  <c r="A16" i="3"/>
  <c r="A35" i="3" s="1"/>
  <c r="A17" i="3"/>
  <c r="A105" i="11" s="1"/>
  <c r="A18" i="3"/>
  <c r="A79" i="3" s="1"/>
  <c r="A19" i="3"/>
  <c r="A107" i="11" s="1"/>
  <c r="A20" i="3"/>
  <c r="A108" i="11" s="1"/>
  <c r="A21" i="3"/>
  <c r="A109" i="11" s="1"/>
  <c r="B14" i="4"/>
  <c r="B81" i="1" s="1"/>
  <c r="B15" i="4"/>
  <c r="B82" i="1" s="1"/>
  <c r="B83" i="14" s="1"/>
  <c r="B16" i="4"/>
  <c r="B83" i="1"/>
  <c r="B84" i="14" s="1"/>
  <c r="C71" i="8"/>
  <c r="B71" i="8"/>
  <c r="C72" i="8"/>
  <c r="B72" i="8"/>
  <c r="C73" i="8"/>
  <c r="B73" i="8"/>
  <c r="C74" i="8"/>
  <c r="B74" i="8"/>
  <c r="C75" i="8"/>
  <c r="B75" i="8"/>
  <c r="B17" i="4"/>
  <c r="B84" i="1" s="1"/>
  <c r="C79" i="8"/>
  <c r="B79" i="8"/>
  <c r="D79" i="8"/>
  <c r="C80" i="8"/>
  <c r="B80" i="8"/>
  <c r="D80" i="8" s="1"/>
  <c r="C81" i="8"/>
  <c r="B81" i="8"/>
  <c r="C82" i="8"/>
  <c r="B82" i="8"/>
  <c r="C83" i="8"/>
  <c r="B83" i="8"/>
  <c r="B18" i="4"/>
  <c r="B85" i="1" s="1"/>
  <c r="C87" i="8"/>
  <c r="B87" i="8"/>
  <c r="C88" i="8"/>
  <c r="D88" i="8" s="1"/>
  <c r="B88" i="8"/>
  <c r="C89" i="8"/>
  <c r="B89" i="8"/>
  <c r="C90" i="8"/>
  <c r="B90" i="8"/>
  <c r="D90" i="8" s="1"/>
  <c r="C91" i="8"/>
  <c r="D91" i="8" s="1"/>
  <c r="B91" i="8"/>
  <c r="B19" i="4"/>
  <c r="B86" i="1" s="1"/>
  <c r="B87" i="14" s="1"/>
  <c r="C95" i="8"/>
  <c r="B95" i="8"/>
  <c r="C96" i="8"/>
  <c r="B96" i="8"/>
  <c r="C97" i="8"/>
  <c r="B97" i="8"/>
  <c r="C98" i="8"/>
  <c r="B98" i="8"/>
  <c r="C99" i="8"/>
  <c r="B99" i="8"/>
  <c r="B20" i="4"/>
  <c r="B87" i="1" s="1"/>
  <c r="B88" i="14" s="1"/>
  <c r="P55" i="8"/>
  <c r="Q55" i="8"/>
  <c r="O55" i="8"/>
  <c r="P56" i="8"/>
  <c r="Q56" i="8" s="1"/>
  <c r="O56" i="8"/>
  <c r="P57" i="8"/>
  <c r="O57" i="8"/>
  <c r="Q57" i="8" s="1"/>
  <c r="P58" i="8"/>
  <c r="O58" i="8"/>
  <c r="P59" i="8"/>
  <c r="O59" i="8"/>
  <c r="B21" i="4"/>
  <c r="B88" i="1" s="1"/>
  <c r="B89" i="14" s="1"/>
  <c r="P63" i="8"/>
  <c r="O63" i="8"/>
  <c r="P64" i="8"/>
  <c r="Q64" i="8" s="1"/>
  <c r="O64" i="8"/>
  <c r="P65" i="8"/>
  <c r="O65" i="8"/>
  <c r="P66" i="8"/>
  <c r="O66" i="8"/>
  <c r="P67" i="8"/>
  <c r="O67" i="8"/>
  <c r="B22" i="4"/>
  <c r="B89" i="1"/>
  <c r="P71" i="8"/>
  <c r="Q71" i="8"/>
  <c r="O71" i="8"/>
  <c r="P72" i="8"/>
  <c r="O72" i="8"/>
  <c r="P73" i="8"/>
  <c r="O73" i="8"/>
  <c r="P74" i="8"/>
  <c r="O74" i="8"/>
  <c r="P75" i="8"/>
  <c r="Q75" i="8" s="1"/>
  <c r="O75" i="8"/>
  <c r="B23" i="4"/>
  <c r="B90" i="1"/>
  <c r="P79" i="8"/>
  <c r="O79" i="8"/>
  <c r="P80" i="8"/>
  <c r="O80" i="8"/>
  <c r="P81" i="8"/>
  <c r="Q81" i="8" s="1"/>
  <c r="O81" i="8"/>
  <c r="P82" i="8"/>
  <c r="O82" i="8"/>
  <c r="P83" i="8"/>
  <c r="O83" i="8"/>
  <c r="B24" i="4"/>
  <c r="B91" i="1" s="1"/>
  <c r="P87" i="8"/>
  <c r="O87" i="8"/>
  <c r="P88" i="8"/>
  <c r="O88" i="8"/>
  <c r="P89" i="8"/>
  <c r="O89" i="8"/>
  <c r="P90" i="8"/>
  <c r="Q90" i="8" s="1"/>
  <c r="O90" i="8"/>
  <c r="P91" i="8"/>
  <c r="O91" i="8"/>
  <c r="B25" i="4"/>
  <c r="B92" i="1" s="1"/>
  <c r="B93" i="14" s="1"/>
  <c r="P95" i="8"/>
  <c r="O95" i="8"/>
  <c r="P96" i="8"/>
  <c r="O96" i="8"/>
  <c r="P97" i="8"/>
  <c r="O97" i="8"/>
  <c r="P98" i="8"/>
  <c r="Q98" i="8"/>
  <c r="O98" i="8"/>
  <c r="P99" i="8"/>
  <c r="O99" i="8"/>
  <c r="D313" i="1"/>
  <c r="F313" i="1"/>
  <c r="H313" i="1"/>
  <c r="J313" i="1"/>
  <c r="D314" i="1"/>
  <c r="F314" i="1"/>
  <c r="H314" i="1"/>
  <c r="J314" i="1"/>
  <c r="D315" i="1"/>
  <c r="F315" i="1"/>
  <c r="H315" i="1"/>
  <c r="J315" i="1"/>
  <c r="D316" i="1"/>
  <c r="B316" i="1" s="1"/>
  <c r="F316" i="1"/>
  <c r="H316" i="1"/>
  <c r="J316" i="1"/>
  <c r="H76" i="9"/>
  <c r="H86" i="9"/>
  <c r="H87" i="9"/>
  <c r="H88" i="9"/>
  <c r="H89" i="9"/>
  <c r="H90" i="9"/>
  <c r="H91" i="9"/>
  <c r="H92" i="9"/>
  <c r="H93" i="9"/>
  <c r="C14" i="4"/>
  <c r="C81" i="1" s="1"/>
  <c r="C15" i="4"/>
  <c r="C82" i="1" s="1"/>
  <c r="C83" i="14" s="1"/>
  <c r="C16" i="4"/>
  <c r="C83" i="1"/>
  <c r="C84" i="14" s="1"/>
  <c r="C17" i="4"/>
  <c r="C84" i="1" s="1"/>
  <c r="C18" i="4"/>
  <c r="C85" i="1" s="1"/>
  <c r="C86" i="14" s="1"/>
  <c r="C19" i="4"/>
  <c r="C86" i="1"/>
  <c r="C20" i="4"/>
  <c r="C87" i="1" s="1"/>
  <c r="Q87" i="1" s="1"/>
  <c r="C21" i="4"/>
  <c r="C88" i="1" s="1"/>
  <c r="C22" i="4"/>
  <c r="C89" i="1" s="1"/>
  <c r="Q89" i="1"/>
  <c r="C23" i="8" s="1"/>
  <c r="C23" i="4"/>
  <c r="C90" i="1" s="1"/>
  <c r="C24" i="4"/>
  <c r="C91" i="1" s="1"/>
  <c r="Q91" i="1" s="1"/>
  <c r="C25" i="8" s="1"/>
  <c r="C25" i="4"/>
  <c r="C92" i="1" s="1"/>
  <c r="I76" i="9"/>
  <c r="I86" i="9"/>
  <c r="I87" i="9"/>
  <c r="I88" i="9"/>
  <c r="I89" i="9"/>
  <c r="I90" i="9"/>
  <c r="I91" i="9"/>
  <c r="I92" i="9"/>
  <c r="I93" i="9"/>
  <c r="D14" i="4"/>
  <c r="D81" i="1"/>
  <c r="D15" i="4"/>
  <c r="D82" i="1"/>
  <c r="R82" i="1" s="1"/>
  <c r="D16" i="8"/>
  <c r="D16" i="4"/>
  <c r="D83" i="1" s="1"/>
  <c r="R83" i="1" s="1"/>
  <c r="D17" i="8" s="1"/>
  <c r="D17" i="4"/>
  <c r="D84" i="1" s="1"/>
  <c r="R84" i="1" s="1"/>
  <c r="D18" i="8"/>
  <c r="D18" i="4"/>
  <c r="D85" i="1" s="1"/>
  <c r="R85" i="1" s="1"/>
  <c r="D19" i="4"/>
  <c r="D86" i="1" s="1"/>
  <c r="R86" i="1" s="1"/>
  <c r="D20" i="8" s="1"/>
  <c r="D20" i="4"/>
  <c r="D87" i="1" s="1"/>
  <c r="D88" i="14" s="1"/>
  <c r="D21" i="4"/>
  <c r="D88" i="1" s="1"/>
  <c r="D22" i="4"/>
  <c r="D89" i="1" s="1"/>
  <c r="R89" i="1" s="1"/>
  <c r="D23" i="8" s="1"/>
  <c r="D23" i="4"/>
  <c r="D90" i="1"/>
  <c r="D24" i="4"/>
  <c r="D91" i="1" s="1"/>
  <c r="R91" i="1" s="1"/>
  <c r="D25" i="8" s="1"/>
  <c r="D25" i="4"/>
  <c r="D92" i="1" s="1"/>
  <c r="R92" i="1" s="1"/>
  <c r="D26" i="8"/>
  <c r="J76" i="9"/>
  <c r="J86" i="9"/>
  <c r="J87" i="9"/>
  <c r="J88" i="9"/>
  <c r="J89" i="9"/>
  <c r="J90" i="9"/>
  <c r="J91" i="9"/>
  <c r="J92" i="9"/>
  <c r="J93" i="9"/>
  <c r="E14" i="4"/>
  <c r="E81" i="1" s="1"/>
  <c r="E15" i="4"/>
  <c r="E82" i="1" s="1"/>
  <c r="E16" i="4"/>
  <c r="E83" i="1" s="1"/>
  <c r="E84" i="14" s="1"/>
  <c r="E17" i="4"/>
  <c r="E84" i="1" s="1"/>
  <c r="E85" i="14" s="1"/>
  <c r="E18" i="4"/>
  <c r="E85" i="1" s="1"/>
  <c r="E19" i="4"/>
  <c r="E86" i="1" s="1"/>
  <c r="E87" i="14" s="1"/>
  <c r="E20" i="4"/>
  <c r="E87" i="1" s="1"/>
  <c r="E88" i="14" s="1"/>
  <c r="E21" i="4"/>
  <c r="E88" i="1" s="1"/>
  <c r="S88" i="1" s="1"/>
  <c r="E22" i="8" s="1"/>
  <c r="E22" i="4"/>
  <c r="E89" i="1" s="1"/>
  <c r="E23" i="4"/>
  <c r="E90" i="1"/>
  <c r="S90" i="1" s="1"/>
  <c r="E24" i="8" s="1"/>
  <c r="E24" i="4"/>
  <c r="E91" i="1"/>
  <c r="E25" i="4"/>
  <c r="E92" i="1"/>
  <c r="E93" i="14" s="1"/>
  <c r="K76" i="9"/>
  <c r="K86" i="9"/>
  <c r="K87" i="9"/>
  <c r="K88" i="9"/>
  <c r="K89" i="9"/>
  <c r="K90" i="9"/>
  <c r="K91" i="9"/>
  <c r="K92" i="9"/>
  <c r="K93" i="9"/>
  <c r="F14" i="4"/>
  <c r="F81" i="1"/>
  <c r="F15" i="4"/>
  <c r="F82" i="1" s="1"/>
  <c r="T82" i="1" s="1"/>
  <c r="F16" i="8"/>
  <c r="F16" i="4"/>
  <c r="F83" i="1" s="1"/>
  <c r="F17" i="4"/>
  <c r="F84" i="1" s="1"/>
  <c r="T84" i="1" s="1"/>
  <c r="F18" i="8" s="1"/>
  <c r="F18" i="4"/>
  <c r="F85" i="1" s="1"/>
  <c r="F86" i="14" s="1"/>
  <c r="F19" i="4"/>
  <c r="F86" i="1"/>
  <c r="F20" i="4"/>
  <c r="F87" i="1" s="1"/>
  <c r="T87" i="1" s="1"/>
  <c r="F21" i="8"/>
  <c r="F21" i="4"/>
  <c r="F88" i="1" s="1"/>
  <c r="T88" i="1" s="1"/>
  <c r="F22" i="8"/>
  <c r="F22" i="4"/>
  <c r="F89" i="1" s="1"/>
  <c r="T89" i="1" s="1"/>
  <c r="F23" i="8"/>
  <c r="F23" i="4"/>
  <c r="F90" i="1" s="1"/>
  <c r="F91" i="14" s="1"/>
  <c r="F24" i="4"/>
  <c r="F91" i="1" s="1"/>
  <c r="F25" i="4"/>
  <c r="F92" i="1"/>
  <c r="F93" i="14" s="1"/>
  <c r="L76" i="9"/>
  <c r="L86" i="9"/>
  <c r="L87" i="9"/>
  <c r="L88" i="9"/>
  <c r="L89" i="9"/>
  <c r="L90" i="9"/>
  <c r="L91" i="9"/>
  <c r="L92" i="9"/>
  <c r="L93" i="9"/>
  <c r="G14" i="4"/>
  <c r="G81" i="1"/>
  <c r="G15" i="4"/>
  <c r="G82" i="1" s="1"/>
  <c r="G83" i="14" s="1"/>
  <c r="G16" i="4"/>
  <c r="G83" i="1" s="1"/>
  <c r="G84" i="14" s="1"/>
  <c r="G17" i="4"/>
  <c r="G84" i="1"/>
  <c r="G85" i="14" s="1"/>
  <c r="G18" i="4"/>
  <c r="G85" i="1"/>
  <c r="U85" i="1"/>
  <c r="G19" i="8" s="1"/>
  <c r="G19" i="4"/>
  <c r="G86" i="1"/>
  <c r="G20" i="4"/>
  <c r="G87" i="1" s="1"/>
  <c r="U87" i="1" s="1"/>
  <c r="G21" i="8"/>
  <c r="G21" i="4"/>
  <c r="G88" i="1" s="1"/>
  <c r="G22" i="4"/>
  <c r="G89" i="1"/>
  <c r="U89" i="1" s="1"/>
  <c r="G23" i="8" s="1"/>
  <c r="G23" i="4"/>
  <c r="G90" i="1"/>
  <c r="G91" i="14" s="1"/>
  <c r="G24" i="4"/>
  <c r="G91" i="1"/>
  <c r="U91" i="1"/>
  <c r="G25" i="8" s="1"/>
  <c r="G25" i="4"/>
  <c r="G92" i="1"/>
  <c r="G93" i="14"/>
  <c r="M76" i="9"/>
  <c r="M86" i="9"/>
  <c r="M87" i="9"/>
  <c r="M88" i="9"/>
  <c r="M89" i="9"/>
  <c r="M90" i="9"/>
  <c r="M91" i="9"/>
  <c r="M92" i="9"/>
  <c r="M93" i="9"/>
  <c r="H14" i="4"/>
  <c r="H81" i="1"/>
  <c r="H15" i="4"/>
  <c r="H82" i="1"/>
  <c r="H16" i="4"/>
  <c r="H83" i="1" s="1"/>
  <c r="H17" i="4"/>
  <c r="H84" i="1" s="1"/>
  <c r="V84" i="1"/>
  <c r="H18" i="8" s="1"/>
  <c r="H152" i="8" s="1"/>
  <c r="H18" i="4"/>
  <c r="H85" i="1"/>
  <c r="V85" i="1"/>
  <c r="H19" i="8" s="1"/>
  <c r="H19" i="4"/>
  <c r="H86" i="1"/>
  <c r="V86" i="1"/>
  <c r="H20" i="8" s="1"/>
  <c r="H20" i="4"/>
  <c r="H87" i="1"/>
  <c r="V87" i="1" s="1"/>
  <c r="H21" i="8" s="1"/>
  <c r="H176" i="8" s="1"/>
  <c r="H21" i="4"/>
  <c r="H88" i="1"/>
  <c r="V88" i="1" s="1"/>
  <c r="H22" i="8" s="1"/>
  <c r="H22" i="4"/>
  <c r="H89" i="1"/>
  <c r="V89" i="1" s="1"/>
  <c r="H23" i="8"/>
  <c r="H23" i="4"/>
  <c r="H90" i="1" s="1"/>
  <c r="V90" i="1"/>
  <c r="H24" i="8"/>
  <c r="H24" i="4"/>
  <c r="H91" i="1"/>
  <c r="V91" i="1"/>
  <c r="H25" i="8"/>
  <c r="H25" i="4"/>
  <c r="H92" i="1" s="1"/>
  <c r="N76" i="9"/>
  <c r="N86" i="9"/>
  <c r="N87" i="9"/>
  <c r="N88" i="9"/>
  <c r="N89" i="9"/>
  <c r="N90" i="9"/>
  <c r="N91" i="9"/>
  <c r="N92" i="9"/>
  <c r="N93" i="9"/>
  <c r="I14" i="4"/>
  <c r="I81" i="1"/>
  <c r="I15" i="4"/>
  <c r="I82" i="1" s="1"/>
  <c r="I83" i="14" s="1"/>
  <c r="I16" i="4"/>
  <c r="I83" i="1"/>
  <c r="I84" i="14" s="1"/>
  <c r="I17" i="4"/>
  <c r="I84" i="1"/>
  <c r="W84" i="1"/>
  <c r="I18" i="8" s="1"/>
  <c r="I18" i="4"/>
  <c r="I85" i="1"/>
  <c r="W85" i="1"/>
  <c r="I19" i="8" s="1"/>
  <c r="I163" i="8" s="1"/>
  <c r="I19" i="4"/>
  <c r="I86" i="1"/>
  <c r="W86" i="1" s="1"/>
  <c r="I20" i="8" s="1"/>
  <c r="I20" i="4"/>
  <c r="I87" i="1"/>
  <c r="I88" i="14" s="1"/>
  <c r="I21" i="4"/>
  <c r="I88" i="1"/>
  <c r="I89" i="14"/>
  <c r="I22" i="4"/>
  <c r="I89" i="1"/>
  <c r="I23" i="4"/>
  <c r="I90" i="1"/>
  <c r="I91" i="14" s="1"/>
  <c r="I24" i="4"/>
  <c r="I91" i="1"/>
  <c r="I25" i="4"/>
  <c r="I92" i="1" s="1"/>
  <c r="W92" i="1" s="1"/>
  <c r="O76" i="9"/>
  <c r="O86" i="9"/>
  <c r="O87" i="9"/>
  <c r="O88" i="9"/>
  <c r="O89" i="9"/>
  <c r="O90" i="9"/>
  <c r="O91" i="9"/>
  <c r="O92" i="9"/>
  <c r="O93" i="9"/>
  <c r="J14" i="4"/>
  <c r="J81" i="1" s="1"/>
  <c r="J15" i="4"/>
  <c r="J82" i="1"/>
  <c r="J16" i="4"/>
  <c r="J83" i="1" s="1"/>
  <c r="X83" i="1" s="1"/>
  <c r="J17" i="8" s="1"/>
  <c r="J17" i="4"/>
  <c r="J84" i="1" s="1"/>
  <c r="J18" i="4"/>
  <c r="J85" i="1"/>
  <c r="X85" i="1"/>
  <c r="J19" i="8" s="1"/>
  <c r="J19" i="4"/>
  <c r="J86" i="1"/>
  <c r="J20" i="4"/>
  <c r="J87" i="1" s="1"/>
  <c r="J88" i="14" s="1"/>
  <c r="J21" i="4"/>
  <c r="J88" i="1"/>
  <c r="X88" i="1" s="1"/>
  <c r="J22" i="8" s="1"/>
  <c r="J185" i="8" s="1"/>
  <c r="J22" i="4"/>
  <c r="J89" i="1" s="1"/>
  <c r="X89" i="1" s="1"/>
  <c r="J23" i="8" s="1"/>
  <c r="J23" i="4"/>
  <c r="J90" i="1" s="1"/>
  <c r="J91" i="14" s="1"/>
  <c r="J24" i="4"/>
  <c r="J91" i="1"/>
  <c r="J25" i="4"/>
  <c r="J92" i="1"/>
  <c r="P76" i="9"/>
  <c r="P86" i="9"/>
  <c r="P87" i="9"/>
  <c r="P88" i="9"/>
  <c r="P89" i="9"/>
  <c r="P90" i="9"/>
  <c r="P91" i="9"/>
  <c r="P92" i="9"/>
  <c r="P93" i="9"/>
  <c r="K14" i="4"/>
  <c r="K81" i="1" s="1"/>
  <c r="K15" i="4"/>
  <c r="K82" i="1"/>
  <c r="K83" i="14"/>
  <c r="K16" i="4"/>
  <c r="K83" i="1"/>
  <c r="Y83" i="1"/>
  <c r="K17" i="8"/>
  <c r="K17" i="4"/>
  <c r="K84" i="1"/>
  <c r="K18" i="4"/>
  <c r="K85" i="1"/>
  <c r="K86" i="14" s="1"/>
  <c r="K19" i="4"/>
  <c r="K86" i="1"/>
  <c r="K87" i="14"/>
  <c r="K20" i="4"/>
  <c r="K87" i="1"/>
  <c r="K88" i="14"/>
  <c r="K21" i="4"/>
  <c r="K88" i="1" s="1"/>
  <c r="K89" i="14" s="1"/>
  <c r="K22" i="4"/>
  <c r="K89" i="1"/>
  <c r="K90" i="14" s="1"/>
  <c r="K23" i="4"/>
  <c r="K90" i="1"/>
  <c r="Y90" i="1"/>
  <c r="K24" i="8" s="1"/>
  <c r="K24" i="4"/>
  <c r="K91" i="1"/>
  <c r="Y91" i="1"/>
  <c r="K25" i="8" s="1"/>
  <c r="K25" i="4"/>
  <c r="K92" i="1"/>
  <c r="Q76" i="9"/>
  <c r="Q86" i="9"/>
  <c r="Q87" i="9"/>
  <c r="Q88" i="9"/>
  <c r="Q89" i="9"/>
  <c r="Q90" i="9"/>
  <c r="Q91" i="9"/>
  <c r="Q92" i="9"/>
  <c r="Q93" i="9"/>
  <c r="L14" i="4"/>
  <c r="L81" i="1"/>
  <c r="L15" i="4"/>
  <c r="L82" i="1"/>
  <c r="L83" i="14" s="1"/>
  <c r="L16" i="4"/>
  <c r="L83" i="1"/>
  <c r="L84" i="14"/>
  <c r="L17" i="4"/>
  <c r="L84" i="1"/>
  <c r="L18" i="4"/>
  <c r="L85" i="1"/>
  <c r="L86" i="14" s="1"/>
  <c r="L19" i="4"/>
  <c r="L86" i="1"/>
  <c r="Z86" i="1"/>
  <c r="L20" i="8" s="1"/>
  <c r="L20" i="4"/>
  <c r="L87" i="1"/>
  <c r="L88" i="14" s="1"/>
  <c r="L21" i="4"/>
  <c r="L88" i="1"/>
  <c r="Z88" i="1"/>
  <c r="L22" i="8" s="1"/>
  <c r="L22" i="4"/>
  <c r="L89" i="1"/>
  <c r="L23" i="4"/>
  <c r="L90" i="1"/>
  <c r="L91" i="14"/>
  <c r="L24" i="4"/>
  <c r="L91" i="1" s="1"/>
  <c r="Z91" i="1" s="1"/>
  <c r="L25" i="8" s="1"/>
  <c r="L25" i="4"/>
  <c r="L92" i="1" s="1"/>
  <c r="Z92" i="1" s="1"/>
  <c r="L26" i="8" s="1"/>
  <c r="R76" i="9"/>
  <c r="R86" i="9"/>
  <c r="R87" i="9"/>
  <c r="R88" i="9"/>
  <c r="R89" i="9"/>
  <c r="R90" i="9"/>
  <c r="R91" i="9"/>
  <c r="R92" i="9"/>
  <c r="R93" i="9"/>
  <c r="M14" i="4"/>
  <c r="M81" i="1"/>
  <c r="M15" i="4"/>
  <c r="M82" i="1"/>
  <c r="M83" i="14" s="1"/>
  <c r="M16" i="4"/>
  <c r="M83" i="1"/>
  <c r="M84" i="14"/>
  <c r="M17" i="4"/>
  <c r="M84" i="1"/>
  <c r="M85" i="14"/>
  <c r="M18" i="4"/>
  <c r="M85" i="1" s="1"/>
  <c r="M19" i="4"/>
  <c r="M86" i="1"/>
  <c r="AA86" i="1"/>
  <c r="M20" i="8" s="1"/>
  <c r="M20" i="4"/>
  <c r="M87" i="1"/>
  <c r="M21" i="4"/>
  <c r="M88" i="1" s="1"/>
  <c r="M89" i="14" s="1"/>
  <c r="M22" i="4"/>
  <c r="M89" i="1"/>
  <c r="M90" i="14" s="1"/>
  <c r="M23" i="4"/>
  <c r="M90" i="1"/>
  <c r="M91" i="14"/>
  <c r="M24" i="4"/>
  <c r="M91" i="1"/>
  <c r="M92" i="14"/>
  <c r="M25" i="4"/>
  <c r="M92" i="1" s="1"/>
  <c r="M93" i="14" s="1"/>
  <c r="S76" i="9"/>
  <c r="S86" i="9"/>
  <c r="S87" i="9"/>
  <c r="S88" i="9"/>
  <c r="S89" i="9"/>
  <c r="S90" i="9"/>
  <c r="S91" i="9"/>
  <c r="S92" i="9"/>
  <c r="S93" i="9"/>
  <c r="H305" i="3"/>
  <c r="H306" i="3"/>
  <c r="H307" i="3"/>
  <c r="H308" i="3"/>
  <c r="H309" i="3"/>
  <c r="H310" i="3"/>
  <c r="H311" i="3"/>
  <c r="H312" i="3"/>
  <c r="H313" i="3"/>
  <c r="H314" i="3"/>
  <c r="H315" i="3"/>
  <c r="H316" i="3"/>
  <c r="A127" i="9"/>
  <c r="A128" i="9" s="1"/>
  <c r="A129" i="9" s="1"/>
  <c r="A130" i="9" s="1"/>
  <c r="A131" i="9"/>
  <c r="B116" i="9"/>
  <c r="B117" i="9"/>
  <c r="B118" i="9"/>
  <c r="B119" i="9"/>
  <c r="B120" i="9"/>
  <c r="B121" i="9"/>
  <c r="B122" i="9"/>
  <c r="B123" i="9"/>
  <c r="B124" i="9"/>
  <c r="AQ1" i="4"/>
  <c r="AO1" i="4"/>
  <c r="AO14" i="4"/>
  <c r="D7" i="8"/>
  <c r="R153" i="8" s="1"/>
  <c r="R185" i="8"/>
  <c r="AQ2" i="4"/>
  <c r="AO2" i="4"/>
  <c r="AQ3" i="4"/>
  <c r="AO3" i="4"/>
  <c r="AQ4" i="4"/>
  <c r="AO4" i="4"/>
  <c r="AQ5" i="4"/>
  <c r="AO5" i="4"/>
  <c r="AQ6" i="4"/>
  <c r="AO6" i="4"/>
  <c r="AR6" i="4"/>
  <c r="B104" i="1"/>
  <c r="AQ7" i="4"/>
  <c r="AO7" i="4"/>
  <c r="AQ8" i="4"/>
  <c r="AO8" i="4"/>
  <c r="AO21" i="4" s="1"/>
  <c r="AQ9" i="4"/>
  <c r="AO9" i="4"/>
  <c r="AR9" i="4" s="1"/>
  <c r="B107" i="1"/>
  <c r="AQ10" i="4"/>
  <c r="AO10" i="4"/>
  <c r="AR10" i="4"/>
  <c r="B108" i="1" s="1"/>
  <c r="AQ11" i="4"/>
  <c r="AO11" i="4"/>
  <c r="AR11" i="4"/>
  <c r="B109" i="1" s="1"/>
  <c r="B110" i="14" s="1"/>
  <c r="AQ12" i="4"/>
  <c r="AO12" i="4"/>
  <c r="AO25" i="4" s="1"/>
  <c r="AP25" i="4" s="1"/>
  <c r="X73" i="9"/>
  <c r="AS1" i="4"/>
  <c r="AS14" i="4"/>
  <c r="AS2" i="4"/>
  <c r="AT2" i="4"/>
  <c r="C100" i="1" s="1"/>
  <c r="C101" i="14" s="1"/>
  <c r="AS3" i="4"/>
  <c r="AS16" i="4"/>
  <c r="AS4" i="4"/>
  <c r="AS5" i="4"/>
  <c r="AS6" i="4"/>
  <c r="AT6" i="4" s="1"/>
  <c r="C104" i="1" s="1"/>
  <c r="AS7" i="4"/>
  <c r="AT7" i="4" s="1"/>
  <c r="C105" i="1" s="1"/>
  <c r="C106" i="14"/>
  <c r="AS8" i="4"/>
  <c r="AS9" i="4"/>
  <c r="AT9" i="4"/>
  <c r="C107" i="1"/>
  <c r="C108" i="14" s="1"/>
  <c r="AS10" i="4"/>
  <c r="AT10" i="4"/>
  <c r="C108" i="1"/>
  <c r="C109" i="14" s="1"/>
  <c r="AS11" i="4"/>
  <c r="AT11" i="4"/>
  <c r="C109" i="1"/>
  <c r="C110" i="14" s="1"/>
  <c r="AS12" i="4"/>
  <c r="AT12" i="4"/>
  <c r="C110" i="1"/>
  <c r="AQ68" i="9"/>
  <c r="E26" i="9"/>
  <c r="E34" i="9"/>
  <c r="F26" i="9"/>
  <c r="G26" i="9" s="1"/>
  <c r="H26" i="9" s="1"/>
  <c r="F33" i="9"/>
  <c r="G33" i="9" s="1"/>
  <c r="H33" i="9" s="1"/>
  <c r="F39" i="9"/>
  <c r="G39" i="9"/>
  <c r="H39" i="9" s="1"/>
  <c r="AN184" i="6"/>
  <c r="J45" i="6"/>
  <c r="AS117" i="6"/>
  <c r="AT184" i="6"/>
  <c r="AZ184" i="6"/>
  <c r="C131" i="12"/>
  <c r="C145" i="12"/>
  <c r="F146" i="12"/>
  <c r="B230" i="11"/>
  <c r="B108" i="3"/>
  <c r="B156" i="3"/>
  <c r="B208" i="3" s="1"/>
  <c r="B164" i="3"/>
  <c r="B187" i="3"/>
  <c r="C225" i="11" s="1"/>
  <c r="B188" i="3"/>
  <c r="C226" i="11"/>
  <c r="B189" i="3"/>
  <c r="C227" i="11" s="1"/>
  <c r="B190" i="3"/>
  <c r="C228" i="11"/>
  <c r="B191" i="3"/>
  <c r="C229" i="11" s="1"/>
  <c r="E55" i="8"/>
  <c r="E56" i="8"/>
  <c r="E57" i="8"/>
  <c r="E58" i="8"/>
  <c r="E59" i="8"/>
  <c r="E63" i="8"/>
  <c r="E64" i="8"/>
  <c r="E65" i="8"/>
  <c r="E66" i="8"/>
  <c r="E67" i="8"/>
  <c r="E71" i="8"/>
  <c r="E72" i="8"/>
  <c r="E73" i="8"/>
  <c r="E74" i="8"/>
  <c r="E75" i="8"/>
  <c r="E79" i="8"/>
  <c r="E80" i="8"/>
  <c r="E81" i="8"/>
  <c r="E82" i="8"/>
  <c r="E83" i="8"/>
  <c r="E87" i="8"/>
  <c r="E88" i="8"/>
  <c r="E89" i="8"/>
  <c r="E90" i="8"/>
  <c r="E91" i="8"/>
  <c r="E95" i="8"/>
  <c r="E96" i="8"/>
  <c r="E97" i="8"/>
  <c r="E98" i="8"/>
  <c r="E99" i="8"/>
  <c r="R55" i="8"/>
  <c r="R56" i="8"/>
  <c r="R57" i="8"/>
  <c r="R58" i="8"/>
  <c r="R59" i="8"/>
  <c r="R63" i="8"/>
  <c r="R64" i="8"/>
  <c r="R65" i="8"/>
  <c r="R66" i="8"/>
  <c r="R67" i="8"/>
  <c r="R71" i="8"/>
  <c r="R72" i="8"/>
  <c r="R73" i="8"/>
  <c r="R74" i="8"/>
  <c r="R75" i="8"/>
  <c r="R79" i="8"/>
  <c r="R80" i="8"/>
  <c r="R81" i="8"/>
  <c r="R82" i="8"/>
  <c r="R83" i="8"/>
  <c r="R87" i="8"/>
  <c r="R88" i="8"/>
  <c r="R89" i="8"/>
  <c r="R90" i="8"/>
  <c r="R91" i="8"/>
  <c r="R95" i="8"/>
  <c r="R96" i="8"/>
  <c r="R97" i="8"/>
  <c r="R98" i="8"/>
  <c r="R99" i="8"/>
  <c r="C140" i="3"/>
  <c r="C148" i="3"/>
  <c r="C156" i="3"/>
  <c r="C208" i="3" s="1"/>
  <c r="C109" i="3"/>
  <c r="C165" i="3"/>
  <c r="C188" i="3"/>
  <c r="D226" i="11"/>
  <c r="C189" i="3"/>
  <c r="D227" i="11"/>
  <c r="C190" i="3"/>
  <c r="D228" i="11"/>
  <c r="C191" i="3"/>
  <c r="D229" i="11" s="1"/>
  <c r="F55" i="8"/>
  <c r="F56" i="8"/>
  <c r="F57" i="8"/>
  <c r="F58" i="8"/>
  <c r="F59" i="8"/>
  <c r="F63" i="8"/>
  <c r="F64" i="8"/>
  <c r="F65" i="8"/>
  <c r="F66" i="8"/>
  <c r="F67" i="8"/>
  <c r="F71" i="8"/>
  <c r="F72" i="8"/>
  <c r="F73" i="8"/>
  <c r="F74" i="8"/>
  <c r="F75" i="8"/>
  <c r="F79" i="8"/>
  <c r="F80" i="8"/>
  <c r="F81" i="8"/>
  <c r="F82" i="8"/>
  <c r="F83" i="8"/>
  <c r="F87" i="8"/>
  <c r="F88" i="8"/>
  <c r="F89" i="8"/>
  <c r="F90" i="8"/>
  <c r="F91" i="8"/>
  <c r="F95" i="8"/>
  <c r="F96" i="8"/>
  <c r="F97" i="8"/>
  <c r="F98" i="8"/>
  <c r="F99" i="8"/>
  <c r="S55" i="8"/>
  <c r="S56" i="8"/>
  <c r="S57" i="8"/>
  <c r="S58" i="8"/>
  <c r="S59" i="8"/>
  <c r="S63" i="8"/>
  <c r="S64" i="8"/>
  <c r="S65" i="8"/>
  <c r="S66" i="8"/>
  <c r="S67" i="8"/>
  <c r="S71" i="8"/>
  <c r="S72" i="8"/>
  <c r="S73" i="8"/>
  <c r="S74" i="8"/>
  <c r="S75" i="8"/>
  <c r="S79" i="8"/>
  <c r="S80" i="8"/>
  <c r="S81" i="8"/>
  <c r="S82" i="8"/>
  <c r="S83" i="8"/>
  <c r="S87" i="8"/>
  <c r="S88" i="8"/>
  <c r="S89" i="8"/>
  <c r="S90" i="8"/>
  <c r="S91" i="8"/>
  <c r="S95" i="8"/>
  <c r="S96" i="8"/>
  <c r="S97" i="8"/>
  <c r="S98" i="8"/>
  <c r="S99" i="8"/>
  <c r="D132" i="3"/>
  <c r="D156" i="3"/>
  <c r="D172" i="3"/>
  <c r="D141" i="3"/>
  <c r="D157" i="3"/>
  <c r="D110" i="3"/>
  <c r="D142" i="3"/>
  <c r="D158" i="3"/>
  <c r="D166" i="3"/>
  <c r="D174" i="3"/>
  <c r="D189" i="3"/>
  <c r="E227" i="11"/>
  <c r="D190" i="3"/>
  <c r="E228" i="11" s="1"/>
  <c r="D191" i="3"/>
  <c r="E229" i="11"/>
  <c r="G55" i="8"/>
  <c r="G56" i="8"/>
  <c r="G57" i="8"/>
  <c r="G58" i="8"/>
  <c r="G59" i="8"/>
  <c r="G63" i="8"/>
  <c r="G64" i="8"/>
  <c r="G65" i="8"/>
  <c r="G66" i="8"/>
  <c r="G67" i="8"/>
  <c r="G71" i="8"/>
  <c r="G72" i="8"/>
  <c r="G73" i="8"/>
  <c r="G74" i="8"/>
  <c r="G75" i="8"/>
  <c r="G79" i="8"/>
  <c r="G80" i="8"/>
  <c r="G81" i="8"/>
  <c r="G82" i="8"/>
  <c r="G83" i="8"/>
  <c r="G87" i="8"/>
  <c r="G88" i="8"/>
  <c r="G89" i="8"/>
  <c r="G90" i="8"/>
  <c r="G91" i="8"/>
  <c r="G95" i="8"/>
  <c r="G96" i="8"/>
  <c r="G97" i="8"/>
  <c r="G98" i="8"/>
  <c r="G99" i="8"/>
  <c r="T55" i="8"/>
  <c r="T56" i="8"/>
  <c r="T57" i="8"/>
  <c r="T58" i="8"/>
  <c r="T59" i="8"/>
  <c r="T63" i="8"/>
  <c r="T64" i="8"/>
  <c r="T65" i="8"/>
  <c r="T66" i="8"/>
  <c r="T67" i="8"/>
  <c r="T71" i="8"/>
  <c r="T72" i="8"/>
  <c r="T73" i="8"/>
  <c r="T74" i="8"/>
  <c r="T75" i="8"/>
  <c r="T79" i="8"/>
  <c r="T80" i="8"/>
  <c r="T81" i="8"/>
  <c r="T82" i="8"/>
  <c r="T83" i="8"/>
  <c r="T87" i="8"/>
  <c r="T88" i="8"/>
  <c r="T89" i="8"/>
  <c r="T90" i="8"/>
  <c r="T91" i="8"/>
  <c r="T95" i="8"/>
  <c r="T96" i="8"/>
  <c r="T97" i="8"/>
  <c r="T98" i="8"/>
  <c r="T99" i="8"/>
  <c r="E132" i="3"/>
  <c r="E140" i="3"/>
  <c r="E172" i="3"/>
  <c r="E133" i="3"/>
  <c r="E157" i="3"/>
  <c r="E173" i="3"/>
  <c r="E142" i="3"/>
  <c r="E150" i="3"/>
  <c r="E158" i="3"/>
  <c r="E208" i="3" s="1"/>
  <c r="E111" i="3"/>
  <c r="E143" i="3"/>
  <c r="E159" i="3"/>
  <c r="E167" i="3"/>
  <c r="E175" i="3"/>
  <c r="E190" i="3"/>
  <c r="F228" i="11" s="1"/>
  <c r="E191" i="3"/>
  <c r="F229" i="11"/>
  <c r="H55" i="8"/>
  <c r="H56" i="8"/>
  <c r="H57" i="8"/>
  <c r="H58" i="8"/>
  <c r="H59" i="8"/>
  <c r="H63" i="8"/>
  <c r="H64" i="8"/>
  <c r="H65" i="8"/>
  <c r="H66" i="8"/>
  <c r="H67" i="8"/>
  <c r="H71" i="8"/>
  <c r="H72" i="8"/>
  <c r="H73" i="8"/>
  <c r="H74" i="8"/>
  <c r="H75" i="8"/>
  <c r="H79" i="8"/>
  <c r="H80" i="8"/>
  <c r="H81" i="8"/>
  <c r="H82" i="8"/>
  <c r="H83" i="8"/>
  <c r="H87" i="8"/>
  <c r="H88" i="8"/>
  <c r="H89" i="8"/>
  <c r="H90" i="8"/>
  <c r="H91" i="8"/>
  <c r="H95" i="8"/>
  <c r="H96" i="8"/>
  <c r="H97" i="8"/>
  <c r="H98" i="8"/>
  <c r="H99" i="8"/>
  <c r="U55" i="8"/>
  <c r="U56" i="8"/>
  <c r="U57" i="8"/>
  <c r="U58" i="8"/>
  <c r="U59" i="8"/>
  <c r="U63" i="8"/>
  <c r="U64" i="8"/>
  <c r="U65" i="8"/>
  <c r="U66" i="8"/>
  <c r="U67" i="8"/>
  <c r="U71" i="8"/>
  <c r="U72" i="8"/>
  <c r="U73" i="8"/>
  <c r="U74" i="8"/>
  <c r="U75" i="8"/>
  <c r="U79" i="8"/>
  <c r="U80" i="8"/>
  <c r="U81" i="8"/>
  <c r="U82" i="8"/>
  <c r="U83" i="8"/>
  <c r="U87" i="8"/>
  <c r="U88" i="8"/>
  <c r="U89" i="8"/>
  <c r="U90" i="8"/>
  <c r="U91" i="8"/>
  <c r="U95" i="8"/>
  <c r="U96" i="8"/>
  <c r="U97" i="8"/>
  <c r="U98" i="8"/>
  <c r="U99" i="8"/>
  <c r="F100" i="3"/>
  <c r="F180" i="3"/>
  <c r="F156" i="3"/>
  <c r="F133" i="3"/>
  <c r="F141" i="3"/>
  <c r="F173" i="3"/>
  <c r="F134" i="3"/>
  <c r="F174" i="3"/>
  <c r="F143" i="3"/>
  <c r="F151" i="3"/>
  <c r="F159" i="3"/>
  <c r="F112" i="3"/>
  <c r="F160" i="3"/>
  <c r="F168" i="3"/>
  <c r="F191" i="3"/>
  <c r="G229" i="11"/>
  <c r="G124" i="3"/>
  <c r="G132" i="3"/>
  <c r="G156" i="3"/>
  <c r="G164" i="3"/>
  <c r="G172" i="3"/>
  <c r="G101" i="3"/>
  <c r="G181" i="3"/>
  <c r="G134" i="3"/>
  <c r="G142" i="3"/>
  <c r="G158" i="3"/>
  <c r="G174" i="3"/>
  <c r="G103" i="3"/>
  <c r="G135" i="3"/>
  <c r="G159" i="3"/>
  <c r="G175" i="3"/>
  <c r="G144" i="3"/>
  <c r="G152" i="3"/>
  <c r="G160" i="3"/>
  <c r="G113" i="3"/>
  <c r="G169" i="3"/>
  <c r="G177" i="3"/>
  <c r="H140" i="3"/>
  <c r="H156" i="3"/>
  <c r="H125" i="3"/>
  <c r="H133" i="3"/>
  <c r="H157" i="3"/>
  <c r="H165" i="3"/>
  <c r="H173" i="3"/>
  <c r="H102" i="3"/>
  <c r="H142" i="3"/>
  <c r="H182" i="3"/>
  <c r="H158" i="3"/>
  <c r="H135" i="3"/>
  <c r="H143" i="3"/>
  <c r="H175" i="3"/>
  <c r="H136" i="3"/>
  <c r="H160" i="3"/>
  <c r="H145" i="3"/>
  <c r="H161" i="3"/>
  <c r="I100" i="3"/>
  <c r="I140" i="3"/>
  <c r="I148" i="3"/>
  <c r="I156" i="3"/>
  <c r="I172" i="3"/>
  <c r="I157" i="3"/>
  <c r="I126" i="3"/>
  <c r="I134" i="3"/>
  <c r="I158" i="3"/>
  <c r="I166" i="3"/>
  <c r="I174" i="3"/>
  <c r="I103" i="3"/>
  <c r="I183" i="3"/>
  <c r="I136" i="3"/>
  <c r="I144" i="3"/>
  <c r="I176" i="3"/>
  <c r="I137" i="3"/>
  <c r="I161" i="3"/>
  <c r="I177" i="3"/>
  <c r="J132" i="3"/>
  <c r="J140" i="3"/>
  <c r="J180" i="3"/>
  <c r="J101" i="3"/>
  <c r="J141" i="3"/>
  <c r="J157" i="3"/>
  <c r="J173" i="3"/>
  <c r="J142" i="3"/>
  <c r="J103" i="3"/>
  <c r="J127" i="3"/>
  <c r="J135" i="3"/>
  <c r="J143" i="3"/>
  <c r="J159" i="3"/>
  <c r="J167" i="3"/>
  <c r="J175" i="3"/>
  <c r="J104" i="3"/>
  <c r="J184" i="3"/>
  <c r="J137" i="3"/>
  <c r="J145" i="3"/>
  <c r="J161" i="3"/>
  <c r="J177" i="3"/>
  <c r="K132" i="3"/>
  <c r="K140" i="3"/>
  <c r="K156" i="3"/>
  <c r="K133" i="3"/>
  <c r="K181" i="3"/>
  <c r="K102" i="3"/>
  <c r="K142" i="3"/>
  <c r="K150" i="3"/>
  <c r="K158" i="3"/>
  <c r="K174" i="3"/>
  <c r="K159" i="3"/>
  <c r="K175" i="3"/>
  <c r="K104" i="3"/>
  <c r="K128" i="3"/>
  <c r="K136" i="3"/>
  <c r="K144" i="3"/>
  <c r="K160" i="3"/>
  <c r="K168" i="3"/>
  <c r="K176" i="3"/>
  <c r="K105" i="3"/>
  <c r="K185" i="3"/>
  <c r="L100" i="3"/>
  <c r="L108" i="3"/>
  <c r="L140" i="3"/>
  <c r="L206" i="3" s="1"/>
  <c r="L156" i="3"/>
  <c r="L133" i="3"/>
  <c r="L141" i="3"/>
  <c r="L157" i="3"/>
  <c r="L134" i="3"/>
  <c r="L142" i="3"/>
  <c r="L182" i="3"/>
  <c r="L103" i="3"/>
  <c r="L143" i="3"/>
  <c r="L151" i="3"/>
  <c r="L159" i="3"/>
  <c r="L175" i="3"/>
  <c r="L144" i="3"/>
  <c r="L160" i="3"/>
  <c r="L105" i="3"/>
  <c r="L129" i="3"/>
  <c r="L137" i="3"/>
  <c r="L145" i="3"/>
  <c r="L161" i="3"/>
  <c r="L169" i="3"/>
  <c r="L177" i="3"/>
  <c r="M100" i="3"/>
  <c r="M124" i="3"/>
  <c r="M132" i="3"/>
  <c r="M140" i="3"/>
  <c r="M156" i="3"/>
  <c r="M164" i="3"/>
  <c r="M172" i="3"/>
  <c r="M109" i="3"/>
  <c r="M157" i="3"/>
  <c r="M208" i="3" s="1"/>
  <c r="M134" i="3"/>
  <c r="M142" i="3"/>
  <c r="M158" i="3"/>
  <c r="M135" i="3"/>
  <c r="M183" i="3"/>
  <c r="M104" i="3"/>
  <c r="M144" i="3"/>
  <c r="M152" i="3"/>
  <c r="M160" i="3"/>
  <c r="M176" i="3"/>
  <c r="M161" i="3"/>
  <c r="M177" i="3"/>
  <c r="B151" i="12"/>
  <c r="B152" i="12"/>
  <c r="C241" i="3"/>
  <c r="F241" i="3"/>
  <c r="G241" i="3"/>
  <c r="H241" i="3"/>
  <c r="H246" i="3" s="1"/>
  <c r="J241" i="3"/>
  <c r="K241" i="3"/>
  <c r="L241" i="3"/>
  <c r="C242" i="3"/>
  <c r="H243" i="3"/>
  <c r="H245" i="3"/>
  <c r="C169" i="12"/>
  <c r="B26" i="15" s="1"/>
  <c r="A197" i="12"/>
  <c r="A46" i="15"/>
  <c r="A199" i="12"/>
  <c r="A202" i="12"/>
  <c r="A342" i="11"/>
  <c r="B107" i="6"/>
  <c r="C107" i="6"/>
  <c r="B105" i="6"/>
  <c r="B347" i="11"/>
  <c r="C211" i="12"/>
  <c r="G213" i="12" s="1"/>
  <c r="C105" i="6"/>
  <c r="C347" i="11"/>
  <c r="C212" i="12"/>
  <c r="I213" i="12" s="1"/>
  <c r="B2" i="11"/>
  <c r="H2" i="11"/>
  <c r="B5" i="1"/>
  <c r="B3" i="11" s="1"/>
  <c r="H3" i="11" s="1"/>
  <c r="B14" i="11"/>
  <c r="K16" i="11"/>
  <c r="B100" i="11"/>
  <c r="B101" i="11"/>
  <c r="B102" i="11"/>
  <c r="B103" i="11"/>
  <c r="B104" i="11"/>
  <c r="D317" i="1"/>
  <c r="F317" i="1"/>
  <c r="H317" i="1"/>
  <c r="H318" i="14"/>
  <c r="J317" i="1"/>
  <c r="B105" i="11"/>
  <c r="D318" i="1"/>
  <c r="F318" i="1"/>
  <c r="B318" i="1" s="1"/>
  <c r="F319" i="14"/>
  <c r="H318" i="1"/>
  <c r="J318" i="1"/>
  <c r="B106" i="11"/>
  <c r="D319" i="1"/>
  <c r="F319" i="1"/>
  <c r="H319" i="1"/>
  <c r="J319" i="1"/>
  <c r="J320" i="14" s="1"/>
  <c r="B107" i="11"/>
  <c r="D320" i="1"/>
  <c r="D321" i="14"/>
  <c r="F320" i="1"/>
  <c r="H320" i="1"/>
  <c r="J320" i="1"/>
  <c r="B108" i="11"/>
  <c r="D321" i="1"/>
  <c r="F321" i="1"/>
  <c r="H321" i="1"/>
  <c r="J321" i="1"/>
  <c r="B109" i="11"/>
  <c r="D322" i="1"/>
  <c r="D323" i="14"/>
  <c r="F322" i="1"/>
  <c r="H322" i="1"/>
  <c r="J322" i="1"/>
  <c r="C247" i="11"/>
  <c r="D247" i="11"/>
  <c r="G247" i="11"/>
  <c r="H247" i="11"/>
  <c r="J247" i="11"/>
  <c r="K247" i="11"/>
  <c r="M247" i="11"/>
  <c r="N247" i="11"/>
  <c r="B298" i="11"/>
  <c r="B299" i="11"/>
  <c r="C333" i="11"/>
  <c r="A337" i="11"/>
  <c r="A343" i="11"/>
  <c r="B106" i="6"/>
  <c r="B348" i="11"/>
  <c r="C106" i="6"/>
  <c r="C348" i="11"/>
  <c r="A5" i="15"/>
  <c r="A6" i="15"/>
  <c r="A7" i="15"/>
  <c r="A8" i="15"/>
  <c r="A9" i="15"/>
  <c r="A10" i="15"/>
  <c r="A11" i="15"/>
  <c r="A12" i="15"/>
  <c r="A13" i="15"/>
  <c r="B4" i="9"/>
  <c r="A14" i="9"/>
  <c r="B24" i="9"/>
  <c r="B25" i="9"/>
  <c r="B26" i="9"/>
  <c r="B27" i="9"/>
  <c r="B28" i="9"/>
  <c r="B29" i="9"/>
  <c r="B30" i="9"/>
  <c r="B31" i="9"/>
  <c r="B32" i="9"/>
  <c r="B33" i="9"/>
  <c r="B34" i="9"/>
  <c r="B35" i="9"/>
  <c r="B36" i="9"/>
  <c r="B37" i="9"/>
  <c r="B38" i="9"/>
  <c r="B39" i="9"/>
  <c r="B40" i="9"/>
  <c r="A15" i="9"/>
  <c r="A16" i="9"/>
  <c r="A17" i="9"/>
  <c r="A18" i="9"/>
  <c r="A19" i="9"/>
  <c r="A24" i="9"/>
  <c r="A25" i="9"/>
  <c r="A26" i="9"/>
  <c r="A27" i="9"/>
  <c r="A28" i="9"/>
  <c r="A29" i="9"/>
  <c r="A30" i="9"/>
  <c r="A31" i="9"/>
  <c r="A32" i="9"/>
  <c r="A33" i="9"/>
  <c r="A34" i="9"/>
  <c r="A35" i="9"/>
  <c r="A36" i="9"/>
  <c r="A37" i="9"/>
  <c r="A38" i="9"/>
  <c r="A39" i="9"/>
  <c r="A53" i="9"/>
  <c r="A67" i="9"/>
  <c r="B353" i="1"/>
  <c r="B53" i="9"/>
  <c r="C353" i="1"/>
  <c r="C53" i="9"/>
  <c r="D353" i="1"/>
  <c r="D53" i="9"/>
  <c r="E353" i="1"/>
  <c r="E53" i="9"/>
  <c r="F53" i="9"/>
  <c r="G53" i="9"/>
  <c r="H53" i="9"/>
  <c r="I53" i="9"/>
  <c r="A54" i="9"/>
  <c r="A68" i="9"/>
  <c r="B354" i="1"/>
  <c r="B54" i="9"/>
  <c r="C354" i="1"/>
  <c r="C54" i="9"/>
  <c r="D354" i="1"/>
  <c r="D54" i="9"/>
  <c r="E354" i="1"/>
  <c r="E54" i="9"/>
  <c r="F54" i="9"/>
  <c r="G54" i="9"/>
  <c r="H54" i="9" s="1"/>
  <c r="I54" i="9" s="1"/>
  <c r="A55" i="9"/>
  <c r="A69" i="9"/>
  <c r="B355" i="1"/>
  <c r="B55" i="9"/>
  <c r="C355" i="1"/>
  <c r="C55" i="9"/>
  <c r="D355" i="1"/>
  <c r="D55" i="9"/>
  <c r="E355" i="1"/>
  <c r="E55" i="9"/>
  <c r="F55" i="9"/>
  <c r="G55" i="9"/>
  <c r="H55" i="9"/>
  <c r="I55" i="9"/>
  <c r="A56" i="9"/>
  <c r="A70" i="9"/>
  <c r="B356" i="1"/>
  <c r="B56" i="9"/>
  <c r="C356" i="1"/>
  <c r="C56" i="9"/>
  <c r="D356" i="1"/>
  <c r="D56" i="9"/>
  <c r="E356" i="1"/>
  <c r="E56" i="9"/>
  <c r="F56" i="9"/>
  <c r="G56" i="9"/>
  <c r="H56" i="9" s="1"/>
  <c r="I56" i="9" s="1"/>
  <c r="A57" i="9"/>
  <c r="A71" i="9"/>
  <c r="B357" i="1"/>
  <c r="B57" i="9"/>
  <c r="C357" i="1"/>
  <c r="C57" i="9"/>
  <c r="D357" i="1"/>
  <c r="D57" i="9"/>
  <c r="E357" i="1"/>
  <c r="E57" i="9"/>
  <c r="F57" i="9"/>
  <c r="G57" i="9"/>
  <c r="H57" i="9"/>
  <c r="I57" i="9"/>
  <c r="A58" i="9"/>
  <c r="A72" i="9"/>
  <c r="B358" i="1"/>
  <c r="B58" i="9"/>
  <c r="C358" i="1"/>
  <c r="C58" i="9"/>
  <c r="D358" i="1"/>
  <c r="D58" i="9"/>
  <c r="E358" i="1"/>
  <c r="E58" i="9"/>
  <c r="F58" i="9"/>
  <c r="G58" i="9"/>
  <c r="H58" i="9" s="1"/>
  <c r="I58" i="9" s="1"/>
  <c r="A59" i="9"/>
  <c r="A73" i="9"/>
  <c r="B359" i="1"/>
  <c r="B59" i="9"/>
  <c r="C359" i="1"/>
  <c r="C59" i="9"/>
  <c r="D359" i="1"/>
  <c r="D59" i="9"/>
  <c r="E359" i="1"/>
  <c r="E59" i="9"/>
  <c r="F59" i="9"/>
  <c r="G59" i="9"/>
  <c r="H59" i="9"/>
  <c r="I59" i="9"/>
  <c r="A60" i="9"/>
  <c r="A74" i="9"/>
  <c r="B360" i="1"/>
  <c r="B60" i="9"/>
  <c r="C360" i="1"/>
  <c r="C60" i="9"/>
  <c r="D360" i="1"/>
  <c r="D60" i="9"/>
  <c r="E360" i="1"/>
  <c r="E60" i="9"/>
  <c r="F60" i="9"/>
  <c r="G60" i="9"/>
  <c r="H60" i="9" s="1"/>
  <c r="I60" i="9" s="1"/>
  <c r="T76" i="9"/>
  <c r="U76" i="9"/>
  <c r="V76" i="9"/>
  <c r="W76" i="9"/>
  <c r="X76" i="9"/>
  <c r="Y76" i="9"/>
  <c r="Z76" i="9"/>
  <c r="AA76" i="9"/>
  <c r="AB76" i="9"/>
  <c r="AC76" i="9"/>
  <c r="AD76" i="9"/>
  <c r="AE76" i="9"/>
  <c r="AF76" i="9"/>
  <c r="AG76" i="9"/>
  <c r="AH76" i="9"/>
  <c r="AI76" i="9"/>
  <c r="AJ76" i="9"/>
  <c r="AK76" i="9"/>
  <c r="AL76" i="9"/>
  <c r="AM76" i="9"/>
  <c r="AN76" i="9"/>
  <c r="AO76" i="9"/>
  <c r="AP76" i="9"/>
  <c r="AQ76" i="9"/>
  <c r="A86" i="9"/>
  <c r="A87" i="9"/>
  <c r="A88" i="9"/>
  <c r="A89" i="9"/>
  <c r="A90" i="9"/>
  <c r="A91" i="9"/>
  <c r="A92" i="9"/>
  <c r="A93" i="9"/>
  <c r="F103" i="9"/>
  <c r="G103" i="9"/>
  <c r="E112" i="9"/>
  <c r="F112" i="9"/>
  <c r="G112" i="9"/>
  <c r="A116" i="9"/>
  <c r="D116" i="9"/>
  <c r="A117" i="9"/>
  <c r="D117" i="9"/>
  <c r="A118" i="9"/>
  <c r="D118" i="9"/>
  <c r="A119" i="9"/>
  <c r="D119" i="9"/>
  <c r="A120" i="9"/>
  <c r="D120" i="9"/>
  <c r="A121" i="9"/>
  <c r="D121" i="9"/>
  <c r="A122" i="9"/>
  <c r="D122" i="9"/>
  <c r="A123" i="9"/>
  <c r="D123" i="9"/>
  <c r="A124" i="9"/>
  <c r="D124" i="9"/>
  <c r="D125" i="9"/>
  <c r="D126" i="9"/>
  <c r="D127" i="9"/>
  <c r="D128" i="9"/>
  <c r="D129" i="9"/>
  <c r="D130" i="9"/>
  <c r="B4" i="8"/>
  <c r="A15" i="8"/>
  <c r="A344" i="8"/>
  <c r="A16" i="8"/>
  <c r="A61" i="8" s="1"/>
  <c r="A254" i="8" s="1"/>
  <c r="A345" i="8"/>
  <c r="A17" i="8"/>
  <c r="A69" i="8"/>
  <c r="A18" i="8"/>
  <c r="A150" i="8"/>
  <c r="A19" i="8"/>
  <c r="A37" i="8" s="1"/>
  <c r="A528" i="8"/>
  <c r="A20" i="8"/>
  <c r="A38" i="8"/>
  <c r="A21" i="8"/>
  <c r="N53" i="8" s="1"/>
  <c r="A22" i="8"/>
  <c r="A40" i="8"/>
  <c r="A23" i="8"/>
  <c r="A190" i="8" s="1"/>
  <c r="A24" i="8"/>
  <c r="A198" i="8"/>
  <c r="A25" i="8"/>
  <c r="A206" i="8" s="1"/>
  <c r="A26" i="8"/>
  <c r="A235" i="8"/>
  <c r="A55" i="8"/>
  <c r="A128" i="8" s="1"/>
  <c r="N55" i="8"/>
  <c r="A176" i="8"/>
  <c r="A56" i="8"/>
  <c r="A249" i="8" s="1"/>
  <c r="N56" i="8"/>
  <c r="A297" i="8"/>
  <c r="A57" i="8"/>
  <c r="A130" i="8" s="1"/>
  <c r="N57" i="8"/>
  <c r="A178" i="8"/>
  <c r="A58" i="8"/>
  <c r="A251" i="8" s="1"/>
  <c r="N58" i="8"/>
  <c r="A179" i="8"/>
  <c r="A59" i="8"/>
  <c r="N59" i="8"/>
  <c r="A180" i="8"/>
  <c r="A63" i="8"/>
  <c r="A136" i="8" s="1"/>
  <c r="N63" i="8"/>
  <c r="A64" i="8"/>
  <c r="A137" i="8"/>
  <c r="N64" i="8"/>
  <c r="A185" i="8"/>
  <c r="A65" i="8"/>
  <c r="N65" i="8"/>
  <c r="A186" i="8" s="1"/>
  <c r="A66" i="8"/>
  <c r="N66" i="8"/>
  <c r="A307" i="8"/>
  <c r="A67" i="8"/>
  <c r="A140" i="8"/>
  <c r="N67" i="8"/>
  <c r="A427" i="8"/>
  <c r="A71" i="8"/>
  <c r="A144" i="8"/>
  <c r="N71" i="8"/>
  <c r="A72" i="8"/>
  <c r="N72" i="8"/>
  <c r="A73" i="8"/>
  <c r="A146" i="8"/>
  <c r="N73" i="8"/>
  <c r="A194" i="8" s="1"/>
  <c r="A74" i="8"/>
  <c r="A267" i="8"/>
  <c r="N74" i="8"/>
  <c r="A75" i="8"/>
  <c r="A148" i="8"/>
  <c r="N75" i="8"/>
  <c r="A79" i="8"/>
  <c r="N79" i="8"/>
  <c r="A439" i="8"/>
  <c r="A80" i="8"/>
  <c r="A392" i="8"/>
  <c r="N80" i="8"/>
  <c r="A201" i="8"/>
  <c r="A81" i="8"/>
  <c r="A154" i="8"/>
  <c r="N81" i="8"/>
  <c r="A202" i="8"/>
  <c r="A82" i="8"/>
  <c r="A394" i="8"/>
  <c r="N82" i="8"/>
  <c r="A83" i="8"/>
  <c r="N83" i="8"/>
  <c r="A443" i="8"/>
  <c r="A87" i="8"/>
  <c r="A160" i="8"/>
  <c r="N87" i="8"/>
  <c r="A208" i="8"/>
  <c r="A88" i="8"/>
  <c r="A281" i="8"/>
  <c r="N88" i="8"/>
  <c r="A209" i="8"/>
  <c r="A89" i="8"/>
  <c r="A282" i="8"/>
  <c r="N89" i="8"/>
  <c r="A330" i="8"/>
  <c r="A90" i="8"/>
  <c r="A163" i="8"/>
  <c r="N90" i="8"/>
  <c r="A211" i="8"/>
  <c r="A91" i="8"/>
  <c r="A284" i="8"/>
  <c r="N91" i="8"/>
  <c r="A212" i="8"/>
  <c r="A95" i="8"/>
  <c r="A168" i="8"/>
  <c r="N95" i="8"/>
  <c r="A96" i="8"/>
  <c r="N96" i="8"/>
  <c r="A97" i="8"/>
  <c r="N97" i="8"/>
  <c r="A98" i="8"/>
  <c r="A291" i="8"/>
  <c r="N98" i="8"/>
  <c r="A339" i="8"/>
  <c r="A99" i="8"/>
  <c r="A292" i="8"/>
  <c r="A172" i="8"/>
  <c r="N99" i="8"/>
  <c r="A300" i="8"/>
  <c r="A301" i="8"/>
  <c r="A309" i="8"/>
  <c r="A313" i="8"/>
  <c r="A317" i="8"/>
  <c r="A320" i="8"/>
  <c r="A325" i="8"/>
  <c r="A333" i="8"/>
  <c r="A341" i="8"/>
  <c r="A418" i="8"/>
  <c r="A420" i="8"/>
  <c r="A428" i="8"/>
  <c r="A436" i="8"/>
  <c r="A444" i="8"/>
  <c r="A452" i="8"/>
  <c r="A460" i="8"/>
  <c r="G2" i="5"/>
  <c r="M2" i="5"/>
  <c r="N2" i="5"/>
  <c r="O2" i="5"/>
  <c r="G3" i="5"/>
  <c r="L3" i="5"/>
  <c r="M3" i="5"/>
  <c r="N3" i="5"/>
  <c r="G4" i="5"/>
  <c r="L4" i="5"/>
  <c r="N4" i="5"/>
  <c r="G5" i="5"/>
  <c r="L5" i="5"/>
  <c r="N5" i="5"/>
  <c r="G6" i="5"/>
  <c r="L6" i="5"/>
  <c r="N6" i="5"/>
  <c r="G7" i="5"/>
  <c r="L7" i="5"/>
  <c r="M7" i="5"/>
  <c r="N7" i="5"/>
  <c r="G8" i="5"/>
  <c r="L8" i="5"/>
  <c r="M8" i="5"/>
  <c r="N8" i="5"/>
  <c r="G9" i="5"/>
  <c r="L9" i="5"/>
  <c r="M9" i="5"/>
  <c r="N9" i="5"/>
  <c r="E10" i="5"/>
  <c r="G10" i="5"/>
  <c r="L10" i="5"/>
  <c r="M10" i="5"/>
  <c r="N10" i="5"/>
  <c r="E11" i="5"/>
  <c r="G147" i="14" s="1"/>
  <c r="G11" i="5"/>
  <c r="L11" i="5"/>
  <c r="M11" i="5"/>
  <c r="N11" i="5"/>
  <c r="E12" i="5"/>
  <c r="G148" i="14"/>
  <c r="G12" i="5"/>
  <c r="L12" i="5"/>
  <c r="M12" i="5"/>
  <c r="N12" i="5"/>
  <c r="E13" i="5"/>
  <c r="G13" i="5"/>
  <c r="L13" i="5"/>
  <c r="M13" i="5"/>
  <c r="N13" i="5"/>
  <c r="E14" i="5"/>
  <c r="G14" i="5"/>
  <c r="L14" i="5"/>
  <c r="M14" i="5"/>
  <c r="N14" i="5"/>
  <c r="E15" i="5"/>
  <c r="G151" i="14"/>
  <c r="G15" i="5"/>
  <c r="L15" i="5"/>
  <c r="M15" i="5"/>
  <c r="N15" i="5"/>
  <c r="E16" i="5"/>
  <c r="G16" i="5"/>
  <c r="L16" i="5"/>
  <c r="M16" i="5"/>
  <c r="N16" i="5"/>
  <c r="E17" i="5"/>
  <c r="G17" i="5"/>
  <c r="L17" i="5"/>
  <c r="M17" i="5"/>
  <c r="N17" i="5"/>
  <c r="E18" i="5"/>
  <c r="G18" i="5"/>
  <c r="L18" i="5"/>
  <c r="M18" i="5"/>
  <c r="N18" i="5"/>
  <c r="E19" i="5"/>
  <c r="G155" i="14" s="1"/>
  <c r="G19" i="5"/>
  <c r="L19" i="5"/>
  <c r="M19" i="5"/>
  <c r="N19" i="5"/>
  <c r="E20" i="5"/>
  <c r="G156" i="14"/>
  <c r="G20" i="5"/>
  <c r="L20" i="5"/>
  <c r="M20" i="5"/>
  <c r="N20" i="5"/>
  <c r="E21" i="5"/>
  <c r="G21" i="5"/>
  <c r="L21" i="5"/>
  <c r="M21" i="5"/>
  <c r="N21" i="5"/>
  <c r="E22" i="5"/>
  <c r="G22" i="5"/>
  <c r="L22" i="5"/>
  <c r="M22" i="5"/>
  <c r="N22" i="5"/>
  <c r="E23" i="5"/>
  <c r="G159" i="14"/>
  <c r="G23" i="5"/>
  <c r="L23" i="5"/>
  <c r="M23" i="5"/>
  <c r="N23" i="5"/>
  <c r="E24" i="5"/>
  <c r="G160" i="14" s="1"/>
  <c r="G24" i="5"/>
  <c r="L24" i="5"/>
  <c r="M24" i="5"/>
  <c r="N24" i="5"/>
  <c r="E25" i="5"/>
  <c r="G25" i="5"/>
  <c r="L25" i="5"/>
  <c r="M25" i="5"/>
  <c r="N25" i="5"/>
  <c r="E26" i="5"/>
  <c r="G26" i="5"/>
  <c r="L26" i="5"/>
  <c r="M26" i="5"/>
  <c r="N26" i="5"/>
  <c r="E27" i="5"/>
  <c r="G163" i="14" s="1"/>
  <c r="G27" i="5"/>
  <c r="L27" i="5"/>
  <c r="M27" i="5"/>
  <c r="N27" i="5"/>
  <c r="E28" i="5"/>
  <c r="G28" i="5"/>
  <c r="L28" i="5"/>
  <c r="M28" i="5"/>
  <c r="N28" i="5"/>
  <c r="E29" i="5"/>
  <c r="G29" i="5"/>
  <c r="L29" i="5"/>
  <c r="M29" i="5"/>
  <c r="N29" i="5"/>
  <c r="E30" i="5"/>
  <c r="G30" i="5"/>
  <c r="L30" i="5"/>
  <c r="M30" i="5"/>
  <c r="N30" i="5"/>
  <c r="E31" i="5"/>
  <c r="G167" i="14"/>
  <c r="G31" i="5"/>
  <c r="L31" i="5"/>
  <c r="M31" i="5"/>
  <c r="N31" i="5"/>
  <c r="E32" i="5"/>
  <c r="G168" i="14"/>
  <c r="G32" i="5"/>
  <c r="L32" i="5"/>
  <c r="M32" i="5"/>
  <c r="N32" i="5"/>
  <c r="E33" i="5"/>
  <c r="G33" i="5"/>
  <c r="L33" i="5"/>
  <c r="M33" i="5"/>
  <c r="N33" i="5"/>
  <c r="E34" i="5"/>
  <c r="G34" i="5"/>
  <c r="K34" i="5"/>
  <c r="L34" i="5"/>
  <c r="M34" i="5"/>
  <c r="N34" i="5"/>
  <c r="E35" i="5"/>
  <c r="G171" i="14" s="1"/>
  <c r="G35" i="5"/>
  <c r="L35" i="5"/>
  <c r="M35" i="5"/>
  <c r="N35" i="5"/>
  <c r="E36" i="5"/>
  <c r="G36" i="5"/>
  <c r="L36" i="5"/>
  <c r="M36" i="5"/>
  <c r="N36" i="5"/>
  <c r="E37" i="5"/>
  <c r="G37" i="5"/>
  <c r="L37" i="5"/>
  <c r="M37" i="5"/>
  <c r="N37" i="5"/>
  <c r="E38" i="5"/>
  <c r="G174" i="14" s="1"/>
  <c r="G38" i="5"/>
  <c r="L38" i="5"/>
  <c r="M38" i="5"/>
  <c r="N38" i="5"/>
  <c r="E39" i="5"/>
  <c r="G175" i="14"/>
  <c r="G39" i="5"/>
  <c r="L39" i="5"/>
  <c r="M39" i="5"/>
  <c r="N39" i="5"/>
  <c r="E40" i="5"/>
  <c r="G40" i="5"/>
  <c r="L40" i="5"/>
  <c r="M40" i="5"/>
  <c r="N40" i="5"/>
  <c r="E41" i="5"/>
  <c r="G41" i="5"/>
  <c r="L41" i="5"/>
  <c r="M41" i="5"/>
  <c r="N41" i="5"/>
  <c r="E42" i="5"/>
  <c r="G178" i="14"/>
  <c r="G42" i="5"/>
  <c r="L42" i="5"/>
  <c r="M42" i="5"/>
  <c r="N42" i="5"/>
  <c r="E43" i="5"/>
  <c r="G179" i="14" s="1"/>
  <c r="G43" i="5"/>
  <c r="K43" i="5"/>
  <c r="L43" i="5"/>
  <c r="M43" i="5"/>
  <c r="N43" i="5"/>
  <c r="E44" i="5"/>
  <c r="G44" i="5"/>
  <c r="K44" i="5"/>
  <c r="L44" i="5"/>
  <c r="M44" i="5"/>
  <c r="N44" i="5"/>
  <c r="E45" i="5"/>
  <c r="G181" i="14"/>
  <c r="G45" i="5"/>
  <c r="K45" i="5"/>
  <c r="L45" i="5"/>
  <c r="M45" i="5"/>
  <c r="N45" i="5"/>
  <c r="E46" i="5"/>
  <c r="G46" i="5"/>
  <c r="K46" i="5"/>
  <c r="L46" i="5"/>
  <c r="M46" i="5"/>
  <c r="N46" i="5"/>
  <c r="E47" i="5"/>
  <c r="G183" i="14"/>
  <c r="G47" i="5"/>
  <c r="K47" i="5"/>
  <c r="L47" i="5"/>
  <c r="M47" i="5"/>
  <c r="N47" i="5"/>
  <c r="E48" i="5"/>
  <c r="G48" i="5"/>
  <c r="K48" i="5"/>
  <c r="L48" i="5"/>
  <c r="M48" i="5"/>
  <c r="N48" i="5"/>
  <c r="E49" i="5"/>
  <c r="G185" i="14"/>
  <c r="G49" i="5"/>
  <c r="K49" i="5"/>
  <c r="L49" i="5"/>
  <c r="M49" i="5"/>
  <c r="N49" i="5"/>
  <c r="E50" i="5"/>
  <c r="G50" i="5"/>
  <c r="K50" i="5"/>
  <c r="L50" i="5"/>
  <c r="M50" i="5"/>
  <c r="N50" i="5"/>
  <c r="E51" i="5"/>
  <c r="G187" i="14" s="1"/>
  <c r="G51" i="5"/>
  <c r="K51" i="5"/>
  <c r="L51" i="5"/>
  <c r="M51" i="5"/>
  <c r="N51" i="5"/>
  <c r="E52" i="5"/>
  <c r="G52" i="5"/>
  <c r="K52" i="5"/>
  <c r="L52" i="5"/>
  <c r="M52" i="5"/>
  <c r="N52" i="5"/>
  <c r="E53" i="5"/>
  <c r="G53" i="5"/>
  <c r="K53" i="5"/>
  <c r="L53" i="5"/>
  <c r="M53" i="5"/>
  <c r="N53" i="5"/>
  <c r="E54" i="5"/>
  <c r="G54" i="5"/>
  <c r="K54" i="5"/>
  <c r="L54" i="5"/>
  <c r="M54" i="5"/>
  <c r="N54" i="5"/>
  <c r="E55" i="5"/>
  <c r="G55" i="5"/>
  <c r="K55" i="5"/>
  <c r="L55" i="5"/>
  <c r="M55" i="5"/>
  <c r="N55" i="5"/>
  <c r="E56" i="5"/>
  <c r="G56" i="5"/>
  <c r="K56" i="5"/>
  <c r="L56" i="5"/>
  <c r="M56" i="5"/>
  <c r="N56" i="5"/>
  <c r="E57" i="5"/>
  <c r="G57" i="5"/>
  <c r="K57" i="5"/>
  <c r="L57" i="5"/>
  <c r="M57" i="5"/>
  <c r="N57" i="5"/>
  <c r="E58" i="5"/>
  <c r="G58" i="5"/>
  <c r="K58" i="5"/>
  <c r="L58" i="5"/>
  <c r="M58" i="5"/>
  <c r="N58" i="5"/>
  <c r="E59" i="5"/>
  <c r="G59" i="5"/>
  <c r="K59" i="5"/>
  <c r="L59" i="5"/>
  <c r="M59" i="5"/>
  <c r="N59" i="5"/>
  <c r="E60" i="5"/>
  <c r="G60" i="5"/>
  <c r="K60" i="5"/>
  <c r="L60" i="5"/>
  <c r="M60" i="5"/>
  <c r="N60" i="5"/>
  <c r="E61" i="5"/>
  <c r="G61" i="5"/>
  <c r="K61" i="5"/>
  <c r="L61" i="5"/>
  <c r="M61" i="5"/>
  <c r="N61" i="5"/>
  <c r="E62" i="5"/>
  <c r="K62" i="5"/>
  <c r="L62" i="5"/>
  <c r="M62" i="5"/>
  <c r="N62" i="5"/>
  <c r="E63" i="5"/>
  <c r="K63" i="5"/>
  <c r="L63" i="5"/>
  <c r="M63" i="5"/>
  <c r="N63" i="5"/>
  <c r="E64" i="5"/>
  <c r="K64" i="5"/>
  <c r="L64" i="5"/>
  <c r="M64" i="5"/>
  <c r="N64" i="5"/>
  <c r="E65" i="5"/>
  <c r="K65" i="5"/>
  <c r="L65" i="5"/>
  <c r="M65" i="5"/>
  <c r="N65" i="5"/>
  <c r="E66" i="5"/>
  <c r="K66" i="5"/>
  <c r="L66" i="5"/>
  <c r="M66" i="5"/>
  <c r="N66" i="5"/>
  <c r="E67" i="5"/>
  <c r="K67" i="5"/>
  <c r="L67" i="5"/>
  <c r="M67" i="5"/>
  <c r="N67" i="5"/>
  <c r="E68" i="5"/>
  <c r="K68" i="5"/>
  <c r="L68" i="5"/>
  <c r="M68" i="5"/>
  <c r="N68" i="5"/>
  <c r="E69" i="5"/>
  <c r="K69" i="5"/>
  <c r="L69" i="5"/>
  <c r="M69" i="5"/>
  <c r="N69" i="5"/>
  <c r="E70" i="5"/>
  <c r="K70" i="5"/>
  <c r="L70" i="5"/>
  <c r="M70" i="5"/>
  <c r="N70" i="5"/>
  <c r="E71" i="5"/>
  <c r="N71" i="5"/>
  <c r="O71" i="5"/>
  <c r="L72" i="5"/>
  <c r="O72" i="5"/>
  <c r="E73" i="5"/>
  <c r="T73" i="5"/>
  <c r="L73" i="5"/>
  <c r="M73" i="5"/>
  <c r="N73" i="5"/>
  <c r="O73" i="5"/>
  <c r="E74" i="5"/>
  <c r="T74" i="5"/>
  <c r="L74" i="5"/>
  <c r="M74" i="5"/>
  <c r="N74" i="5"/>
  <c r="O74" i="5"/>
  <c r="E75" i="5"/>
  <c r="T75" i="5"/>
  <c r="L75" i="5"/>
  <c r="M75" i="5"/>
  <c r="N75" i="5"/>
  <c r="O75" i="5"/>
  <c r="T138" i="5"/>
  <c r="S139" i="5"/>
  <c r="T139" i="5"/>
  <c r="U139" i="5"/>
  <c r="V139" i="5"/>
  <c r="S140" i="5"/>
  <c r="T140" i="5"/>
  <c r="U140" i="5"/>
  <c r="V140" i="5"/>
  <c r="S141" i="5"/>
  <c r="T141" i="5"/>
  <c r="U141" i="5"/>
  <c r="V141" i="5"/>
  <c r="S142" i="5"/>
  <c r="T142" i="5"/>
  <c r="U142" i="5"/>
  <c r="V142" i="5"/>
  <c r="B185" i="5"/>
  <c r="C185" i="5"/>
  <c r="A188" i="5"/>
  <c r="A189" i="5"/>
  <c r="A190" i="5"/>
  <c r="A191" i="5"/>
  <c r="A192" i="5"/>
  <c r="A193" i="5"/>
  <c r="A194" i="5"/>
  <c r="A195" i="5"/>
  <c r="A196" i="5"/>
  <c r="B4" i="6"/>
  <c r="A14" i="6"/>
  <c r="C14" i="6"/>
  <c r="A15" i="6"/>
  <c r="C15" i="6"/>
  <c r="A16" i="6"/>
  <c r="C16" i="6"/>
  <c r="A17" i="6"/>
  <c r="C17" i="6"/>
  <c r="A18" i="6"/>
  <c r="C18" i="6"/>
  <c r="A19" i="6"/>
  <c r="C19" i="6"/>
  <c r="A20" i="6"/>
  <c r="C20" i="6"/>
  <c r="A21" i="6"/>
  <c r="C21" i="6"/>
  <c r="A22" i="6"/>
  <c r="C22" i="6"/>
  <c r="I22" i="6"/>
  <c r="A23" i="6"/>
  <c r="C23" i="6"/>
  <c r="A24" i="6"/>
  <c r="C24" i="6"/>
  <c r="A39" i="6"/>
  <c r="C39" i="6"/>
  <c r="M39" i="6"/>
  <c r="H117" i="6"/>
  <c r="A40" i="6"/>
  <c r="C40" i="6"/>
  <c r="M40" i="6"/>
  <c r="N117" i="6"/>
  <c r="A41" i="6"/>
  <c r="C41" i="6"/>
  <c r="M41" i="6"/>
  <c r="T117" i="6"/>
  <c r="A42" i="6"/>
  <c r="C42" i="6"/>
  <c r="M42" i="6"/>
  <c r="Z117" i="6"/>
  <c r="A43" i="6"/>
  <c r="C43" i="6"/>
  <c r="M43" i="6"/>
  <c r="AF117" i="6"/>
  <c r="A44" i="6"/>
  <c r="C44" i="6"/>
  <c r="K44" i="6"/>
  <c r="AN117" i="6"/>
  <c r="M44" i="6"/>
  <c r="AL117" i="6"/>
  <c r="A45" i="6"/>
  <c r="C45" i="6"/>
  <c r="K45" i="6"/>
  <c r="AT117" i="6"/>
  <c r="M45" i="6"/>
  <c r="AR117" i="6"/>
  <c r="A46" i="6"/>
  <c r="C46" i="6"/>
  <c r="I46" i="6" s="1"/>
  <c r="K46" i="6"/>
  <c r="AZ117" i="6"/>
  <c r="M46" i="6"/>
  <c r="AX117" i="6" s="1"/>
  <c r="A47" i="6"/>
  <c r="C47" i="6"/>
  <c r="J47" i="6"/>
  <c r="BE117" i="6" s="1"/>
  <c r="K47" i="6"/>
  <c r="BF117" i="6"/>
  <c r="M47" i="6"/>
  <c r="BD117" i="6" s="1"/>
  <c r="A48" i="6"/>
  <c r="C48" i="6"/>
  <c r="J48" i="6"/>
  <c r="BK117" i="6" s="1"/>
  <c r="K48" i="6"/>
  <c r="BL117" i="6"/>
  <c r="M48" i="6"/>
  <c r="BJ117" i="6" s="1"/>
  <c r="A49" i="6"/>
  <c r="C49" i="6"/>
  <c r="J49" i="6"/>
  <c r="BQ117" i="6" s="1"/>
  <c r="K49" i="6"/>
  <c r="BR117" i="6"/>
  <c r="M49" i="6"/>
  <c r="BP117" i="6" s="1"/>
  <c r="G52" i="6"/>
  <c r="G53" i="6"/>
  <c r="H53" i="6"/>
  <c r="N184" i="6" s="1"/>
  <c r="G54" i="6"/>
  <c r="H54" i="6"/>
  <c r="T184" i="6"/>
  <c r="A64" i="6"/>
  <c r="C64" i="6"/>
  <c r="A65" i="6"/>
  <c r="C65" i="6"/>
  <c r="A66" i="6"/>
  <c r="C66" i="6"/>
  <c r="A67" i="6"/>
  <c r="C67" i="6"/>
  <c r="A68" i="6"/>
  <c r="C68" i="6"/>
  <c r="A69" i="6"/>
  <c r="C69" i="6"/>
  <c r="A70" i="6"/>
  <c r="C70" i="6"/>
  <c r="A71" i="6"/>
  <c r="C71" i="6"/>
  <c r="I71" i="6" s="1"/>
  <c r="A72" i="6"/>
  <c r="C72" i="6"/>
  <c r="H72" i="6"/>
  <c r="A73" i="6"/>
  <c r="C73" i="6"/>
  <c r="A74" i="6"/>
  <c r="C74" i="6"/>
  <c r="E74" i="6" s="1"/>
  <c r="D74" i="6"/>
  <c r="B102" i="6"/>
  <c r="C102" i="6"/>
  <c r="C103" i="6"/>
  <c r="C104" i="6"/>
  <c r="B110" i="6"/>
  <c r="C110" i="6"/>
  <c r="G117" i="6"/>
  <c r="M117" i="6"/>
  <c r="S117" i="6"/>
  <c r="Y117" i="6"/>
  <c r="AE117" i="6"/>
  <c r="AK117" i="6"/>
  <c r="AQ117" i="6"/>
  <c r="AW117" i="6"/>
  <c r="BC117" i="6"/>
  <c r="BH117" i="6"/>
  <c r="BE118" i="6" s="1"/>
  <c r="BI117" i="6"/>
  <c r="BO117" i="6"/>
  <c r="E119" i="6"/>
  <c r="BD119" i="6"/>
  <c r="BE119" i="6"/>
  <c r="BH119" i="6"/>
  <c r="BE120" i="6"/>
  <c r="E120" i="6"/>
  <c r="E121" i="6"/>
  <c r="BE121" i="6"/>
  <c r="E122" i="6"/>
  <c r="BE122" i="6"/>
  <c r="E123" i="6"/>
  <c r="BE123" i="6"/>
  <c r="E124" i="6"/>
  <c r="BE124" i="6"/>
  <c r="E125" i="6"/>
  <c r="BE125" i="6"/>
  <c r="E126" i="6"/>
  <c r="BE126" i="6"/>
  <c r="E127" i="6"/>
  <c r="BE127" i="6"/>
  <c r="E128" i="6"/>
  <c r="BE128" i="6"/>
  <c r="E129" i="6"/>
  <c r="BE129" i="6"/>
  <c r="E130" i="6"/>
  <c r="BE130" i="6"/>
  <c r="E131" i="6"/>
  <c r="BE131" i="6"/>
  <c r="E132" i="6"/>
  <c r="BE132" i="6"/>
  <c r="E133" i="6"/>
  <c r="E264" i="6" s="1"/>
  <c r="BE133" i="6"/>
  <c r="E134" i="6"/>
  <c r="BE134" i="6"/>
  <c r="E135" i="6"/>
  <c r="BE135" i="6"/>
  <c r="E136" i="6"/>
  <c r="BE136" i="6"/>
  <c r="E137" i="6"/>
  <c r="BE137" i="6"/>
  <c r="E138" i="6"/>
  <c r="BE138" i="6"/>
  <c r="E139" i="6"/>
  <c r="BE139" i="6"/>
  <c r="E140" i="6"/>
  <c r="BE140" i="6"/>
  <c r="E141" i="6"/>
  <c r="E272" i="6" s="1"/>
  <c r="BE141" i="6"/>
  <c r="E142" i="6"/>
  <c r="BE142" i="6"/>
  <c r="E143" i="6"/>
  <c r="BE143" i="6"/>
  <c r="E144" i="6"/>
  <c r="BE144" i="6"/>
  <c r="E145" i="6"/>
  <c r="E276" i="6" s="1"/>
  <c r="BE145" i="6"/>
  <c r="E146" i="6"/>
  <c r="BE146" i="6"/>
  <c r="E147" i="6"/>
  <c r="BE147" i="6"/>
  <c r="E148" i="6"/>
  <c r="BE148" i="6"/>
  <c r="E149" i="6"/>
  <c r="BE149" i="6"/>
  <c r="E150" i="6"/>
  <c r="BE150" i="6"/>
  <c r="E151" i="6"/>
  <c r="E282" i="6" s="1"/>
  <c r="BE151" i="6"/>
  <c r="E152" i="6"/>
  <c r="BE152" i="6"/>
  <c r="E153" i="6"/>
  <c r="BE153" i="6"/>
  <c r="E154" i="6"/>
  <c r="BE154" i="6"/>
  <c r="E155" i="6"/>
  <c r="BE155" i="6"/>
  <c r="E156" i="6"/>
  <c r="BE156" i="6"/>
  <c r="E157" i="6"/>
  <c r="E288" i="6"/>
  <c r="BE157" i="6"/>
  <c r="E158" i="6"/>
  <c r="BE158" i="6"/>
  <c r="E159" i="6"/>
  <c r="BE159" i="6"/>
  <c r="E160" i="6"/>
  <c r="BE160" i="6"/>
  <c r="E161" i="6"/>
  <c r="E292" i="6" s="1"/>
  <c r="BE161" i="6"/>
  <c r="E162" i="6"/>
  <c r="BE162" i="6"/>
  <c r="E163" i="6"/>
  <c r="BE163" i="6"/>
  <c r="E164" i="6"/>
  <c r="BE164" i="6"/>
  <c r="E165" i="6"/>
  <c r="BE165" i="6"/>
  <c r="E166" i="6"/>
  <c r="BE166" i="6"/>
  <c r="E167" i="6"/>
  <c r="E298" i="6" s="1"/>
  <c r="BE167" i="6"/>
  <c r="E168" i="6"/>
  <c r="BE168" i="6"/>
  <c r="E169" i="6"/>
  <c r="E300" i="6" s="1"/>
  <c r="BE169" i="6"/>
  <c r="E170" i="6"/>
  <c r="BE170" i="6"/>
  <c r="E171" i="6"/>
  <c r="BE171" i="6"/>
  <c r="E172" i="6"/>
  <c r="E303" i="6" s="1"/>
  <c r="BE172" i="6"/>
  <c r="E173" i="6"/>
  <c r="BE173" i="6"/>
  <c r="E174" i="6"/>
  <c r="E305" i="6" s="1"/>
  <c r="BE174" i="6"/>
  <c r="E175" i="6"/>
  <c r="BE175" i="6"/>
  <c r="E176" i="6"/>
  <c r="BE176" i="6"/>
  <c r="E177" i="6"/>
  <c r="BE177" i="6"/>
  <c r="E178" i="6"/>
  <c r="BE178" i="6"/>
  <c r="M184" i="6"/>
  <c r="S184" i="6"/>
  <c r="Y184" i="6"/>
  <c r="AE184" i="6"/>
  <c r="AK184" i="6"/>
  <c r="AQ184" i="6"/>
  <c r="AW184" i="6"/>
  <c r="E186" i="6"/>
  <c r="E250" i="6" s="1"/>
  <c r="E187" i="6"/>
  <c r="E188" i="6"/>
  <c r="E252" i="6"/>
  <c r="E189" i="6"/>
  <c r="E253" i="6" s="1"/>
  <c r="E190" i="6"/>
  <c r="E191" i="6"/>
  <c r="E192" i="6"/>
  <c r="E256" i="6"/>
  <c r="E193" i="6"/>
  <c r="E257" i="6" s="1"/>
  <c r="E194" i="6"/>
  <c r="E258" i="6"/>
  <c r="E195" i="6"/>
  <c r="E259" i="6" s="1"/>
  <c r="E196" i="6"/>
  <c r="E260" i="6" s="1"/>
  <c r="E197" i="6"/>
  <c r="E261" i="6" s="1"/>
  <c r="E198" i="6"/>
  <c r="E199" i="6"/>
  <c r="E263" i="6"/>
  <c r="E200" i="6"/>
  <c r="E201" i="6"/>
  <c r="E202" i="6"/>
  <c r="E203" i="6"/>
  <c r="E267" i="6" s="1"/>
  <c r="E204" i="6"/>
  <c r="E268" i="6"/>
  <c r="E205" i="6"/>
  <c r="E206" i="6"/>
  <c r="E207" i="6"/>
  <c r="E271" i="6"/>
  <c r="E208" i="6"/>
  <c r="E209" i="6"/>
  <c r="E273" i="6"/>
  <c r="E210" i="6"/>
  <c r="E211" i="6"/>
  <c r="E275" i="6"/>
  <c r="E212" i="6"/>
  <c r="E213" i="6"/>
  <c r="E277" i="6" s="1"/>
  <c r="E214" i="6"/>
  <c r="E278" i="6"/>
  <c r="E215" i="6"/>
  <c r="E279" i="6" s="1"/>
  <c r="E216" i="6"/>
  <c r="E217" i="6"/>
  <c r="E281" i="6" s="1"/>
  <c r="E218" i="6"/>
  <c r="E219" i="6"/>
  <c r="E283" i="6"/>
  <c r="E220" i="6"/>
  <c r="E221" i="6"/>
  <c r="E285" i="6"/>
  <c r="E222" i="6"/>
  <c r="E286" i="6" s="1"/>
  <c r="E223" i="6"/>
  <c r="E287" i="6" s="1"/>
  <c r="E224" i="6"/>
  <c r="E225" i="6"/>
  <c r="E289" i="6" s="1"/>
  <c r="E226" i="6"/>
  <c r="E227" i="6"/>
  <c r="E291" i="6"/>
  <c r="E228" i="6"/>
  <c r="E229" i="6"/>
  <c r="E293" i="6"/>
  <c r="E230" i="6"/>
  <c r="E231" i="6"/>
  <c r="E295" i="6" s="1"/>
  <c r="E232" i="6"/>
  <c r="E296" i="6"/>
  <c r="E233" i="6"/>
  <c r="E297" i="6" s="1"/>
  <c r="E234" i="6"/>
  <c r="E235" i="6"/>
  <c r="E299" i="6" s="1"/>
  <c r="E236" i="6"/>
  <c r="E237" i="6"/>
  <c r="E301" i="6"/>
  <c r="E238" i="6"/>
  <c r="E239" i="6"/>
  <c r="E240" i="6"/>
  <c r="E241" i="6"/>
  <c r="E242" i="6"/>
  <c r="E243" i="6"/>
  <c r="E307" i="6"/>
  <c r="E244" i="6"/>
  <c r="E308" i="6" s="1"/>
  <c r="E245" i="6"/>
  <c r="E309" i="6"/>
  <c r="E251" i="6"/>
  <c r="E254" i="6"/>
  <c r="E255" i="6"/>
  <c r="E262" i="6"/>
  <c r="E265" i="6"/>
  <c r="E269" i="6"/>
  <c r="E270" i="6"/>
  <c r="E274" i="6"/>
  <c r="E284" i="6"/>
  <c r="E290" i="6"/>
  <c r="E304" i="6"/>
  <c r="E306" i="6"/>
  <c r="C4" i="3"/>
  <c r="A32" i="3"/>
  <c r="A33" i="3"/>
  <c r="A37" i="3"/>
  <c r="A39" i="3"/>
  <c r="A40" i="3"/>
  <c r="A52" i="3"/>
  <c r="A72" i="3"/>
  <c r="A73" i="3"/>
  <c r="A107" i="3"/>
  <c r="A123" i="3"/>
  <c r="A155" i="3"/>
  <c r="A203" i="3"/>
  <c r="A204" i="3"/>
  <c r="B209" i="3"/>
  <c r="A210" i="3"/>
  <c r="A211" i="3"/>
  <c r="B222" i="3"/>
  <c r="B226" i="3"/>
  <c r="B228" i="3"/>
  <c r="B229" i="3"/>
  <c r="B230" i="3"/>
  <c r="A223" i="3"/>
  <c r="A226" i="3"/>
  <c r="D226" i="3"/>
  <c r="K226" i="3"/>
  <c r="M226" i="3"/>
  <c r="D228" i="3"/>
  <c r="I228" i="3"/>
  <c r="K228" i="3"/>
  <c r="D238" i="3"/>
  <c r="E238" i="3"/>
  <c r="B279" i="3"/>
  <c r="A288" i="3"/>
  <c r="A293" i="3"/>
  <c r="A307" i="3"/>
  <c r="A308" i="3"/>
  <c r="A309" i="3"/>
  <c r="A313" i="3"/>
  <c r="A333" i="3"/>
  <c r="A335" i="3"/>
  <c r="AP1" i="4"/>
  <c r="AP2" i="4"/>
  <c r="AP3" i="4"/>
  <c r="AP4" i="4"/>
  <c r="AP5" i="4"/>
  <c r="AP6" i="4"/>
  <c r="AP7" i="4"/>
  <c r="AP8" i="4"/>
  <c r="AP9" i="4"/>
  <c r="AP10" i="4"/>
  <c r="AP11" i="4"/>
  <c r="AP12" i="4"/>
  <c r="N13" i="4"/>
  <c r="Z13" i="4"/>
  <c r="O13" i="4"/>
  <c r="AA13" i="4" s="1"/>
  <c r="P13" i="4"/>
  <c r="AB13" i="4"/>
  <c r="Q13" i="4"/>
  <c r="AC13" i="4" s="1"/>
  <c r="R13" i="4"/>
  <c r="AD13" i="4"/>
  <c r="S13" i="4"/>
  <c r="AE13" i="4" s="1"/>
  <c r="T13" i="4"/>
  <c r="AF13" i="4"/>
  <c r="U13" i="4"/>
  <c r="AG13" i="4" s="1"/>
  <c r="V13" i="4"/>
  <c r="AH13" i="4"/>
  <c r="W13" i="4"/>
  <c r="AI13" i="4" s="1"/>
  <c r="X13" i="4"/>
  <c r="AJ13" i="4"/>
  <c r="Y13" i="4"/>
  <c r="AK13" i="4" s="1"/>
  <c r="N14" i="4"/>
  <c r="O14" i="4"/>
  <c r="P14" i="4"/>
  <c r="Q14" i="4"/>
  <c r="R14" i="4"/>
  <c r="S14" i="4"/>
  <c r="T14" i="4"/>
  <c r="U14" i="4"/>
  <c r="V14" i="4"/>
  <c r="W14" i="4"/>
  <c r="X14" i="4"/>
  <c r="Y14" i="4"/>
  <c r="Z14" i="4"/>
  <c r="AA14" i="4"/>
  <c r="AB14" i="4"/>
  <c r="AC14" i="4"/>
  <c r="AD14" i="4"/>
  <c r="AE14" i="4"/>
  <c r="AF14" i="4"/>
  <c r="AG14" i="4"/>
  <c r="AH14" i="4"/>
  <c r="AI14" i="4"/>
  <c r="AJ14" i="4"/>
  <c r="AK14" i="4"/>
  <c r="AN14" i="4"/>
  <c r="N15" i="4"/>
  <c r="O15" i="4"/>
  <c r="P15" i="4"/>
  <c r="Q15" i="4"/>
  <c r="R15" i="4"/>
  <c r="S15" i="4"/>
  <c r="T15" i="4"/>
  <c r="U15" i="4"/>
  <c r="V15" i="4"/>
  <c r="W15" i="4"/>
  <c r="X15" i="4"/>
  <c r="Y15" i="4"/>
  <c r="Z15" i="4"/>
  <c r="AA15" i="4"/>
  <c r="AB15" i="4"/>
  <c r="AC15" i="4"/>
  <c r="AD15" i="4"/>
  <c r="AE15" i="4"/>
  <c r="AF15" i="4"/>
  <c r="AG15" i="4"/>
  <c r="AH15" i="4"/>
  <c r="AI15" i="4"/>
  <c r="AJ15" i="4"/>
  <c r="AK15" i="4"/>
  <c r="AN15" i="4"/>
  <c r="AQ15" i="4"/>
  <c r="N16" i="4"/>
  <c r="O16" i="4"/>
  <c r="P16" i="4"/>
  <c r="Q16" i="4"/>
  <c r="R16" i="4"/>
  <c r="S16" i="4"/>
  <c r="T16" i="4"/>
  <c r="U16" i="4"/>
  <c r="V16" i="4"/>
  <c r="W16" i="4"/>
  <c r="X16" i="4"/>
  <c r="Y16" i="4"/>
  <c r="Z16" i="4"/>
  <c r="AA16" i="4"/>
  <c r="AB16" i="4"/>
  <c r="AC16" i="4"/>
  <c r="AD16" i="4"/>
  <c r="AE16" i="4"/>
  <c r="AF16" i="4"/>
  <c r="AG16" i="4"/>
  <c r="AH16" i="4"/>
  <c r="AI16" i="4"/>
  <c r="AJ16" i="4"/>
  <c r="AK16" i="4"/>
  <c r="AN16" i="4"/>
  <c r="AO16" i="4"/>
  <c r="AQ16" i="4"/>
  <c r="AR16" i="4" s="1"/>
  <c r="N17" i="4"/>
  <c r="O17" i="4"/>
  <c r="P17" i="4"/>
  <c r="Q17" i="4"/>
  <c r="R17" i="4"/>
  <c r="S17" i="4"/>
  <c r="T17" i="4"/>
  <c r="U17" i="4"/>
  <c r="V17" i="4"/>
  <c r="W17" i="4"/>
  <c r="X17" i="4"/>
  <c r="Y17" i="4"/>
  <c r="Z17" i="4"/>
  <c r="AA17" i="4"/>
  <c r="AB17" i="4"/>
  <c r="AC17" i="4"/>
  <c r="AD17" i="4"/>
  <c r="AE17" i="4"/>
  <c r="AF17" i="4"/>
  <c r="AG17" i="4"/>
  <c r="AH17" i="4"/>
  <c r="AI17" i="4"/>
  <c r="AJ17" i="4"/>
  <c r="AK17" i="4"/>
  <c r="AN17" i="4"/>
  <c r="AO17" i="4"/>
  <c r="AQ17" i="4"/>
  <c r="AR17" i="4" s="1"/>
  <c r="AS17" i="4"/>
  <c r="AT17" i="4"/>
  <c r="N18" i="4"/>
  <c r="O18" i="4"/>
  <c r="P18" i="4"/>
  <c r="Q18" i="4"/>
  <c r="R18" i="4"/>
  <c r="S18" i="4"/>
  <c r="T18" i="4"/>
  <c r="U18" i="4"/>
  <c r="V18" i="4"/>
  <c r="W18" i="4"/>
  <c r="X18" i="4"/>
  <c r="Y18" i="4"/>
  <c r="Z18" i="4"/>
  <c r="AA18" i="4"/>
  <c r="AB18" i="4"/>
  <c r="AC18" i="4"/>
  <c r="AD18" i="4"/>
  <c r="AE18" i="4"/>
  <c r="AF18" i="4"/>
  <c r="AG18" i="4"/>
  <c r="AH18" i="4"/>
  <c r="AI18" i="4"/>
  <c r="AJ18" i="4"/>
  <c r="AK18" i="4"/>
  <c r="AN18" i="4"/>
  <c r="AO18" i="4"/>
  <c r="AP18" i="4" s="1"/>
  <c r="AQ18" i="4"/>
  <c r="AR18" i="4"/>
  <c r="AS18" i="4"/>
  <c r="N19" i="4"/>
  <c r="O19" i="4"/>
  <c r="P19" i="4"/>
  <c r="Q19" i="4"/>
  <c r="R19" i="4"/>
  <c r="S19" i="4"/>
  <c r="T19" i="4"/>
  <c r="U19" i="4"/>
  <c r="V19" i="4"/>
  <c r="W19" i="4"/>
  <c r="X19" i="4"/>
  <c r="Y19" i="4"/>
  <c r="Z19" i="4"/>
  <c r="AA19" i="4"/>
  <c r="AB19" i="4"/>
  <c r="AC19" i="4"/>
  <c r="AD19" i="4"/>
  <c r="AE19" i="4"/>
  <c r="AF19" i="4"/>
  <c r="AG19" i="4"/>
  <c r="AH19" i="4"/>
  <c r="AI19" i="4"/>
  <c r="AJ19" i="4"/>
  <c r="AK19" i="4"/>
  <c r="AN19" i="4"/>
  <c r="AO19" i="4"/>
  <c r="AP19" i="4"/>
  <c r="AQ19" i="4"/>
  <c r="AS19" i="4"/>
  <c r="AT19" i="4"/>
  <c r="N20" i="4"/>
  <c r="O20" i="4"/>
  <c r="P20" i="4"/>
  <c r="Q20" i="4"/>
  <c r="R20" i="4"/>
  <c r="S20" i="4"/>
  <c r="T20" i="4"/>
  <c r="U20" i="4"/>
  <c r="V20" i="4"/>
  <c r="W20" i="4"/>
  <c r="X20" i="4"/>
  <c r="Y20" i="4"/>
  <c r="Z20" i="4"/>
  <c r="AA20" i="4"/>
  <c r="AB20" i="4"/>
  <c r="AC20" i="4"/>
  <c r="AD20" i="4"/>
  <c r="AE20" i="4"/>
  <c r="AF20" i="4"/>
  <c r="AG20" i="4"/>
  <c r="AH20" i="4"/>
  <c r="AI20" i="4"/>
  <c r="AJ20" i="4"/>
  <c r="AK20" i="4"/>
  <c r="AN20" i="4"/>
  <c r="AQ20" i="4"/>
  <c r="AR20" i="4" s="1"/>
  <c r="AS20" i="4"/>
  <c r="N21" i="4"/>
  <c r="O21" i="4"/>
  <c r="P21" i="4"/>
  <c r="Q21" i="4"/>
  <c r="R21" i="4"/>
  <c r="S21" i="4"/>
  <c r="T21" i="4"/>
  <c r="U21" i="4"/>
  <c r="V21" i="4"/>
  <c r="W21" i="4"/>
  <c r="X21" i="4"/>
  <c r="Y21" i="4"/>
  <c r="Z21" i="4"/>
  <c r="AA21" i="4"/>
  <c r="AB21" i="4"/>
  <c r="AC21" i="4"/>
  <c r="AD21" i="4"/>
  <c r="AE21" i="4"/>
  <c r="AF21" i="4"/>
  <c r="AG21" i="4"/>
  <c r="AH21" i="4"/>
  <c r="AI21" i="4"/>
  <c r="AJ21" i="4"/>
  <c r="AK21" i="4"/>
  <c r="AN21" i="4"/>
  <c r="AQ21" i="4"/>
  <c r="AR21" i="4"/>
  <c r="N22" i="4"/>
  <c r="O22" i="4"/>
  <c r="P22" i="4"/>
  <c r="Q22" i="4"/>
  <c r="R22" i="4"/>
  <c r="S22" i="4"/>
  <c r="T22" i="4"/>
  <c r="U22" i="4"/>
  <c r="V22" i="4"/>
  <c r="W22" i="4"/>
  <c r="X22" i="4"/>
  <c r="Y22" i="4"/>
  <c r="Z22" i="4"/>
  <c r="AA22" i="4"/>
  <c r="AB22" i="4"/>
  <c r="AC22" i="4"/>
  <c r="AD22" i="4"/>
  <c r="AE22" i="4"/>
  <c r="AF22" i="4"/>
  <c r="AG22" i="4"/>
  <c r="AH22" i="4"/>
  <c r="AI22" i="4"/>
  <c r="AJ22" i="4"/>
  <c r="AK22" i="4"/>
  <c r="AN22" i="4"/>
  <c r="AO22" i="4"/>
  <c r="AP22" i="4" s="1"/>
  <c r="AQ22" i="4"/>
  <c r="AR22" i="4" s="1"/>
  <c r="AS22" i="4"/>
  <c r="AT22" i="4" s="1"/>
  <c r="N23" i="4"/>
  <c r="O23" i="4"/>
  <c r="P23" i="4"/>
  <c r="Q23" i="4"/>
  <c r="R23" i="4"/>
  <c r="S23" i="4"/>
  <c r="T23" i="4"/>
  <c r="U23" i="4"/>
  <c r="V23" i="4"/>
  <c r="W23" i="4"/>
  <c r="X23" i="4"/>
  <c r="Y23" i="4"/>
  <c r="Z23" i="4"/>
  <c r="AA23" i="4"/>
  <c r="AB23" i="4"/>
  <c r="AC23" i="4"/>
  <c r="AD23" i="4"/>
  <c r="AE23" i="4"/>
  <c r="AF23" i="4"/>
  <c r="AG23" i="4"/>
  <c r="AH23" i="4"/>
  <c r="AI23" i="4"/>
  <c r="AJ23" i="4"/>
  <c r="AK23" i="4"/>
  <c r="AN23" i="4"/>
  <c r="AO23" i="4"/>
  <c r="AP23" i="4" s="1"/>
  <c r="AQ23" i="4"/>
  <c r="AR23" i="4" s="1"/>
  <c r="AS23" i="4"/>
  <c r="N24" i="4"/>
  <c r="O24" i="4"/>
  <c r="P24" i="4"/>
  <c r="Q24" i="4"/>
  <c r="R24" i="4"/>
  <c r="S24" i="4"/>
  <c r="T24" i="4"/>
  <c r="U24" i="4"/>
  <c r="V24" i="4"/>
  <c r="W24" i="4"/>
  <c r="X24" i="4"/>
  <c r="Y24" i="4"/>
  <c r="Z24" i="4"/>
  <c r="AA24" i="4"/>
  <c r="AB24" i="4"/>
  <c r="AC24" i="4"/>
  <c r="AD24" i="4"/>
  <c r="AE24" i="4"/>
  <c r="AF24" i="4"/>
  <c r="AG24" i="4"/>
  <c r="AH24" i="4"/>
  <c r="AI24" i="4"/>
  <c r="AJ24" i="4"/>
  <c r="AK24" i="4"/>
  <c r="AN24" i="4"/>
  <c r="AO24" i="4"/>
  <c r="AP24" i="4" s="1"/>
  <c r="AQ24" i="4"/>
  <c r="AR24" i="4"/>
  <c r="AS24" i="4"/>
  <c r="AT24" i="4" s="1"/>
  <c r="N25" i="4"/>
  <c r="O25" i="4"/>
  <c r="P25" i="4"/>
  <c r="Q25" i="4"/>
  <c r="R25" i="4"/>
  <c r="S25" i="4"/>
  <c r="T25" i="4"/>
  <c r="U25" i="4"/>
  <c r="V25" i="4"/>
  <c r="W25" i="4"/>
  <c r="X25" i="4"/>
  <c r="Y25" i="4"/>
  <c r="Z25" i="4"/>
  <c r="AA25" i="4"/>
  <c r="AB25" i="4"/>
  <c r="AC25" i="4"/>
  <c r="AD25" i="4"/>
  <c r="AE25" i="4"/>
  <c r="AF25" i="4"/>
  <c r="AG25" i="4"/>
  <c r="AH25" i="4"/>
  <c r="AI25" i="4"/>
  <c r="AJ25" i="4"/>
  <c r="AK25" i="4"/>
  <c r="AN25" i="4"/>
  <c r="AQ25" i="4"/>
  <c r="AR25" i="4"/>
  <c r="AS25" i="4"/>
  <c r="AT25" i="4" s="1"/>
  <c r="A6" i="1"/>
  <c r="B7" i="14"/>
  <c r="I14" i="1"/>
  <c r="I15" i="1"/>
  <c r="I16" i="1"/>
  <c r="I17" i="1"/>
  <c r="I18" i="1"/>
  <c r="I19" i="1"/>
  <c r="I20" i="1"/>
  <c r="I21" i="1"/>
  <c r="I22" i="1"/>
  <c r="I23" i="1"/>
  <c r="I24" i="1"/>
  <c r="I25" i="1"/>
  <c r="O81" i="1"/>
  <c r="O82" i="1"/>
  <c r="O83" i="1"/>
  <c r="O84" i="1"/>
  <c r="O85" i="1"/>
  <c r="O86" i="1"/>
  <c r="O87" i="1"/>
  <c r="O88" i="1"/>
  <c r="O89" i="1"/>
  <c r="O90" i="1"/>
  <c r="O91" i="1"/>
  <c r="O92" i="1"/>
  <c r="C193" i="1"/>
  <c r="C194" i="14" s="1"/>
  <c r="D193" i="1"/>
  <c r="D194" i="14"/>
  <c r="F193" i="1"/>
  <c r="F194" i="14" s="1"/>
  <c r="C194" i="1"/>
  <c r="D194" i="1"/>
  <c r="F194" i="1"/>
  <c r="C195" i="1"/>
  <c r="D195" i="1"/>
  <c r="F195" i="1"/>
  <c r="C254" i="1"/>
  <c r="K254" i="1"/>
  <c r="C264" i="1"/>
  <c r="K264" i="1"/>
  <c r="C275" i="1"/>
  <c r="K275" i="1"/>
  <c r="C285" i="1"/>
  <c r="K285" i="1"/>
  <c r="C295" i="1"/>
  <c r="K295" i="1"/>
  <c r="C305" i="1"/>
  <c r="K305" i="1"/>
  <c r="C311" i="1"/>
  <c r="C312" i="14"/>
  <c r="E311" i="1"/>
  <c r="E312" i="14" s="1"/>
  <c r="G311" i="1"/>
  <c r="I311" i="1"/>
  <c r="I312" i="14" s="1"/>
  <c r="C312" i="1"/>
  <c r="E312" i="1"/>
  <c r="E313" i="14"/>
  <c r="G312" i="1"/>
  <c r="G313" i="14" s="1"/>
  <c r="I312" i="1"/>
  <c r="I313" i="14" s="1"/>
  <c r="C313" i="1"/>
  <c r="C314" i="14"/>
  <c r="E313" i="1"/>
  <c r="G313" i="1"/>
  <c r="I313" i="1"/>
  <c r="C314" i="1"/>
  <c r="C315" i="14" s="1"/>
  <c r="E314" i="1"/>
  <c r="E315" i="14"/>
  <c r="G314" i="1"/>
  <c r="I314" i="1"/>
  <c r="I315" i="14" s="1"/>
  <c r="C315" i="1"/>
  <c r="C316" i="14"/>
  <c r="E315" i="1"/>
  <c r="E316" i="14" s="1"/>
  <c r="G315" i="1"/>
  <c r="G316" i="14"/>
  <c r="I315" i="1"/>
  <c r="I316" i="14"/>
  <c r="C316" i="1"/>
  <c r="E316" i="1"/>
  <c r="G316" i="1"/>
  <c r="G317" i="14"/>
  <c r="I316" i="1"/>
  <c r="I317" i="14"/>
  <c r="C317" i="1"/>
  <c r="E317" i="1"/>
  <c r="E318" i="14" s="1"/>
  <c r="G317" i="1"/>
  <c r="I317" i="1"/>
  <c r="C318" i="1"/>
  <c r="C319" i="14" s="1"/>
  <c r="E318" i="1"/>
  <c r="E319" i="14"/>
  <c r="G318" i="1"/>
  <c r="I318" i="1"/>
  <c r="C319" i="1"/>
  <c r="C320" i="14"/>
  <c r="E319" i="1"/>
  <c r="E320" i="14" s="1"/>
  <c r="G319" i="1"/>
  <c r="I319" i="1"/>
  <c r="I320" i="14"/>
  <c r="C320" i="1"/>
  <c r="E320" i="1"/>
  <c r="G320" i="1"/>
  <c r="I320" i="1"/>
  <c r="I321" i="14" s="1"/>
  <c r="C321" i="1"/>
  <c r="E321" i="1"/>
  <c r="G321" i="1"/>
  <c r="G322" i="14" s="1"/>
  <c r="I321" i="1"/>
  <c r="I322" i="14"/>
  <c r="C322" i="1"/>
  <c r="C323" i="14" s="1"/>
  <c r="E322" i="1"/>
  <c r="G322" i="1"/>
  <c r="I322" i="1"/>
  <c r="I323" i="14"/>
  <c r="C345" i="1"/>
  <c r="D345" i="1"/>
  <c r="E345" i="1"/>
  <c r="F345" i="1"/>
  <c r="G345" i="1"/>
  <c r="H345" i="1"/>
  <c r="I345" i="1"/>
  <c r="J345" i="1"/>
  <c r="K345" i="1"/>
  <c r="L345" i="1"/>
  <c r="M345" i="1"/>
  <c r="N345" i="1"/>
  <c r="H409" i="1"/>
  <c r="H410" i="1"/>
  <c r="H411" i="1"/>
  <c r="E419" i="1"/>
  <c r="E426" i="1"/>
  <c r="E429"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B4" i="14"/>
  <c r="B8" i="14"/>
  <c r="A15" i="14"/>
  <c r="B15" i="14"/>
  <c r="J15" i="14" s="1"/>
  <c r="C15" i="14"/>
  <c r="D15" i="14"/>
  <c r="E15" i="14"/>
  <c r="F15" i="14"/>
  <c r="G15" i="14"/>
  <c r="H15" i="14"/>
  <c r="A16" i="14"/>
  <c r="B16" i="14"/>
  <c r="J16" i="14" s="1"/>
  <c r="C16" i="14"/>
  <c r="D16" i="14"/>
  <c r="E16" i="14"/>
  <c r="F16" i="14"/>
  <c r="G16" i="14"/>
  <c r="H16" i="14"/>
  <c r="A17" i="14"/>
  <c r="B17" i="14"/>
  <c r="J17" i="14"/>
  <c r="C17" i="14"/>
  <c r="D17" i="14"/>
  <c r="E17" i="14"/>
  <c r="F17" i="14"/>
  <c r="G17" i="14"/>
  <c r="H17" i="14"/>
  <c r="A18" i="14"/>
  <c r="B18" i="14"/>
  <c r="J18" i="14"/>
  <c r="C18" i="14"/>
  <c r="D18" i="14"/>
  <c r="E18" i="14"/>
  <c r="I18" i="14" s="1"/>
  <c r="F18" i="14"/>
  <c r="G18" i="14"/>
  <c r="H18" i="14"/>
  <c r="A19" i="14"/>
  <c r="B19" i="14"/>
  <c r="J19" i="14"/>
  <c r="C19" i="14"/>
  <c r="D19" i="14"/>
  <c r="E19" i="14"/>
  <c r="F19" i="14"/>
  <c r="G19" i="14"/>
  <c r="H19" i="14"/>
  <c r="A20" i="14"/>
  <c r="B20" i="14"/>
  <c r="J20" i="14"/>
  <c r="C20" i="14"/>
  <c r="D20" i="14"/>
  <c r="E20" i="14"/>
  <c r="F20" i="14"/>
  <c r="G20" i="14"/>
  <c r="H20" i="14"/>
  <c r="A21" i="14"/>
  <c r="B21" i="14"/>
  <c r="J21" i="14"/>
  <c r="C21" i="14"/>
  <c r="D21" i="14"/>
  <c r="E21" i="14"/>
  <c r="F21" i="14"/>
  <c r="G21" i="14"/>
  <c r="H21" i="14"/>
  <c r="A22" i="14"/>
  <c r="B22" i="14"/>
  <c r="J22" i="14" s="1"/>
  <c r="C22" i="14"/>
  <c r="D22" i="14"/>
  <c r="E22" i="14"/>
  <c r="I22" i="14" s="1"/>
  <c r="F22" i="14"/>
  <c r="G22" i="14"/>
  <c r="H22" i="14"/>
  <c r="A23" i="14"/>
  <c r="B23" i="14"/>
  <c r="J23" i="14"/>
  <c r="C23" i="14"/>
  <c r="D23" i="14"/>
  <c r="E23" i="14"/>
  <c r="F23" i="14"/>
  <c r="G23" i="14"/>
  <c r="H23" i="14"/>
  <c r="A24" i="14"/>
  <c r="B24" i="14"/>
  <c r="J24" i="14"/>
  <c r="C24" i="14"/>
  <c r="I24" i="14" s="1"/>
  <c r="D24" i="14"/>
  <c r="E24" i="14"/>
  <c r="F24" i="14"/>
  <c r="G24" i="14"/>
  <c r="H24" i="14"/>
  <c r="A25" i="14"/>
  <c r="B25" i="14"/>
  <c r="J25" i="14" s="1"/>
  <c r="C25" i="14"/>
  <c r="D25" i="14"/>
  <c r="E25" i="14"/>
  <c r="I25" i="14" s="1"/>
  <c r="F25" i="14"/>
  <c r="G25" i="14"/>
  <c r="H25" i="14"/>
  <c r="A26" i="14"/>
  <c r="B26" i="14"/>
  <c r="J26" i="14" s="1"/>
  <c r="C26" i="14"/>
  <c r="D26" i="14"/>
  <c r="E26" i="14"/>
  <c r="F26" i="14"/>
  <c r="G26" i="14"/>
  <c r="H26" i="14"/>
  <c r="A32" i="14"/>
  <c r="A33" i="14"/>
  <c r="B33" i="14"/>
  <c r="A34" i="14"/>
  <c r="B34" i="14"/>
  <c r="A35" i="14"/>
  <c r="B35" i="14"/>
  <c r="A36" i="14"/>
  <c r="B36" i="14"/>
  <c r="A37" i="14"/>
  <c r="B37" i="14"/>
  <c r="A38" i="14"/>
  <c r="B38" i="14"/>
  <c r="A39" i="14"/>
  <c r="B39" i="14"/>
  <c r="A40" i="14"/>
  <c r="B40" i="14"/>
  <c r="A41" i="14"/>
  <c r="B41" i="14"/>
  <c r="A42" i="14"/>
  <c r="B42" i="14"/>
  <c r="A43" i="14"/>
  <c r="B43" i="14"/>
  <c r="A47" i="14"/>
  <c r="B47" i="14"/>
  <c r="A48" i="14"/>
  <c r="B48" i="14"/>
  <c r="A49" i="14"/>
  <c r="B49" i="14"/>
  <c r="A50" i="14"/>
  <c r="B50" i="14"/>
  <c r="A51" i="14"/>
  <c r="B51" i="14"/>
  <c r="A52" i="14"/>
  <c r="B52" i="14"/>
  <c r="A53" i="14"/>
  <c r="B53" i="14"/>
  <c r="A54" i="14"/>
  <c r="B54" i="14"/>
  <c r="A55" i="14"/>
  <c r="B55" i="14"/>
  <c r="A56" i="14"/>
  <c r="B56" i="14"/>
  <c r="A57" i="14"/>
  <c r="B57" i="14"/>
  <c r="A58" i="14"/>
  <c r="B58" i="14"/>
  <c r="A65" i="14"/>
  <c r="A66" i="14"/>
  <c r="A67" i="14"/>
  <c r="A68" i="14"/>
  <c r="A69" i="14"/>
  <c r="A70" i="14"/>
  <c r="A71" i="14"/>
  <c r="A72" i="14"/>
  <c r="A73" i="14"/>
  <c r="A74" i="14"/>
  <c r="A75" i="14"/>
  <c r="A76" i="14"/>
  <c r="B78" i="14"/>
  <c r="B79" i="14"/>
  <c r="A82" i="14"/>
  <c r="N82" i="14"/>
  <c r="O82" i="14"/>
  <c r="P82" i="14"/>
  <c r="Q82" i="14"/>
  <c r="R82" i="14"/>
  <c r="S82" i="14"/>
  <c r="T82" i="14"/>
  <c r="U82" i="14"/>
  <c r="V82" i="14"/>
  <c r="W82" i="14"/>
  <c r="X82" i="14"/>
  <c r="Y82" i="14"/>
  <c r="Z82" i="14"/>
  <c r="AA82" i="14"/>
  <c r="AB82" i="14"/>
  <c r="AC82" i="14"/>
  <c r="AD82" i="14"/>
  <c r="AE82" i="14"/>
  <c r="AF82" i="14"/>
  <c r="AG82" i="14"/>
  <c r="AH82" i="14"/>
  <c r="AI82" i="14"/>
  <c r="AJ82" i="14"/>
  <c r="AK82" i="14"/>
  <c r="A83" i="14"/>
  <c r="N83" i="14"/>
  <c r="O83" i="14"/>
  <c r="P83" i="14"/>
  <c r="Q83" i="14"/>
  <c r="R83" i="14"/>
  <c r="S83" i="14"/>
  <c r="T83" i="14"/>
  <c r="U83" i="14"/>
  <c r="V83" i="14"/>
  <c r="W83" i="14"/>
  <c r="X83" i="14"/>
  <c r="Y83" i="14"/>
  <c r="Z83" i="14"/>
  <c r="AA83" i="14"/>
  <c r="AB83" i="14"/>
  <c r="AC83" i="14"/>
  <c r="AD83" i="14"/>
  <c r="AE83" i="14"/>
  <c r="AF83" i="14"/>
  <c r="AG83" i="14"/>
  <c r="AH83" i="14"/>
  <c r="AI83" i="14"/>
  <c r="AJ83" i="14"/>
  <c r="AK83" i="14"/>
  <c r="A84" i="14"/>
  <c r="N84" i="14"/>
  <c r="O84" i="14"/>
  <c r="P84" i="14"/>
  <c r="Q84" i="14"/>
  <c r="R84" i="14"/>
  <c r="S84" i="14"/>
  <c r="T84" i="14"/>
  <c r="U84" i="14"/>
  <c r="V84" i="14"/>
  <c r="W84" i="14"/>
  <c r="X84" i="14"/>
  <c r="Y84" i="14"/>
  <c r="Z84" i="14"/>
  <c r="AA84" i="14"/>
  <c r="AB84" i="14"/>
  <c r="AC84" i="14"/>
  <c r="AD84" i="14"/>
  <c r="AE84" i="14"/>
  <c r="AF84" i="14"/>
  <c r="AG84" i="14"/>
  <c r="AH84" i="14"/>
  <c r="AI84" i="14"/>
  <c r="AJ84" i="14"/>
  <c r="AK84" i="14"/>
  <c r="A85" i="14"/>
  <c r="N85" i="14"/>
  <c r="O85" i="14"/>
  <c r="P85" i="14"/>
  <c r="Q85" i="14"/>
  <c r="R85" i="14"/>
  <c r="S85" i="14"/>
  <c r="T85" i="14"/>
  <c r="U85" i="14"/>
  <c r="V85" i="14"/>
  <c r="W85" i="14"/>
  <c r="X85" i="14"/>
  <c r="Y85" i="14"/>
  <c r="Z85" i="14"/>
  <c r="AA85" i="14"/>
  <c r="AB85" i="14"/>
  <c r="AC85" i="14"/>
  <c r="AD85" i="14"/>
  <c r="AE85" i="14"/>
  <c r="AF85" i="14"/>
  <c r="AG85" i="14"/>
  <c r="AH85" i="14"/>
  <c r="AI85" i="14"/>
  <c r="AJ85" i="14"/>
  <c r="AK85" i="14"/>
  <c r="A86" i="14"/>
  <c r="N86" i="14"/>
  <c r="O86" i="14"/>
  <c r="P86" i="14"/>
  <c r="Q86" i="14"/>
  <c r="R86" i="14"/>
  <c r="S86" i="14"/>
  <c r="T86" i="14"/>
  <c r="U86" i="14"/>
  <c r="V86" i="14"/>
  <c r="W86" i="14"/>
  <c r="X86" i="14"/>
  <c r="Y86" i="14"/>
  <c r="Z86" i="14"/>
  <c r="AA86" i="14"/>
  <c r="AB86" i="14"/>
  <c r="AC86" i="14"/>
  <c r="AD86" i="14"/>
  <c r="AE86" i="14"/>
  <c r="AF86" i="14"/>
  <c r="AG86" i="14"/>
  <c r="AH86" i="14"/>
  <c r="AI86" i="14"/>
  <c r="AJ86" i="14"/>
  <c r="AK86" i="14"/>
  <c r="A87" i="14"/>
  <c r="N87" i="14"/>
  <c r="O87" i="14"/>
  <c r="P87" i="14"/>
  <c r="Q87" i="14"/>
  <c r="R87" i="14"/>
  <c r="S87" i="14"/>
  <c r="T87" i="14"/>
  <c r="U87" i="14"/>
  <c r="V87" i="14"/>
  <c r="W87" i="14"/>
  <c r="X87" i="14"/>
  <c r="Y87" i="14"/>
  <c r="Z87" i="14"/>
  <c r="AA87" i="14"/>
  <c r="AB87" i="14"/>
  <c r="AC87" i="14"/>
  <c r="AD87" i="14"/>
  <c r="AE87" i="14"/>
  <c r="AF87" i="14"/>
  <c r="AG87" i="14"/>
  <c r="AH87" i="14"/>
  <c r="AI87" i="14"/>
  <c r="AJ87" i="14"/>
  <c r="AK87" i="14"/>
  <c r="A88" i="14"/>
  <c r="N88" i="14"/>
  <c r="O88" i="14"/>
  <c r="P88" i="14"/>
  <c r="Q88" i="14"/>
  <c r="R88" i="14"/>
  <c r="S88" i="14"/>
  <c r="T88" i="14"/>
  <c r="U88" i="14"/>
  <c r="V88" i="14"/>
  <c r="W88" i="14"/>
  <c r="X88" i="14"/>
  <c r="Y88" i="14"/>
  <c r="Z88" i="14"/>
  <c r="AA88" i="14"/>
  <c r="AB88" i="14"/>
  <c r="AC88" i="14"/>
  <c r="AD88" i="14"/>
  <c r="AE88" i="14"/>
  <c r="AF88" i="14"/>
  <c r="AG88" i="14"/>
  <c r="AH88" i="14"/>
  <c r="AI88" i="14"/>
  <c r="AJ88" i="14"/>
  <c r="AK88" i="14"/>
  <c r="A89" i="14"/>
  <c r="N89" i="14"/>
  <c r="O89" i="14"/>
  <c r="P89" i="14"/>
  <c r="Q89" i="14"/>
  <c r="R89" i="14"/>
  <c r="S89" i="14"/>
  <c r="T89" i="14"/>
  <c r="U89" i="14"/>
  <c r="V89" i="14"/>
  <c r="W89" i="14"/>
  <c r="X89" i="14"/>
  <c r="Y89" i="14"/>
  <c r="Z89" i="14"/>
  <c r="AA89" i="14"/>
  <c r="AB89" i="14"/>
  <c r="AC89" i="14"/>
  <c r="AD89" i="14"/>
  <c r="AE89" i="14"/>
  <c r="AF89" i="14"/>
  <c r="AG89" i="14"/>
  <c r="AH89" i="14"/>
  <c r="AI89" i="14"/>
  <c r="AJ89" i="14"/>
  <c r="AK89" i="14"/>
  <c r="A90" i="14"/>
  <c r="N90" i="14"/>
  <c r="O90" i="14"/>
  <c r="P90" i="14"/>
  <c r="Q90" i="14"/>
  <c r="R90" i="14"/>
  <c r="S90" i="14"/>
  <c r="T90" i="14"/>
  <c r="U90" i="14"/>
  <c r="V90" i="14"/>
  <c r="W90" i="14"/>
  <c r="X90" i="14"/>
  <c r="Y90" i="14"/>
  <c r="Z90" i="14"/>
  <c r="AA90" i="14"/>
  <c r="AB90" i="14"/>
  <c r="AC90" i="14"/>
  <c r="AD90" i="14"/>
  <c r="AE90" i="14"/>
  <c r="AF90" i="14"/>
  <c r="AG90" i="14"/>
  <c r="AH90" i="14"/>
  <c r="AI90" i="14"/>
  <c r="AJ90" i="14"/>
  <c r="AK90" i="14"/>
  <c r="A91" i="14"/>
  <c r="N91" i="14"/>
  <c r="O91" i="14"/>
  <c r="P91" i="14"/>
  <c r="Q91" i="14"/>
  <c r="R91" i="14"/>
  <c r="S91" i="14"/>
  <c r="T91" i="14"/>
  <c r="U91" i="14"/>
  <c r="V91" i="14"/>
  <c r="W91" i="14"/>
  <c r="X91" i="14"/>
  <c r="Y91" i="14"/>
  <c r="Z91" i="14"/>
  <c r="AA91" i="14"/>
  <c r="AB91" i="14"/>
  <c r="AC91" i="14"/>
  <c r="AD91" i="14"/>
  <c r="AE91" i="14"/>
  <c r="AF91" i="14"/>
  <c r="AG91" i="14"/>
  <c r="AH91" i="14"/>
  <c r="AI91" i="14"/>
  <c r="AJ91" i="14"/>
  <c r="AK91" i="14"/>
  <c r="A92" i="14"/>
  <c r="N92" i="14"/>
  <c r="O92" i="14"/>
  <c r="P92" i="14"/>
  <c r="Q92" i="14"/>
  <c r="R92" i="14"/>
  <c r="S92" i="14"/>
  <c r="T92" i="14"/>
  <c r="U92" i="14"/>
  <c r="V92" i="14"/>
  <c r="W92" i="14"/>
  <c r="X92" i="14"/>
  <c r="Y92" i="14"/>
  <c r="Z92" i="14"/>
  <c r="AA92" i="14"/>
  <c r="AB92" i="14"/>
  <c r="AC92" i="14"/>
  <c r="AD92" i="14"/>
  <c r="AE92" i="14"/>
  <c r="AF92" i="14"/>
  <c r="AG92" i="14"/>
  <c r="AH92" i="14"/>
  <c r="AI92" i="14"/>
  <c r="AJ92" i="14"/>
  <c r="AK92" i="14"/>
  <c r="A93" i="14"/>
  <c r="N93" i="14"/>
  <c r="O93" i="14"/>
  <c r="P93" i="14"/>
  <c r="Q93" i="14"/>
  <c r="R93" i="14"/>
  <c r="S93" i="14"/>
  <c r="T93" i="14"/>
  <c r="U93" i="14"/>
  <c r="V93" i="14"/>
  <c r="W93" i="14"/>
  <c r="X93" i="14"/>
  <c r="Y93" i="14"/>
  <c r="Z93" i="14"/>
  <c r="AA93" i="14"/>
  <c r="AB93" i="14"/>
  <c r="AC93" i="14"/>
  <c r="AD93" i="14"/>
  <c r="AE93" i="14"/>
  <c r="AF93" i="14"/>
  <c r="AG93" i="14"/>
  <c r="AH93" i="14"/>
  <c r="AI93" i="14"/>
  <c r="AJ93" i="14"/>
  <c r="AK93" i="14"/>
  <c r="A100" i="14"/>
  <c r="A101" i="14"/>
  <c r="A102" i="14"/>
  <c r="A103" i="14"/>
  <c r="A104" i="14"/>
  <c r="A105" i="14"/>
  <c r="A106" i="14"/>
  <c r="A107" i="14"/>
  <c r="A108" i="14"/>
  <c r="A109" i="14"/>
  <c r="A110" i="14"/>
  <c r="A111" i="14"/>
  <c r="E137" i="14"/>
  <c r="G137" i="14"/>
  <c r="H137" i="14"/>
  <c r="I137" i="14"/>
  <c r="E138" i="14"/>
  <c r="H138" i="14"/>
  <c r="I138" i="14"/>
  <c r="E139" i="14"/>
  <c r="H139" i="14"/>
  <c r="I139" i="14"/>
  <c r="E140" i="14"/>
  <c r="G140" i="14"/>
  <c r="H140" i="14"/>
  <c r="I140" i="14"/>
  <c r="E141" i="14"/>
  <c r="H141" i="14"/>
  <c r="I141" i="14"/>
  <c r="E142" i="14"/>
  <c r="H142" i="14"/>
  <c r="I142" i="14"/>
  <c r="E143" i="14"/>
  <c r="G143" i="14"/>
  <c r="H143" i="14"/>
  <c r="I143" i="14"/>
  <c r="E144" i="14"/>
  <c r="G144" i="14"/>
  <c r="H144" i="14"/>
  <c r="I144" i="14"/>
  <c r="A145" i="14"/>
  <c r="E145" i="14"/>
  <c r="G145" i="14"/>
  <c r="H145" i="14"/>
  <c r="I145" i="14"/>
  <c r="A146" i="14"/>
  <c r="E146" i="14"/>
  <c r="G146" i="14"/>
  <c r="H146" i="14"/>
  <c r="I146" i="14"/>
  <c r="A147" i="14"/>
  <c r="E147" i="14"/>
  <c r="H147" i="14"/>
  <c r="I147" i="14"/>
  <c r="A148" i="14"/>
  <c r="E148" i="14"/>
  <c r="H148" i="14"/>
  <c r="I148" i="14"/>
  <c r="A149" i="14"/>
  <c r="E149" i="14"/>
  <c r="G149" i="14"/>
  <c r="H149" i="14"/>
  <c r="I149" i="14"/>
  <c r="A150" i="14"/>
  <c r="E150" i="14"/>
  <c r="G150" i="14"/>
  <c r="H150" i="14"/>
  <c r="I150" i="14"/>
  <c r="A151" i="14"/>
  <c r="E151" i="14"/>
  <c r="H151" i="14"/>
  <c r="I151" i="14"/>
  <c r="A152" i="14"/>
  <c r="E152" i="14"/>
  <c r="G152" i="14"/>
  <c r="H152" i="14"/>
  <c r="I152" i="14"/>
  <c r="A153" i="14"/>
  <c r="E153" i="14"/>
  <c r="G153" i="14"/>
  <c r="H153" i="14"/>
  <c r="I153" i="14"/>
  <c r="E154" i="14"/>
  <c r="G154" i="14"/>
  <c r="H154" i="14"/>
  <c r="I154" i="14"/>
  <c r="E155" i="14"/>
  <c r="H155" i="14"/>
  <c r="I155" i="14"/>
  <c r="E156" i="14"/>
  <c r="H156" i="14"/>
  <c r="I156" i="14"/>
  <c r="E157" i="14"/>
  <c r="G157" i="14"/>
  <c r="H157" i="14"/>
  <c r="I157" i="14"/>
  <c r="E158" i="14"/>
  <c r="G158" i="14"/>
  <c r="H158" i="14"/>
  <c r="I158" i="14"/>
  <c r="E159" i="14"/>
  <c r="H159" i="14"/>
  <c r="I159" i="14"/>
  <c r="E160" i="14"/>
  <c r="H160" i="14"/>
  <c r="I160" i="14"/>
  <c r="E161" i="14"/>
  <c r="G161" i="14"/>
  <c r="H161" i="14"/>
  <c r="I161" i="14"/>
  <c r="A162" i="14"/>
  <c r="E162" i="14"/>
  <c r="G162" i="14"/>
  <c r="H162" i="14"/>
  <c r="I162" i="14"/>
  <c r="A163" i="14"/>
  <c r="E163" i="14"/>
  <c r="H163" i="14"/>
  <c r="I163" i="14"/>
  <c r="A164" i="14"/>
  <c r="E164" i="14"/>
  <c r="G164" i="14"/>
  <c r="H164" i="14"/>
  <c r="I164" i="14"/>
  <c r="A165" i="14"/>
  <c r="E165" i="14"/>
  <c r="G165" i="14"/>
  <c r="H165" i="14"/>
  <c r="I165" i="14"/>
  <c r="A166" i="14"/>
  <c r="E166" i="14"/>
  <c r="G166" i="14"/>
  <c r="H166" i="14"/>
  <c r="I166" i="14"/>
  <c r="A167" i="14"/>
  <c r="E167" i="14"/>
  <c r="H167" i="14"/>
  <c r="I167" i="14"/>
  <c r="A168" i="14"/>
  <c r="E168" i="14"/>
  <c r="H168" i="14"/>
  <c r="I168" i="14"/>
  <c r="A169" i="14"/>
  <c r="E169" i="14"/>
  <c r="G169" i="14"/>
  <c r="H169" i="14"/>
  <c r="I169" i="14"/>
  <c r="A170" i="14"/>
  <c r="E170" i="14"/>
  <c r="G170" i="14"/>
  <c r="H170" i="14"/>
  <c r="I170" i="14"/>
  <c r="E171" i="14"/>
  <c r="H171" i="14"/>
  <c r="I171" i="14"/>
  <c r="E172" i="14"/>
  <c r="G172" i="14"/>
  <c r="H172" i="14"/>
  <c r="I172" i="14"/>
  <c r="E173" i="14"/>
  <c r="G173" i="14"/>
  <c r="H173" i="14"/>
  <c r="I173" i="14"/>
  <c r="E174" i="14"/>
  <c r="H174" i="14"/>
  <c r="I174" i="14"/>
  <c r="E175" i="14"/>
  <c r="H175" i="14"/>
  <c r="I175" i="14"/>
  <c r="E176" i="14"/>
  <c r="G176" i="14"/>
  <c r="H176" i="14"/>
  <c r="I176" i="14"/>
  <c r="E177" i="14"/>
  <c r="G177" i="14"/>
  <c r="H177" i="14"/>
  <c r="I177" i="14"/>
  <c r="E178" i="14"/>
  <c r="H178" i="14"/>
  <c r="I178" i="14"/>
  <c r="E179" i="14"/>
  <c r="H179" i="14"/>
  <c r="I179" i="14"/>
  <c r="E180" i="14"/>
  <c r="G180" i="14"/>
  <c r="H180" i="14"/>
  <c r="I180" i="14"/>
  <c r="E181" i="14"/>
  <c r="H181" i="14"/>
  <c r="I181" i="14"/>
  <c r="E182" i="14"/>
  <c r="G182" i="14"/>
  <c r="H182" i="14"/>
  <c r="I182" i="14"/>
  <c r="E183" i="14"/>
  <c r="H183" i="14"/>
  <c r="I183" i="14"/>
  <c r="E184" i="14"/>
  <c r="G184" i="14"/>
  <c r="H184" i="14"/>
  <c r="I184" i="14"/>
  <c r="E185" i="14"/>
  <c r="H185" i="14"/>
  <c r="I185" i="14"/>
  <c r="E186" i="14"/>
  <c r="G186" i="14"/>
  <c r="H186" i="14"/>
  <c r="I186" i="14"/>
  <c r="E187" i="14"/>
  <c r="H187" i="14"/>
  <c r="I187" i="14"/>
  <c r="B194" i="14"/>
  <c r="E194" i="14"/>
  <c r="G194" i="14"/>
  <c r="H194" i="14"/>
  <c r="I194" i="14"/>
  <c r="B217" i="14"/>
  <c r="B219" i="14"/>
  <c r="B218" i="14"/>
  <c r="G195" i="14"/>
  <c r="H195" i="14"/>
  <c r="I195" i="14"/>
  <c r="G196" i="14"/>
  <c r="H196" i="14"/>
  <c r="I196" i="14"/>
  <c r="G197" i="14"/>
  <c r="H197" i="14"/>
  <c r="I197" i="14"/>
  <c r="B198" i="14"/>
  <c r="G198" i="14"/>
  <c r="H198" i="14"/>
  <c r="I198" i="14"/>
  <c r="B207" i="14"/>
  <c r="B208" i="14"/>
  <c r="B209" i="14"/>
  <c r="A247" i="14"/>
  <c r="I247" i="14"/>
  <c r="A250" i="14"/>
  <c r="B250" i="14"/>
  <c r="C250" i="14"/>
  <c r="D250" i="14"/>
  <c r="E250" i="14"/>
  <c r="F250" i="14"/>
  <c r="G250" i="14"/>
  <c r="I250" i="14"/>
  <c r="J250" i="14"/>
  <c r="K250" i="14"/>
  <c r="L250" i="14"/>
  <c r="M250" i="14"/>
  <c r="N250" i="14"/>
  <c r="O250" i="14"/>
  <c r="A251" i="14"/>
  <c r="B251" i="14"/>
  <c r="C251" i="14"/>
  <c r="D251" i="14"/>
  <c r="E251" i="14"/>
  <c r="F251" i="14"/>
  <c r="G251" i="14"/>
  <c r="I251" i="14"/>
  <c r="J251" i="14"/>
  <c r="K251" i="14"/>
  <c r="L251" i="14"/>
  <c r="M251" i="14"/>
  <c r="N251" i="14"/>
  <c r="O251" i="14"/>
  <c r="A252" i="14"/>
  <c r="B252" i="14"/>
  <c r="C252" i="14"/>
  <c r="D252" i="14"/>
  <c r="E252" i="14"/>
  <c r="F252" i="14"/>
  <c r="G252" i="14"/>
  <c r="I252" i="14"/>
  <c r="J252" i="14"/>
  <c r="K252" i="14"/>
  <c r="K255" i="14" s="1"/>
  <c r="L252" i="14"/>
  <c r="M252" i="14"/>
  <c r="N252" i="14"/>
  <c r="O252" i="14"/>
  <c r="A253" i="14"/>
  <c r="B253" i="14"/>
  <c r="C253" i="14"/>
  <c r="D253" i="14"/>
  <c r="E253" i="14"/>
  <c r="F253" i="14"/>
  <c r="G253" i="14"/>
  <c r="I253" i="14"/>
  <c r="J253" i="14"/>
  <c r="K253" i="14"/>
  <c r="L253" i="14"/>
  <c r="M253" i="14"/>
  <c r="N253" i="14"/>
  <c r="O253" i="14"/>
  <c r="A254" i="14"/>
  <c r="B254" i="14"/>
  <c r="C254" i="14"/>
  <c r="D254" i="14"/>
  <c r="E254" i="14"/>
  <c r="F254" i="14"/>
  <c r="G254" i="14"/>
  <c r="I254" i="14"/>
  <c r="J254" i="14"/>
  <c r="K254" i="14"/>
  <c r="L254" i="14"/>
  <c r="M254" i="14"/>
  <c r="N254" i="14"/>
  <c r="O254" i="14"/>
  <c r="A257" i="14"/>
  <c r="I257" i="14"/>
  <c r="A260" i="14"/>
  <c r="B260" i="14"/>
  <c r="C260" i="14"/>
  <c r="D260" i="14"/>
  <c r="E260" i="14"/>
  <c r="F260" i="14"/>
  <c r="G260" i="14"/>
  <c r="I260" i="14"/>
  <c r="J260" i="14"/>
  <c r="K260" i="14"/>
  <c r="L260" i="14"/>
  <c r="M260" i="14"/>
  <c r="N260" i="14"/>
  <c r="O260" i="14"/>
  <c r="A261" i="14"/>
  <c r="B261" i="14"/>
  <c r="C261" i="14"/>
  <c r="D261" i="14"/>
  <c r="E261" i="14"/>
  <c r="F261" i="14"/>
  <c r="G261" i="14"/>
  <c r="I261" i="14"/>
  <c r="J261" i="14"/>
  <c r="K261" i="14"/>
  <c r="L261" i="14"/>
  <c r="M261" i="14"/>
  <c r="N261" i="14"/>
  <c r="O261" i="14"/>
  <c r="A262" i="14"/>
  <c r="B262" i="14"/>
  <c r="C262" i="14"/>
  <c r="D262" i="14"/>
  <c r="E262" i="14"/>
  <c r="F262" i="14"/>
  <c r="G262" i="14"/>
  <c r="I262" i="14"/>
  <c r="J262" i="14"/>
  <c r="K262" i="14"/>
  <c r="L262" i="14"/>
  <c r="M262" i="14"/>
  <c r="N262" i="14"/>
  <c r="O262" i="14"/>
  <c r="A263" i="14"/>
  <c r="B263" i="14"/>
  <c r="C263" i="14"/>
  <c r="D263" i="14"/>
  <c r="E263" i="14"/>
  <c r="F263" i="14"/>
  <c r="G263" i="14"/>
  <c r="I263" i="14"/>
  <c r="J263" i="14"/>
  <c r="K263" i="14"/>
  <c r="L263" i="14"/>
  <c r="M263" i="14"/>
  <c r="N263" i="14"/>
  <c r="O263" i="14"/>
  <c r="A264" i="14"/>
  <c r="B264" i="14"/>
  <c r="C264" i="14"/>
  <c r="D264" i="14"/>
  <c r="E264" i="14"/>
  <c r="F264" i="14"/>
  <c r="G264" i="14"/>
  <c r="I264" i="14"/>
  <c r="J264" i="14"/>
  <c r="K264" i="14"/>
  <c r="L264" i="14"/>
  <c r="M264" i="14"/>
  <c r="N264" i="14"/>
  <c r="O264" i="14"/>
  <c r="A268" i="14"/>
  <c r="I268" i="14"/>
  <c r="A271" i="14"/>
  <c r="B271" i="14"/>
  <c r="C271" i="14"/>
  <c r="C272" i="14"/>
  <c r="C273" i="14"/>
  <c r="C274" i="14"/>
  <c r="C275" i="14"/>
  <c r="E271" i="14"/>
  <c r="F271" i="14"/>
  <c r="G271" i="14"/>
  <c r="I271" i="14"/>
  <c r="J271" i="14"/>
  <c r="K271" i="14"/>
  <c r="K272" i="14"/>
  <c r="K276" i="14" s="1"/>
  <c r="K273" i="14"/>
  <c r="K274" i="14"/>
  <c r="K275" i="14"/>
  <c r="L271" i="14"/>
  <c r="M271" i="14"/>
  <c r="N271" i="14"/>
  <c r="O271" i="14"/>
  <c r="A272" i="14"/>
  <c r="B272" i="14"/>
  <c r="D272" i="14"/>
  <c r="E272" i="14"/>
  <c r="F272" i="14"/>
  <c r="G272" i="14"/>
  <c r="I272" i="14"/>
  <c r="J272" i="14"/>
  <c r="L272" i="14"/>
  <c r="M272" i="14"/>
  <c r="N272" i="14"/>
  <c r="O272" i="14"/>
  <c r="A273" i="14"/>
  <c r="B273" i="14"/>
  <c r="D273" i="14"/>
  <c r="E273" i="14"/>
  <c r="F273" i="14"/>
  <c r="G273" i="14"/>
  <c r="I273" i="14"/>
  <c r="J273" i="14"/>
  <c r="L273" i="14"/>
  <c r="M273" i="14"/>
  <c r="N273" i="14"/>
  <c r="O273" i="14"/>
  <c r="A274" i="14"/>
  <c r="B274" i="14"/>
  <c r="D274" i="14"/>
  <c r="E274" i="14"/>
  <c r="F274" i="14"/>
  <c r="G274" i="14"/>
  <c r="I274" i="14"/>
  <c r="J274" i="14"/>
  <c r="L274" i="14"/>
  <c r="M274" i="14"/>
  <c r="N274" i="14"/>
  <c r="O274" i="14"/>
  <c r="A275" i="14"/>
  <c r="B275" i="14"/>
  <c r="D275" i="14"/>
  <c r="E275" i="14"/>
  <c r="F275" i="14"/>
  <c r="G275" i="14"/>
  <c r="I275" i="14"/>
  <c r="J275" i="14"/>
  <c r="L275" i="14"/>
  <c r="M275" i="14"/>
  <c r="N275" i="14"/>
  <c r="O275" i="14"/>
  <c r="A278" i="14"/>
  <c r="I278" i="14"/>
  <c r="A281" i="14"/>
  <c r="B281" i="14"/>
  <c r="C281" i="14"/>
  <c r="D281" i="14"/>
  <c r="E281" i="14"/>
  <c r="F281" i="14"/>
  <c r="G281" i="14"/>
  <c r="I281" i="14"/>
  <c r="J281" i="14"/>
  <c r="K281" i="14"/>
  <c r="L281" i="14"/>
  <c r="M281" i="14"/>
  <c r="N281" i="14"/>
  <c r="O281" i="14"/>
  <c r="A282" i="14"/>
  <c r="B282" i="14"/>
  <c r="C282" i="14"/>
  <c r="D282" i="14"/>
  <c r="E282" i="14"/>
  <c r="F282" i="14"/>
  <c r="G282" i="14"/>
  <c r="I282" i="14"/>
  <c r="J282" i="14"/>
  <c r="K282" i="14"/>
  <c r="L282" i="14"/>
  <c r="M282" i="14"/>
  <c r="N282" i="14"/>
  <c r="O282" i="14"/>
  <c r="A283" i="14"/>
  <c r="B283" i="14"/>
  <c r="C283" i="14"/>
  <c r="D283" i="14"/>
  <c r="E283" i="14"/>
  <c r="F283" i="14"/>
  <c r="G283" i="14"/>
  <c r="I283" i="14"/>
  <c r="J283" i="14"/>
  <c r="K283" i="14"/>
  <c r="L283" i="14"/>
  <c r="M283" i="14"/>
  <c r="N283" i="14"/>
  <c r="O283" i="14"/>
  <c r="A284" i="14"/>
  <c r="B284" i="14"/>
  <c r="C284" i="14"/>
  <c r="D284" i="14"/>
  <c r="E284" i="14"/>
  <c r="F284" i="14"/>
  <c r="G284" i="14"/>
  <c r="I284" i="14"/>
  <c r="J284" i="14"/>
  <c r="K284" i="14"/>
  <c r="L284" i="14"/>
  <c r="M284" i="14"/>
  <c r="N284" i="14"/>
  <c r="O284" i="14"/>
  <c r="A285" i="14"/>
  <c r="B285" i="14"/>
  <c r="C285" i="14"/>
  <c r="D285" i="14"/>
  <c r="E285" i="14"/>
  <c r="F285" i="14"/>
  <c r="G285" i="14"/>
  <c r="I285" i="14"/>
  <c r="J285" i="14"/>
  <c r="K285" i="14"/>
  <c r="L285" i="14"/>
  <c r="M285" i="14"/>
  <c r="N285" i="14"/>
  <c r="O285" i="14"/>
  <c r="A288" i="14"/>
  <c r="I288" i="14"/>
  <c r="A291" i="14"/>
  <c r="B291" i="14"/>
  <c r="C291" i="14"/>
  <c r="D291" i="14"/>
  <c r="E291" i="14"/>
  <c r="F291" i="14"/>
  <c r="G291" i="14"/>
  <c r="I291" i="14"/>
  <c r="J291" i="14"/>
  <c r="K291" i="14"/>
  <c r="L291" i="14"/>
  <c r="M291" i="14"/>
  <c r="N291" i="14"/>
  <c r="O291" i="14"/>
  <c r="A292" i="14"/>
  <c r="B292" i="14"/>
  <c r="C292" i="14"/>
  <c r="D292" i="14"/>
  <c r="E292" i="14"/>
  <c r="F292" i="14"/>
  <c r="G292" i="14"/>
  <c r="I292" i="14"/>
  <c r="J292" i="14"/>
  <c r="K292" i="14"/>
  <c r="L292" i="14"/>
  <c r="M292" i="14"/>
  <c r="N292" i="14"/>
  <c r="O292" i="14"/>
  <c r="A293" i="14"/>
  <c r="B293" i="14"/>
  <c r="C293" i="14"/>
  <c r="D293" i="14"/>
  <c r="E293" i="14"/>
  <c r="F293" i="14"/>
  <c r="G293" i="14"/>
  <c r="I293" i="14"/>
  <c r="J293" i="14"/>
  <c r="K293" i="14"/>
  <c r="L293" i="14"/>
  <c r="M293" i="14"/>
  <c r="N293" i="14"/>
  <c r="O293" i="14"/>
  <c r="A294" i="14"/>
  <c r="B294" i="14"/>
  <c r="C294" i="14"/>
  <c r="D294" i="14"/>
  <c r="E294" i="14"/>
  <c r="F294" i="14"/>
  <c r="G294" i="14"/>
  <c r="I294" i="14"/>
  <c r="J294" i="14"/>
  <c r="K294" i="14"/>
  <c r="L294" i="14"/>
  <c r="M294" i="14"/>
  <c r="N294" i="14"/>
  <c r="O294" i="14"/>
  <c r="A295" i="14"/>
  <c r="B295" i="14"/>
  <c r="C295" i="14"/>
  <c r="D295" i="14"/>
  <c r="E295" i="14"/>
  <c r="F295" i="14"/>
  <c r="G295" i="14"/>
  <c r="I295" i="14"/>
  <c r="J295" i="14"/>
  <c r="K295" i="14"/>
  <c r="L295" i="14"/>
  <c r="M295" i="14"/>
  <c r="N295" i="14"/>
  <c r="O295" i="14"/>
  <c r="C296" i="14"/>
  <c r="A298" i="14"/>
  <c r="I298" i="14"/>
  <c r="A301" i="14"/>
  <c r="B301" i="14"/>
  <c r="C301" i="14"/>
  <c r="D301" i="14"/>
  <c r="E301" i="14"/>
  <c r="F301" i="14"/>
  <c r="G301" i="14"/>
  <c r="I301" i="14"/>
  <c r="J301" i="14"/>
  <c r="K301" i="14"/>
  <c r="K306" i="14" s="1"/>
  <c r="L301" i="14"/>
  <c r="M301" i="14"/>
  <c r="N301" i="14"/>
  <c r="O301" i="14"/>
  <c r="A302" i="14"/>
  <c r="B302" i="14"/>
  <c r="C302" i="14"/>
  <c r="D302" i="14"/>
  <c r="E302" i="14"/>
  <c r="F302" i="14"/>
  <c r="G302" i="14"/>
  <c r="I302" i="14"/>
  <c r="J302" i="14"/>
  <c r="K302" i="14"/>
  <c r="L302" i="14"/>
  <c r="M302" i="14"/>
  <c r="N302" i="14"/>
  <c r="O302" i="14"/>
  <c r="A303" i="14"/>
  <c r="B303" i="14"/>
  <c r="C303" i="14"/>
  <c r="D303" i="14"/>
  <c r="E303" i="14"/>
  <c r="F303" i="14"/>
  <c r="G303" i="14"/>
  <c r="I303" i="14"/>
  <c r="J303" i="14"/>
  <c r="K303" i="14"/>
  <c r="L303" i="14"/>
  <c r="M303" i="14"/>
  <c r="N303" i="14"/>
  <c r="O303" i="14"/>
  <c r="A304" i="14"/>
  <c r="B304" i="14"/>
  <c r="C304" i="14"/>
  <c r="D304" i="14"/>
  <c r="E304" i="14"/>
  <c r="F304" i="14"/>
  <c r="G304" i="14"/>
  <c r="I304" i="14"/>
  <c r="J304" i="14"/>
  <c r="K304" i="14"/>
  <c r="L304" i="14"/>
  <c r="M304" i="14"/>
  <c r="N304" i="14"/>
  <c r="O304" i="14"/>
  <c r="A305" i="14"/>
  <c r="B305" i="14"/>
  <c r="C305" i="14"/>
  <c r="D305" i="14"/>
  <c r="E305" i="14"/>
  <c r="F305" i="14"/>
  <c r="G305" i="14"/>
  <c r="I305" i="14"/>
  <c r="J305" i="14"/>
  <c r="K305" i="14"/>
  <c r="L305" i="14"/>
  <c r="M305" i="14"/>
  <c r="N305" i="14"/>
  <c r="O305" i="14"/>
  <c r="A312" i="14"/>
  <c r="D312" i="14"/>
  <c r="G312" i="14"/>
  <c r="K312" i="14"/>
  <c r="A313" i="14"/>
  <c r="C313" i="14"/>
  <c r="D313" i="14"/>
  <c r="F313" i="14"/>
  <c r="H313" i="14"/>
  <c r="J313" i="14"/>
  <c r="K313" i="14"/>
  <c r="A314" i="14"/>
  <c r="D314" i="14"/>
  <c r="E314" i="14"/>
  <c r="F314" i="14"/>
  <c r="G314" i="14"/>
  <c r="H314" i="14"/>
  <c r="I314" i="14"/>
  <c r="J314" i="14"/>
  <c r="K314" i="14"/>
  <c r="A315" i="14"/>
  <c r="D315" i="14"/>
  <c r="F315" i="14"/>
  <c r="G315" i="14"/>
  <c r="H315" i="14"/>
  <c r="J315" i="14"/>
  <c r="K315" i="14"/>
  <c r="A316" i="14"/>
  <c r="D316" i="14"/>
  <c r="F316" i="14"/>
  <c r="H316" i="14"/>
  <c r="J316" i="14"/>
  <c r="K316" i="14"/>
  <c r="A317" i="14"/>
  <c r="C317" i="14"/>
  <c r="D317" i="14"/>
  <c r="E317" i="14"/>
  <c r="F317" i="14"/>
  <c r="H317" i="14"/>
  <c r="J317" i="14"/>
  <c r="K317" i="14"/>
  <c r="A318" i="14"/>
  <c r="C318" i="14"/>
  <c r="D318" i="14"/>
  <c r="G318" i="14"/>
  <c r="I318" i="14"/>
  <c r="J318" i="14"/>
  <c r="K318" i="14"/>
  <c r="A319" i="14"/>
  <c r="D319" i="14"/>
  <c r="G319" i="14"/>
  <c r="H319" i="14"/>
  <c r="I319" i="14"/>
  <c r="J319" i="14"/>
  <c r="K319" i="14"/>
  <c r="A320" i="14"/>
  <c r="D320" i="14"/>
  <c r="F320" i="14"/>
  <c r="G320" i="14"/>
  <c r="H320" i="14"/>
  <c r="K320" i="14"/>
  <c r="A321" i="14"/>
  <c r="C321" i="14"/>
  <c r="E321" i="14"/>
  <c r="F321" i="14"/>
  <c r="G321" i="14"/>
  <c r="H321" i="14"/>
  <c r="K321" i="14"/>
  <c r="A322" i="14"/>
  <c r="C322" i="14"/>
  <c r="D322" i="14"/>
  <c r="E322" i="14"/>
  <c r="H322" i="14"/>
  <c r="K322" i="14"/>
  <c r="A323" i="14"/>
  <c r="E323" i="14"/>
  <c r="G323" i="14"/>
  <c r="H323" i="14"/>
  <c r="K323" i="14"/>
  <c r="A338" i="14"/>
  <c r="B338" i="14"/>
  <c r="C338" i="14"/>
  <c r="D338" i="14"/>
  <c r="E338" i="14"/>
  <c r="F338" i="14"/>
  <c r="G338" i="14"/>
  <c r="H338" i="14"/>
  <c r="I338" i="14"/>
  <c r="J338" i="14"/>
  <c r="K338" i="14"/>
  <c r="L338" i="14"/>
  <c r="M338" i="14"/>
  <c r="N338" i="14"/>
  <c r="O338" i="14"/>
  <c r="P338" i="14"/>
  <c r="Q338" i="14"/>
  <c r="R338" i="14"/>
  <c r="S338" i="14"/>
  <c r="T338" i="14"/>
  <c r="U338" i="14"/>
  <c r="V338" i="14"/>
  <c r="W338" i="14"/>
  <c r="X338" i="14"/>
  <c r="Y338" i="14"/>
  <c r="Z338" i="14"/>
  <c r="AA338" i="14"/>
  <c r="AB338" i="14"/>
  <c r="AC338" i="14"/>
  <c r="AD338" i="14"/>
  <c r="AE338" i="14"/>
  <c r="AF338" i="14"/>
  <c r="AG338" i="14"/>
  <c r="AH338" i="14"/>
  <c r="AI338" i="14"/>
  <c r="AJ338" i="14"/>
  <c r="AK338" i="14"/>
  <c r="AL338" i="14"/>
  <c r="A339" i="14"/>
  <c r="B339" i="14"/>
  <c r="C339" i="14"/>
  <c r="D339" i="14"/>
  <c r="E339" i="14"/>
  <c r="F339" i="14"/>
  <c r="G339" i="14"/>
  <c r="H339" i="14"/>
  <c r="I339" i="14"/>
  <c r="J339" i="14"/>
  <c r="K339" i="14"/>
  <c r="L339" i="14"/>
  <c r="M339" i="14"/>
  <c r="N339" i="14"/>
  <c r="O339" i="14"/>
  <c r="P339" i="14"/>
  <c r="Q339" i="14"/>
  <c r="R339" i="14"/>
  <c r="S339" i="14"/>
  <c r="T339" i="14"/>
  <c r="U339" i="14"/>
  <c r="V339" i="14"/>
  <c r="W339" i="14"/>
  <c r="X339" i="14"/>
  <c r="Y339" i="14"/>
  <c r="Z339" i="14"/>
  <c r="AA339" i="14"/>
  <c r="AB339" i="14"/>
  <c r="AC339" i="14"/>
  <c r="AD339" i="14"/>
  <c r="AE339" i="14"/>
  <c r="AF339" i="14"/>
  <c r="AG339" i="14"/>
  <c r="AH339" i="14"/>
  <c r="AI339" i="14"/>
  <c r="AJ339" i="14"/>
  <c r="AK339" i="14"/>
  <c r="AL339" i="14"/>
  <c r="A340" i="14"/>
  <c r="B340" i="14"/>
  <c r="C340" i="14"/>
  <c r="D340" i="14"/>
  <c r="E340" i="14"/>
  <c r="F340" i="14"/>
  <c r="G340" i="14"/>
  <c r="H340" i="14"/>
  <c r="I340" i="14"/>
  <c r="J340" i="14"/>
  <c r="K340" i="14"/>
  <c r="L340" i="14"/>
  <c r="M340" i="14"/>
  <c r="N340" i="14"/>
  <c r="O340" i="14"/>
  <c r="P340" i="14"/>
  <c r="Q340" i="14"/>
  <c r="R340" i="14"/>
  <c r="S340" i="14"/>
  <c r="T340" i="14"/>
  <c r="U340" i="14"/>
  <c r="V340" i="14"/>
  <c r="W340" i="14"/>
  <c r="X340" i="14"/>
  <c r="Y340" i="14"/>
  <c r="Z340" i="14"/>
  <c r="AA340" i="14"/>
  <c r="AB340" i="14"/>
  <c r="AC340" i="14"/>
  <c r="AD340" i="14"/>
  <c r="AE340" i="14"/>
  <c r="AF340" i="14"/>
  <c r="AG340" i="14"/>
  <c r="AH340" i="14"/>
  <c r="AI340" i="14"/>
  <c r="AJ340" i="14"/>
  <c r="AK340" i="14"/>
  <c r="AL340" i="14"/>
  <c r="A341" i="14"/>
  <c r="C341" i="14"/>
  <c r="D341" i="14"/>
  <c r="E341" i="14"/>
  <c r="F341" i="14"/>
  <c r="G341" i="14"/>
  <c r="H341" i="14"/>
  <c r="I341" i="14"/>
  <c r="J341" i="14"/>
  <c r="K341" i="14"/>
  <c r="L341" i="14"/>
  <c r="M341" i="14"/>
  <c r="N341" i="14"/>
  <c r="O341" i="14"/>
  <c r="P341" i="14"/>
  <c r="Q341" i="14"/>
  <c r="R341" i="14"/>
  <c r="S341" i="14"/>
  <c r="T341" i="14"/>
  <c r="U341" i="14"/>
  <c r="V341" i="14"/>
  <c r="W341" i="14"/>
  <c r="X341" i="14"/>
  <c r="Y341" i="14"/>
  <c r="Z341" i="14"/>
  <c r="AA341" i="14"/>
  <c r="AB341" i="14"/>
  <c r="AC341" i="14"/>
  <c r="AD341" i="14"/>
  <c r="AE341" i="14"/>
  <c r="AF341" i="14"/>
  <c r="AG341" i="14"/>
  <c r="AH341" i="14"/>
  <c r="AI341" i="14"/>
  <c r="AJ341" i="14"/>
  <c r="AK341" i="14"/>
  <c r="AL341" i="14"/>
  <c r="A342" i="14"/>
  <c r="B342" i="14"/>
  <c r="C342" i="14"/>
  <c r="D342" i="14"/>
  <c r="E342" i="14"/>
  <c r="F342" i="14"/>
  <c r="G342" i="14"/>
  <c r="H342" i="14"/>
  <c r="I342" i="14"/>
  <c r="J342" i="14"/>
  <c r="K342" i="14"/>
  <c r="L342" i="14"/>
  <c r="M342" i="14"/>
  <c r="N342" i="14"/>
  <c r="O342" i="14"/>
  <c r="P342" i="14"/>
  <c r="Q342" i="14"/>
  <c r="R342" i="14"/>
  <c r="S342" i="14"/>
  <c r="T342" i="14"/>
  <c r="U342" i="14"/>
  <c r="V342" i="14"/>
  <c r="W342" i="14"/>
  <c r="X342" i="14"/>
  <c r="Y342" i="14"/>
  <c r="Z342" i="14"/>
  <c r="AA342" i="14"/>
  <c r="AB342" i="14"/>
  <c r="AC342" i="14"/>
  <c r="AD342" i="14"/>
  <c r="AE342" i="14"/>
  <c r="AF342" i="14"/>
  <c r="AG342" i="14"/>
  <c r="AH342" i="14"/>
  <c r="AI342" i="14"/>
  <c r="AJ342" i="14"/>
  <c r="AK342" i="14"/>
  <c r="AL342" i="14"/>
  <c r="A343" i="14"/>
  <c r="B343" i="14"/>
  <c r="C343" i="14"/>
  <c r="D343" i="14"/>
  <c r="E343" i="14"/>
  <c r="F343" i="14"/>
  <c r="G343" i="14"/>
  <c r="H343" i="14"/>
  <c r="I343" i="14"/>
  <c r="J343" i="14"/>
  <c r="K343" i="14"/>
  <c r="L343" i="14"/>
  <c r="M343" i="14"/>
  <c r="N343" i="14"/>
  <c r="O343" i="14"/>
  <c r="P343" i="14"/>
  <c r="Q343" i="14"/>
  <c r="R343" i="14"/>
  <c r="S343" i="14"/>
  <c r="T343" i="14"/>
  <c r="U343" i="14"/>
  <c r="V343" i="14"/>
  <c r="W343" i="14"/>
  <c r="X343" i="14"/>
  <c r="Y343" i="14"/>
  <c r="Z343" i="14"/>
  <c r="AA343" i="14"/>
  <c r="AB343" i="14"/>
  <c r="AC343" i="14"/>
  <c r="AD343" i="14"/>
  <c r="AE343" i="14"/>
  <c r="AF343" i="14"/>
  <c r="AG343" i="14"/>
  <c r="AH343" i="14"/>
  <c r="AI343" i="14"/>
  <c r="AJ343" i="14"/>
  <c r="AK343" i="14"/>
  <c r="AL343" i="14"/>
  <c r="A344" i="14"/>
  <c r="C344" i="14"/>
  <c r="D344" i="14"/>
  <c r="E344" i="14"/>
  <c r="F344" i="14"/>
  <c r="G344" i="14"/>
  <c r="H344" i="14"/>
  <c r="I344" i="14"/>
  <c r="J344" i="14"/>
  <c r="K344" i="14"/>
  <c r="L344" i="14"/>
  <c r="M344" i="14"/>
  <c r="N344" i="14"/>
  <c r="O344" i="14"/>
  <c r="P344" i="14"/>
  <c r="Q344" i="14"/>
  <c r="R344" i="14"/>
  <c r="S344" i="14"/>
  <c r="T344" i="14"/>
  <c r="U344" i="14"/>
  <c r="V344" i="14"/>
  <c r="W344" i="14"/>
  <c r="X344" i="14"/>
  <c r="Y344" i="14"/>
  <c r="Z344" i="14"/>
  <c r="AA344" i="14"/>
  <c r="AB344" i="14"/>
  <c r="AC344" i="14"/>
  <c r="AD344" i="14"/>
  <c r="AE344" i="14"/>
  <c r="AF344" i="14"/>
  <c r="AG344" i="14"/>
  <c r="AH344" i="14"/>
  <c r="AI344" i="14"/>
  <c r="AJ344" i="14"/>
  <c r="AK344" i="14"/>
  <c r="AL344" i="14"/>
  <c r="A345" i="14"/>
  <c r="B345" i="14"/>
  <c r="C345" i="14"/>
  <c r="D345" i="14"/>
  <c r="E345" i="14"/>
  <c r="F345" i="14"/>
  <c r="G345" i="14"/>
  <c r="H345" i="14"/>
  <c r="I345" i="14"/>
  <c r="J345" i="14"/>
  <c r="K345" i="14"/>
  <c r="L345" i="14"/>
  <c r="M345" i="14"/>
  <c r="N345" i="14"/>
  <c r="O345" i="14"/>
  <c r="P345" i="14"/>
  <c r="Q345" i="14"/>
  <c r="R345" i="14"/>
  <c r="S345" i="14"/>
  <c r="T345" i="14"/>
  <c r="U345" i="14"/>
  <c r="V345" i="14"/>
  <c r="W345" i="14"/>
  <c r="X345" i="14"/>
  <c r="Y345" i="14"/>
  <c r="Z345" i="14"/>
  <c r="AA345" i="14"/>
  <c r="AB345" i="14"/>
  <c r="AC345" i="14"/>
  <c r="AD345" i="14"/>
  <c r="AE345" i="14"/>
  <c r="AF345" i="14"/>
  <c r="AG345" i="14"/>
  <c r="AH345" i="14"/>
  <c r="AI345" i="14"/>
  <c r="AJ345" i="14"/>
  <c r="AK345" i="14"/>
  <c r="AL345" i="14"/>
  <c r="A354" i="14"/>
  <c r="AR354" i="14"/>
  <c r="AS354" i="14"/>
  <c r="A355" i="14"/>
  <c r="AR355" i="14"/>
  <c r="AS355" i="14"/>
  <c r="A356" i="14"/>
  <c r="AR356" i="14"/>
  <c r="AS356" i="14"/>
  <c r="A357" i="14"/>
  <c r="AR357" i="14"/>
  <c r="AS357" i="14"/>
  <c r="A358" i="14"/>
  <c r="AR358" i="14"/>
  <c r="AS358" i="14"/>
  <c r="A359" i="14"/>
  <c r="AR359" i="14"/>
  <c r="AS359" i="14"/>
  <c r="A360" i="14"/>
  <c r="AR360" i="14"/>
  <c r="AS360" i="14"/>
  <c r="A361" i="14"/>
  <c r="AR361" i="14"/>
  <c r="AS361" i="14"/>
  <c r="A369" i="14"/>
  <c r="C369" i="14"/>
  <c r="C373" i="14"/>
  <c r="C374" i="14"/>
  <c r="C375" i="14"/>
  <c r="C376" i="14"/>
  <c r="C377" i="14"/>
  <c r="C378" i="14"/>
  <c r="C379" i="14"/>
  <c r="C380" i="14"/>
  <c r="C381" i="14"/>
  <c r="C382" i="14"/>
  <c r="C383" i="14"/>
  <c r="C384" i="14"/>
  <c r="C385" i="14"/>
  <c r="C386" i="14"/>
  <c r="C387" i="14"/>
  <c r="C388" i="14"/>
  <c r="C389" i="14"/>
  <c r="C390" i="14"/>
  <c r="C391" i="14"/>
  <c r="D369" i="14"/>
  <c r="P369" i="14"/>
  <c r="Q369" i="14"/>
  <c r="A370" i="14"/>
  <c r="E370" i="14"/>
  <c r="O370" i="14"/>
  <c r="S370" i="14"/>
  <c r="A371" i="14"/>
  <c r="D371" i="14"/>
  <c r="M371" i="14"/>
  <c r="O371" i="14"/>
  <c r="R371" i="14"/>
  <c r="S371" i="14"/>
  <c r="A372" i="14"/>
  <c r="D372" i="14"/>
  <c r="E372" i="14"/>
  <c r="G372" i="14"/>
  <c r="H372" i="14"/>
  <c r="L372" i="14"/>
  <c r="N372" i="14"/>
  <c r="Q372" i="14"/>
  <c r="A373" i="14"/>
  <c r="F373" i="14"/>
  <c r="G373" i="14"/>
  <c r="M373" i="14"/>
  <c r="O373" i="14"/>
  <c r="P373" i="14"/>
  <c r="R373" i="14"/>
  <c r="S373" i="14"/>
  <c r="A374" i="14"/>
  <c r="F374" i="14"/>
  <c r="G374" i="14"/>
  <c r="J374" i="14"/>
  <c r="K374" i="14"/>
  <c r="O374" i="14"/>
  <c r="R374" i="14"/>
  <c r="S374" i="14"/>
  <c r="A375" i="14"/>
  <c r="B375" i="14"/>
  <c r="D375" i="14"/>
  <c r="E375" i="14"/>
  <c r="F375" i="14"/>
  <c r="G375" i="14"/>
  <c r="H375" i="14"/>
  <c r="I375" i="14"/>
  <c r="J375" i="14"/>
  <c r="K375" i="14"/>
  <c r="L375" i="14"/>
  <c r="M375" i="14"/>
  <c r="N375" i="14"/>
  <c r="O375" i="14"/>
  <c r="P375" i="14"/>
  <c r="Q375" i="14"/>
  <c r="R375" i="14"/>
  <c r="S375" i="14"/>
  <c r="T375" i="14"/>
  <c r="U375" i="14"/>
  <c r="V375" i="14"/>
  <c r="W375" i="14"/>
  <c r="X375" i="14"/>
  <c r="Y375" i="14"/>
  <c r="Z375" i="14"/>
  <c r="AA375" i="14"/>
  <c r="AB375" i="14"/>
  <c r="AC375" i="14"/>
  <c r="AD375" i="14"/>
  <c r="AE375" i="14"/>
  <c r="AF375" i="14"/>
  <c r="AG375" i="14"/>
  <c r="AH375" i="14"/>
  <c r="AI375" i="14"/>
  <c r="AJ375" i="14"/>
  <c r="AK375" i="14"/>
  <c r="AL375" i="14"/>
  <c r="A376" i="14"/>
  <c r="B376" i="14"/>
  <c r="D376" i="14"/>
  <c r="E376" i="14"/>
  <c r="F376" i="14"/>
  <c r="G376" i="14"/>
  <c r="H376" i="14"/>
  <c r="I376" i="14"/>
  <c r="J376" i="14"/>
  <c r="K376" i="14"/>
  <c r="L376" i="14"/>
  <c r="M376" i="14"/>
  <c r="N376" i="14"/>
  <c r="O376" i="14"/>
  <c r="P376" i="14"/>
  <c r="Q376" i="14"/>
  <c r="R376" i="14"/>
  <c r="S376" i="14"/>
  <c r="T376" i="14"/>
  <c r="U376" i="14"/>
  <c r="V376" i="14"/>
  <c r="W376" i="14"/>
  <c r="X376" i="14"/>
  <c r="Y376" i="14"/>
  <c r="Z376" i="14"/>
  <c r="AA376" i="14"/>
  <c r="AB376" i="14"/>
  <c r="AC376" i="14"/>
  <c r="AD376" i="14"/>
  <c r="AE376" i="14"/>
  <c r="AF376" i="14"/>
  <c r="AG376" i="14"/>
  <c r="AH376" i="14"/>
  <c r="AI376" i="14"/>
  <c r="AJ376" i="14"/>
  <c r="AK376" i="14"/>
  <c r="AL376" i="14"/>
  <c r="A377" i="14"/>
  <c r="B377" i="14"/>
  <c r="D377" i="14"/>
  <c r="E377" i="14"/>
  <c r="F377" i="14"/>
  <c r="G377" i="14"/>
  <c r="H377" i="14"/>
  <c r="I377" i="14"/>
  <c r="J377" i="14"/>
  <c r="K377" i="14"/>
  <c r="L377" i="14"/>
  <c r="M377" i="14"/>
  <c r="N377" i="14"/>
  <c r="O377" i="14"/>
  <c r="P377" i="14"/>
  <c r="Q377" i="14"/>
  <c r="R377" i="14"/>
  <c r="S377" i="14"/>
  <c r="T377" i="14"/>
  <c r="U377" i="14"/>
  <c r="V377" i="14"/>
  <c r="W377" i="14"/>
  <c r="X377" i="14"/>
  <c r="Y377" i="14"/>
  <c r="Z377" i="14"/>
  <c r="AA377" i="14"/>
  <c r="AB377" i="14"/>
  <c r="AC377" i="14"/>
  <c r="AD377" i="14"/>
  <c r="AE377" i="14"/>
  <c r="AF377" i="14"/>
  <c r="AG377" i="14"/>
  <c r="AH377" i="14"/>
  <c r="AI377" i="14"/>
  <c r="AJ377" i="14"/>
  <c r="AK377" i="14"/>
  <c r="AL377" i="14"/>
  <c r="A378" i="14"/>
  <c r="B378" i="14"/>
  <c r="D378" i="14"/>
  <c r="E378" i="14"/>
  <c r="F378" i="14"/>
  <c r="G378" i="14"/>
  <c r="H378" i="14"/>
  <c r="I378" i="14"/>
  <c r="J378" i="14"/>
  <c r="K378" i="14"/>
  <c r="L378" i="14"/>
  <c r="M378" i="14"/>
  <c r="N378" i="14"/>
  <c r="O378" i="14"/>
  <c r="P378" i="14"/>
  <c r="Q378" i="14"/>
  <c r="R378" i="14"/>
  <c r="S378" i="14"/>
  <c r="T378" i="14"/>
  <c r="U378" i="14"/>
  <c r="V378" i="14"/>
  <c r="W378" i="14"/>
  <c r="X378" i="14"/>
  <c r="Y378" i="14"/>
  <c r="Z378" i="14"/>
  <c r="AA378" i="14"/>
  <c r="AB378" i="14"/>
  <c r="AC378" i="14"/>
  <c r="AD378" i="14"/>
  <c r="AE378" i="14"/>
  <c r="AF378" i="14"/>
  <c r="AG378" i="14"/>
  <c r="AH378" i="14"/>
  <c r="AI378" i="14"/>
  <c r="AJ378" i="14"/>
  <c r="AK378" i="14"/>
  <c r="AL378" i="14"/>
  <c r="A379" i="14"/>
  <c r="B379" i="14"/>
  <c r="D379" i="14"/>
  <c r="E379" i="14"/>
  <c r="F379" i="14"/>
  <c r="G379" i="14"/>
  <c r="H379" i="14"/>
  <c r="I379" i="14"/>
  <c r="J379" i="14"/>
  <c r="K379" i="14"/>
  <c r="L379" i="14"/>
  <c r="M379" i="14"/>
  <c r="N379" i="14"/>
  <c r="O379" i="14"/>
  <c r="P379" i="14"/>
  <c r="Q379" i="14"/>
  <c r="R379" i="14"/>
  <c r="S379" i="14"/>
  <c r="T379" i="14"/>
  <c r="U379" i="14"/>
  <c r="V379" i="14"/>
  <c r="W379" i="14"/>
  <c r="X379" i="14"/>
  <c r="Y379" i="14"/>
  <c r="Z379" i="14"/>
  <c r="AA379" i="14"/>
  <c r="AB379" i="14"/>
  <c r="AC379" i="14"/>
  <c r="AD379" i="14"/>
  <c r="AE379" i="14"/>
  <c r="AF379" i="14"/>
  <c r="AG379" i="14"/>
  <c r="AH379" i="14"/>
  <c r="AI379" i="14"/>
  <c r="AJ379" i="14"/>
  <c r="AK379" i="14"/>
  <c r="AL379" i="14"/>
  <c r="A380" i="14"/>
  <c r="B380" i="14"/>
  <c r="D380" i="14"/>
  <c r="E380" i="14"/>
  <c r="F380" i="14"/>
  <c r="G380" i="14"/>
  <c r="H380" i="14"/>
  <c r="I380" i="14"/>
  <c r="J380" i="14"/>
  <c r="K380" i="14"/>
  <c r="L380" i="14"/>
  <c r="M380" i="14"/>
  <c r="N380" i="14"/>
  <c r="O380" i="14"/>
  <c r="P380" i="14"/>
  <c r="Q380" i="14"/>
  <c r="R380" i="14"/>
  <c r="S380" i="14"/>
  <c r="T380" i="14"/>
  <c r="U380" i="14"/>
  <c r="V380" i="14"/>
  <c r="W380" i="14"/>
  <c r="X380" i="14"/>
  <c r="Y380" i="14"/>
  <c r="Z380" i="14"/>
  <c r="AA380" i="14"/>
  <c r="AB380" i="14"/>
  <c r="AC380" i="14"/>
  <c r="AD380" i="14"/>
  <c r="AE380" i="14"/>
  <c r="AF380" i="14"/>
  <c r="AG380" i="14"/>
  <c r="AH380" i="14"/>
  <c r="AI380" i="14"/>
  <c r="AJ380" i="14"/>
  <c r="AK380" i="14"/>
  <c r="AL380" i="14"/>
  <c r="A381" i="14"/>
  <c r="B381" i="14"/>
  <c r="D381" i="14"/>
  <c r="E381" i="14"/>
  <c r="F381" i="14"/>
  <c r="G381" i="14"/>
  <c r="H381" i="14"/>
  <c r="I381" i="14"/>
  <c r="J381" i="14"/>
  <c r="K381" i="14"/>
  <c r="L381" i="14"/>
  <c r="M381" i="14"/>
  <c r="N381" i="14"/>
  <c r="O381" i="14"/>
  <c r="P381" i="14"/>
  <c r="Q381" i="14"/>
  <c r="R381" i="14"/>
  <c r="S381" i="14"/>
  <c r="T381" i="14"/>
  <c r="U381" i="14"/>
  <c r="V381" i="14"/>
  <c r="W381" i="14"/>
  <c r="X381" i="14"/>
  <c r="Y381" i="14"/>
  <c r="Z381" i="14"/>
  <c r="AA381" i="14"/>
  <c r="AB381" i="14"/>
  <c r="AC381" i="14"/>
  <c r="AD381" i="14"/>
  <c r="AE381" i="14"/>
  <c r="AF381" i="14"/>
  <c r="AG381" i="14"/>
  <c r="AH381" i="14"/>
  <c r="AI381" i="14"/>
  <c r="AJ381" i="14"/>
  <c r="AK381" i="14"/>
  <c r="AL381" i="14"/>
  <c r="A382" i="14"/>
  <c r="B382" i="14"/>
  <c r="D382" i="14"/>
  <c r="E382" i="14"/>
  <c r="F382" i="14"/>
  <c r="G382" i="14"/>
  <c r="H382" i="14"/>
  <c r="I382" i="14"/>
  <c r="J382" i="14"/>
  <c r="K382" i="14"/>
  <c r="L382" i="14"/>
  <c r="M382" i="14"/>
  <c r="N382" i="14"/>
  <c r="O382" i="14"/>
  <c r="P382" i="14"/>
  <c r="Q382" i="14"/>
  <c r="R382" i="14"/>
  <c r="S382" i="14"/>
  <c r="T382" i="14"/>
  <c r="U382" i="14"/>
  <c r="V382" i="14"/>
  <c r="W382" i="14"/>
  <c r="X382" i="14"/>
  <c r="Y382" i="14"/>
  <c r="Z382" i="14"/>
  <c r="AA382" i="14"/>
  <c r="AB382" i="14"/>
  <c r="AC382" i="14"/>
  <c r="AD382" i="14"/>
  <c r="AE382" i="14"/>
  <c r="AF382" i="14"/>
  <c r="AG382" i="14"/>
  <c r="AH382" i="14"/>
  <c r="AI382" i="14"/>
  <c r="AJ382" i="14"/>
  <c r="AK382" i="14"/>
  <c r="AL382" i="14"/>
  <c r="A383" i="14"/>
  <c r="B383" i="14"/>
  <c r="D383" i="14"/>
  <c r="E383" i="14"/>
  <c r="F383" i="14"/>
  <c r="G383" i="14"/>
  <c r="H383" i="14"/>
  <c r="I383" i="14"/>
  <c r="J383" i="14"/>
  <c r="K383" i="14"/>
  <c r="L383" i="14"/>
  <c r="M383" i="14"/>
  <c r="N383" i="14"/>
  <c r="O383" i="14"/>
  <c r="P383" i="14"/>
  <c r="Q383" i="14"/>
  <c r="R383" i="14"/>
  <c r="S383" i="14"/>
  <c r="T383" i="14"/>
  <c r="U383" i="14"/>
  <c r="V383" i="14"/>
  <c r="W383" i="14"/>
  <c r="X383" i="14"/>
  <c r="Y383" i="14"/>
  <c r="Z383" i="14"/>
  <c r="AA383" i="14"/>
  <c r="AB383" i="14"/>
  <c r="AC383" i="14"/>
  <c r="AD383" i="14"/>
  <c r="AE383" i="14"/>
  <c r="AF383" i="14"/>
  <c r="AG383" i="14"/>
  <c r="AH383" i="14"/>
  <c r="AI383" i="14"/>
  <c r="AJ383" i="14"/>
  <c r="AK383" i="14"/>
  <c r="AL383" i="14"/>
  <c r="A384" i="14"/>
  <c r="B384" i="14"/>
  <c r="D384" i="14"/>
  <c r="E384" i="14"/>
  <c r="F384" i="14"/>
  <c r="G384" i="14"/>
  <c r="H384" i="14"/>
  <c r="I384" i="14"/>
  <c r="J384" i="14"/>
  <c r="K384" i="14"/>
  <c r="L384" i="14"/>
  <c r="M384" i="14"/>
  <c r="N384" i="14"/>
  <c r="O384" i="14"/>
  <c r="P384" i="14"/>
  <c r="Q384" i="14"/>
  <c r="R384" i="14"/>
  <c r="S384" i="14"/>
  <c r="T384" i="14"/>
  <c r="U384" i="14"/>
  <c r="V384" i="14"/>
  <c r="W384" i="14"/>
  <c r="X384" i="14"/>
  <c r="Y384" i="14"/>
  <c r="Z384" i="14"/>
  <c r="AA384" i="14"/>
  <c r="AB384" i="14"/>
  <c r="AC384" i="14"/>
  <c r="AD384" i="14"/>
  <c r="AE384" i="14"/>
  <c r="AF384" i="14"/>
  <c r="AG384" i="14"/>
  <c r="AH384" i="14"/>
  <c r="AI384" i="14"/>
  <c r="AJ384" i="14"/>
  <c r="AK384" i="14"/>
  <c r="AL384" i="14"/>
  <c r="A385" i="14"/>
  <c r="B385" i="14"/>
  <c r="D385" i="14"/>
  <c r="E385" i="14"/>
  <c r="F385" i="14"/>
  <c r="G385" i="14"/>
  <c r="H385" i="14"/>
  <c r="I385" i="14"/>
  <c r="J385" i="14"/>
  <c r="K385" i="14"/>
  <c r="L385" i="14"/>
  <c r="M385" i="14"/>
  <c r="N385" i="14"/>
  <c r="O385" i="14"/>
  <c r="P385" i="14"/>
  <c r="Q385" i="14"/>
  <c r="R385" i="14"/>
  <c r="S385" i="14"/>
  <c r="T385" i="14"/>
  <c r="U385" i="14"/>
  <c r="V385" i="14"/>
  <c r="W385" i="14"/>
  <c r="X385" i="14"/>
  <c r="Y385" i="14"/>
  <c r="Z385" i="14"/>
  <c r="AA385" i="14"/>
  <c r="AB385" i="14"/>
  <c r="AC385" i="14"/>
  <c r="AD385" i="14"/>
  <c r="AE385" i="14"/>
  <c r="AF385" i="14"/>
  <c r="AG385" i="14"/>
  <c r="AH385" i="14"/>
  <c r="AI385" i="14"/>
  <c r="AJ385" i="14"/>
  <c r="AK385" i="14"/>
  <c r="AL385" i="14"/>
  <c r="A386" i="14"/>
  <c r="B386" i="14"/>
  <c r="D386" i="14"/>
  <c r="E386" i="14"/>
  <c r="F386" i="14"/>
  <c r="G386" i="14"/>
  <c r="H386" i="14"/>
  <c r="I386" i="14"/>
  <c r="J386" i="14"/>
  <c r="K386" i="14"/>
  <c r="L386" i="14"/>
  <c r="M386" i="14"/>
  <c r="N386" i="14"/>
  <c r="O386" i="14"/>
  <c r="P386" i="14"/>
  <c r="Q386" i="14"/>
  <c r="R386" i="14"/>
  <c r="S386" i="14"/>
  <c r="T386" i="14"/>
  <c r="U386" i="14"/>
  <c r="V386" i="14"/>
  <c r="W386" i="14"/>
  <c r="X386" i="14"/>
  <c r="Y386" i="14"/>
  <c r="Z386" i="14"/>
  <c r="AA386" i="14"/>
  <c r="AB386" i="14"/>
  <c r="AC386" i="14"/>
  <c r="AD386" i="14"/>
  <c r="AE386" i="14"/>
  <c r="AF386" i="14"/>
  <c r="AG386" i="14"/>
  <c r="AH386" i="14"/>
  <c r="AI386" i="14"/>
  <c r="AJ386" i="14"/>
  <c r="AK386" i="14"/>
  <c r="AL386" i="14"/>
  <c r="A387" i="14"/>
  <c r="B387" i="14"/>
  <c r="D387" i="14"/>
  <c r="E387" i="14"/>
  <c r="F387" i="14"/>
  <c r="G387" i="14"/>
  <c r="H387" i="14"/>
  <c r="I387" i="14"/>
  <c r="J387" i="14"/>
  <c r="K387" i="14"/>
  <c r="L387" i="14"/>
  <c r="M387" i="14"/>
  <c r="N387" i="14"/>
  <c r="O387" i="14"/>
  <c r="P387" i="14"/>
  <c r="Q387" i="14"/>
  <c r="R387" i="14"/>
  <c r="S387" i="14"/>
  <c r="T387" i="14"/>
  <c r="U387" i="14"/>
  <c r="V387" i="14"/>
  <c r="W387" i="14"/>
  <c r="X387" i="14"/>
  <c r="Y387" i="14"/>
  <c r="Z387" i="14"/>
  <c r="AA387" i="14"/>
  <c r="AB387" i="14"/>
  <c r="AC387" i="14"/>
  <c r="AD387" i="14"/>
  <c r="AE387" i="14"/>
  <c r="AF387" i="14"/>
  <c r="AG387" i="14"/>
  <c r="AH387" i="14"/>
  <c r="AI387" i="14"/>
  <c r="AJ387" i="14"/>
  <c r="AK387" i="14"/>
  <c r="AL387" i="14"/>
  <c r="A388" i="14"/>
  <c r="B388" i="14"/>
  <c r="D388" i="14"/>
  <c r="E388" i="14"/>
  <c r="F388" i="14"/>
  <c r="G388" i="14"/>
  <c r="H388" i="14"/>
  <c r="I388" i="14"/>
  <c r="J388" i="14"/>
  <c r="K388" i="14"/>
  <c r="L388" i="14"/>
  <c r="M388" i="14"/>
  <c r="N388" i="14"/>
  <c r="O388" i="14"/>
  <c r="P388" i="14"/>
  <c r="Q388" i="14"/>
  <c r="R388" i="14"/>
  <c r="S388" i="14"/>
  <c r="T388" i="14"/>
  <c r="U388" i="14"/>
  <c r="V388" i="14"/>
  <c r="W388" i="14"/>
  <c r="X388" i="14"/>
  <c r="Y388" i="14"/>
  <c r="Z388" i="14"/>
  <c r="AA388" i="14"/>
  <c r="AB388" i="14"/>
  <c r="AC388" i="14"/>
  <c r="AD388" i="14"/>
  <c r="AE388" i="14"/>
  <c r="AF388" i="14"/>
  <c r="AG388" i="14"/>
  <c r="AH388" i="14"/>
  <c r="AI388" i="14"/>
  <c r="AJ388" i="14"/>
  <c r="AK388" i="14"/>
  <c r="AL388" i="14"/>
  <c r="A389" i="14"/>
  <c r="B389" i="14"/>
  <c r="D389" i="14"/>
  <c r="E389" i="14"/>
  <c r="F389" i="14"/>
  <c r="G389" i="14"/>
  <c r="H389" i="14"/>
  <c r="I389" i="14"/>
  <c r="J389" i="14"/>
  <c r="K389" i="14"/>
  <c r="L389" i="14"/>
  <c r="M389" i="14"/>
  <c r="N389" i="14"/>
  <c r="O389" i="14"/>
  <c r="P389" i="14"/>
  <c r="Q389" i="14"/>
  <c r="R389" i="14"/>
  <c r="S389" i="14"/>
  <c r="T389" i="14"/>
  <c r="U389" i="14"/>
  <c r="V389" i="14"/>
  <c r="W389" i="14"/>
  <c r="X389" i="14"/>
  <c r="Y389" i="14"/>
  <c r="Z389" i="14"/>
  <c r="AA389" i="14"/>
  <c r="AB389" i="14"/>
  <c r="AC389" i="14"/>
  <c r="AD389" i="14"/>
  <c r="AE389" i="14"/>
  <c r="AF389" i="14"/>
  <c r="AG389" i="14"/>
  <c r="AH389" i="14"/>
  <c r="AI389" i="14"/>
  <c r="AJ389" i="14"/>
  <c r="AK389" i="14"/>
  <c r="AL389" i="14"/>
  <c r="A390" i="14"/>
  <c r="B390" i="14"/>
  <c r="D390" i="14"/>
  <c r="E390" i="14"/>
  <c r="F390" i="14"/>
  <c r="G390" i="14"/>
  <c r="H390" i="14"/>
  <c r="I390" i="14"/>
  <c r="J390" i="14"/>
  <c r="K390" i="14"/>
  <c r="L390" i="14"/>
  <c r="M390" i="14"/>
  <c r="N390" i="14"/>
  <c r="O390" i="14"/>
  <c r="P390" i="14"/>
  <c r="Q390" i="14"/>
  <c r="R390" i="14"/>
  <c r="S390" i="14"/>
  <c r="T390" i="14"/>
  <c r="U390" i="14"/>
  <c r="V390" i="14"/>
  <c r="W390" i="14"/>
  <c r="X390" i="14"/>
  <c r="Y390" i="14"/>
  <c r="Z390" i="14"/>
  <c r="AA390" i="14"/>
  <c r="AB390" i="14"/>
  <c r="AC390" i="14"/>
  <c r="AD390" i="14"/>
  <c r="AE390" i="14"/>
  <c r="AF390" i="14"/>
  <c r="AG390" i="14"/>
  <c r="AH390" i="14"/>
  <c r="AI390" i="14"/>
  <c r="AJ390" i="14"/>
  <c r="AK390" i="14"/>
  <c r="AL390" i="14"/>
  <c r="A391" i="14"/>
  <c r="B391" i="14"/>
  <c r="D391" i="14"/>
  <c r="E391" i="14"/>
  <c r="F391" i="14"/>
  <c r="G391" i="14"/>
  <c r="H391" i="14"/>
  <c r="I391" i="14"/>
  <c r="J391" i="14"/>
  <c r="K391" i="14"/>
  <c r="L391" i="14"/>
  <c r="M391" i="14"/>
  <c r="N391" i="14"/>
  <c r="O391" i="14"/>
  <c r="P391" i="14"/>
  <c r="Q391" i="14"/>
  <c r="R391" i="14"/>
  <c r="S391" i="14"/>
  <c r="T391" i="14"/>
  <c r="U391" i="14"/>
  <c r="V391" i="14"/>
  <c r="W391" i="14"/>
  <c r="X391" i="14"/>
  <c r="Y391" i="14"/>
  <c r="Z391" i="14"/>
  <c r="AA391" i="14"/>
  <c r="AB391" i="14"/>
  <c r="AC391" i="14"/>
  <c r="AD391" i="14"/>
  <c r="AE391" i="14"/>
  <c r="AF391" i="14"/>
  <c r="AG391" i="14"/>
  <c r="AH391" i="14"/>
  <c r="AI391" i="14"/>
  <c r="AJ391" i="14"/>
  <c r="AK391" i="14"/>
  <c r="AL391" i="14"/>
  <c r="A399" i="14"/>
  <c r="B399" i="14"/>
  <c r="A400" i="14"/>
  <c r="B400" i="14"/>
  <c r="A401" i="14"/>
  <c r="B401" i="14"/>
  <c r="A402" i="14"/>
  <c r="B402" i="14"/>
  <c r="A403" i="14"/>
  <c r="B403" i="14"/>
  <c r="A404" i="14"/>
  <c r="B404" i="14"/>
  <c r="A405" i="14"/>
  <c r="B405" i="14"/>
  <c r="A406" i="14"/>
  <c r="B406" i="14"/>
  <c r="A407" i="14"/>
  <c r="B407" i="14"/>
  <c r="C407" i="14"/>
  <c r="C409" i="14"/>
  <c r="C410" i="14"/>
  <c r="E410" i="14"/>
  <c r="F410" i="14"/>
  <c r="G410" i="14"/>
  <c r="C411" i="14"/>
  <c r="E411" i="14"/>
  <c r="G411" i="14"/>
  <c r="C412" i="14"/>
  <c r="G412" i="14"/>
  <c r="R70" i="5"/>
  <c r="S70" i="5" s="1"/>
  <c r="R68" i="5"/>
  <c r="S68" i="5"/>
  <c r="R66" i="5"/>
  <c r="S66" i="5" s="1"/>
  <c r="R64" i="5"/>
  <c r="S64" i="5"/>
  <c r="R62" i="5"/>
  <c r="S62" i="5" s="1"/>
  <c r="R60" i="5"/>
  <c r="S60" i="5" s="1"/>
  <c r="R58" i="5"/>
  <c r="S58" i="5" s="1"/>
  <c r="R56" i="5"/>
  <c r="S56" i="5" s="1"/>
  <c r="R54" i="5"/>
  <c r="S54" i="5" s="1"/>
  <c r="R52" i="5"/>
  <c r="S52" i="5" s="1"/>
  <c r="R50" i="5"/>
  <c r="S50" i="5" s="1"/>
  <c r="R48" i="5"/>
  <c r="S48" i="5" s="1"/>
  <c r="R46" i="5"/>
  <c r="S46" i="5" s="1"/>
  <c r="R44" i="5"/>
  <c r="S44" i="5" s="1"/>
  <c r="R42" i="5"/>
  <c r="R40" i="5"/>
  <c r="R38" i="5"/>
  <c r="S38" i="5" s="1"/>
  <c r="R36" i="5"/>
  <c r="S36" i="5" s="1"/>
  <c r="R34" i="5"/>
  <c r="S34" i="5" s="1"/>
  <c r="R32" i="5"/>
  <c r="S32" i="5" s="1"/>
  <c r="R30" i="5"/>
  <c r="S30" i="5" s="1"/>
  <c r="R67" i="5"/>
  <c r="S67" i="5"/>
  <c r="R63" i="5"/>
  <c r="S63" i="5"/>
  <c r="R55" i="5"/>
  <c r="S55" i="5"/>
  <c r="R51" i="5"/>
  <c r="S51" i="5"/>
  <c r="R47" i="5"/>
  <c r="R43" i="5"/>
  <c r="S43" i="5" s="1"/>
  <c r="R35" i="5"/>
  <c r="S35" i="5" s="1"/>
  <c r="R31" i="5"/>
  <c r="S31" i="5" s="1"/>
  <c r="R29" i="5"/>
  <c r="S29" i="5" s="1"/>
  <c r="R27" i="5"/>
  <c r="R23" i="5"/>
  <c r="R21" i="5"/>
  <c r="S21" i="5" s="1"/>
  <c r="R19" i="5"/>
  <c r="S19" i="5" s="1"/>
  <c r="R15" i="5"/>
  <c r="S15" i="5" s="1"/>
  <c r="R13" i="5"/>
  <c r="S13" i="5"/>
  <c r="R11" i="5"/>
  <c r="R69" i="5"/>
  <c r="S69" i="5" s="1"/>
  <c r="R61" i="5"/>
  <c r="R57" i="5"/>
  <c r="R53" i="5"/>
  <c r="S53" i="5" s="1"/>
  <c r="R49" i="5"/>
  <c r="S49" i="5" s="1"/>
  <c r="R45" i="5"/>
  <c r="S45" i="5" s="1"/>
  <c r="R41" i="5"/>
  <c r="S41" i="5"/>
  <c r="R33" i="5"/>
  <c r="S33" i="5"/>
  <c r="R26" i="5"/>
  <c r="R22" i="5"/>
  <c r="S22" i="5"/>
  <c r="R18" i="5"/>
  <c r="S18" i="5"/>
  <c r="R14" i="5"/>
  <c r="S14" i="5"/>
  <c r="R10" i="5"/>
  <c r="S10" i="5"/>
  <c r="R8" i="5"/>
  <c r="S8" i="5"/>
  <c r="R6" i="5"/>
  <c r="S6" i="5"/>
  <c r="R4" i="5"/>
  <c r="R2" i="5"/>
  <c r="H49" i="6"/>
  <c r="F49" i="6"/>
  <c r="H46" i="6"/>
  <c r="H45" i="6"/>
  <c r="H24" i="6"/>
  <c r="F24" i="6"/>
  <c r="H23" i="6"/>
  <c r="F23" i="6"/>
  <c r="H22" i="6"/>
  <c r="H20" i="6"/>
  <c r="U33" i="5"/>
  <c r="I33" i="5" s="1"/>
  <c r="T33" i="5" s="1"/>
  <c r="U37" i="5"/>
  <c r="I37" i="5"/>
  <c r="T37" i="5" s="1"/>
  <c r="U41" i="5"/>
  <c r="I41" i="5"/>
  <c r="T41" i="5"/>
  <c r="U45" i="5"/>
  <c r="I45" i="5"/>
  <c r="T45" i="5"/>
  <c r="U49" i="5"/>
  <c r="I49" i="5"/>
  <c r="T49" i="5"/>
  <c r="U53" i="5"/>
  <c r="I53" i="5" s="1"/>
  <c r="T53" i="5" s="1"/>
  <c r="U61" i="5"/>
  <c r="I61" i="5"/>
  <c r="T61" i="5" s="1"/>
  <c r="U65" i="5"/>
  <c r="I65" i="5"/>
  <c r="T65" i="5"/>
  <c r="U69" i="5"/>
  <c r="I69" i="5"/>
  <c r="T69" i="5"/>
  <c r="S11" i="5"/>
  <c r="S23" i="5"/>
  <c r="S27" i="5"/>
  <c r="U31" i="5"/>
  <c r="I31" i="5" s="1"/>
  <c r="T31" i="5" s="1"/>
  <c r="U67" i="5"/>
  <c r="I67" i="5"/>
  <c r="T67" i="5" s="1"/>
  <c r="U63" i="5"/>
  <c r="I63" i="5"/>
  <c r="T63" i="5"/>
  <c r="U59" i="5"/>
  <c r="I59" i="5"/>
  <c r="T59" i="5"/>
  <c r="U55" i="5"/>
  <c r="I55" i="5" s="1"/>
  <c r="T55" i="5" s="1"/>
  <c r="U51" i="5"/>
  <c r="I51" i="5"/>
  <c r="T51" i="5" s="1"/>
  <c r="U43" i="5"/>
  <c r="I43" i="5"/>
  <c r="T43" i="5"/>
  <c r="U35" i="5"/>
  <c r="I35" i="5"/>
  <c r="T35" i="5" s="1"/>
  <c r="D39" i="9"/>
  <c r="D29" i="9"/>
  <c r="C115" i="8"/>
  <c r="D115" i="8" s="1"/>
  <c r="C114" i="8"/>
  <c r="D114" i="8"/>
  <c r="M368" i="1"/>
  <c r="K368" i="1"/>
  <c r="Q14" i="9"/>
  <c r="I368" i="1"/>
  <c r="I369" i="14"/>
  <c r="G368" i="1"/>
  <c r="M14" i="9"/>
  <c r="E368" i="1"/>
  <c r="K14" i="9"/>
  <c r="M325" i="1"/>
  <c r="R67" i="9"/>
  <c r="K325" i="1"/>
  <c r="N354" i="14"/>
  <c r="I325" i="1"/>
  <c r="L354" i="14"/>
  <c r="G325" i="1"/>
  <c r="J354" i="14"/>
  <c r="E325" i="1"/>
  <c r="H354" i="14"/>
  <c r="C325" i="1"/>
  <c r="F354" i="14"/>
  <c r="N368" i="1"/>
  <c r="T14" i="9"/>
  <c r="L368" i="1"/>
  <c r="R14" i="9"/>
  <c r="J368" i="1"/>
  <c r="H368" i="1"/>
  <c r="N14" i="9"/>
  <c r="F368" i="1"/>
  <c r="N325" i="1"/>
  <c r="S67" i="9"/>
  <c r="L325" i="1"/>
  <c r="O354" i="14" s="1"/>
  <c r="J325" i="1"/>
  <c r="M354" i="14"/>
  <c r="H325" i="1"/>
  <c r="F325" i="1"/>
  <c r="I354" i="14"/>
  <c r="D325" i="1"/>
  <c r="G354" i="14" s="1"/>
  <c r="G49" i="6"/>
  <c r="H48" i="6"/>
  <c r="G24" i="6"/>
  <c r="A450" i="8"/>
  <c r="A448" i="8"/>
  <c r="A426" i="8"/>
  <c r="A417" i="8"/>
  <c r="A415" i="8"/>
  <c r="A410" i="8"/>
  <c r="A387" i="8"/>
  <c r="A385" i="8"/>
  <c r="A383" i="8"/>
  <c r="A331" i="8"/>
  <c r="A329" i="8"/>
  <c r="A298" i="8"/>
  <c r="A296" i="8"/>
  <c r="A274" i="8"/>
  <c r="A113" i="8"/>
  <c r="C176" i="11"/>
  <c r="D176" i="11"/>
  <c r="E176" i="11"/>
  <c r="E127" i="9" s="1"/>
  <c r="D73" i="6"/>
  <c r="E73" i="6"/>
  <c r="I73" i="6"/>
  <c r="G70" i="6"/>
  <c r="E48" i="6"/>
  <c r="D24" i="6"/>
  <c r="I24" i="6"/>
  <c r="H71" i="6"/>
  <c r="D49" i="6"/>
  <c r="E49" i="6"/>
  <c r="AP21" i="4"/>
  <c r="AR19" i="4"/>
  <c r="AP17" i="4"/>
  <c r="AR15" i="4"/>
  <c r="G73" i="6"/>
  <c r="E24" i="6"/>
  <c r="A451" i="8"/>
  <c r="A399" i="8"/>
  <c r="A386" i="8"/>
  <c r="A379" i="8"/>
  <c r="A375" i="8"/>
  <c r="A321" i="8"/>
  <c r="A306" i="8"/>
  <c r="A275" i="8"/>
  <c r="A182" i="8"/>
  <c r="A155" i="8"/>
  <c r="Q99" i="8"/>
  <c r="B118" i="8" s="1"/>
  <c r="Q95" i="8"/>
  <c r="Q88" i="8"/>
  <c r="Q83" i="8"/>
  <c r="Q79" i="8"/>
  <c r="B116" i="8" s="1"/>
  <c r="Q72" i="8"/>
  <c r="Q58" i="8"/>
  <c r="D81" i="8"/>
  <c r="D74" i="8"/>
  <c r="D67" i="8"/>
  <c r="D63" i="8"/>
  <c r="D91" i="9"/>
  <c r="A85" i="8"/>
  <c r="A397" i="8" s="1"/>
  <c r="A486" i="8"/>
  <c r="A465" i="8"/>
  <c r="A108" i="8"/>
  <c r="B314" i="1"/>
  <c r="B488" i="8"/>
  <c r="D28" i="9"/>
  <c r="H74" i="6"/>
  <c r="F74" i="6"/>
  <c r="H73" i="6"/>
  <c r="F73" i="6"/>
  <c r="I49" i="6"/>
  <c r="I23" i="6"/>
  <c r="B315" i="1"/>
  <c r="B489" i="8"/>
  <c r="D32" i="9"/>
  <c r="G356" i="14"/>
  <c r="I69" i="9"/>
  <c r="K356" i="14"/>
  <c r="M69" i="9"/>
  <c r="O356" i="14"/>
  <c r="Q69" i="9"/>
  <c r="O357" i="14"/>
  <c r="S70" i="9"/>
  <c r="G358" i="14"/>
  <c r="I73" i="9"/>
  <c r="K360" i="14"/>
  <c r="M73" i="9"/>
  <c r="O360" i="14"/>
  <c r="Q73" i="9"/>
  <c r="G361" i="14"/>
  <c r="I74" i="9"/>
  <c r="M74" i="9"/>
  <c r="O361" i="14"/>
  <c r="Q74" i="9"/>
  <c r="R136" i="8"/>
  <c r="B316" i="14"/>
  <c r="D38" i="9"/>
  <c r="D30" i="9"/>
  <c r="A457" i="8"/>
  <c r="D75" i="8"/>
  <c r="D73" i="8"/>
  <c r="D72" i="8"/>
  <c r="Q145" i="8"/>
  <c r="D71" i="8"/>
  <c r="D65" i="8"/>
  <c r="D64" i="8"/>
  <c r="Q137" i="8"/>
  <c r="D66" i="8"/>
  <c r="B313" i="1"/>
  <c r="R146" i="8"/>
  <c r="C109" i="8"/>
  <c r="D109" i="8"/>
  <c r="B312" i="1"/>
  <c r="A376" i="8"/>
  <c r="A257" i="8"/>
  <c r="AT20" i="4"/>
  <c r="AT18" i="4"/>
  <c r="AP16" i="4"/>
  <c r="AX184" i="6"/>
  <c r="AR184" i="6"/>
  <c r="AL184" i="6"/>
  <c r="AF184" i="6"/>
  <c r="Z184" i="6"/>
  <c r="I72" i="6"/>
  <c r="I45" i="6"/>
  <c r="E23" i="6"/>
  <c r="I20" i="6"/>
  <c r="A535" i="8"/>
  <c r="A449" i="8"/>
  <c r="A411" i="8"/>
  <c r="A393" i="8"/>
  <c r="A290" i="8"/>
  <c r="A256" i="8"/>
  <c r="A219" i="8"/>
  <c r="A177" i="8"/>
  <c r="A169" i="8"/>
  <c r="Q91" i="8"/>
  <c r="R212" i="8"/>
  <c r="Q82" i="8"/>
  <c r="Q66" i="8"/>
  <c r="D98" i="8"/>
  <c r="D89" i="8"/>
  <c r="D87" i="8"/>
  <c r="B111" i="8" s="1"/>
  <c r="AT23" i="4"/>
  <c r="G74" i="6"/>
  <c r="A440" i="8"/>
  <c r="A433" i="8"/>
  <c r="A416" i="8"/>
  <c r="A401" i="8"/>
  <c r="A332" i="8"/>
  <c r="A322" i="8"/>
  <c r="A314" i="8"/>
  <c r="A304" i="8"/>
  <c r="A266" i="8"/>
  <c r="A258" i="8"/>
  <c r="A200" i="8"/>
  <c r="A161" i="8"/>
  <c r="Q97" i="8"/>
  <c r="Q87" i="8"/>
  <c r="Q80" i="8"/>
  <c r="Q74" i="8"/>
  <c r="Q73" i="8"/>
  <c r="R194" i="8"/>
  <c r="Q67" i="8"/>
  <c r="A531" i="8"/>
  <c r="A114" i="8"/>
  <c r="A533" i="8"/>
  <c r="A126" i="8"/>
  <c r="O355" i="14"/>
  <c r="A407" i="8"/>
  <c r="Q160" i="8"/>
  <c r="A324" i="8"/>
  <c r="A273" i="8"/>
  <c r="A204" i="8"/>
  <c r="A153" i="8"/>
  <c r="A384" i="8"/>
  <c r="A312" i="8"/>
  <c r="A268" i="8"/>
  <c r="A264" i="8"/>
  <c r="A147" i="8"/>
  <c r="P230" i="6"/>
  <c r="P240" i="6"/>
  <c r="P226" i="6"/>
  <c r="P210" i="6"/>
  <c r="P233" i="6"/>
  <c r="P243" i="6"/>
  <c r="P227" i="6"/>
  <c r="P212" i="6"/>
  <c r="P217" i="6"/>
  <c r="AH184" i="6"/>
  <c r="AB184" i="6"/>
  <c r="AB150" i="6"/>
  <c r="AB145" i="6"/>
  <c r="AB143" i="6"/>
  <c r="P148" i="6"/>
  <c r="P151" i="6"/>
  <c r="P150" i="6"/>
  <c r="P153" i="6"/>
  <c r="P159" i="6"/>
  <c r="P175" i="6"/>
  <c r="P168" i="6"/>
  <c r="A488" i="8"/>
  <c r="A469" i="8"/>
  <c r="A214" i="8"/>
  <c r="A158" i="8"/>
  <c r="A524" i="8"/>
  <c r="E46" i="12"/>
  <c r="M71" i="5"/>
  <c r="AB167" i="6"/>
  <c r="AB176" i="6"/>
  <c r="AB157" i="6"/>
  <c r="AB166" i="6"/>
  <c r="AB175" i="6"/>
  <c r="AB147" i="6"/>
  <c r="AB158" i="6"/>
  <c r="AB148" i="6"/>
  <c r="AB149" i="6"/>
  <c r="AB163" i="6"/>
  <c r="AB172" i="6"/>
  <c r="AB169" i="6"/>
  <c r="AB178" i="6"/>
  <c r="C58" i="3"/>
  <c r="L95" i="9"/>
  <c r="G236" i="11"/>
  <c r="C118" i="8"/>
  <c r="D118" i="8" s="1"/>
  <c r="A458" i="8"/>
  <c r="C117" i="8"/>
  <c r="D117" i="8"/>
  <c r="A210" i="8"/>
  <c r="A447" i="8"/>
  <c r="A328" i="8"/>
  <c r="C116" i="8"/>
  <c r="D116" i="8"/>
  <c r="B492" i="8"/>
  <c r="B319" i="14"/>
  <c r="Q185" i="8"/>
  <c r="A187" i="8"/>
  <c r="A425" i="8"/>
  <c r="B317" i="1"/>
  <c r="B491" i="8"/>
  <c r="B318" i="14"/>
  <c r="F318" i="14"/>
  <c r="A171" i="8"/>
  <c r="A288" i="8"/>
  <c r="C111" i="8"/>
  <c r="D111" i="8"/>
  <c r="A402" i="8"/>
  <c r="A283" i="8"/>
  <c r="A280" i="8"/>
  <c r="B315" i="14"/>
  <c r="C110" i="8"/>
  <c r="D110" i="8" s="1"/>
  <c r="B109" i="8"/>
  <c r="L73" i="8" s="1"/>
  <c r="U7" i="5"/>
  <c r="I7" i="5"/>
  <c r="T7" i="5" s="1"/>
  <c r="U6" i="5"/>
  <c r="I6" i="5"/>
  <c r="T6" i="5"/>
  <c r="U5" i="5"/>
  <c r="I5" i="5"/>
  <c r="T5" i="5"/>
  <c r="AT3" i="4"/>
  <c r="C101" i="1"/>
  <c r="AR3" i="4"/>
  <c r="B101" i="1"/>
  <c r="AS15" i="4"/>
  <c r="AT15" i="4" s="1"/>
  <c r="AR2" i="4"/>
  <c r="B100" i="1"/>
  <c r="AO15" i="4"/>
  <c r="AP15" i="4"/>
  <c r="L176" i="3"/>
  <c r="J174" i="3"/>
  <c r="I173" i="3"/>
  <c r="F176" i="3"/>
  <c r="C173" i="3"/>
  <c r="Z90" i="1"/>
  <c r="L24" i="8"/>
  <c r="D208" i="3"/>
  <c r="L228" i="3"/>
  <c r="J228" i="3"/>
  <c r="E228" i="3"/>
  <c r="C228" i="3"/>
  <c r="J243" i="3"/>
  <c r="M159" i="3"/>
  <c r="K161" i="3"/>
  <c r="K157" i="3"/>
  <c r="K208" i="3"/>
  <c r="J160" i="3"/>
  <c r="I159" i="3"/>
  <c r="G161" i="3"/>
  <c r="N161" i="3"/>
  <c r="B56" i="3"/>
  <c r="F77" i="3"/>
  <c r="L226" i="3"/>
  <c r="J226" i="3"/>
  <c r="H226" i="3"/>
  <c r="E226" i="3"/>
  <c r="N226" i="3" s="1"/>
  <c r="C226" i="3"/>
  <c r="F226" i="3"/>
  <c r="H244" i="3"/>
  <c r="H242" i="3"/>
  <c r="M145" i="3"/>
  <c r="M143" i="3"/>
  <c r="K145" i="3"/>
  <c r="K206" i="3"/>
  <c r="K143" i="3"/>
  <c r="I145" i="3"/>
  <c r="I143" i="3"/>
  <c r="G145" i="3"/>
  <c r="G143" i="3"/>
  <c r="G141" i="3"/>
  <c r="F144" i="3"/>
  <c r="C141" i="3"/>
  <c r="H102" i="11"/>
  <c r="B32" i="3"/>
  <c r="F120" i="3"/>
  <c r="C32" i="3"/>
  <c r="D32" i="3"/>
  <c r="I121" i="3"/>
  <c r="E32" i="3"/>
  <c r="G118" i="3" s="1"/>
  <c r="F32" i="3"/>
  <c r="G32" i="3"/>
  <c r="H32" i="3"/>
  <c r="I32" i="3"/>
  <c r="J32" i="3"/>
  <c r="L118" i="3"/>
  <c r="K32" i="3"/>
  <c r="M118" i="3" s="1"/>
  <c r="L32" i="3"/>
  <c r="M32" i="3"/>
  <c r="O32" i="3"/>
  <c r="P32" i="3"/>
  <c r="Q32" i="3"/>
  <c r="R32" i="3"/>
  <c r="S32" i="3"/>
  <c r="T32" i="3"/>
  <c r="U32" i="3"/>
  <c r="V32" i="3"/>
  <c r="W32" i="3"/>
  <c r="X32" i="3"/>
  <c r="Y32" i="3"/>
  <c r="Z32" i="3"/>
  <c r="AA32" i="3"/>
  <c r="AB32" i="3"/>
  <c r="AC32" i="3"/>
  <c r="AD32" i="3"/>
  <c r="AE32" i="3"/>
  <c r="AF32" i="3"/>
  <c r="AG32" i="3"/>
  <c r="AH32" i="3"/>
  <c r="AI32" i="3"/>
  <c r="AJ32" i="3"/>
  <c r="AK32" i="3"/>
  <c r="A232" i="8"/>
  <c r="A352" i="8"/>
  <c r="H109" i="11"/>
  <c r="H107" i="11"/>
  <c r="H106" i="11"/>
  <c r="H105" i="11"/>
  <c r="H104" i="11"/>
  <c r="H101" i="11"/>
  <c r="H100" i="11"/>
  <c r="K75" i="8"/>
  <c r="H99" i="11"/>
  <c r="M6" i="5"/>
  <c r="M5" i="5"/>
  <c r="M4" i="5"/>
  <c r="G108" i="1"/>
  <c r="G109" i="14"/>
  <c r="F109" i="1"/>
  <c r="F110" i="14" s="1"/>
  <c r="G100" i="1"/>
  <c r="G101" i="14"/>
  <c r="M206" i="3"/>
  <c r="B70" i="11"/>
  <c r="C77" i="3"/>
  <c r="M116" i="3"/>
  <c r="E241" i="3"/>
  <c r="K116" i="3"/>
  <c r="L117" i="3"/>
  <c r="K118" i="3"/>
  <c r="H117" i="3"/>
  <c r="J119" i="3"/>
  <c r="K120" i="3"/>
  <c r="L121" i="3"/>
  <c r="E116" i="3"/>
  <c r="F117" i="3"/>
  <c r="I120" i="3"/>
  <c r="J121" i="3"/>
  <c r="B116" i="3"/>
  <c r="B203" i="3" s="1"/>
  <c r="B223" i="3"/>
  <c r="BL142" i="6"/>
  <c r="J75" i="8"/>
  <c r="Y82" i="8"/>
  <c r="K117" i="3"/>
  <c r="E117" i="3"/>
  <c r="C117" i="3"/>
  <c r="E119" i="3"/>
  <c r="G121" i="3"/>
  <c r="G208" i="3"/>
  <c r="O156" i="3"/>
  <c r="R202" i="8"/>
  <c r="E43" i="12"/>
  <c r="H38" i="12"/>
  <c r="AB154" i="6"/>
  <c r="AB155" i="6"/>
  <c r="AB164" i="6"/>
  <c r="AB161" i="6"/>
  <c r="AB170" i="6"/>
  <c r="AB151" i="6"/>
  <c r="AB171" i="6"/>
  <c r="AB177" i="6"/>
  <c r="AB160" i="6"/>
  <c r="AB144" i="6"/>
  <c r="AB173" i="6"/>
  <c r="AB159" i="6"/>
  <c r="AB168" i="6"/>
  <c r="AB165" i="6"/>
  <c r="AB174" i="6"/>
  <c r="AB153" i="6"/>
  <c r="AB152" i="6"/>
  <c r="AB156" i="6"/>
  <c r="AB146" i="6"/>
  <c r="AB162" i="6"/>
  <c r="P155" i="6"/>
  <c r="P171" i="6"/>
  <c r="P164" i="6"/>
  <c r="P147" i="6"/>
  <c r="P161" i="6"/>
  <c r="P169" i="6"/>
  <c r="P177" i="6"/>
  <c r="P162" i="6"/>
  <c r="P170" i="6"/>
  <c r="P178" i="6"/>
  <c r="P144" i="6"/>
  <c r="P163" i="6"/>
  <c r="P156" i="6"/>
  <c r="P172" i="6"/>
  <c r="P157" i="6"/>
  <c r="P165" i="6"/>
  <c r="P173" i="6"/>
  <c r="P158" i="6"/>
  <c r="P166" i="6"/>
  <c r="P174" i="6"/>
  <c r="P143" i="6"/>
  <c r="P146" i="6"/>
  <c r="P149" i="6"/>
  <c r="P145" i="6"/>
  <c r="P152" i="6"/>
  <c r="P154" i="6"/>
  <c r="P167" i="6"/>
  <c r="P160" i="6"/>
  <c r="P176" i="6"/>
  <c r="P234" i="6"/>
  <c r="P238" i="6"/>
  <c r="P244" i="6"/>
  <c r="P224" i="6"/>
  <c r="P228" i="6"/>
  <c r="P242" i="6"/>
  <c r="P213" i="6"/>
  <c r="P229" i="6"/>
  <c r="P235" i="6"/>
  <c r="P239" i="6"/>
  <c r="P245" i="6"/>
  <c r="P225" i="6"/>
  <c r="P231" i="6"/>
  <c r="P211" i="6"/>
  <c r="P214" i="6"/>
  <c r="P216" i="6"/>
  <c r="P218" i="6"/>
  <c r="P221" i="6"/>
  <c r="P236" i="6"/>
  <c r="P222" i="6"/>
  <c r="P232" i="6"/>
  <c r="P220" i="6"/>
  <c r="P237" i="6"/>
  <c r="P223" i="6"/>
  <c r="P241" i="6"/>
  <c r="P215" i="6"/>
  <c r="P219" i="6"/>
  <c r="N143" i="3"/>
  <c r="I20" i="14"/>
  <c r="I74" i="6"/>
  <c r="A456" i="8"/>
  <c r="A400" i="8"/>
  <c r="A164" i="8"/>
  <c r="Q96" i="8"/>
  <c r="Q63" i="8"/>
  <c r="D95" i="8"/>
  <c r="D83" i="8"/>
  <c r="R156" i="8" s="1"/>
  <c r="S73" i="5"/>
  <c r="I19" i="14"/>
  <c r="S75" i="5"/>
  <c r="F108" i="1"/>
  <c r="F109" i="14" s="1"/>
  <c r="B109" i="14"/>
  <c r="F104" i="1"/>
  <c r="F105" i="14" s="1"/>
  <c r="B105" i="14"/>
  <c r="G105" i="1"/>
  <c r="G106" i="14"/>
  <c r="G109" i="1"/>
  <c r="G110" i="14" s="1"/>
  <c r="B210" i="3"/>
  <c r="D37" i="9"/>
  <c r="B490" i="8"/>
  <c r="Q508" i="8"/>
  <c r="B317" i="14"/>
  <c r="A403" i="8"/>
  <c r="A162" i="8"/>
  <c r="R152" i="8"/>
  <c r="Z83" i="8"/>
  <c r="W79" i="8"/>
  <c r="A441" i="8"/>
  <c r="A323" i="8"/>
  <c r="B115" i="8"/>
  <c r="L75" i="8"/>
  <c r="A260" i="8"/>
  <c r="J224" i="6"/>
  <c r="J236" i="6"/>
  <c r="J220" i="6"/>
  <c r="U73" i="5"/>
  <c r="S74" i="5"/>
  <c r="AN119" i="6"/>
  <c r="AZ119" i="6"/>
  <c r="D103" i="11"/>
  <c r="Z75" i="8"/>
  <c r="W71" i="8"/>
  <c r="X73" i="8"/>
  <c r="Y71" i="8"/>
  <c r="Z71" i="8"/>
  <c r="W74" i="8"/>
  <c r="X72" i="8"/>
  <c r="Y74" i="8"/>
  <c r="Z72" i="8"/>
  <c r="W73" i="8"/>
  <c r="X75" i="8"/>
  <c r="Y73" i="8"/>
  <c r="Z73" i="8"/>
  <c r="C106" i="11"/>
  <c r="X74" i="8"/>
  <c r="X71" i="8"/>
  <c r="X77" i="8" s="1"/>
  <c r="Z74" i="8"/>
  <c r="W75" i="8"/>
  <c r="W72" i="8"/>
  <c r="W77" i="8" s="1"/>
  <c r="Y75" i="8"/>
  <c r="Y72" i="8"/>
  <c r="G107" i="1"/>
  <c r="G108" i="14"/>
  <c r="AB119" i="6"/>
  <c r="AZ120" i="6"/>
  <c r="AN120" i="6"/>
  <c r="AB120" i="6"/>
  <c r="AB121" i="6"/>
  <c r="P119" i="6"/>
  <c r="AN121" i="6"/>
  <c r="AZ121" i="6"/>
  <c r="P186" i="6"/>
  <c r="AB122" i="6"/>
  <c r="AN122" i="6"/>
  <c r="AZ122" i="6"/>
  <c r="P187" i="6"/>
  <c r="AB123" i="6"/>
  <c r="AZ123" i="6"/>
  <c r="D153" i="6" s="1"/>
  <c r="AN123" i="6"/>
  <c r="P120" i="6"/>
  <c r="P188" i="6"/>
  <c r="AB124" i="6"/>
  <c r="P121" i="6"/>
  <c r="AN124" i="6"/>
  <c r="AZ124" i="6"/>
  <c r="P189" i="6"/>
  <c r="AB125" i="6"/>
  <c r="P122" i="6"/>
  <c r="AZ125" i="6"/>
  <c r="AN125" i="6"/>
  <c r="P190" i="6"/>
  <c r="AB126" i="6"/>
  <c r="AN126" i="6"/>
  <c r="AZ126" i="6"/>
  <c r="P123" i="6"/>
  <c r="P191" i="6"/>
  <c r="AB127" i="6"/>
  <c r="AZ127" i="6"/>
  <c r="D157" i="6" s="1"/>
  <c r="AN127" i="6"/>
  <c r="P124" i="6"/>
  <c r="P192" i="6"/>
  <c r="J192" i="6"/>
  <c r="D192" i="6" s="1"/>
  <c r="D256" i="6" s="1"/>
  <c r="AB128" i="6"/>
  <c r="P125" i="6"/>
  <c r="AN128" i="6"/>
  <c r="AZ128" i="6"/>
  <c r="D158" i="6" s="1"/>
  <c r="P193" i="6"/>
  <c r="AB129" i="6"/>
  <c r="AN129" i="6"/>
  <c r="P126" i="6"/>
  <c r="AZ129" i="6"/>
  <c r="P194" i="6"/>
  <c r="J194" i="6"/>
  <c r="AB130" i="6"/>
  <c r="D139" i="6" s="1"/>
  <c r="AZ130" i="6"/>
  <c r="P127" i="6"/>
  <c r="AN130" i="6"/>
  <c r="P195" i="6"/>
  <c r="AB131" i="6"/>
  <c r="AN131" i="6"/>
  <c r="P128" i="6"/>
  <c r="AZ131" i="6"/>
  <c r="P196" i="6"/>
  <c r="AB132" i="6"/>
  <c r="P129" i="6"/>
  <c r="AN132" i="6"/>
  <c r="AZ132" i="6"/>
  <c r="P197" i="6"/>
  <c r="AB133" i="6"/>
  <c r="P130" i="6"/>
  <c r="D133" i="6" s="1"/>
  <c r="AZ133" i="6"/>
  <c r="AN133" i="6"/>
  <c r="P198" i="6"/>
  <c r="AB134" i="6"/>
  <c r="AN134" i="6"/>
  <c r="AZ134" i="6"/>
  <c r="AH133" i="6"/>
  <c r="P131" i="6"/>
  <c r="D134" i="6" s="1"/>
  <c r="J199" i="6"/>
  <c r="P199" i="6"/>
  <c r="AT134" i="6"/>
  <c r="AB135" i="6"/>
  <c r="V134" i="6"/>
  <c r="AZ135" i="6"/>
  <c r="P132" i="6"/>
  <c r="AH134" i="6"/>
  <c r="AN135" i="6"/>
  <c r="P200" i="6"/>
  <c r="AT135" i="6"/>
  <c r="V135" i="6"/>
  <c r="D141" i="6" s="1"/>
  <c r="J124" i="6"/>
  <c r="D124" i="6" s="1"/>
  <c r="AB136" i="6"/>
  <c r="AH135" i="6"/>
  <c r="P133" i="6"/>
  <c r="AZ136" i="6"/>
  <c r="AN136" i="6"/>
  <c r="P201" i="6"/>
  <c r="AT136" i="6"/>
  <c r="AB137" i="6"/>
  <c r="V136" i="6"/>
  <c r="AH136" i="6"/>
  <c r="AN137" i="6"/>
  <c r="AZ137" i="6"/>
  <c r="P134" i="6"/>
  <c r="P202" i="6"/>
  <c r="AT137" i="6"/>
  <c r="V137" i="6"/>
  <c r="AB138" i="6"/>
  <c r="AN138" i="6"/>
  <c r="P135" i="6"/>
  <c r="AZ138" i="6"/>
  <c r="AH137" i="6"/>
  <c r="P203" i="6"/>
  <c r="AT138" i="6"/>
  <c r="AB139" i="6"/>
  <c r="V138" i="6"/>
  <c r="J125" i="6"/>
  <c r="AH138" i="6"/>
  <c r="AZ139" i="6"/>
  <c r="AN139" i="6"/>
  <c r="P136" i="6"/>
  <c r="P204" i="6"/>
  <c r="J204" i="6"/>
  <c r="AT139" i="6"/>
  <c r="V139" i="6"/>
  <c r="AB140" i="6"/>
  <c r="P137" i="6"/>
  <c r="AZ140" i="6"/>
  <c r="AH139" i="6"/>
  <c r="AN140" i="6"/>
  <c r="P205" i="6"/>
  <c r="AT140" i="6"/>
  <c r="AB141" i="6"/>
  <c r="V140" i="6"/>
  <c r="AN141" i="6"/>
  <c r="AH140" i="6"/>
  <c r="AZ141" i="6"/>
  <c r="P138" i="6"/>
  <c r="P206" i="6"/>
  <c r="AT141" i="6"/>
  <c r="J126" i="6"/>
  <c r="V141" i="6"/>
  <c r="AB142" i="6"/>
  <c r="P139" i="6"/>
  <c r="AN142" i="6"/>
  <c r="AZ142" i="6"/>
  <c r="AH141" i="6"/>
  <c r="J207" i="6"/>
  <c r="P207" i="6"/>
  <c r="AT142" i="6"/>
  <c r="V142" i="6"/>
  <c r="AH142" i="6"/>
  <c r="P140" i="6"/>
  <c r="P208" i="6"/>
  <c r="P141" i="6"/>
  <c r="J209" i="6"/>
  <c r="P209" i="6"/>
  <c r="J127" i="6"/>
  <c r="P142" i="6"/>
  <c r="J128" i="6"/>
  <c r="J129" i="6"/>
  <c r="J130" i="6"/>
  <c r="J131" i="6"/>
  <c r="C125" i="11"/>
  <c r="E125" i="11" s="1"/>
  <c r="C122" i="11"/>
  <c r="E122" i="11" s="1"/>
  <c r="C132" i="11"/>
  <c r="E132" i="11"/>
  <c r="C128" i="11"/>
  <c r="E128" i="11" s="1"/>
  <c r="C130" i="11"/>
  <c r="E130" i="11"/>
  <c r="C127" i="11"/>
  <c r="E127" i="11" s="1"/>
  <c r="C129" i="11"/>
  <c r="E129" i="11"/>
  <c r="C124" i="11"/>
  <c r="E124" i="11" s="1"/>
  <c r="C123" i="11"/>
  <c r="E123" i="11"/>
  <c r="J132" i="6"/>
  <c r="J133" i="6"/>
  <c r="J134" i="6"/>
  <c r="J135" i="6"/>
  <c r="D135" i="6" s="1"/>
  <c r="J136" i="6"/>
  <c r="J137" i="6"/>
  <c r="J138" i="6"/>
  <c r="J139" i="6"/>
  <c r="J140" i="6"/>
  <c r="J141" i="6"/>
  <c r="J142" i="6"/>
  <c r="A201" i="3"/>
  <c r="C238" i="3"/>
  <c r="A221" i="3"/>
  <c r="A51" i="3"/>
  <c r="A326" i="3"/>
  <c r="A286" i="3"/>
  <c r="A107" i="8"/>
  <c r="A325" i="3"/>
  <c r="Z77" i="8"/>
  <c r="L116" i="3"/>
  <c r="M223" i="3"/>
  <c r="L120" i="3"/>
  <c r="K119" i="3"/>
  <c r="J118" i="3"/>
  <c r="H116" i="3"/>
  <c r="I117" i="3"/>
  <c r="M121" i="3"/>
  <c r="H120" i="3"/>
  <c r="G119" i="3"/>
  <c r="D116" i="3"/>
  <c r="F118" i="3"/>
  <c r="C206" i="3"/>
  <c r="J116" i="3"/>
  <c r="M119" i="3"/>
  <c r="D118" i="3"/>
  <c r="B53" i="3"/>
  <c r="E74" i="3" s="1"/>
  <c r="E77" i="3"/>
  <c r="B77" i="3"/>
  <c r="R218" i="8"/>
  <c r="K286" i="14"/>
  <c r="F195" i="14"/>
  <c r="F196" i="14"/>
  <c r="I21" i="14"/>
  <c r="A220" i="8"/>
  <c r="A459" i="8"/>
  <c r="A340" i="8"/>
  <c r="A217" i="8"/>
  <c r="A337" i="8"/>
  <c r="F322" i="14"/>
  <c r="E243" i="3"/>
  <c r="G116" i="3"/>
  <c r="I118" i="3"/>
  <c r="X80" i="8"/>
  <c r="Z80" i="8"/>
  <c r="R148" i="8"/>
  <c r="K91" i="8"/>
  <c r="M89" i="8"/>
  <c r="C102" i="11"/>
  <c r="J88" i="8"/>
  <c r="Q140" i="8"/>
  <c r="BF174" i="6"/>
  <c r="BF167" i="6"/>
  <c r="BF160" i="6"/>
  <c r="BF119" i="6"/>
  <c r="BF150" i="6"/>
  <c r="BF121" i="6"/>
  <c r="I21" i="6"/>
  <c r="H21" i="6"/>
  <c r="A206" i="3"/>
  <c r="A291" i="3"/>
  <c r="H238" i="3"/>
  <c r="AZ146" i="6"/>
  <c r="AZ150" i="6"/>
  <c r="AZ149" i="6"/>
  <c r="AZ151" i="6"/>
  <c r="AZ160" i="6"/>
  <c r="AZ148" i="6"/>
  <c r="AZ162" i="6"/>
  <c r="AZ163" i="6"/>
  <c r="AZ172" i="6"/>
  <c r="AZ165" i="6"/>
  <c r="AZ174" i="6"/>
  <c r="AZ153" i="6"/>
  <c r="BN118" i="6"/>
  <c r="F48" i="6"/>
  <c r="D48" i="6"/>
  <c r="I48" i="6"/>
  <c r="G48" i="6"/>
  <c r="U30" i="5"/>
  <c r="I30" i="5"/>
  <c r="T30" i="5" s="1"/>
  <c r="S47" i="5"/>
  <c r="U47" i="5"/>
  <c r="I47" i="5" s="1"/>
  <c r="T47" i="5" s="1"/>
  <c r="S61" i="5"/>
  <c r="M88" i="8"/>
  <c r="L91" i="8"/>
  <c r="L88" i="8"/>
  <c r="L89" i="8"/>
  <c r="R138" i="8"/>
  <c r="B108" i="8"/>
  <c r="A272" i="8"/>
  <c r="A192" i="8"/>
  <c r="A431" i="8"/>
  <c r="B108" i="6"/>
  <c r="B350" i="11" s="1"/>
  <c r="B313" i="14"/>
  <c r="B486" i="8"/>
  <c r="D102" i="11"/>
  <c r="I26" i="14"/>
  <c r="A156" i="8"/>
  <c r="A276" i="8"/>
  <c r="A395" i="8"/>
  <c r="A196" i="8"/>
  <c r="A316" i="8"/>
  <c r="A435" i="8"/>
  <c r="J323" i="14"/>
  <c r="P14" i="9"/>
  <c r="J369" i="14"/>
  <c r="C195" i="14"/>
  <c r="C196" i="14"/>
  <c r="BL172" i="6"/>
  <c r="BL158" i="6"/>
  <c r="BL169" i="6"/>
  <c r="BL147" i="6"/>
  <c r="BL153" i="6"/>
  <c r="BL170" i="6"/>
  <c r="BL155" i="6"/>
  <c r="BL166" i="6"/>
  <c r="BL144" i="6"/>
  <c r="BL177" i="6"/>
  <c r="BL167" i="6"/>
  <c r="BL148" i="6"/>
  <c r="BL119" i="6"/>
  <c r="BL120" i="6"/>
  <c r="BL168" i="6"/>
  <c r="BL151" i="6"/>
  <c r="BL161" i="6"/>
  <c r="BL156" i="6"/>
  <c r="BL176" i="6"/>
  <c r="BL149" i="6"/>
  <c r="BL163" i="6"/>
  <c r="BL157" i="6"/>
  <c r="BL171" i="6"/>
  <c r="BL152" i="6"/>
  <c r="I47" i="6"/>
  <c r="H47" i="6"/>
  <c r="A139" i="8"/>
  <c r="A378" i="8"/>
  <c r="A259" i="8"/>
  <c r="B320" i="1"/>
  <c r="J321" i="14"/>
  <c r="E44" i="12"/>
  <c r="H39" i="12"/>
  <c r="H260" i="14"/>
  <c r="C108" i="8"/>
  <c r="D108" i="8"/>
  <c r="G357" i="14"/>
  <c r="I70" i="9"/>
  <c r="M71" i="9"/>
  <c r="H74" i="9"/>
  <c r="AI67" i="9"/>
  <c r="AK355" i="14"/>
  <c r="AK361" i="14"/>
  <c r="J15" i="9"/>
  <c r="D370" i="14"/>
  <c r="H370" i="14"/>
  <c r="R15" i="9"/>
  <c r="L370" i="14"/>
  <c r="V178" i="6"/>
  <c r="V169" i="6"/>
  <c r="V153" i="6"/>
  <c r="V144" i="6"/>
  <c r="V165" i="6"/>
  <c r="V147" i="6"/>
  <c r="Q72" i="5"/>
  <c r="N72" i="5"/>
  <c r="M72" i="5"/>
  <c r="F142" i="3"/>
  <c r="N142" i="3" s="1"/>
  <c r="E141" i="3"/>
  <c r="H144" i="3"/>
  <c r="D140" i="3"/>
  <c r="D206" i="3"/>
  <c r="I226" i="3"/>
  <c r="G226" i="3"/>
  <c r="E101" i="3"/>
  <c r="H104" i="3"/>
  <c r="F102" i="3"/>
  <c r="D100" i="3"/>
  <c r="I105" i="3"/>
  <c r="E156" i="3"/>
  <c r="H159" i="3"/>
  <c r="F157" i="3"/>
  <c r="I160" i="3"/>
  <c r="G228" i="3"/>
  <c r="F228" i="3"/>
  <c r="N228" i="3" s="1"/>
  <c r="B58" i="3"/>
  <c r="H228" i="3"/>
  <c r="J156" i="3"/>
  <c r="J208" i="3" s="1"/>
  <c r="J244" i="3"/>
  <c r="L158" i="3"/>
  <c r="L208" i="3"/>
  <c r="M228" i="3"/>
  <c r="J245" i="3"/>
  <c r="J246" i="3"/>
  <c r="E346" i="14"/>
  <c r="K296" i="14"/>
  <c r="K265" i="14"/>
  <c r="E302" i="6"/>
  <c r="E294" i="6"/>
  <c r="E280" i="6"/>
  <c r="F70" i="6"/>
  <c r="I70" i="6"/>
  <c r="H70" i="6"/>
  <c r="F20" i="6"/>
  <c r="G20" i="6"/>
  <c r="T143" i="5"/>
  <c r="A489" i="8"/>
  <c r="A203" i="8"/>
  <c r="A442" i="8"/>
  <c r="A138" i="8"/>
  <c r="A377" i="8"/>
  <c r="A184" i="8"/>
  <c r="A423" i="8"/>
  <c r="A370" i="8"/>
  <c r="H208" i="3"/>
  <c r="AR7" i="4"/>
  <c r="B105" i="1"/>
  <c r="AO20" i="4"/>
  <c r="AP20" i="4" s="1"/>
  <c r="K95" i="9"/>
  <c r="F236" i="11"/>
  <c r="D96" i="8"/>
  <c r="S57" i="5"/>
  <c r="U57" i="5"/>
  <c r="I57" i="5"/>
  <c r="T57" i="5"/>
  <c r="D23" i="6"/>
  <c r="G23" i="6"/>
  <c r="R59" i="5"/>
  <c r="S59" i="5" s="1"/>
  <c r="R39" i="5"/>
  <c r="S39" i="5"/>
  <c r="R25" i="5"/>
  <c r="S25" i="5" s="1"/>
  <c r="R17" i="5"/>
  <c r="S17" i="5"/>
  <c r="R65" i="5"/>
  <c r="S65" i="5" s="1"/>
  <c r="R37" i="5"/>
  <c r="S37" i="5"/>
  <c r="R28" i="5"/>
  <c r="S28" i="5" s="1"/>
  <c r="R24" i="5"/>
  <c r="S24" i="5"/>
  <c r="R20" i="5"/>
  <c r="S20" i="5" s="1"/>
  <c r="R16" i="5"/>
  <c r="S16" i="5"/>
  <c r="R12" i="5"/>
  <c r="S12" i="5" s="1"/>
  <c r="R9" i="5"/>
  <c r="S9" i="5"/>
  <c r="R7" i="5"/>
  <c r="S7" i="5" s="1"/>
  <c r="R5" i="5"/>
  <c r="S5" i="5"/>
  <c r="R3" i="5"/>
  <c r="A170" i="8"/>
  <c r="A409" i="8"/>
  <c r="A216" i="8"/>
  <c r="A455" i="8"/>
  <c r="A336" i="8"/>
  <c r="A265" i="8"/>
  <c r="A145" i="8"/>
  <c r="A188" i="8"/>
  <c r="A308" i="8"/>
  <c r="A305" i="8"/>
  <c r="A424" i="8"/>
  <c r="A509" i="8"/>
  <c r="A466" i="8"/>
  <c r="A505" i="8"/>
  <c r="A224" i="8"/>
  <c r="A53" i="8"/>
  <c r="A246" i="8" s="1"/>
  <c r="B202" i="3"/>
  <c r="AT8" i="4"/>
  <c r="C106" i="1"/>
  <c r="AS21" i="4"/>
  <c r="AT21" i="4" s="1"/>
  <c r="A218" i="8"/>
  <c r="A338" i="8"/>
  <c r="A432" i="8"/>
  <c r="A193" i="8"/>
  <c r="C113" i="8"/>
  <c r="D113" i="8"/>
  <c r="P250" i="14"/>
  <c r="AR8" i="4"/>
  <c r="B106" i="1"/>
  <c r="D99" i="8"/>
  <c r="U24" i="5"/>
  <c r="I24" i="5" s="1"/>
  <c r="T24" i="5" s="1"/>
  <c r="U58" i="5"/>
  <c r="I58" i="5"/>
  <c r="T58" i="5" s="1"/>
  <c r="AD355" i="14"/>
  <c r="B373" i="1"/>
  <c r="B19" i="9"/>
  <c r="U19" i="9"/>
  <c r="D149" i="3"/>
  <c r="H153" i="3"/>
  <c r="F140" i="3"/>
  <c r="J144" i="3"/>
  <c r="N144" i="3"/>
  <c r="G140" i="3"/>
  <c r="G206" i="3" s="1"/>
  <c r="H141" i="3"/>
  <c r="H206" i="3"/>
  <c r="I142" i="3"/>
  <c r="I206" i="3" s="1"/>
  <c r="G100" i="3"/>
  <c r="H101" i="3"/>
  <c r="I102" i="3"/>
  <c r="AI36" i="3"/>
  <c r="AE36" i="3"/>
  <c r="AA36" i="3"/>
  <c r="W36" i="3"/>
  <c r="S36" i="3"/>
  <c r="O36" i="3"/>
  <c r="K36" i="3"/>
  <c r="J36" i="3"/>
  <c r="E36" i="3"/>
  <c r="D36" i="3"/>
  <c r="AL36" i="3"/>
  <c r="AH36" i="3"/>
  <c r="AD36" i="3"/>
  <c r="Z36" i="3"/>
  <c r="V36" i="3"/>
  <c r="R36" i="3"/>
  <c r="M36" i="3"/>
  <c r="L36" i="3"/>
  <c r="I243" i="3" s="1"/>
  <c r="G36" i="3"/>
  <c r="F36" i="3"/>
  <c r="H36" i="3"/>
  <c r="B36" i="3"/>
  <c r="U16" i="5"/>
  <c r="I16" i="5"/>
  <c r="T16" i="5"/>
  <c r="U12" i="5"/>
  <c r="I12" i="5" s="1"/>
  <c r="T12" i="5" s="1"/>
  <c r="U28" i="5"/>
  <c r="I28" i="5"/>
  <c r="T28" i="5" s="1"/>
  <c r="U34" i="5"/>
  <c r="I34" i="5"/>
  <c r="T34" i="5"/>
  <c r="U66" i="5"/>
  <c r="I66" i="5"/>
  <c r="T66" i="5"/>
  <c r="B369" i="1"/>
  <c r="U74" i="5"/>
  <c r="AI40" i="3"/>
  <c r="AE40" i="3"/>
  <c r="AA40" i="3"/>
  <c r="W40" i="3"/>
  <c r="S40" i="3"/>
  <c r="O40" i="3"/>
  <c r="K40" i="3"/>
  <c r="H40" i="3"/>
  <c r="E40" i="3"/>
  <c r="E180" i="3" s="1"/>
  <c r="F181" i="3"/>
  <c r="B40" i="3"/>
  <c r="AL40" i="3"/>
  <c r="AH40" i="3"/>
  <c r="AD40" i="3"/>
  <c r="Z40" i="3"/>
  <c r="V40" i="3"/>
  <c r="R40" i="3"/>
  <c r="M40" i="3"/>
  <c r="M241" i="3"/>
  <c r="G40" i="3"/>
  <c r="AK40" i="3"/>
  <c r="AJ40" i="3"/>
  <c r="AC40" i="3"/>
  <c r="AB40" i="3"/>
  <c r="U40" i="3"/>
  <c r="T40" i="3"/>
  <c r="AG40" i="3"/>
  <c r="AF40" i="3"/>
  <c r="Y40" i="3"/>
  <c r="X40" i="3"/>
  <c r="Q40" i="3"/>
  <c r="P40" i="3"/>
  <c r="L40" i="3"/>
  <c r="I40" i="3"/>
  <c r="D40" i="3"/>
  <c r="C40" i="3"/>
  <c r="AK34" i="3"/>
  <c r="AG34" i="3"/>
  <c r="AC34" i="3"/>
  <c r="Y34" i="3"/>
  <c r="U34" i="3"/>
  <c r="Q34" i="3"/>
  <c r="L34" i="3"/>
  <c r="M133" i="3" s="1"/>
  <c r="I34" i="3"/>
  <c r="F34" i="3"/>
  <c r="AL34" i="3"/>
  <c r="AJ34" i="3"/>
  <c r="AF34" i="3"/>
  <c r="AB34" i="3"/>
  <c r="X34" i="3"/>
  <c r="T34" i="3"/>
  <c r="P34" i="3"/>
  <c r="C55" i="3" s="1"/>
  <c r="H34" i="3"/>
  <c r="C34" i="3"/>
  <c r="G136" i="3" s="1"/>
  <c r="B34" i="3"/>
  <c r="AK38" i="3"/>
  <c r="AG38" i="3"/>
  <c r="AC38" i="3"/>
  <c r="Y38" i="3"/>
  <c r="U38" i="3"/>
  <c r="Q38" i="3"/>
  <c r="I38" i="3"/>
  <c r="AL38" i="3"/>
  <c r="AJ38" i="3"/>
  <c r="AF38" i="3"/>
  <c r="AB38" i="3"/>
  <c r="X38" i="3"/>
  <c r="T38" i="3"/>
  <c r="P38" i="3"/>
  <c r="J38" i="3"/>
  <c r="D38" i="3"/>
  <c r="C38" i="3"/>
  <c r="AJ30" i="3"/>
  <c r="AF30" i="3"/>
  <c r="AB30" i="3"/>
  <c r="X30" i="3"/>
  <c r="T30" i="3"/>
  <c r="P30" i="3"/>
  <c r="H30" i="3"/>
  <c r="C30" i="3"/>
  <c r="D101" i="3" s="1"/>
  <c r="B30" i="3"/>
  <c r="AL30" i="3"/>
  <c r="AI30" i="3"/>
  <c r="AE30" i="3"/>
  <c r="AA30" i="3"/>
  <c r="W30" i="3"/>
  <c r="S30" i="3"/>
  <c r="O30" i="3"/>
  <c r="K30" i="3"/>
  <c r="E30" i="3"/>
  <c r="D164" i="3"/>
  <c r="G242" i="3"/>
  <c r="G244" i="3"/>
  <c r="M180" i="3"/>
  <c r="M244" i="3"/>
  <c r="H183" i="3"/>
  <c r="E231" i="3"/>
  <c r="N156" i="3"/>
  <c r="D99" i="11"/>
  <c r="L166" i="3"/>
  <c r="M167" i="3"/>
  <c r="J164" i="3"/>
  <c r="K165" i="3"/>
  <c r="J165" i="3"/>
  <c r="I164" i="3"/>
  <c r="K166" i="3"/>
  <c r="M168" i="3"/>
  <c r="L167" i="3"/>
  <c r="C132" i="3"/>
  <c r="F135" i="3"/>
  <c r="H137" i="3"/>
  <c r="E134" i="3"/>
  <c r="K182" i="3"/>
  <c r="L183" i="3"/>
  <c r="M184" i="3"/>
  <c r="J231" i="3"/>
  <c r="J181" i="3"/>
  <c r="I180" i="3"/>
  <c r="M148" i="3"/>
  <c r="I242" i="3"/>
  <c r="I246" i="3" s="1"/>
  <c r="I241" i="3"/>
  <c r="M227" i="3"/>
  <c r="J153" i="3"/>
  <c r="E148" i="3"/>
  <c r="F149" i="3"/>
  <c r="G150" i="3"/>
  <c r="I152" i="3"/>
  <c r="H151" i="3"/>
  <c r="M102" i="3"/>
  <c r="C243" i="3"/>
  <c r="L101" i="3"/>
  <c r="K100" i="3"/>
  <c r="G133" i="3"/>
  <c r="I135" i="3"/>
  <c r="F132" i="3"/>
  <c r="H134" i="3"/>
  <c r="K137" i="3"/>
  <c r="J136" i="3"/>
  <c r="M182" i="3"/>
  <c r="L181" i="3"/>
  <c r="K180" i="3"/>
  <c r="G149" i="3"/>
  <c r="I151" i="3"/>
  <c r="H150" i="3"/>
  <c r="J152" i="3"/>
  <c r="K153" i="3"/>
  <c r="F148" i="3"/>
  <c r="M151" i="3"/>
  <c r="M207" i="3" s="1"/>
  <c r="K149" i="3"/>
  <c r="J227" i="3"/>
  <c r="R172" i="8"/>
  <c r="E102" i="3"/>
  <c r="C221" i="3"/>
  <c r="C100" i="3"/>
  <c r="G168" i="3"/>
  <c r="D165" i="3"/>
  <c r="F167" i="3"/>
  <c r="H169" i="3"/>
  <c r="C229" i="3"/>
  <c r="C164" i="3"/>
  <c r="E166" i="3"/>
  <c r="L135" i="3"/>
  <c r="G245" i="3"/>
  <c r="J225" i="3"/>
  <c r="K225" i="3"/>
  <c r="E182" i="3"/>
  <c r="F183" i="3"/>
  <c r="C180" i="3"/>
  <c r="H185" i="3"/>
  <c r="H181" i="3"/>
  <c r="L185" i="3"/>
  <c r="J183" i="3"/>
  <c r="G180" i="3"/>
  <c r="I182" i="3"/>
  <c r="G231" i="3"/>
  <c r="B180" i="3"/>
  <c r="C181" i="3"/>
  <c r="G185" i="3"/>
  <c r="E183" i="3"/>
  <c r="F184" i="3"/>
  <c r="D182" i="3"/>
  <c r="B231" i="3"/>
  <c r="B61" i="3"/>
  <c r="C61" i="3"/>
  <c r="L153" i="3"/>
  <c r="G148" i="3"/>
  <c r="I150" i="3"/>
  <c r="H149" i="3"/>
  <c r="K152" i="3"/>
  <c r="G227" i="3"/>
  <c r="J151" i="3"/>
  <c r="K148" i="3"/>
  <c r="L149" i="3"/>
  <c r="M150" i="3"/>
  <c r="K227" i="3"/>
  <c r="I245" i="3"/>
  <c r="S72" i="5"/>
  <c r="U72" i="5"/>
  <c r="L104" i="3"/>
  <c r="J102" i="3"/>
  <c r="H100" i="3"/>
  <c r="K103" i="3"/>
  <c r="M105" i="3"/>
  <c r="I101" i="3"/>
  <c r="C149" i="3"/>
  <c r="B148" i="3"/>
  <c r="G153" i="3"/>
  <c r="N153" i="3" s="1"/>
  <c r="C227" i="3"/>
  <c r="D150" i="3"/>
  <c r="E151" i="3"/>
  <c r="B57" i="3"/>
  <c r="F152" i="3"/>
  <c r="B227" i="3"/>
  <c r="D148" i="3"/>
  <c r="D207" i="3"/>
  <c r="E149" i="3"/>
  <c r="H152" i="3"/>
  <c r="F150" i="3"/>
  <c r="G151" i="3"/>
  <c r="I153" i="3"/>
  <c r="D227" i="3"/>
  <c r="H103" i="3"/>
  <c r="G221" i="3"/>
  <c r="H148" i="3"/>
  <c r="I149" i="3"/>
  <c r="J150" i="3"/>
  <c r="K151" i="3"/>
  <c r="K207" i="3" s="1"/>
  <c r="H227" i="3"/>
  <c r="M153" i="3"/>
  <c r="L152" i="3"/>
  <c r="I227" i="3"/>
  <c r="E79" i="3"/>
  <c r="D79" i="3"/>
  <c r="O160" i="3" s="1"/>
  <c r="B72" i="11"/>
  <c r="C79" i="3"/>
  <c r="B79" i="3"/>
  <c r="F79" i="3"/>
  <c r="N160" i="3"/>
  <c r="I208" i="3"/>
  <c r="D221" i="3"/>
  <c r="N158" i="3"/>
  <c r="D180" i="3"/>
  <c r="F182" i="3"/>
  <c r="H184" i="3"/>
  <c r="E181" i="3"/>
  <c r="I185" i="3"/>
  <c r="D231" i="3"/>
  <c r="G183" i="3"/>
  <c r="M149" i="3"/>
  <c r="I244" i="3"/>
  <c r="L148" i="3"/>
  <c r="L227" i="3"/>
  <c r="B107" i="14"/>
  <c r="F106" i="1"/>
  <c r="F107" i="14"/>
  <c r="A365" i="8"/>
  <c r="E206" i="3"/>
  <c r="N141" i="3"/>
  <c r="I181" i="3"/>
  <c r="J182" i="3"/>
  <c r="K183" i="3"/>
  <c r="H180" i="3"/>
  <c r="L184" i="3"/>
  <c r="M185" i="3"/>
  <c r="M211" i="3" s="1"/>
  <c r="H231" i="3"/>
  <c r="D102" i="3"/>
  <c r="C101" i="3"/>
  <c r="G105" i="3"/>
  <c r="B100" i="3"/>
  <c r="E103" i="3"/>
  <c r="F104" i="3"/>
  <c r="B221" i="3"/>
  <c r="K135" i="3"/>
  <c r="L136" i="3"/>
  <c r="M137" i="3"/>
  <c r="H225" i="3"/>
  <c r="I133" i="3"/>
  <c r="H132" i="3"/>
  <c r="H205" i="3"/>
  <c r="J134" i="3"/>
  <c r="L180" i="3"/>
  <c r="L211" i="3" s="1"/>
  <c r="M245" i="3"/>
  <c r="M181" i="3"/>
  <c r="M242" i="3"/>
  <c r="M243" i="3"/>
  <c r="L231" i="3"/>
  <c r="D61" i="3"/>
  <c r="F208" i="3"/>
  <c r="N157" i="3"/>
  <c r="M66" i="8"/>
  <c r="K67" i="8"/>
  <c r="M67" i="8"/>
  <c r="C99" i="11"/>
  <c r="L65" i="8"/>
  <c r="J66" i="8"/>
  <c r="J64" i="8"/>
  <c r="K65" i="8"/>
  <c r="K63" i="8"/>
  <c r="K64" i="8"/>
  <c r="J67" i="8"/>
  <c r="J65" i="8"/>
  <c r="J69" i="8" s="1"/>
  <c r="J63" i="8"/>
  <c r="L66" i="8"/>
  <c r="M65" i="8"/>
  <c r="M64" i="8"/>
  <c r="L63" i="8"/>
  <c r="M63" i="8"/>
  <c r="K66" i="8"/>
  <c r="L64" i="8"/>
  <c r="L67" i="8"/>
  <c r="BK121" i="6"/>
  <c r="BK129" i="6"/>
  <c r="BK136" i="6"/>
  <c r="BK144" i="6"/>
  <c r="BK152" i="6"/>
  <c r="BK160" i="6"/>
  <c r="BK168" i="6"/>
  <c r="BK176" i="6"/>
  <c r="BK124" i="6"/>
  <c r="BK131" i="6"/>
  <c r="BK139" i="6"/>
  <c r="BK147" i="6"/>
  <c r="BK155" i="6"/>
  <c r="BK163" i="6"/>
  <c r="BK171" i="6"/>
  <c r="BN117" i="6"/>
  <c r="BK118" i="6"/>
  <c r="BK127" i="6"/>
  <c r="BK138" i="6"/>
  <c r="BK148" i="6"/>
  <c r="BK125" i="6"/>
  <c r="BK134" i="6"/>
  <c r="BK146" i="6"/>
  <c r="BK156" i="6"/>
  <c r="BK166" i="6"/>
  <c r="BK178" i="6"/>
  <c r="BK128" i="6"/>
  <c r="BK137" i="6"/>
  <c r="BK149" i="6"/>
  <c r="BK159" i="6"/>
  <c r="BK169" i="6"/>
  <c r="BK120" i="6"/>
  <c r="BK150" i="6"/>
  <c r="BK164" i="6"/>
  <c r="BJ119" i="6"/>
  <c r="BK133" i="6"/>
  <c r="BK145" i="6"/>
  <c r="BK161" i="6"/>
  <c r="BK175" i="6"/>
  <c r="BK132" i="6"/>
  <c r="BK154" i="6"/>
  <c r="BK170" i="6"/>
  <c r="BK122" i="6"/>
  <c r="BK135" i="6"/>
  <c r="BK151" i="6"/>
  <c r="BK165" i="6"/>
  <c r="BK177" i="6"/>
  <c r="BK140" i="6"/>
  <c r="BK172" i="6"/>
  <c r="BK141" i="6"/>
  <c r="BK167" i="6"/>
  <c r="BK123" i="6"/>
  <c r="BK162" i="6"/>
  <c r="BK130" i="6"/>
  <c r="BK157" i="6"/>
  <c r="BK174" i="6"/>
  <c r="BK173" i="6"/>
  <c r="BK143" i="6"/>
  <c r="BK142" i="6"/>
  <c r="BK153" i="6"/>
  <c r="BK158" i="6"/>
  <c r="BK126" i="6"/>
  <c r="BK119" i="6"/>
  <c r="BN119" i="6" s="1"/>
  <c r="X95" i="8"/>
  <c r="X101" i="8" s="1"/>
  <c r="W99" i="8"/>
  <c r="W98" i="8"/>
  <c r="C109" i="11"/>
  <c r="Z99" i="8"/>
  <c r="W97" i="8"/>
  <c r="X99" i="8"/>
  <c r="W95" i="8"/>
  <c r="Y97" i="8"/>
  <c r="Z98" i="8"/>
  <c r="Y99" i="8"/>
  <c r="X97" i="8"/>
  <c r="X96" i="8"/>
  <c r="X98" i="8"/>
  <c r="Y95" i="8"/>
  <c r="Z96" i="8"/>
  <c r="W96" i="8"/>
  <c r="Y98" i="8"/>
  <c r="Y96" i="8"/>
  <c r="Z95" i="8"/>
  <c r="Z97" i="8"/>
  <c r="Z101" i="8" s="1"/>
  <c r="P180" i="3"/>
  <c r="J251" i="3"/>
  <c r="J250" i="3"/>
  <c r="J248" i="3"/>
  <c r="O157" i="3"/>
  <c r="J252" i="3"/>
  <c r="N152" i="3"/>
  <c r="C209" i="3"/>
  <c r="B201" i="3"/>
  <c r="H211" i="3"/>
  <c r="H207" i="3"/>
  <c r="B207" i="3"/>
  <c r="D201" i="3"/>
  <c r="B211" i="3"/>
  <c r="C211" i="3"/>
  <c r="F207" i="3"/>
  <c r="B78" i="3"/>
  <c r="L69" i="8"/>
  <c r="N149" i="3"/>
  <c r="C207" i="3"/>
  <c r="C201" i="3"/>
  <c r="E207" i="3"/>
  <c r="B172" i="12"/>
  <c r="AN225" i="6"/>
  <c r="AN226" i="6"/>
  <c r="AN233" i="6"/>
  <c r="AN234" i="6"/>
  <c r="AN235" i="6"/>
  <c r="AN236" i="6"/>
  <c r="AN243" i="6"/>
  <c r="AN244" i="6"/>
  <c r="AN211" i="6"/>
  <c r="AN216" i="6"/>
  <c r="AN187" i="6"/>
  <c r="AN191" i="6"/>
  <c r="AN193" i="6"/>
  <c r="AN197" i="6"/>
  <c r="AN198" i="6"/>
  <c r="AN199" i="6"/>
  <c r="AN202" i="6"/>
  <c r="AN203" i="6"/>
  <c r="AN227" i="6"/>
  <c r="AN228" i="6"/>
  <c r="AN237" i="6"/>
  <c r="AN238" i="6"/>
  <c r="AN245" i="6"/>
  <c r="AN212" i="6"/>
  <c r="AN215" i="6"/>
  <c r="AN219" i="6"/>
  <c r="AN186" i="6"/>
  <c r="AN190" i="6"/>
  <c r="AN194" i="6"/>
  <c r="AN195" i="6"/>
  <c r="AN200" i="6"/>
  <c r="AN204" i="6"/>
  <c r="AN222" i="6"/>
  <c r="AN229" i="6"/>
  <c r="AN230" i="6"/>
  <c r="AN239" i="6"/>
  <c r="AN240" i="6"/>
  <c r="AN214" i="6"/>
  <c r="AN218" i="6"/>
  <c r="AN189" i="6"/>
  <c r="AN217" i="6"/>
  <c r="AN192" i="6"/>
  <c r="AN196" i="6"/>
  <c r="AN208" i="6"/>
  <c r="AN232" i="6"/>
  <c r="AN210" i="6"/>
  <c r="AN188" i="6"/>
  <c r="AN224" i="6"/>
  <c r="AN231" i="6"/>
  <c r="AN241" i="6"/>
  <c r="AN213" i="6"/>
  <c r="AN206" i="6"/>
  <c r="AN223" i="6"/>
  <c r="AN242" i="6"/>
  <c r="AN201" i="6"/>
  <c r="AN207" i="6"/>
  <c r="AN220" i="6"/>
  <c r="AN205" i="6"/>
  <c r="AN209" i="6"/>
  <c r="AN221" i="6"/>
  <c r="J206" i="6"/>
  <c r="J203" i="6"/>
  <c r="J202" i="6"/>
  <c r="J229" i="6"/>
  <c r="J214" i="6"/>
  <c r="U184" i="6"/>
  <c r="AY184" i="6"/>
  <c r="AG184" i="6"/>
  <c r="AS184" i="6"/>
  <c r="AA184" i="6"/>
  <c r="J196" i="6"/>
  <c r="J235" i="6"/>
  <c r="J234" i="6"/>
  <c r="J228" i="6"/>
  <c r="J231" i="6"/>
  <c r="J227" i="6"/>
  <c r="J219" i="6"/>
  <c r="J240" i="6"/>
  <c r="J211" i="6"/>
  <c r="J239" i="6"/>
  <c r="J243" i="6"/>
  <c r="J187" i="6"/>
  <c r="D187" i="6"/>
  <c r="J188" i="6"/>
  <c r="D188" i="6" s="1"/>
  <c r="J190" i="6"/>
  <c r="D190" i="6"/>
  <c r="D254" i="6" s="1"/>
  <c r="J193" i="6"/>
  <c r="J195" i="6"/>
  <c r="J198" i="6"/>
  <c r="J200" i="6"/>
  <c r="J238" i="6"/>
  <c r="J242" i="6"/>
  <c r="J237" i="6"/>
  <c r="J233" i="6"/>
  <c r="J221" i="6"/>
  <c r="J222" i="6"/>
  <c r="J215" i="6"/>
  <c r="J245" i="6"/>
  <c r="J212" i="6"/>
  <c r="J189" i="6"/>
  <c r="D189" i="6" s="1"/>
  <c r="J191" i="6"/>
  <c r="D191" i="6" s="1"/>
  <c r="D255" i="6" s="1"/>
  <c r="J197" i="6"/>
  <c r="J201" i="6"/>
  <c r="J244" i="6"/>
  <c r="J213" i="6"/>
  <c r="J241" i="6"/>
  <c r="J210" i="6"/>
  <c r="J230" i="6"/>
  <c r="J226" i="6"/>
  <c r="J218" i="6"/>
  <c r="J225" i="6"/>
  <c r="J217" i="6"/>
  <c r="J186" i="6"/>
  <c r="D186" i="6" s="1"/>
  <c r="J208" i="6"/>
  <c r="J205" i="6"/>
  <c r="J232" i="6"/>
  <c r="J216" i="6"/>
  <c r="H209" i="12"/>
  <c r="C109" i="6"/>
  <c r="C108" i="6"/>
  <c r="C350" i="11" s="1"/>
  <c r="C349" i="11"/>
  <c r="B212" i="12" s="1"/>
  <c r="I212" i="12" s="1"/>
  <c r="AT147" i="6"/>
  <c r="AT156" i="6"/>
  <c r="AT158" i="6"/>
  <c r="AT168" i="6"/>
  <c r="AT170" i="6"/>
  <c r="AT151" i="6"/>
  <c r="AT155" i="6"/>
  <c r="AT157" i="6"/>
  <c r="AT167" i="6"/>
  <c r="AT169" i="6"/>
  <c r="AT125" i="6"/>
  <c r="AT132" i="6"/>
  <c r="AT172" i="6"/>
  <c r="AT174" i="6"/>
  <c r="AT159" i="6"/>
  <c r="AT161" i="6"/>
  <c r="AT149" i="6"/>
  <c r="AT171" i="6"/>
  <c r="AT173" i="6"/>
  <c r="AT144" i="6"/>
  <c r="AT143" i="6"/>
  <c r="AT123" i="6"/>
  <c r="AT126" i="6"/>
  <c r="AT130" i="6"/>
  <c r="AT131" i="6"/>
  <c r="AT133" i="6"/>
  <c r="AT163" i="6"/>
  <c r="AT165" i="6"/>
  <c r="AT175" i="6"/>
  <c r="AT177" i="6"/>
  <c r="AT154" i="6"/>
  <c r="AT153" i="6"/>
  <c r="AT160" i="6"/>
  <c r="AT162" i="6"/>
  <c r="AT148" i="6"/>
  <c r="AT122" i="6"/>
  <c r="AT127" i="6"/>
  <c r="AT128" i="6"/>
  <c r="AT129" i="6"/>
  <c r="AT150" i="6"/>
  <c r="AT145" i="6"/>
  <c r="AT152" i="6"/>
  <c r="AT146" i="6"/>
  <c r="AT164" i="6"/>
  <c r="AT166" i="6"/>
  <c r="AT176" i="6"/>
  <c r="AT178" i="6"/>
  <c r="AT119" i="6"/>
  <c r="AT120" i="6"/>
  <c r="AT121" i="6"/>
  <c r="AT124" i="6"/>
  <c r="AH154" i="6"/>
  <c r="AH143" i="6"/>
  <c r="AH174" i="6"/>
  <c r="AH172" i="6"/>
  <c r="AH171" i="6"/>
  <c r="AH152" i="6"/>
  <c r="AH166" i="6"/>
  <c r="AH165" i="6"/>
  <c r="AH163" i="6"/>
  <c r="AH122" i="6"/>
  <c r="AH130" i="6"/>
  <c r="AH155" i="6"/>
  <c r="AH157" i="6"/>
  <c r="AH144" i="6"/>
  <c r="AH162" i="6"/>
  <c r="AH149" i="6"/>
  <c r="AH170" i="6"/>
  <c r="AH146" i="6"/>
  <c r="AH173" i="6"/>
  <c r="AH147" i="6"/>
  <c r="AH178" i="6"/>
  <c r="AH119" i="6"/>
  <c r="AH124" i="6"/>
  <c r="AH161" i="6"/>
  <c r="AH168" i="6"/>
  <c r="AH153" i="6"/>
  <c r="AH169" i="6"/>
  <c r="AH150" i="6"/>
  <c r="AH177" i="6"/>
  <c r="AH160" i="6"/>
  <c r="AH159" i="6"/>
  <c r="AH148" i="6"/>
  <c r="AH120" i="6"/>
  <c r="D132" i="6" s="1"/>
  <c r="AH121" i="6"/>
  <c r="AH123" i="6"/>
  <c r="AH127" i="6"/>
  <c r="AH128" i="6"/>
  <c r="D140" i="6" s="1"/>
  <c r="AH129" i="6"/>
  <c r="AH132" i="6"/>
  <c r="AH176" i="6"/>
  <c r="AH175" i="6"/>
  <c r="AH151" i="6"/>
  <c r="AH164" i="6"/>
  <c r="AH145" i="6"/>
  <c r="AH167" i="6"/>
  <c r="AH158" i="6"/>
  <c r="AH156" i="6"/>
  <c r="AH125" i="6"/>
  <c r="AH126" i="6"/>
  <c r="AH131" i="6"/>
  <c r="BR149" i="6"/>
  <c r="BR165" i="6"/>
  <c r="BR147" i="6"/>
  <c r="BR158" i="6"/>
  <c r="BR174" i="6"/>
  <c r="BR127" i="6"/>
  <c r="BR131" i="6"/>
  <c r="BR135" i="6"/>
  <c r="BR139" i="6"/>
  <c r="BR163" i="6"/>
  <c r="BR143" i="6"/>
  <c r="BR156" i="6"/>
  <c r="BR172" i="6"/>
  <c r="BR144" i="6"/>
  <c r="BR154" i="6"/>
  <c r="BR169" i="6"/>
  <c r="BR121" i="6"/>
  <c r="BR162" i="6"/>
  <c r="BR178" i="6"/>
  <c r="BR126" i="6"/>
  <c r="BR130" i="6"/>
  <c r="BR134" i="6"/>
  <c r="BR138" i="6"/>
  <c r="BR142" i="6"/>
  <c r="BR151" i="6"/>
  <c r="BR167" i="6"/>
  <c r="BR150" i="6"/>
  <c r="BR160" i="6"/>
  <c r="BR176" i="6"/>
  <c r="BR123" i="6"/>
  <c r="BR157" i="6"/>
  <c r="BR173" i="6"/>
  <c r="BR152" i="6"/>
  <c r="BR166" i="6"/>
  <c r="BR148" i="6"/>
  <c r="BR125" i="6"/>
  <c r="BR129" i="6"/>
  <c r="BR133" i="6"/>
  <c r="BR137" i="6"/>
  <c r="BR141" i="6"/>
  <c r="BR155" i="6"/>
  <c r="BR171" i="6"/>
  <c r="BR145" i="6"/>
  <c r="BR164" i="6"/>
  <c r="BR146" i="6"/>
  <c r="BR161" i="6"/>
  <c r="BR177" i="6"/>
  <c r="BR119" i="6"/>
  <c r="BR170" i="6"/>
  <c r="BR122" i="6"/>
  <c r="BR124" i="6"/>
  <c r="BR128" i="6"/>
  <c r="BR132" i="6"/>
  <c r="BR136" i="6"/>
  <c r="BR140" i="6"/>
  <c r="BR159" i="6"/>
  <c r="BR175" i="6"/>
  <c r="BR153" i="6"/>
  <c r="BR168" i="6"/>
  <c r="BR120" i="6"/>
  <c r="V158" i="6"/>
  <c r="V154" i="6"/>
  <c r="V168" i="6"/>
  <c r="V152" i="6"/>
  <c r="V161" i="6"/>
  <c r="V174" i="6"/>
  <c r="V173" i="6"/>
  <c r="V120" i="6"/>
  <c r="D126" i="6"/>
  <c r="V124" i="6"/>
  <c r="V127" i="6"/>
  <c r="V128" i="6"/>
  <c r="V132" i="6"/>
  <c r="V172" i="6"/>
  <c r="V160" i="6"/>
  <c r="V159" i="6"/>
  <c r="V176" i="6"/>
  <c r="V177" i="6"/>
  <c r="V156" i="6"/>
  <c r="V150" i="6"/>
  <c r="V121" i="6"/>
  <c r="D127" i="6"/>
  <c r="V129" i="6"/>
  <c r="V167" i="6"/>
  <c r="V143" i="6"/>
  <c r="V149" i="6"/>
  <c r="V175" i="6"/>
  <c r="V145" i="6"/>
  <c r="V164" i="6"/>
  <c r="V163" i="6"/>
  <c r="V151" i="6"/>
  <c r="V119" i="6"/>
  <c r="D125" i="6"/>
  <c r="V125" i="6"/>
  <c r="D131" i="6" s="1"/>
  <c r="V126" i="6"/>
  <c r="V131" i="6"/>
  <c r="D137" i="6" s="1"/>
  <c r="V133" i="6"/>
  <c r="V162" i="6"/>
  <c r="V155" i="6"/>
  <c r="V157" i="6"/>
  <c r="V148" i="6"/>
  <c r="V146" i="6"/>
  <c r="V170" i="6"/>
  <c r="V171" i="6"/>
  <c r="V166" i="6"/>
  <c r="V122" i="6"/>
  <c r="D128" i="6" s="1"/>
  <c r="V123" i="6"/>
  <c r="D129" i="6"/>
  <c r="V130" i="6"/>
  <c r="D142" i="6"/>
  <c r="BF166" i="6"/>
  <c r="BF175" i="6"/>
  <c r="BF176" i="6"/>
  <c r="BF177" i="6"/>
  <c r="BF122" i="6"/>
  <c r="BF123" i="6"/>
  <c r="BF127" i="6"/>
  <c r="BF131" i="6"/>
  <c r="BF135" i="6"/>
  <c r="BF139" i="6"/>
  <c r="BF142" i="6"/>
  <c r="BF178" i="6"/>
  <c r="BF171" i="6"/>
  <c r="BF164" i="6"/>
  <c r="BF157" i="6"/>
  <c r="BF154" i="6"/>
  <c r="BF144" i="6"/>
  <c r="BF146" i="6"/>
  <c r="BF147" i="6"/>
  <c r="BF126" i="6"/>
  <c r="BF130" i="6"/>
  <c r="BF134" i="6"/>
  <c r="BF138" i="6"/>
  <c r="BF148" i="6"/>
  <c r="BF120" i="6"/>
  <c r="BF172" i="6"/>
  <c r="BF165" i="6"/>
  <c r="BF152" i="6"/>
  <c r="BF153" i="6"/>
  <c r="BF161" i="6"/>
  <c r="BF125" i="6"/>
  <c r="BF129" i="6"/>
  <c r="BF133" i="6"/>
  <c r="BF137" i="6"/>
  <c r="BF141" i="6"/>
  <c r="BF162" i="6"/>
  <c r="BF155" i="6"/>
  <c r="BF151" i="6"/>
  <c r="BF143" i="6"/>
  <c r="BF173" i="6"/>
  <c r="BF158" i="6"/>
  <c r="BF159" i="6"/>
  <c r="BF168" i="6"/>
  <c r="BF169" i="6"/>
  <c r="BF124" i="6"/>
  <c r="BF128" i="6"/>
  <c r="BF132" i="6"/>
  <c r="BF136" i="6"/>
  <c r="BF140" i="6"/>
  <c r="BF170" i="6"/>
  <c r="BF163" i="6"/>
  <c r="BF156" i="6"/>
  <c r="BF149" i="6"/>
  <c r="BF145" i="6"/>
  <c r="J166" i="6"/>
  <c r="J157" i="6"/>
  <c r="J173" i="6"/>
  <c r="J146" i="6"/>
  <c r="J153" i="6"/>
  <c r="J164" i="6"/>
  <c r="J155" i="6"/>
  <c r="J171" i="6"/>
  <c r="J147" i="6"/>
  <c r="D147" i="6"/>
  <c r="J120" i="6"/>
  <c r="D120" i="6"/>
  <c r="D251" i="6" s="1"/>
  <c r="J121" i="6"/>
  <c r="D121" i="6" s="1"/>
  <c r="D252" i="6" s="1"/>
  <c r="J170" i="6"/>
  <c r="J161" i="6"/>
  <c r="J148" i="6"/>
  <c r="D148" i="6"/>
  <c r="J154" i="6"/>
  <c r="J168" i="6"/>
  <c r="J159" i="6"/>
  <c r="D159" i="6"/>
  <c r="J175" i="6"/>
  <c r="J149" i="6"/>
  <c r="J119" i="6"/>
  <c r="D119" i="6"/>
  <c r="D250" i="6" s="1"/>
  <c r="J123" i="6"/>
  <c r="D123" i="6"/>
  <c r="J158" i="6"/>
  <c r="J174" i="6"/>
  <c r="J165" i="6"/>
  <c r="J177" i="6"/>
  <c r="J150" i="6"/>
  <c r="J156" i="6"/>
  <c r="J172" i="6"/>
  <c r="J163" i="6"/>
  <c r="J144" i="6"/>
  <c r="D144" i="6"/>
  <c r="J151" i="6"/>
  <c r="J162" i="6"/>
  <c r="J178" i="6"/>
  <c r="J169" i="6"/>
  <c r="J143" i="6"/>
  <c r="J152" i="6"/>
  <c r="D152" i="6"/>
  <c r="J160" i="6"/>
  <c r="D160" i="6"/>
  <c r="J176" i="6"/>
  <c r="J167" i="6"/>
  <c r="J145" i="6"/>
  <c r="D145" i="6"/>
  <c r="J122" i="6"/>
  <c r="D122" i="6"/>
  <c r="D253" i="6" s="1"/>
  <c r="D130" i="6"/>
  <c r="D136" i="6"/>
  <c r="D149" i="6"/>
  <c r="D155" i="6"/>
  <c r="O180" i="3"/>
  <c r="AQ72" i="9"/>
  <c r="Q201" i="8"/>
  <c r="Q195" i="8"/>
  <c r="Q217" i="8"/>
  <c r="R163" i="8"/>
  <c r="Q507" i="8"/>
  <c r="R188" i="8"/>
  <c r="Q211" i="8"/>
  <c r="D87" i="9"/>
  <c r="F37" i="9"/>
  <c r="G37" i="9"/>
  <c r="H37" i="9" s="1"/>
  <c r="F24" i="9"/>
  <c r="G24" i="9" s="1"/>
  <c r="E32" i="9"/>
  <c r="E24" i="9"/>
  <c r="AJ67" i="9"/>
  <c r="Q153" i="8"/>
  <c r="R209" i="8"/>
  <c r="Q200" i="8"/>
  <c r="R164" i="8"/>
  <c r="Q144" i="8"/>
  <c r="R139" i="8"/>
  <c r="R225" i="8" s="1"/>
  <c r="R147" i="8"/>
  <c r="R203" i="8"/>
  <c r="R160" i="8"/>
  <c r="R211" i="8"/>
  <c r="R187" i="8"/>
  <c r="R200" i="8"/>
  <c r="R193" i="8"/>
  <c r="R176" i="8"/>
  <c r="Q202" i="8"/>
  <c r="Q233" i="8" s="1"/>
  <c r="Q163" i="8"/>
  <c r="R137" i="8"/>
  <c r="R217" i="8"/>
  <c r="Q156" i="8"/>
  <c r="R192" i="8"/>
  <c r="Q138" i="8"/>
  <c r="Q177" i="8"/>
  <c r="R184" i="8"/>
  <c r="R220" i="8"/>
  <c r="Q218" i="8"/>
  <c r="Q148" i="8"/>
  <c r="R201" i="8"/>
  <c r="Q161" i="8"/>
  <c r="R507" i="8"/>
  <c r="Q154" i="8"/>
  <c r="R169" i="8"/>
  <c r="R216" i="8"/>
  <c r="R204" i="8"/>
  <c r="Q193" i="8"/>
  <c r="Q147" i="8"/>
  <c r="Q209" i="8"/>
  <c r="R145" i="8"/>
  <c r="Q146" i="8"/>
  <c r="Q208" i="8"/>
  <c r="Q171" i="8"/>
  <c r="R208" i="8"/>
  <c r="Q212" i="8"/>
  <c r="Q216" i="8"/>
  <c r="R196" i="8"/>
  <c r="Q176" i="8"/>
  <c r="R162" i="8"/>
  <c r="Q219" i="8"/>
  <c r="R168" i="8"/>
  <c r="Q152" i="8"/>
  <c r="Q192" i="8"/>
  <c r="R179" i="8"/>
  <c r="R508" i="8"/>
  <c r="Q184" i="8"/>
  <c r="Q179" i="8"/>
  <c r="Q220" i="8"/>
  <c r="R140" i="8"/>
  <c r="Q204" i="8"/>
  <c r="R504" i="8"/>
  <c r="Q172" i="8"/>
  <c r="Q169" i="8"/>
  <c r="E93" i="9"/>
  <c r="F93" i="9"/>
  <c r="G93" i="9"/>
  <c r="D88" i="9"/>
  <c r="T73" i="9"/>
  <c r="AI69" i="9"/>
  <c r="AN73" i="9"/>
  <c r="E27" i="9"/>
  <c r="E31" i="9"/>
  <c r="E35" i="9"/>
  <c r="E39" i="9"/>
  <c r="F27" i="9"/>
  <c r="G27" i="9" s="1"/>
  <c r="H27" i="9" s="1"/>
  <c r="F31" i="9"/>
  <c r="G31" i="9" s="1"/>
  <c r="H31" i="9" s="1"/>
  <c r="F36" i="9"/>
  <c r="G36" i="9"/>
  <c r="H36" i="9" s="1"/>
  <c r="G21" i="9"/>
  <c r="H21" i="9"/>
  <c r="D89" i="9"/>
  <c r="E89" i="9"/>
  <c r="F89" i="9" s="1"/>
  <c r="G89" i="9" s="1"/>
  <c r="E90" i="9"/>
  <c r="F90" i="9" s="1"/>
  <c r="G90" i="9" s="1"/>
  <c r="G40" i="9"/>
  <c r="H40" i="9"/>
  <c r="E92" i="9"/>
  <c r="F92" i="9" s="1"/>
  <c r="G92" i="9" s="1"/>
  <c r="E88" i="9"/>
  <c r="F88" i="9" s="1"/>
  <c r="G88" i="9" s="1"/>
  <c r="AE71" i="9"/>
  <c r="AB73" i="9"/>
  <c r="AN68" i="9"/>
  <c r="E25" i="9"/>
  <c r="E29" i="9"/>
  <c r="E33" i="9"/>
  <c r="E37" i="9"/>
  <c r="F25" i="9"/>
  <c r="G25" i="9"/>
  <c r="H25" i="9" s="1"/>
  <c r="F29" i="9"/>
  <c r="G29" i="9"/>
  <c r="H29" i="9"/>
  <c r="F32" i="9"/>
  <c r="G32" i="9" s="1"/>
  <c r="H32" i="9" s="1"/>
  <c r="F35" i="9"/>
  <c r="G35" i="9" s="1"/>
  <c r="H35" i="9" s="1"/>
  <c r="F38" i="9"/>
  <c r="G38" i="9"/>
  <c r="H38" i="9" s="1"/>
  <c r="D93" i="9"/>
  <c r="D90" i="9"/>
  <c r="AA67" i="9"/>
  <c r="D67" i="9" s="1"/>
  <c r="AQ70" i="9"/>
  <c r="AF68" i="9"/>
  <c r="Q504" i="8"/>
  <c r="R154" i="8"/>
  <c r="AQ69" i="9"/>
  <c r="R161" i="8"/>
  <c r="R228" i="8" s="1"/>
  <c r="R177" i="8"/>
  <c r="Q168" i="8"/>
  <c r="Q187" i="8"/>
  <c r="Q188" i="8"/>
  <c r="R195" i="8"/>
  <c r="E86" i="9"/>
  <c r="R171" i="8"/>
  <c r="Q203" i="8"/>
  <c r="E91" i="9"/>
  <c r="F91" i="9" s="1"/>
  <c r="G91" i="9" s="1"/>
  <c r="F30" i="9"/>
  <c r="G30" i="9"/>
  <c r="H30" i="9" s="1"/>
  <c r="E38" i="9"/>
  <c r="E30" i="9"/>
  <c r="AJ73" i="9"/>
  <c r="AB71" i="9"/>
  <c r="Y70" i="9"/>
  <c r="AC70" i="9"/>
  <c r="U73" i="9"/>
  <c r="Y73" i="9"/>
  <c r="AC73" i="9"/>
  <c r="U74" i="9"/>
  <c r="Y74" i="9"/>
  <c r="Q196" i="8"/>
  <c r="Q162" i="8"/>
  <c r="Q228" i="8" s="1"/>
  <c r="Q194" i="8"/>
  <c r="Q232" i="8"/>
  <c r="D86" i="9"/>
  <c r="R219" i="8"/>
  <c r="R144" i="8"/>
  <c r="Q139" i="8"/>
  <c r="Q164" i="8"/>
  <c r="E87" i="9"/>
  <c r="F87" i="9"/>
  <c r="G87" i="9"/>
  <c r="Q136" i="8"/>
  <c r="F34" i="9"/>
  <c r="G34" i="9"/>
  <c r="H34" i="9" s="1"/>
  <c r="F28" i="9"/>
  <c r="G28" i="9"/>
  <c r="H28" i="9"/>
  <c r="E36" i="9"/>
  <c r="E28" i="9"/>
  <c r="AF72" i="9"/>
  <c r="D92" i="9"/>
  <c r="T69" i="9"/>
  <c r="T71" i="9"/>
  <c r="T72" i="9"/>
  <c r="AB72" i="9"/>
  <c r="T74" i="9"/>
  <c r="AF67" i="9"/>
  <c r="AJ70" i="9"/>
  <c r="AN70" i="9"/>
  <c r="AN71" i="9"/>
  <c r="AJ72" i="9"/>
  <c r="AN72" i="9"/>
  <c r="AF74" i="9"/>
  <c r="AN74" i="9"/>
  <c r="AC74" i="9"/>
  <c r="AK70" i="9"/>
  <c r="AO70" i="9"/>
  <c r="AK71" i="9"/>
  <c r="AG72" i="9"/>
  <c r="AG73" i="9"/>
  <c r="AG74" i="9"/>
  <c r="AO74" i="9"/>
  <c r="V67" i="9"/>
  <c r="V68" i="9"/>
  <c r="AD68" i="9"/>
  <c r="Z69" i="9"/>
  <c r="V71" i="9"/>
  <c r="Z71" i="9"/>
  <c r="AD71" i="9"/>
  <c r="V72" i="9"/>
  <c r="AD72" i="9"/>
  <c r="V74" i="9"/>
  <c r="AH67" i="9"/>
  <c r="AL69" i="9"/>
  <c r="AL70" i="9"/>
  <c r="AL71" i="9"/>
  <c r="AH72" i="9"/>
  <c r="AL74" i="9"/>
  <c r="O132" i="3"/>
  <c r="O159" i="3"/>
  <c r="O158" i="3"/>
  <c r="O161" i="3"/>
  <c r="J249" i="3"/>
  <c r="J253" i="3" s="1"/>
  <c r="B280" i="3"/>
  <c r="B281" i="3"/>
  <c r="E109" i="11"/>
  <c r="E99" i="11"/>
  <c r="F99" i="11" s="1"/>
  <c r="G99" i="11" s="1"/>
  <c r="B329" i="14"/>
  <c r="E107" i="11"/>
  <c r="E104" i="11"/>
  <c r="E100" i="11"/>
  <c r="E105" i="11"/>
  <c r="E101" i="11"/>
  <c r="E106" i="11"/>
  <c r="E102" i="11"/>
  <c r="F102" i="11"/>
  <c r="G102" i="11"/>
  <c r="E108" i="11"/>
  <c r="L373" i="14"/>
  <c r="J373" i="14"/>
  <c r="O372" i="14"/>
  <c r="U17" i="9"/>
  <c r="E17" i="9"/>
  <c r="R372" i="14"/>
  <c r="F372" i="14"/>
  <c r="S17" i="9"/>
  <c r="N371" i="14"/>
  <c r="C371" i="14"/>
  <c r="G371" i="14"/>
  <c r="R16" i="9"/>
  <c r="S15" i="9"/>
  <c r="O15" i="9"/>
  <c r="G369" i="14"/>
  <c r="R369" i="14"/>
  <c r="I374" i="14"/>
  <c r="B374" i="14"/>
  <c r="H373" i="14"/>
  <c r="H392" i="14" s="1"/>
  <c r="K373" i="14"/>
  <c r="E373" i="14"/>
  <c r="W18" i="9"/>
  <c r="D391" i="1"/>
  <c r="D373" i="14"/>
  <c r="F18" i="9"/>
  <c r="G18" i="9"/>
  <c r="H18" i="9"/>
  <c r="B17" i="9"/>
  <c r="B372" i="14"/>
  <c r="J372" i="14"/>
  <c r="M391" i="1"/>
  <c r="C372" i="14"/>
  <c r="C392" i="14"/>
  <c r="F17" i="9"/>
  <c r="G17" i="9"/>
  <c r="H17" i="9" s="1"/>
  <c r="H371" i="14"/>
  <c r="F16" i="9"/>
  <c r="G16" i="9"/>
  <c r="H16" i="9" s="1"/>
  <c r="H391" i="1"/>
  <c r="P371" i="14"/>
  <c r="E371" i="14"/>
  <c r="E392" i="14" s="1"/>
  <c r="R370" i="14"/>
  <c r="M15" i="9"/>
  <c r="J370" i="14"/>
  <c r="F14" i="9"/>
  <c r="G14" i="9"/>
  <c r="H14" i="9" s="1"/>
  <c r="O14" i="9"/>
  <c r="H369" i="14"/>
  <c r="M369" i="14"/>
  <c r="S369" i="14"/>
  <c r="O369" i="14"/>
  <c r="K369" i="14"/>
  <c r="E19" i="9"/>
  <c r="F19" i="9"/>
  <c r="G19" i="9"/>
  <c r="H19" i="9" s="1"/>
  <c r="G391" i="1"/>
  <c r="N374" i="14"/>
  <c r="E391" i="1"/>
  <c r="E374" i="14"/>
  <c r="P374" i="14"/>
  <c r="D374" i="14"/>
  <c r="B373" i="14"/>
  <c r="B18" i="9"/>
  <c r="N373" i="14"/>
  <c r="I373" i="14"/>
  <c r="C391" i="1"/>
  <c r="U18" i="9"/>
  <c r="I372" i="14"/>
  <c r="P372" i="14"/>
  <c r="Y17" i="9"/>
  <c r="AF20" i="9"/>
  <c r="AC20" i="9"/>
  <c r="AQ20" i="9"/>
  <c r="F371" i="14"/>
  <c r="O16" i="9"/>
  <c r="AH20" i="9"/>
  <c r="AI20" i="9"/>
  <c r="AK20" i="9"/>
  <c r="AM20" i="9"/>
  <c r="Z20" i="9"/>
  <c r="AN20" i="9"/>
  <c r="AR20" i="9"/>
  <c r="W16" i="9"/>
  <c r="AD20" i="9"/>
  <c r="AL20" i="9"/>
  <c r="AO20" i="9"/>
  <c r="AE20" i="9"/>
  <c r="AP20" i="9"/>
  <c r="AG20" i="9"/>
  <c r="F15" i="9"/>
  <c r="G15" i="9"/>
  <c r="H15" i="9"/>
  <c r="F391" i="1"/>
  <c r="L15" i="9"/>
  <c r="AJ20" i="9"/>
  <c r="AA20" i="9"/>
  <c r="X20" i="9"/>
  <c r="AB20" i="9"/>
  <c r="K391" i="1"/>
  <c r="K370" i="14"/>
  <c r="K392" i="14"/>
  <c r="E14" i="9"/>
  <c r="N369" i="14"/>
  <c r="I391" i="1"/>
  <c r="E369" i="14"/>
  <c r="L369" i="14"/>
  <c r="L392" i="14"/>
  <c r="S14" i="9"/>
  <c r="B368" i="1"/>
  <c r="L391" i="1"/>
  <c r="Q71" i="9"/>
  <c r="M357" i="14"/>
  <c r="AE70" i="9"/>
  <c r="Y357" i="14"/>
  <c r="AA69" i="9"/>
  <c r="AM69" i="9"/>
  <c r="W69" i="9"/>
  <c r="AE69" i="9"/>
  <c r="AI68" i="9"/>
  <c r="AD73" i="9"/>
  <c r="AA71" i="9"/>
  <c r="P71" i="9"/>
  <c r="L71" i="9"/>
  <c r="AM71" i="9"/>
  <c r="K71" i="9"/>
  <c r="N68" i="9"/>
  <c r="AO361" i="14"/>
  <c r="AG361" i="14"/>
  <c r="AN69" i="9"/>
  <c r="AJ69" i="9"/>
  <c r="V73" i="9"/>
  <c r="AJ71" i="9"/>
  <c r="AF71" i="9"/>
  <c r="AQ67" i="9"/>
  <c r="S73" i="9"/>
  <c r="O73" i="9"/>
  <c r="K73" i="9"/>
  <c r="AI70" i="9"/>
  <c r="W70" i="9"/>
  <c r="AM70" i="9"/>
  <c r="R356" i="14"/>
  <c r="AF69" i="9"/>
  <c r="I355" i="14"/>
  <c r="L67" i="9"/>
  <c r="AO360" i="14"/>
  <c r="AL73" i="9"/>
  <c r="Z73" i="9"/>
  <c r="G359" i="14"/>
  <c r="R69" i="9"/>
  <c r="L356" i="14"/>
  <c r="AJ68" i="9"/>
  <c r="AB68" i="9"/>
  <c r="T68" i="9"/>
  <c r="AE74" i="9"/>
  <c r="S74" i="9"/>
  <c r="W74" i="9"/>
  <c r="U71" i="9"/>
  <c r="AP73" i="9"/>
  <c r="AH73" i="9"/>
  <c r="AQ71" i="9"/>
  <c r="AI71" i="9"/>
  <c r="X71" i="9"/>
  <c r="R358" i="14"/>
  <c r="T355" i="14"/>
  <c r="AB74" i="9"/>
  <c r="AD361" i="14"/>
  <c r="Z74" i="9"/>
  <c r="AH359" i="14"/>
  <c r="AH70" i="9"/>
  <c r="X68" i="9"/>
  <c r="AL361" i="14"/>
  <c r="Z359" i="14"/>
  <c r="V70" i="9"/>
  <c r="X70" i="9"/>
  <c r="W73" i="9"/>
  <c r="AG360" i="14"/>
  <c r="S72" i="9"/>
  <c r="AB359" i="14"/>
  <c r="AN67" i="9"/>
  <c r="T67" i="9"/>
  <c r="AD354" i="14"/>
  <c r="P354" i="14"/>
  <c r="M359" i="14"/>
  <c r="AF359" i="14"/>
  <c r="AP69" i="9"/>
  <c r="AH69" i="9"/>
  <c r="AJ356" i="14"/>
  <c r="J73" i="9"/>
  <c r="AK73" i="9"/>
  <c r="S360" i="14"/>
  <c r="AL359" i="14"/>
  <c r="X72" i="9"/>
  <c r="R359" i="14"/>
  <c r="J71" i="9"/>
  <c r="AO71" i="9"/>
  <c r="E71" i="9" s="1"/>
  <c r="AL357" i="14"/>
  <c r="AH357" i="14"/>
  <c r="K357" i="14"/>
  <c r="T70" i="9"/>
  <c r="H69" i="9"/>
  <c r="X356" i="14"/>
  <c r="I67" i="9"/>
  <c r="AC67" i="9"/>
  <c r="AH71" i="9"/>
  <c r="AB358" i="14"/>
  <c r="AD70" i="9"/>
  <c r="H70" i="9"/>
  <c r="Z70" i="9"/>
  <c r="AO68" i="9"/>
  <c r="Y67" i="9"/>
  <c r="U67" i="9"/>
  <c r="AG67" i="9"/>
  <c r="T361" i="14"/>
  <c r="AE360" i="14"/>
  <c r="R73" i="9"/>
  <c r="AA360" i="14"/>
  <c r="N73" i="9"/>
  <c r="C73" i="9" s="1"/>
  <c r="W360" i="14"/>
  <c r="AC72" i="9"/>
  <c r="AK359" i="14"/>
  <c r="H72" i="9"/>
  <c r="AE359" i="14"/>
  <c r="Q358" i="14"/>
  <c r="M358" i="14"/>
  <c r="X358" i="14"/>
  <c r="T358" i="14"/>
  <c r="AB70" i="9"/>
  <c r="AM357" i="14"/>
  <c r="S68" i="9"/>
  <c r="P68" i="9"/>
  <c r="AC68" i="9"/>
  <c r="U68" i="9"/>
  <c r="L68" i="9"/>
  <c r="O67" i="9"/>
  <c r="Z67" i="9"/>
  <c r="J67" i="9"/>
  <c r="AL67" i="9"/>
  <c r="AF354" i="14"/>
  <c r="N74" i="9"/>
  <c r="AE361" i="14"/>
  <c r="AK74" i="9"/>
  <c r="AM361" i="14"/>
  <c r="AK360" i="14"/>
  <c r="AE73" i="9"/>
  <c r="Y360" i="14"/>
  <c r="N72" i="9"/>
  <c r="AO72" i="9"/>
  <c r="AK72" i="9"/>
  <c r="AG71" i="9"/>
  <c r="Y71" i="9"/>
  <c r="R71" i="9"/>
  <c r="AI358" i="14"/>
  <c r="AC71" i="9"/>
  <c r="AG70" i="9"/>
  <c r="N70" i="9"/>
  <c r="AI357" i="14"/>
  <c r="AC69" i="9"/>
  <c r="L69" i="9"/>
  <c r="I68" i="9"/>
  <c r="AE68" i="9"/>
  <c r="K355" i="14"/>
  <c r="AL68" i="9"/>
  <c r="AH68" i="9"/>
  <c r="AA68" i="9"/>
  <c r="W68" i="9"/>
  <c r="J68" i="9"/>
  <c r="AB355" i="14"/>
  <c r="AP68" i="9"/>
  <c r="AK68" i="9"/>
  <c r="AG68" i="9"/>
  <c r="Z68" i="9"/>
  <c r="R68" i="9"/>
  <c r="AK67" i="9"/>
  <c r="T354" i="14"/>
  <c r="N67" i="9"/>
  <c r="Q354" i="14"/>
  <c r="H67" i="9"/>
  <c r="AP67" i="9"/>
  <c r="AD67" i="9"/>
  <c r="W67" i="9"/>
  <c r="P67" i="9"/>
  <c r="Q67" i="9"/>
  <c r="K74" i="9"/>
  <c r="R74" i="9"/>
  <c r="R361" i="14"/>
  <c r="O74" i="9"/>
  <c r="L74" i="9"/>
  <c r="X74" i="9"/>
  <c r="P73" i="9"/>
  <c r="H73" i="9"/>
  <c r="L73" i="9"/>
  <c r="Q72" i="9"/>
  <c r="T359" i="14"/>
  <c r="AJ358" i="14"/>
  <c r="AP71" i="9"/>
  <c r="I356" i="14"/>
  <c r="AG69" i="9"/>
  <c r="Q356" i="14"/>
  <c r="M356" i="14"/>
  <c r="AO69" i="9"/>
  <c r="AK69" i="9"/>
  <c r="Y69" i="9"/>
  <c r="U69" i="9"/>
  <c r="AD69" i="9"/>
  <c r="AB69" i="9"/>
  <c r="X69" i="9"/>
  <c r="P69" i="9"/>
  <c r="AL72" i="9"/>
  <c r="Y72" i="9"/>
  <c r="I359" i="14"/>
  <c r="U72" i="9"/>
  <c r="J69" i="9"/>
  <c r="AE67" i="9"/>
  <c r="AK354" i="14"/>
  <c r="X67" i="9"/>
  <c r="AB67" i="9"/>
  <c r="AB77" i="9" s="1"/>
  <c r="AB78" i="9" s="1"/>
  <c r="P74" i="9"/>
  <c r="AH74" i="9"/>
  <c r="J74" i="9"/>
  <c r="S361" i="14"/>
  <c r="W361" i="14"/>
  <c r="AA361" i="14"/>
  <c r="AJ361" i="14"/>
  <c r="N359" i="14"/>
  <c r="M72" i="9"/>
  <c r="AP72" i="9"/>
  <c r="W357" i="14"/>
  <c r="AA357" i="14"/>
  <c r="AJ357" i="14"/>
  <c r="N357" i="14"/>
  <c r="K70" i="9"/>
  <c r="AP70" i="9"/>
  <c r="H68" i="9"/>
  <c r="M355" i="14"/>
  <c r="K67" i="9"/>
  <c r="B344" i="14"/>
  <c r="P95" i="9"/>
  <c r="K236" i="11" s="1"/>
  <c r="O95" i="9"/>
  <c r="O104" i="9" s="1"/>
  <c r="J236" i="11"/>
  <c r="K104" i="9"/>
  <c r="L346" i="14"/>
  <c r="H346" i="14"/>
  <c r="Q95" i="9"/>
  <c r="L236" i="11"/>
  <c r="N346" i="14"/>
  <c r="J95" i="9"/>
  <c r="E236" i="11" s="1"/>
  <c r="I95" i="9"/>
  <c r="I104" i="9"/>
  <c r="B341" i="14"/>
  <c r="S95" i="9"/>
  <c r="N236" i="11"/>
  <c r="G346" i="14"/>
  <c r="D346" i="14"/>
  <c r="H95" i="9"/>
  <c r="H104" i="9"/>
  <c r="L104" i="9"/>
  <c r="J346" i="14"/>
  <c r="F346" i="14"/>
  <c r="K346" i="14"/>
  <c r="C346" i="14"/>
  <c r="R95" i="9"/>
  <c r="R104" i="9"/>
  <c r="A131" i="8"/>
  <c r="J312" i="14"/>
  <c r="H89" i="14"/>
  <c r="G90" i="14"/>
  <c r="H204" i="8"/>
  <c r="H169" i="8"/>
  <c r="P88" i="1"/>
  <c r="B22" i="8" s="1"/>
  <c r="S87" i="1"/>
  <c r="E21" i="8" s="1"/>
  <c r="E179" i="8" s="1"/>
  <c r="K147" i="8"/>
  <c r="B91" i="14"/>
  <c r="P90" i="1"/>
  <c r="B24" i="8"/>
  <c r="B85" i="14"/>
  <c r="P84" i="1"/>
  <c r="B18" i="8"/>
  <c r="E204" i="8"/>
  <c r="W83" i="1"/>
  <c r="I17" i="8"/>
  <c r="C90" i="14"/>
  <c r="J147" i="8"/>
  <c r="AA88" i="1"/>
  <c r="M22" i="8"/>
  <c r="Y89" i="1"/>
  <c r="K23" i="8" s="1"/>
  <c r="Y87" i="1"/>
  <c r="K21" i="8" s="1"/>
  <c r="F90" i="14"/>
  <c r="H156" i="8"/>
  <c r="G195" i="8"/>
  <c r="J148" i="8"/>
  <c r="T85" i="1"/>
  <c r="F19" i="8"/>
  <c r="O40" i="9"/>
  <c r="Q40" i="9"/>
  <c r="L40" i="9"/>
  <c r="L41" i="9" s="1"/>
  <c r="I40" i="9"/>
  <c r="N40" i="9"/>
  <c r="J40" i="9"/>
  <c r="J41" i="9"/>
  <c r="M40" i="9"/>
  <c r="S40" i="9"/>
  <c r="R40" i="9"/>
  <c r="R41" i="9"/>
  <c r="T40" i="9"/>
  <c r="D151" i="6"/>
  <c r="D138" i="6"/>
  <c r="AT223" i="6"/>
  <c r="AT224" i="6"/>
  <c r="AT231" i="6"/>
  <c r="AT232" i="6"/>
  <c r="AT241" i="6"/>
  <c r="AT242" i="6"/>
  <c r="AT211" i="6"/>
  <c r="AT212" i="6"/>
  <c r="AT216" i="6"/>
  <c r="AT199" i="6"/>
  <c r="AT225" i="6"/>
  <c r="AT226" i="6"/>
  <c r="AT233" i="6"/>
  <c r="AT234" i="6"/>
  <c r="AT235" i="6"/>
  <c r="AT236" i="6"/>
  <c r="AT243" i="6"/>
  <c r="AT244" i="6"/>
  <c r="AT210" i="6"/>
  <c r="AT213" i="6"/>
  <c r="AT217" i="6"/>
  <c r="AT219" i="6"/>
  <c r="AT221" i="6"/>
  <c r="AT192" i="6"/>
  <c r="AT195" i="6"/>
  <c r="AT198" i="6"/>
  <c r="AT201" i="6"/>
  <c r="AT227" i="6"/>
  <c r="AT228" i="6"/>
  <c r="AT237" i="6"/>
  <c r="AT238" i="6"/>
  <c r="AT245" i="6"/>
  <c r="AT214" i="6"/>
  <c r="AT218" i="6"/>
  <c r="AT220" i="6"/>
  <c r="AT187" i="6"/>
  <c r="AT188" i="6"/>
  <c r="AT190" i="6"/>
  <c r="AT193" i="6"/>
  <c r="AT222" i="6"/>
  <c r="AT229" i="6"/>
  <c r="AT239" i="6"/>
  <c r="AT205" i="6"/>
  <c r="AT206" i="6"/>
  <c r="AT208" i="6"/>
  <c r="AT209" i="6"/>
  <c r="AT202" i="6"/>
  <c r="AT186" i="6"/>
  <c r="AT191" i="6"/>
  <c r="AT197" i="6"/>
  <c r="AT204" i="6"/>
  <c r="AT215" i="6"/>
  <c r="AT189" i="6"/>
  <c r="AT203" i="6"/>
  <c r="AT230" i="6"/>
  <c r="AT240" i="6"/>
  <c r="AT194" i="6"/>
  <c r="AT196" i="6"/>
  <c r="AT200" i="6"/>
  <c r="AT207" i="6"/>
  <c r="AB244" i="6"/>
  <c r="AB186" i="6"/>
  <c r="AB194" i="6"/>
  <c r="AB196" i="6"/>
  <c r="AB201" i="6"/>
  <c r="AB223" i="6"/>
  <c r="AB198" i="6"/>
  <c r="AB199" i="6"/>
  <c r="AB200" i="6"/>
  <c r="AB203" i="6"/>
  <c r="AB187" i="6"/>
  <c r="AB189" i="6"/>
  <c r="AB197" i="6"/>
  <c r="AB202" i="6"/>
  <c r="AB242" i="6"/>
  <c r="AB225" i="6"/>
  <c r="AB243" i="6"/>
  <c r="AB222" i="6"/>
  <c r="AB237" i="6"/>
  <c r="AB232" i="6"/>
  <c r="AB215" i="6"/>
  <c r="AB228" i="6"/>
  <c r="AB190" i="6"/>
  <c r="AB195" i="6"/>
  <c r="AB207" i="6"/>
  <c r="AB239" i="6"/>
  <c r="AB234" i="6"/>
  <c r="AB230" i="6"/>
  <c r="AB192" i="6"/>
  <c r="AB205" i="6"/>
  <c r="AB206" i="6"/>
  <c r="AB216" i="6"/>
  <c r="AB210" i="6"/>
  <c r="AB226" i="6"/>
  <c r="AB231" i="6"/>
  <c r="AB212" i="6"/>
  <c r="AB227" i="6"/>
  <c r="AB235" i="6"/>
  <c r="AB245" i="6"/>
  <c r="AB188" i="6"/>
  <c r="AB208" i="6"/>
  <c r="AB209" i="6"/>
  <c r="AB224" i="6"/>
  <c r="AB221" i="6"/>
  <c r="AB220" i="6"/>
  <c r="AB217" i="6"/>
  <c r="AB193" i="6"/>
  <c r="AB238" i="6"/>
  <c r="AB229" i="6"/>
  <c r="AB219" i="6"/>
  <c r="AB213" i="6"/>
  <c r="AB218" i="6"/>
  <c r="AB214" i="6"/>
  <c r="AB211" i="6"/>
  <c r="AB233" i="6"/>
  <c r="AB241" i="6"/>
  <c r="AB191" i="6"/>
  <c r="AB204" i="6"/>
  <c r="AB236" i="6"/>
  <c r="AB240" i="6"/>
  <c r="V231" i="6"/>
  <c r="V219" i="6"/>
  <c r="V210" i="6"/>
  <c r="V212" i="6"/>
  <c r="V236" i="6"/>
  <c r="V229" i="6"/>
  <c r="V221" i="6"/>
  <c r="V214" i="6"/>
  <c r="V216" i="6"/>
  <c r="V240" i="6"/>
  <c r="V187" i="6"/>
  <c r="V193" i="6"/>
  <c r="D199" i="6" s="1"/>
  <c r="V199" i="6"/>
  <c r="V203" i="6"/>
  <c r="V204" i="6"/>
  <c r="V235" i="6"/>
  <c r="V224" i="6"/>
  <c r="V223" i="6"/>
  <c r="V218" i="6"/>
  <c r="V213" i="6"/>
  <c r="V239" i="6"/>
  <c r="V228" i="6"/>
  <c r="V227" i="6"/>
  <c r="V220" i="6"/>
  <c r="V186" i="6"/>
  <c r="V192" i="6"/>
  <c r="V194" i="6"/>
  <c r="V195" i="6"/>
  <c r="V196" i="6"/>
  <c r="V197" i="6"/>
  <c r="V200" i="6"/>
  <c r="V245" i="6"/>
  <c r="V242" i="6"/>
  <c r="V241" i="6"/>
  <c r="V222" i="6"/>
  <c r="V211" i="6"/>
  <c r="V234" i="6"/>
  <c r="V233" i="6"/>
  <c r="D239" i="6" s="1"/>
  <c r="V226" i="6"/>
  <c r="V189" i="6"/>
  <c r="V191" i="6"/>
  <c r="D197" i="6"/>
  <c r="D261" i="6" s="1"/>
  <c r="V232" i="6"/>
  <c r="V217" i="6"/>
  <c r="V188" i="6"/>
  <c r="V198" i="6"/>
  <c r="V225" i="6"/>
  <c r="V206" i="6"/>
  <c r="V215" i="6"/>
  <c r="V244" i="6"/>
  <c r="V202" i="6"/>
  <c r="V208" i="6"/>
  <c r="V237" i="6"/>
  <c r="V230" i="6"/>
  <c r="V201" i="6"/>
  <c r="V238" i="6"/>
  <c r="V243" i="6"/>
  <c r="V190" i="6"/>
  <c r="V205" i="6"/>
  <c r="V207" i="6"/>
  <c r="V209" i="6"/>
  <c r="AH238" i="6"/>
  <c r="AH191" i="6"/>
  <c r="AH197" i="6"/>
  <c r="AH203" i="6"/>
  <c r="AH226" i="6"/>
  <c r="AH235" i="6"/>
  <c r="AH188" i="6"/>
  <c r="D200" i="6"/>
  <c r="AH202" i="6"/>
  <c r="AH222" i="6"/>
  <c r="AH186" i="6"/>
  <c r="AH190" i="6"/>
  <c r="AH192" i="6"/>
  <c r="AH193" i="6"/>
  <c r="AH194" i="6"/>
  <c r="AH201" i="6"/>
  <c r="AH206" i="6"/>
  <c r="AH243" i="6"/>
  <c r="AH211" i="6"/>
  <c r="AH232" i="6"/>
  <c r="AH214" i="6"/>
  <c r="AH224" i="6"/>
  <c r="AH245" i="6"/>
  <c r="AH215" i="6"/>
  <c r="AH219" i="6"/>
  <c r="AH208" i="6"/>
  <c r="AH187" i="6"/>
  <c r="AH189" i="6"/>
  <c r="AH195" i="6"/>
  <c r="AH196" i="6"/>
  <c r="AH207" i="6"/>
  <c r="AH209" i="6"/>
  <c r="AH227" i="6"/>
  <c r="AH216" i="6"/>
  <c r="AH241" i="6"/>
  <c r="AH220" i="6"/>
  <c r="AH236" i="6"/>
  <c r="AH218" i="6"/>
  <c r="AH237" i="6"/>
  <c r="AH223" i="6"/>
  <c r="AH198" i="6"/>
  <c r="D210" i="6" s="1"/>
  <c r="AH199" i="6"/>
  <c r="AH200" i="6"/>
  <c r="AH204" i="6"/>
  <c r="AH213" i="6"/>
  <c r="AH242" i="6"/>
  <c r="AH212" i="6"/>
  <c r="AH221" i="6"/>
  <c r="AH210" i="6"/>
  <c r="AH229" i="6"/>
  <c r="AH233" i="6"/>
  <c r="AH234" i="6"/>
  <c r="AH231" i="6"/>
  <c r="AH205" i="6"/>
  <c r="AH240" i="6"/>
  <c r="AH217" i="6"/>
  <c r="AH228" i="6"/>
  <c r="AH230" i="6"/>
  <c r="AH244" i="6"/>
  <c r="AH225" i="6"/>
  <c r="AH239" i="6"/>
  <c r="AZ222" i="6"/>
  <c r="AZ229" i="6"/>
  <c r="AZ230" i="6"/>
  <c r="AZ239" i="6"/>
  <c r="AZ240" i="6"/>
  <c r="AZ215" i="6"/>
  <c r="AZ219" i="6"/>
  <c r="AZ220" i="6"/>
  <c r="AZ221" i="6"/>
  <c r="AZ186" i="6"/>
  <c r="AZ191" i="6"/>
  <c r="AZ223" i="6"/>
  <c r="AZ224" i="6"/>
  <c r="AZ231" i="6"/>
  <c r="AZ232" i="6"/>
  <c r="AZ241" i="6"/>
  <c r="AZ242" i="6"/>
  <c r="AZ216" i="6"/>
  <c r="AZ188" i="6"/>
  <c r="AZ192" i="6"/>
  <c r="AZ193" i="6"/>
  <c r="AZ195" i="6"/>
  <c r="AZ204" i="6"/>
  <c r="AZ206" i="6"/>
  <c r="AZ225" i="6"/>
  <c r="AZ226" i="6"/>
  <c r="AZ233" i="6"/>
  <c r="AZ234" i="6"/>
  <c r="AZ235" i="6"/>
  <c r="AZ236" i="6"/>
  <c r="AZ243" i="6"/>
  <c r="AZ244" i="6"/>
  <c r="AZ210" i="6"/>
  <c r="AZ211" i="6"/>
  <c r="AZ213" i="6"/>
  <c r="AZ217" i="6"/>
  <c r="AZ187" i="6"/>
  <c r="AZ189" i="6"/>
  <c r="AZ194" i="6"/>
  <c r="AZ212" i="6"/>
  <c r="AZ197" i="6"/>
  <c r="AZ198" i="6"/>
  <c r="AZ237" i="6"/>
  <c r="AZ200" i="6"/>
  <c r="AZ207" i="6"/>
  <c r="AZ228" i="6"/>
  <c r="AZ238" i="6"/>
  <c r="AZ245" i="6"/>
  <c r="AZ218" i="6"/>
  <c r="AZ190" i="6"/>
  <c r="AZ196" i="6"/>
  <c r="AZ201" i="6"/>
  <c r="AZ202" i="6"/>
  <c r="AZ203" i="6"/>
  <c r="AZ205" i="6"/>
  <c r="AZ208" i="6"/>
  <c r="AZ209" i="6"/>
  <c r="AZ214" i="6"/>
  <c r="AZ199" i="6"/>
  <c r="AZ227" i="6"/>
  <c r="D109" i="6"/>
  <c r="C351" i="11"/>
  <c r="R226" i="8"/>
  <c r="R233" i="8"/>
  <c r="Q235" i="8"/>
  <c r="R235" i="8"/>
  <c r="R232" i="8"/>
  <c r="I305" i="3"/>
  <c r="D392" i="14"/>
  <c r="W20" i="9"/>
  <c r="E18" i="9"/>
  <c r="Y20" i="9"/>
  <c r="O20" i="9"/>
  <c r="F20" i="9"/>
  <c r="O22" i="9"/>
  <c r="O42" i="9"/>
  <c r="N105" i="9" s="1"/>
  <c r="B14" i="9"/>
  <c r="B369" i="14"/>
  <c r="D73" i="9"/>
  <c r="T77" i="9"/>
  <c r="T78" i="9" s="1"/>
  <c r="AK77" i="9"/>
  <c r="AK78" i="9" s="1"/>
  <c r="X77" i="9"/>
  <c r="X78" i="9" s="1"/>
  <c r="AC77" i="9"/>
  <c r="AC78" i="9" s="1"/>
  <c r="L77" i="9"/>
  <c r="L78" i="9" s="1"/>
  <c r="AH77" i="9"/>
  <c r="AH78" i="9" s="1"/>
  <c r="AL77" i="9"/>
  <c r="AL78" i="9" s="1"/>
  <c r="E69" i="9"/>
  <c r="AG77" i="9"/>
  <c r="AG78" i="9" s="1"/>
  <c r="D236" i="11"/>
  <c r="C236" i="11"/>
  <c r="M236" i="11"/>
  <c r="K211" i="8"/>
  <c r="N41" i="9"/>
  <c r="M41" i="9"/>
  <c r="D236" i="6"/>
  <c r="D220" i="6"/>
  <c r="J305" i="3"/>
  <c r="L285" i="3" s="1"/>
  <c r="J311" i="3"/>
  <c r="E291" i="3" s="1"/>
  <c r="J315" i="3"/>
  <c r="J308" i="3"/>
  <c r="F288" i="3"/>
  <c r="J314" i="3"/>
  <c r="G294" i="3" s="1"/>
  <c r="J313" i="3"/>
  <c r="C313" i="3"/>
  <c r="J316" i="3"/>
  <c r="I296" i="3" s="1"/>
  <c r="D295" i="3"/>
  <c r="C291" i="3"/>
  <c r="D291" i="3"/>
  <c r="J291" i="3"/>
  <c r="L291" i="3"/>
  <c r="C293" i="3"/>
  <c r="B313" i="3"/>
  <c r="F293" i="3"/>
  <c r="M293" i="3"/>
  <c r="G288" i="3"/>
  <c r="D57" i="8"/>
  <c r="A129" i="8"/>
  <c r="A368" i="8"/>
  <c r="G92" i="14"/>
  <c r="Z85" i="1"/>
  <c r="L19" i="8"/>
  <c r="Z83" i="1"/>
  <c r="L17" i="8" s="1"/>
  <c r="C92" i="14"/>
  <c r="D90" i="14"/>
  <c r="X87" i="1"/>
  <c r="J21" i="8" s="1"/>
  <c r="G178" i="8"/>
  <c r="J90" i="14"/>
  <c r="H172" i="8"/>
  <c r="AA82" i="1"/>
  <c r="M16" i="8" s="1"/>
  <c r="H87" i="14"/>
  <c r="K192" i="8"/>
  <c r="M87" i="14"/>
  <c r="G192" i="8"/>
  <c r="Z87" i="1"/>
  <c r="L21" i="8"/>
  <c r="K92" i="14"/>
  <c r="H154" i="8"/>
  <c r="AA90" i="1"/>
  <c r="M24" i="8" s="1"/>
  <c r="H171" i="8"/>
  <c r="S83" i="1"/>
  <c r="Y85" i="1"/>
  <c r="K19" i="8"/>
  <c r="F88" i="14"/>
  <c r="J510" i="8"/>
  <c r="S86" i="1"/>
  <c r="E20" i="8" s="1"/>
  <c r="E91" i="14"/>
  <c r="D83" i="14"/>
  <c r="T90" i="1"/>
  <c r="F24" i="8" s="1"/>
  <c r="W90" i="1"/>
  <c r="I24" i="8" s="1"/>
  <c r="Q82" i="1"/>
  <c r="AA89" i="1"/>
  <c r="M23" i="8" s="1"/>
  <c r="W82" i="1"/>
  <c r="I16" i="8" s="1"/>
  <c r="AA83" i="1"/>
  <c r="M17" i="8"/>
  <c r="D93" i="14"/>
  <c r="J89" i="14"/>
  <c r="D87" i="14"/>
  <c r="AA91" i="1"/>
  <c r="M25" i="8" s="1"/>
  <c r="S84" i="1"/>
  <c r="E18" i="8" s="1"/>
  <c r="E506" i="8" s="1"/>
  <c r="J184" i="8"/>
  <c r="P92" i="1"/>
  <c r="B26" i="8" s="1"/>
  <c r="I87" i="14"/>
  <c r="X90" i="1"/>
  <c r="J24" i="8" s="1"/>
  <c r="Y82" i="1"/>
  <c r="K16" i="8"/>
  <c r="D58" i="8"/>
  <c r="R131" i="8" s="1"/>
  <c r="A250" i="8"/>
  <c r="B29" i="3"/>
  <c r="D94" i="3"/>
  <c r="M29" i="3"/>
  <c r="M285" i="3" s="1"/>
  <c r="O29" i="3"/>
  <c r="A514" i="8"/>
  <c r="A81" i="3"/>
  <c r="A60" i="3"/>
  <c r="A534" i="8"/>
  <c r="A315" i="3"/>
  <c r="A234" i="8"/>
  <c r="A295" i="3"/>
  <c r="L238" i="3"/>
  <c r="A230" i="3"/>
  <c r="A171" i="3"/>
  <c r="A42" i="8"/>
  <c r="A494" i="8"/>
  <c r="K238" i="3"/>
  <c r="A229" i="3"/>
  <c r="N61" i="8"/>
  <c r="A421" i="8" s="1"/>
  <c r="A292" i="3"/>
  <c r="A207" i="3"/>
  <c r="A57" i="3"/>
  <c r="A139" i="3"/>
  <c r="A77" i="3"/>
  <c r="A104" i="11"/>
  <c r="A174" i="8"/>
  <c r="A530" i="8"/>
  <c r="A470" i="8"/>
  <c r="A331" i="3"/>
  <c r="A56" i="3"/>
  <c r="A350" i="8"/>
  <c r="A230" i="8"/>
  <c r="A491" i="8"/>
  <c r="A311" i="3"/>
  <c r="A39" i="8"/>
  <c r="A330" i="3"/>
  <c r="A112" i="8"/>
  <c r="A289" i="3"/>
  <c r="A75" i="3"/>
  <c r="F238" i="3"/>
  <c r="A224" i="3"/>
  <c r="A54" i="3"/>
  <c r="A329" i="3"/>
  <c r="A487" i="8"/>
  <c r="A35" i="8"/>
  <c r="A142" i="8"/>
  <c r="A287" i="3"/>
  <c r="A222" i="3"/>
  <c r="A202" i="3"/>
  <c r="A526" i="8"/>
  <c r="A109" i="8"/>
  <c r="A346" i="8"/>
  <c r="A226" i="8"/>
  <c r="A327" i="3"/>
  <c r="A99" i="3"/>
  <c r="A306" i="3"/>
  <c r="B5" i="14"/>
  <c r="K40" i="9"/>
  <c r="Q41" i="9"/>
  <c r="C193" i="8"/>
  <c r="C194" i="8"/>
  <c r="C195" i="8"/>
  <c r="E201" i="8"/>
  <c r="Q83" i="1"/>
  <c r="C17" i="8" s="1"/>
  <c r="C146" i="8" s="1"/>
  <c r="C88" i="14"/>
  <c r="D84" i="14"/>
  <c r="E202" i="8"/>
  <c r="P86" i="1"/>
  <c r="B20" i="8"/>
  <c r="F83" i="14"/>
  <c r="I93" i="14"/>
  <c r="I85" i="14"/>
  <c r="Q85" i="1"/>
  <c r="C19" i="8" s="1"/>
  <c r="Y86" i="1"/>
  <c r="K20" i="8"/>
  <c r="Y88" i="1"/>
  <c r="K22" i="8" s="1"/>
  <c r="K184" i="8" s="1"/>
  <c r="E203" i="8"/>
  <c r="N88" i="1"/>
  <c r="L92" i="14"/>
  <c r="W88" i="1"/>
  <c r="I22" i="8" s="1"/>
  <c r="E89" i="14"/>
  <c r="D85" i="14"/>
  <c r="S92" i="1"/>
  <c r="P82" i="1"/>
  <c r="B16" i="8" s="1"/>
  <c r="B138" i="8" s="1"/>
  <c r="B258" i="8" s="1"/>
  <c r="I41" i="9"/>
  <c r="K41" i="9"/>
  <c r="T41" i="9"/>
  <c r="A336" i="3"/>
  <c r="A296" i="3"/>
  <c r="M238" i="3"/>
  <c r="A82" i="3"/>
  <c r="A179" i="3"/>
  <c r="A316" i="3"/>
  <c r="A231" i="3"/>
  <c r="A61" i="3"/>
  <c r="N85" i="8"/>
  <c r="A326" i="8" s="1"/>
  <c r="N77" i="8"/>
  <c r="A233" i="8"/>
  <c r="A512" i="8"/>
  <c r="A353" i="8"/>
  <c r="A116" i="8"/>
  <c r="A473" i="8"/>
  <c r="A472" i="8"/>
  <c r="A115" i="8"/>
  <c r="A493" i="8"/>
  <c r="N69" i="8"/>
  <c r="A429" i="8" s="1"/>
  <c r="A511" i="8"/>
  <c r="A532" i="8"/>
  <c r="A41" i="8"/>
  <c r="A70" i="11"/>
  <c r="F70" i="11"/>
  <c r="A310" i="3"/>
  <c r="A290" i="3"/>
  <c r="G238" i="3"/>
  <c r="A55" i="3"/>
  <c r="A103" i="11"/>
  <c r="A69" i="11" s="1"/>
  <c r="A225" i="3"/>
  <c r="A131" i="3"/>
  <c r="A111" i="8"/>
  <c r="A228" i="8"/>
  <c r="A348" i="8"/>
  <c r="A507" i="8"/>
  <c r="A36" i="8"/>
  <c r="A115" i="3"/>
  <c r="A74" i="3"/>
  <c r="A53" i="3"/>
  <c r="A328" i="3"/>
  <c r="A381" i="8"/>
  <c r="A262" i="8"/>
  <c r="A134" i="8"/>
  <c r="A285" i="3"/>
  <c r="A91" i="3"/>
  <c r="U2" i="5"/>
  <c r="I2" i="5" s="1"/>
  <c r="T2" i="5" s="1"/>
  <c r="S2" i="5"/>
  <c r="B125" i="9"/>
  <c r="B323" i="11" s="1"/>
  <c r="B126" i="9"/>
  <c r="H127" i="9"/>
  <c r="F127" i="9"/>
  <c r="G127" i="9"/>
  <c r="E293" i="3"/>
  <c r="I293" i="3"/>
  <c r="G293" i="3"/>
  <c r="C288" i="3"/>
  <c r="B98" i="11"/>
  <c r="E98" i="11"/>
  <c r="D29" i="3"/>
  <c r="D285" i="3" s="1"/>
  <c r="E29" i="3"/>
  <c r="G29" i="3"/>
  <c r="R29" i="3"/>
  <c r="S29" i="3"/>
  <c r="V29" i="3"/>
  <c r="W29" i="3"/>
  <c r="Z29" i="3"/>
  <c r="AB29" i="3"/>
  <c r="AC29" i="3"/>
  <c r="AF29" i="3"/>
  <c r="AG29" i="3"/>
  <c r="AJ29" i="3"/>
  <c r="AK29" i="3"/>
  <c r="B92" i="3"/>
  <c r="AA29" i="3"/>
  <c r="AD29" i="3"/>
  <c r="AE29" i="3"/>
  <c r="AH29" i="3"/>
  <c r="AI29" i="3"/>
  <c r="G97" i="3"/>
  <c r="M92" i="3"/>
  <c r="C29" i="3"/>
  <c r="C285" i="3"/>
  <c r="H29" i="3"/>
  <c r="H285" i="3" s="1"/>
  <c r="J29" i="3"/>
  <c r="K29" i="3"/>
  <c r="K285" i="3" s="1"/>
  <c r="L29" i="3"/>
  <c r="D56" i="8"/>
  <c r="Q129" i="8"/>
  <c r="D55" i="8"/>
  <c r="Q128" i="8" s="1"/>
  <c r="R130" i="8"/>
  <c r="Q130" i="8"/>
  <c r="C255" i="14"/>
  <c r="A367" i="8"/>
  <c r="A248" i="8"/>
  <c r="B311" i="1"/>
  <c r="A369" i="8"/>
  <c r="E71" i="12"/>
  <c r="D71" i="12" s="1"/>
  <c r="A75" i="11"/>
  <c r="A132" i="11"/>
  <c r="A44" i="8"/>
  <c r="A118" i="8"/>
  <c r="A355" i="8"/>
  <c r="A496" i="8"/>
  <c r="N93" i="8"/>
  <c r="A475" i="8"/>
  <c r="A74" i="11"/>
  <c r="A131" i="11"/>
  <c r="E70" i="12"/>
  <c r="D70" i="12" s="1"/>
  <c r="A354" i="8"/>
  <c r="A495" i="8"/>
  <c r="A445" i="8"/>
  <c r="A43" i="8"/>
  <c r="A117" i="8"/>
  <c r="A513" i="8"/>
  <c r="A474" i="8"/>
  <c r="A130" i="11"/>
  <c r="E69" i="12"/>
  <c r="D69" i="12" s="1"/>
  <c r="A73" i="11"/>
  <c r="A80" i="3"/>
  <c r="A59" i="3"/>
  <c r="A38" i="3"/>
  <c r="A334" i="3"/>
  <c r="A314" i="3"/>
  <c r="A294" i="3"/>
  <c r="A209" i="3"/>
  <c r="A310" i="8"/>
  <c r="A58" i="3"/>
  <c r="A106" i="11"/>
  <c r="J238" i="3"/>
  <c r="A228" i="3"/>
  <c r="A208" i="3"/>
  <c r="A71" i="11"/>
  <c r="E67" i="12"/>
  <c r="D67" i="12" s="1"/>
  <c r="A128" i="11"/>
  <c r="A492" i="8"/>
  <c r="A332" i="3"/>
  <c r="I238" i="3"/>
  <c r="A78" i="3"/>
  <c r="A351" i="8"/>
  <c r="A231" i="8"/>
  <c r="A471" i="8"/>
  <c r="A163" i="3"/>
  <c r="A36" i="3"/>
  <c r="A510" i="8"/>
  <c r="A312" i="3"/>
  <c r="A227" i="3"/>
  <c r="A147" i="3"/>
  <c r="A413" i="8"/>
  <c r="A294" i="8"/>
  <c r="G70" i="11"/>
  <c r="A166" i="8"/>
  <c r="A508" i="8"/>
  <c r="A349" i="8"/>
  <c r="A529" i="8"/>
  <c r="A229" i="8"/>
  <c r="A93" i="8"/>
  <c r="A490" i="8"/>
  <c r="A125" i="11"/>
  <c r="A68" i="11"/>
  <c r="G68" i="11" s="1"/>
  <c r="E64" i="12"/>
  <c r="D64" i="12" s="1"/>
  <c r="A278" i="8"/>
  <c r="E63" i="12"/>
  <c r="D63" i="12" s="1"/>
  <c r="A124" i="11"/>
  <c r="A67" i="11"/>
  <c r="A506" i="8"/>
  <c r="A77" i="8"/>
  <c r="A467" i="8"/>
  <c r="A527" i="8"/>
  <c r="A110" i="8"/>
  <c r="A227" i="8"/>
  <c r="A347" i="8"/>
  <c r="A373" i="8"/>
  <c r="A504" i="8"/>
  <c r="A225" i="8"/>
  <c r="A525" i="8"/>
  <c r="A34" i="8"/>
  <c r="A121" i="11"/>
  <c r="A64" i="11"/>
  <c r="E60" i="12"/>
  <c r="A220" i="3"/>
  <c r="A71" i="3"/>
  <c r="A29" i="3"/>
  <c r="A50" i="3"/>
  <c r="A485" i="8"/>
  <c r="A464" i="8"/>
  <c r="A200" i="3"/>
  <c r="B238" i="3"/>
  <c r="A305" i="3"/>
  <c r="A503" i="8"/>
  <c r="I15" i="14"/>
  <c r="B241" i="3"/>
  <c r="AP14" i="4"/>
  <c r="AT14" i="4"/>
  <c r="O41" i="9"/>
  <c r="S41" i="9"/>
  <c r="P41" i="9"/>
  <c r="D296" i="3"/>
  <c r="J296" i="3"/>
  <c r="C296" i="3"/>
  <c r="B296" i="3"/>
  <c r="L296" i="3"/>
  <c r="K293" i="3"/>
  <c r="L293" i="3"/>
  <c r="G291" i="3"/>
  <c r="M291" i="3"/>
  <c r="F291" i="3"/>
  <c r="B291" i="3"/>
  <c r="I291" i="3"/>
  <c r="K291" i="3"/>
  <c r="H291" i="3"/>
  <c r="B311" i="3"/>
  <c r="I288" i="3"/>
  <c r="E288" i="3"/>
  <c r="M288" i="3"/>
  <c r="J288" i="3"/>
  <c r="B308" i="3"/>
  <c r="H288" i="3"/>
  <c r="B288" i="3"/>
  <c r="L288" i="3"/>
  <c r="K288" i="3"/>
  <c r="J164" i="8"/>
  <c r="J160" i="8"/>
  <c r="J507" i="8"/>
  <c r="D140" i="8"/>
  <c r="D504" i="8"/>
  <c r="D138" i="8"/>
  <c r="C208" i="8"/>
  <c r="C211" i="8"/>
  <c r="C209" i="8"/>
  <c r="K203" i="8"/>
  <c r="F178" i="8"/>
  <c r="F177" i="8"/>
  <c r="F509" i="8"/>
  <c r="H209" i="8"/>
  <c r="H211" i="8"/>
  <c r="H212" i="8"/>
  <c r="F138" i="8"/>
  <c r="F137" i="8"/>
  <c r="J144" i="8"/>
  <c r="T92" i="1"/>
  <c r="F26" i="8" s="1"/>
  <c r="AA92" i="1"/>
  <c r="M26" i="8"/>
  <c r="J86" i="14"/>
  <c r="I86" i="14"/>
  <c r="K91" i="14"/>
  <c r="H88" i="14"/>
  <c r="J192" i="8"/>
  <c r="D92" i="14"/>
  <c r="U82" i="1"/>
  <c r="G16" i="8" s="1"/>
  <c r="H86" i="14"/>
  <c r="F85" i="14"/>
  <c r="I162" i="8"/>
  <c r="F156" i="8"/>
  <c r="Z82" i="1"/>
  <c r="L16" i="8" s="1"/>
  <c r="I160" i="8"/>
  <c r="AA84" i="1"/>
  <c r="M18" i="8"/>
  <c r="H92" i="14"/>
  <c r="J195" i="8"/>
  <c r="I507" i="8"/>
  <c r="F89" i="14"/>
  <c r="L188" i="8"/>
  <c r="J84" i="14"/>
  <c r="L187" i="8"/>
  <c r="L184" i="8"/>
  <c r="L171" i="8"/>
  <c r="J145" i="8"/>
  <c r="F154" i="8"/>
  <c r="L508" i="8"/>
  <c r="J196" i="8"/>
  <c r="R87" i="1"/>
  <c r="D21" i="8"/>
  <c r="J193" i="8"/>
  <c r="P83" i="1"/>
  <c r="B17" i="8" s="1"/>
  <c r="E92" i="14"/>
  <c r="H90" i="14"/>
  <c r="D217" i="8"/>
  <c r="D218" i="8"/>
  <c r="D216" i="8"/>
  <c r="D235" i="8" s="1"/>
  <c r="D219" i="8"/>
  <c r="D220" i="8"/>
  <c r="H178" i="8"/>
  <c r="H177" i="8"/>
  <c r="H509" i="8"/>
  <c r="H179" i="8"/>
  <c r="F184" i="8"/>
  <c r="F194" i="8"/>
  <c r="F192" i="8"/>
  <c r="C212" i="8"/>
  <c r="D136" i="8"/>
  <c r="K196" i="8"/>
  <c r="J163" i="8"/>
  <c r="J283" i="8" s="1"/>
  <c r="F140" i="8"/>
  <c r="F179" i="8"/>
  <c r="G196" i="8"/>
  <c r="G194" i="8"/>
  <c r="G232" i="8" s="1"/>
  <c r="U84" i="1"/>
  <c r="G18" i="8" s="1"/>
  <c r="N90" i="1"/>
  <c r="B185" i="8"/>
  <c r="B305" i="8" s="1"/>
  <c r="G164" i="8"/>
  <c r="K145" i="8"/>
  <c r="K148" i="8"/>
  <c r="L89" i="14"/>
  <c r="H506" i="8"/>
  <c r="U83" i="1"/>
  <c r="G17" i="8" s="1"/>
  <c r="H85" i="14"/>
  <c r="G88" i="14"/>
  <c r="L93" i="14"/>
  <c r="N83" i="1"/>
  <c r="F176" i="8"/>
  <c r="L168" i="8"/>
  <c r="G193" i="8"/>
  <c r="U92" i="1"/>
  <c r="G26" i="8" s="1"/>
  <c r="K146" i="8"/>
  <c r="L87" i="14"/>
  <c r="H168" i="8"/>
  <c r="G86" i="14"/>
  <c r="K84" i="14"/>
  <c r="AT1" i="4"/>
  <c r="C99" i="1" s="1"/>
  <c r="AQ14" i="4"/>
  <c r="AR14" i="4" s="1"/>
  <c r="L93" i="3"/>
  <c r="I94" i="3"/>
  <c r="AR1" i="4"/>
  <c r="B99" i="1"/>
  <c r="D506" i="8"/>
  <c r="D154" i="8"/>
  <c r="D152" i="8"/>
  <c r="D153" i="8"/>
  <c r="E171" i="8"/>
  <c r="M184" i="8"/>
  <c r="D139" i="8"/>
  <c r="D137" i="8"/>
  <c r="K195" i="8"/>
  <c r="K194" i="8"/>
  <c r="K193" i="8"/>
  <c r="P87" i="1"/>
  <c r="B21" i="8"/>
  <c r="F136" i="8"/>
  <c r="F225" i="8" s="1"/>
  <c r="F139" i="8"/>
  <c r="F504" i="8"/>
  <c r="M168" i="8"/>
  <c r="M508" i="8"/>
  <c r="H203" i="8"/>
  <c r="H200" i="8"/>
  <c r="H202" i="8"/>
  <c r="G89" i="14"/>
  <c r="U88" i="1"/>
  <c r="G22" i="8" s="1"/>
  <c r="U86" i="1"/>
  <c r="G20" i="8"/>
  <c r="G87" i="14"/>
  <c r="D147" i="8"/>
  <c r="D148" i="8"/>
  <c r="D144" i="8"/>
  <c r="Q92" i="1"/>
  <c r="C26" i="8" s="1"/>
  <c r="N92" i="1"/>
  <c r="Q90" i="1"/>
  <c r="C24" i="8" s="1"/>
  <c r="C91" i="14"/>
  <c r="B71" i="1"/>
  <c r="B72" i="14" s="1"/>
  <c r="C85" i="14"/>
  <c r="Q84" i="1"/>
  <c r="C18" i="8"/>
  <c r="P91" i="1"/>
  <c r="B25" i="8" s="1"/>
  <c r="B92" i="14"/>
  <c r="B86" i="14"/>
  <c r="P85" i="1"/>
  <c r="B19" i="8" s="1"/>
  <c r="D145" i="8"/>
  <c r="U90" i="1"/>
  <c r="G24" i="8"/>
  <c r="H162" i="8"/>
  <c r="H507" i="8"/>
  <c r="H164" i="8"/>
  <c r="H91" i="14"/>
  <c r="C93" i="14"/>
  <c r="C192" i="8"/>
  <c r="C196" i="8"/>
  <c r="J87" i="14"/>
  <c r="X86" i="1"/>
  <c r="J20" i="8" s="1"/>
  <c r="X84" i="1"/>
  <c r="J18" i="8"/>
  <c r="J85" i="14"/>
  <c r="X82" i="1"/>
  <c r="J16" i="8" s="1"/>
  <c r="J83" i="14"/>
  <c r="G209" i="8"/>
  <c r="M88" i="14"/>
  <c r="AA87" i="1"/>
  <c r="M21" i="8" s="1"/>
  <c r="I92" i="14"/>
  <c r="W91" i="1"/>
  <c r="I25" i="8" s="1"/>
  <c r="I90" i="14"/>
  <c r="W89" i="1"/>
  <c r="I23" i="8" s="1"/>
  <c r="I161" i="8"/>
  <c r="I164" i="8"/>
  <c r="H153" i="8"/>
  <c r="K85" i="14"/>
  <c r="B67" i="1"/>
  <c r="Y84" i="1"/>
  <c r="K18" i="8"/>
  <c r="N84" i="1"/>
  <c r="L202" i="8"/>
  <c r="L201" i="8"/>
  <c r="L203" i="8"/>
  <c r="L200" i="8"/>
  <c r="L204" i="8"/>
  <c r="Z89" i="1"/>
  <c r="L23" i="8" s="1"/>
  <c r="L90" i="14"/>
  <c r="B72" i="1"/>
  <c r="B73" i="14" s="1"/>
  <c r="X91" i="1"/>
  <c r="J92" i="14"/>
  <c r="B74" i="1"/>
  <c r="C74" i="1" s="1"/>
  <c r="C75" i="14" s="1"/>
  <c r="H184" i="8"/>
  <c r="H188" i="8"/>
  <c r="H510" i="8"/>
  <c r="H185" i="8"/>
  <c r="H187" i="8"/>
  <c r="E184" i="8"/>
  <c r="E188" i="8"/>
  <c r="E187" i="8"/>
  <c r="E185" i="8"/>
  <c r="E510" i="8"/>
  <c r="M195" i="8"/>
  <c r="AA85" i="1"/>
  <c r="M19" i="8" s="1"/>
  <c r="M86" i="14"/>
  <c r="B68" i="1"/>
  <c r="Z84" i="1"/>
  <c r="L85" i="14"/>
  <c r="I508" i="8"/>
  <c r="I171" i="8"/>
  <c r="I168" i="8"/>
  <c r="I172" i="8"/>
  <c r="I169" i="8"/>
  <c r="B204" i="8"/>
  <c r="B324" i="8" s="1"/>
  <c r="B202" i="8"/>
  <c r="B203" i="8"/>
  <c r="B200" i="8"/>
  <c r="B201" i="8"/>
  <c r="L220" i="8"/>
  <c r="L216" i="8"/>
  <c r="L235" i="8" s="1"/>
  <c r="L217" i="8"/>
  <c r="L218" i="8"/>
  <c r="L219" i="8"/>
  <c r="I26" i="8"/>
  <c r="W87" i="1"/>
  <c r="N87" i="1"/>
  <c r="B70" i="1"/>
  <c r="I152" i="8"/>
  <c r="I154" i="8"/>
  <c r="I156" i="8"/>
  <c r="I153" i="8"/>
  <c r="D211" i="8"/>
  <c r="D195" i="8"/>
  <c r="D193" i="8"/>
  <c r="D194" i="8"/>
  <c r="D196" i="8"/>
  <c r="I146" i="8"/>
  <c r="I144" i="8"/>
  <c r="D19" i="8"/>
  <c r="K201" i="8"/>
  <c r="K202" i="8"/>
  <c r="K200" i="8"/>
  <c r="K204" i="8"/>
  <c r="F193" i="8"/>
  <c r="F196" i="8"/>
  <c r="F195" i="8"/>
  <c r="L208" i="8"/>
  <c r="L209" i="8"/>
  <c r="L211" i="8"/>
  <c r="L212" i="8"/>
  <c r="K208" i="8"/>
  <c r="K212" i="8"/>
  <c r="K209" i="8"/>
  <c r="M171" i="8"/>
  <c r="M172" i="8"/>
  <c r="C21" i="8"/>
  <c r="H163" i="8"/>
  <c r="H160" i="8"/>
  <c r="H161" i="8"/>
  <c r="M185" i="8"/>
  <c r="J162" i="8"/>
  <c r="J161" i="8"/>
  <c r="E176" i="8"/>
  <c r="E177" i="8"/>
  <c r="E509" i="8"/>
  <c r="M139" i="8"/>
  <c r="M140" i="8"/>
  <c r="F152" i="8"/>
  <c r="F153" i="8"/>
  <c r="R90" i="1"/>
  <c r="D91" i="14"/>
  <c r="B73" i="1"/>
  <c r="D86" i="14"/>
  <c r="N85" i="1"/>
  <c r="G163" i="8"/>
  <c r="G507" i="8"/>
  <c r="V83" i="1"/>
  <c r="H17" i="8"/>
  <c r="H84" i="14"/>
  <c r="D508" i="8"/>
  <c r="D169" i="8"/>
  <c r="D171" i="8"/>
  <c r="D172" i="8"/>
  <c r="D168" i="8"/>
  <c r="Q88" i="1"/>
  <c r="C89" i="14"/>
  <c r="C87" i="14"/>
  <c r="Q86" i="1"/>
  <c r="C20" i="8" s="1"/>
  <c r="B90" i="14"/>
  <c r="P89" i="1"/>
  <c r="L510" i="8"/>
  <c r="L185" i="8"/>
  <c r="K93" i="14"/>
  <c r="Y92" i="1"/>
  <c r="K26" i="8"/>
  <c r="J93" i="14"/>
  <c r="X92" i="1"/>
  <c r="J26" i="8"/>
  <c r="T86" i="1"/>
  <c r="F20" i="8"/>
  <c r="E83" i="14"/>
  <c r="S82" i="1"/>
  <c r="L172" i="8"/>
  <c r="L169" i="8"/>
  <c r="J187" i="8"/>
  <c r="J188" i="8"/>
  <c r="H208" i="8"/>
  <c r="S85" i="1"/>
  <c r="E19" i="8"/>
  <c r="E86" i="14"/>
  <c r="B435" i="8"/>
  <c r="B244" i="3"/>
  <c r="B285" i="3"/>
  <c r="E95" i="3"/>
  <c r="C93" i="3"/>
  <c r="C200" i="3" s="1"/>
  <c r="B508" i="8"/>
  <c r="G285" i="3"/>
  <c r="J95" i="3"/>
  <c r="K92" i="3"/>
  <c r="F96" i="3"/>
  <c r="B220" i="3"/>
  <c r="A127" i="11"/>
  <c r="E66" i="12"/>
  <c r="D66" i="12"/>
  <c r="I195" i="8"/>
  <c r="B137" i="8"/>
  <c r="B257" i="8" s="1"/>
  <c r="B16" i="3"/>
  <c r="D70" i="11"/>
  <c r="A126" i="11"/>
  <c r="E65" i="12"/>
  <c r="D65" i="12" s="1"/>
  <c r="K93" i="3"/>
  <c r="L94" i="3"/>
  <c r="J92" i="3"/>
  <c r="M95" i="3"/>
  <c r="J285" i="3"/>
  <c r="G94" i="3"/>
  <c r="E92" i="3"/>
  <c r="F93" i="3"/>
  <c r="H95" i="3"/>
  <c r="E220" i="3"/>
  <c r="I96" i="3"/>
  <c r="E285" i="3"/>
  <c r="I93" i="3"/>
  <c r="M97" i="3"/>
  <c r="L96" i="3"/>
  <c r="H92" i="3"/>
  <c r="K95" i="3"/>
  <c r="J94" i="3"/>
  <c r="B200" i="3"/>
  <c r="G95" i="3"/>
  <c r="D92" i="3"/>
  <c r="D220" i="3"/>
  <c r="F94" i="3"/>
  <c r="H96" i="3"/>
  <c r="I97" i="3"/>
  <c r="E93" i="3"/>
  <c r="J97" i="3"/>
  <c r="M93" i="3"/>
  <c r="L92" i="3"/>
  <c r="C92" i="3"/>
  <c r="H97" i="3"/>
  <c r="F95" i="3"/>
  <c r="C220" i="3"/>
  <c r="D93" i="3"/>
  <c r="E94" i="3"/>
  <c r="G96" i="3"/>
  <c r="M94" i="3"/>
  <c r="B243" i="3"/>
  <c r="L97" i="3"/>
  <c r="K96" i="3"/>
  <c r="B242" i="3"/>
  <c r="B312" i="14"/>
  <c r="B485" i="8"/>
  <c r="A334" i="8"/>
  <c r="A453" i="8"/>
  <c r="F75" i="11"/>
  <c r="G75" i="11"/>
  <c r="G73" i="11"/>
  <c r="F73" i="11"/>
  <c r="A72" i="11"/>
  <c r="E68" i="12"/>
  <c r="D68" i="12"/>
  <c r="A129" i="11"/>
  <c r="G71" i="11"/>
  <c r="F71" i="11"/>
  <c r="A405" i="8"/>
  <c r="A286" i="8"/>
  <c r="G67" i="11"/>
  <c r="F67" i="11"/>
  <c r="A389" i="8"/>
  <c r="A270" i="8"/>
  <c r="G64" i="11"/>
  <c r="F64" i="11"/>
  <c r="H147" i="11"/>
  <c r="I237" i="11"/>
  <c r="C232" i="8"/>
  <c r="D225" i="8"/>
  <c r="B434" i="8"/>
  <c r="B433" i="8"/>
  <c r="I228" i="8"/>
  <c r="G216" i="8"/>
  <c r="G217" i="8"/>
  <c r="C71" i="1"/>
  <c r="C72" i="14" s="1"/>
  <c r="I193" i="8"/>
  <c r="I192" i="8"/>
  <c r="C73" i="1"/>
  <c r="B74" i="14"/>
  <c r="K233" i="8"/>
  <c r="B14" i="3"/>
  <c r="I218" i="8"/>
  <c r="I219" i="8"/>
  <c r="I220" i="8"/>
  <c r="B321" i="8"/>
  <c r="B322" i="8"/>
  <c r="L196" i="8"/>
  <c r="L192" i="8"/>
  <c r="C22" i="8"/>
  <c r="C178" i="8"/>
  <c r="C176" i="8"/>
  <c r="E16" i="8"/>
  <c r="B23" i="8"/>
  <c r="C16" i="3"/>
  <c r="D16" i="3" s="1"/>
  <c r="E16" i="3" s="1"/>
  <c r="I21" i="8"/>
  <c r="B39" i="8"/>
  <c r="B75" i="14"/>
  <c r="D24" i="8"/>
  <c r="D200" i="8" s="1"/>
  <c r="D162" i="8"/>
  <c r="D163" i="8"/>
  <c r="D161" i="8"/>
  <c r="D507" i="8"/>
  <c r="D164" i="8"/>
  <c r="D160" i="8"/>
  <c r="D228" i="8" s="1"/>
  <c r="L233" i="8"/>
  <c r="B15" i="3"/>
  <c r="B38" i="8"/>
  <c r="B323" i="8"/>
  <c r="B69" i="14"/>
  <c r="J25" i="8"/>
  <c r="B68" i="14"/>
  <c r="F72" i="11"/>
  <c r="G72" i="11"/>
  <c r="D71" i="1"/>
  <c r="D72" i="14" s="1"/>
  <c r="J212" i="8"/>
  <c r="J211" i="8"/>
  <c r="J208" i="8"/>
  <c r="J209" i="8"/>
  <c r="E418" i="8"/>
  <c r="E417" i="8"/>
  <c r="C417" i="8"/>
  <c r="D418" i="8"/>
  <c r="E416" i="8"/>
  <c r="C39" i="8"/>
  <c r="C418" i="8"/>
  <c r="F419" i="8"/>
  <c r="D417" i="8"/>
  <c r="E419" i="8"/>
  <c r="F417" i="8"/>
  <c r="F418" i="8"/>
  <c r="R299" i="8" s="1"/>
  <c r="F415" i="8"/>
  <c r="C415" i="8"/>
  <c r="C419" i="8"/>
  <c r="F416" i="8"/>
  <c r="F470" i="8" s="1"/>
  <c r="C416" i="8"/>
  <c r="D419" i="8"/>
  <c r="E415" i="8"/>
  <c r="D416" i="8"/>
  <c r="D415" i="8"/>
  <c r="E139" i="8"/>
  <c r="E140" i="8"/>
  <c r="E504" i="8"/>
  <c r="E409" i="8"/>
  <c r="C407" i="8"/>
  <c r="D74" i="1"/>
  <c r="D75" i="14" s="1"/>
  <c r="I179" i="8"/>
  <c r="I176" i="8"/>
  <c r="I178" i="8"/>
  <c r="B193" i="8"/>
  <c r="B195" i="8"/>
  <c r="C508" i="8"/>
  <c r="C168" i="8"/>
  <c r="C169" i="8"/>
  <c r="C74" i="14"/>
  <c r="D73" i="1"/>
  <c r="D74" i="14" s="1"/>
  <c r="C470" i="8"/>
  <c r="Q299" i="8"/>
  <c r="B313" i="8"/>
  <c r="C313" i="8"/>
  <c r="D313" i="8"/>
  <c r="I298" i="8"/>
  <c r="B315" i="8"/>
  <c r="C315" i="8"/>
  <c r="D315" i="8"/>
  <c r="E470" i="8"/>
  <c r="R296" i="8"/>
  <c r="O176" i="8"/>
  <c r="O178" i="8"/>
  <c r="O177" i="8"/>
  <c r="O179" i="8"/>
  <c r="O509" i="8"/>
  <c r="D39" i="8"/>
  <c r="P176" i="8" s="1"/>
  <c r="Q296" i="8"/>
  <c r="R297" i="8"/>
  <c r="P509" i="8"/>
  <c r="E164" i="8"/>
  <c r="E162" i="8"/>
  <c r="K154" i="8"/>
  <c r="K153" i="8"/>
  <c r="K152" i="8"/>
  <c r="K156" i="8"/>
  <c r="K506" i="8"/>
  <c r="C216" i="8"/>
  <c r="C218" i="8"/>
  <c r="C220" i="8"/>
  <c r="C235" i="8" s="1"/>
  <c r="C219" i="8"/>
  <c r="C217" i="8"/>
  <c r="B509" i="8"/>
  <c r="B179" i="8"/>
  <c r="B299" i="8" s="1"/>
  <c r="M506" i="8"/>
  <c r="M152" i="8"/>
  <c r="M154" i="8"/>
  <c r="M153" i="8"/>
  <c r="M156" i="8"/>
  <c r="L136" i="8"/>
  <c r="L137" i="8"/>
  <c r="B379" i="8"/>
  <c r="B376" i="8"/>
  <c r="L138" i="8"/>
  <c r="L504" i="8"/>
  <c r="L140" i="8"/>
  <c r="L139" i="8"/>
  <c r="B377" i="8"/>
  <c r="B378" i="8"/>
  <c r="B375" i="8"/>
  <c r="C161" i="8"/>
  <c r="C160" i="8"/>
  <c r="C507" i="8"/>
  <c r="C162" i="8"/>
  <c r="C164" i="8"/>
  <c r="C163" i="8"/>
  <c r="C147" i="8"/>
  <c r="K504" i="8"/>
  <c r="K138" i="8"/>
  <c r="K140" i="8"/>
  <c r="K137" i="8"/>
  <c r="K136" i="8"/>
  <c r="K139" i="8"/>
  <c r="E152" i="8"/>
  <c r="E156" i="8"/>
  <c r="I504" i="8"/>
  <c r="I140" i="8"/>
  <c r="I137" i="8"/>
  <c r="I139" i="8"/>
  <c r="I136" i="8"/>
  <c r="I138" i="8"/>
  <c r="I200" i="8"/>
  <c r="I201" i="8"/>
  <c r="I202" i="8"/>
  <c r="I203" i="8"/>
  <c r="I204" i="8"/>
  <c r="L178" i="8"/>
  <c r="L179" i="8"/>
  <c r="B418" i="8"/>
  <c r="O299" i="8"/>
  <c r="L177" i="8"/>
  <c r="L509" i="8"/>
  <c r="L176" i="8"/>
  <c r="B415" i="8"/>
  <c r="B417" i="8"/>
  <c r="O298" i="8"/>
  <c r="J178" i="8"/>
  <c r="J298" i="8" s="1"/>
  <c r="J176" i="8"/>
  <c r="J509" i="8"/>
  <c r="J177" i="8"/>
  <c r="J179" i="8"/>
  <c r="L160" i="8"/>
  <c r="L161" i="8"/>
  <c r="L163" i="8"/>
  <c r="L228" i="8" s="1"/>
  <c r="L164" i="8"/>
  <c r="L162" i="8"/>
  <c r="L507" i="8"/>
  <c r="B458" i="8"/>
  <c r="K218" i="8"/>
  <c r="K216" i="8"/>
  <c r="B455" i="8"/>
  <c r="B457" i="8"/>
  <c r="B459" i="8"/>
  <c r="K219" i="8"/>
  <c r="K220" i="8"/>
  <c r="K217" i="8"/>
  <c r="M164" i="8"/>
  <c r="M507" i="8"/>
  <c r="B399" i="8"/>
  <c r="B401" i="8"/>
  <c r="M160" i="8"/>
  <c r="M161" i="8"/>
  <c r="B403" i="8"/>
  <c r="M163" i="8"/>
  <c r="M162" i="8"/>
  <c r="B402" i="8"/>
  <c r="B400" i="8"/>
  <c r="J140" i="8"/>
  <c r="J139" i="8"/>
  <c r="J138" i="8"/>
  <c r="J504" i="8"/>
  <c r="J137" i="8"/>
  <c r="J136" i="8"/>
  <c r="J225" i="8" s="1"/>
  <c r="G202" i="8"/>
  <c r="G203" i="8"/>
  <c r="G200" i="8"/>
  <c r="G204" i="8"/>
  <c r="G233" i="8" s="1"/>
  <c r="G201" i="8"/>
  <c r="G146" i="8"/>
  <c r="G144" i="8"/>
  <c r="G147" i="8"/>
  <c r="G148" i="8"/>
  <c r="G145" i="8"/>
  <c r="G226" i="8" s="1"/>
  <c r="G69" i="11"/>
  <c r="F69" i="11"/>
  <c r="K185" i="8"/>
  <c r="B426" i="8"/>
  <c r="B423" i="8"/>
  <c r="K510" i="8"/>
  <c r="J201" i="8"/>
  <c r="J203" i="8"/>
  <c r="J200" i="8"/>
  <c r="J204" i="8"/>
  <c r="K324" i="8" s="1"/>
  <c r="J202" i="8"/>
  <c r="H24" i="9"/>
  <c r="B416" i="8"/>
  <c r="J306" i="3"/>
  <c r="J307" i="3"/>
  <c r="J312" i="3"/>
  <c r="BL174" i="6"/>
  <c r="BL164" i="6"/>
  <c r="BL145" i="6"/>
  <c r="BL154" i="6"/>
  <c r="BL175" i="6"/>
  <c r="BL162" i="6"/>
  <c r="BL146" i="6"/>
  <c r="H40" i="12"/>
  <c r="E45" i="12"/>
  <c r="AZ154" i="6"/>
  <c r="AZ167" i="6"/>
  <c r="AZ168" i="6"/>
  <c r="AZ144" i="6"/>
  <c r="AZ169" i="6"/>
  <c r="AZ170" i="6"/>
  <c r="K90" i="8"/>
  <c r="K87" i="8"/>
  <c r="K89" i="8"/>
  <c r="K88" i="8"/>
  <c r="J309" i="3"/>
  <c r="M169" i="8"/>
  <c r="D156" i="8"/>
  <c r="U75" i="5"/>
  <c r="AN151" i="6"/>
  <c r="D169" i="6"/>
  <c r="D300" i="6" s="1"/>
  <c r="G300" i="6" s="1"/>
  <c r="AN146" i="6"/>
  <c r="D164" i="6"/>
  <c r="AN171" i="6"/>
  <c r="AN144" i="6"/>
  <c r="D162" i="6"/>
  <c r="D293" i="6"/>
  <c r="G293" i="6" s="1"/>
  <c r="AN173" i="6"/>
  <c r="AN143" i="6"/>
  <c r="D161" i="6"/>
  <c r="J206" i="3"/>
  <c r="O142" i="3"/>
  <c r="J310" i="3"/>
  <c r="B290" i="3" s="1"/>
  <c r="H508" i="8"/>
  <c r="D216" i="6"/>
  <c r="D280" i="6" s="1"/>
  <c r="D203" i="6"/>
  <c r="D267" i="6"/>
  <c r="G267" i="6"/>
  <c r="D201" i="6"/>
  <c r="D265" i="6" s="1"/>
  <c r="D226" i="6"/>
  <c r="D290" i="6"/>
  <c r="G290" i="6" s="1"/>
  <c r="D212" i="6"/>
  <c r="D276" i="6"/>
  <c r="D238" i="6"/>
  <c r="D198" i="6"/>
  <c r="D262" i="6" s="1"/>
  <c r="D231" i="6"/>
  <c r="D295" i="6"/>
  <c r="G295" i="6" s="1"/>
  <c r="D240" i="6"/>
  <c r="D235" i="6"/>
  <c r="D221" i="6"/>
  <c r="D233" i="6"/>
  <c r="D230" i="6"/>
  <c r="D193" i="6"/>
  <c r="D257" i="6" s="1"/>
  <c r="D229" i="6"/>
  <c r="D214" i="6"/>
  <c r="D278" i="6"/>
  <c r="D208" i="6"/>
  <c r="D272" i="6"/>
  <c r="J290" i="3"/>
  <c r="C290" i="3"/>
  <c r="H290" i="3"/>
  <c r="L290" i="3"/>
  <c r="C310" i="3"/>
  <c r="G290" i="3"/>
  <c r="C292" i="3"/>
  <c r="G292" i="3"/>
  <c r="I292" i="3"/>
  <c r="J292" i="3"/>
  <c r="B292" i="3"/>
  <c r="H292" i="3"/>
  <c r="F292" i="3"/>
  <c r="K292" i="3"/>
  <c r="M292" i="3"/>
  <c r="B312" i="3"/>
  <c r="E292" i="3"/>
  <c r="L292" i="3"/>
  <c r="D292" i="3"/>
  <c r="L286" i="3"/>
  <c r="M286" i="3"/>
  <c r="J322" i="8"/>
  <c r="K322" i="8"/>
  <c r="L322" i="8"/>
  <c r="K323" i="8"/>
  <c r="L323" i="8"/>
  <c r="J323" i="8"/>
  <c r="O296" i="8"/>
  <c r="B465" i="8"/>
  <c r="M260" i="8"/>
  <c r="L260" i="8"/>
  <c r="L258" i="8"/>
  <c r="L225" i="8"/>
  <c r="K93" i="8"/>
  <c r="M289" i="3"/>
  <c r="G289" i="3"/>
  <c r="B287" i="3"/>
  <c r="L287" i="3"/>
  <c r="L324" i="8"/>
  <c r="J324" i="8"/>
  <c r="K320" i="8"/>
  <c r="J320" i="8"/>
  <c r="L320" i="8"/>
  <c r="M305" i="8"/>
  <c r="M228" i="8"/>
  <c r="B468" i="8"/>
  <c r="K235" i="8"/>
  <c r="I233" i="8"/>
  <c r="I225" i="8"/>
  <c r="L259" i="8"/>
  <c r="M259" i="8"/>
  <c r="L257" i="8"/>
  <c r="M95" i="9"/>
  <c r="M104" i="9" s="1"/>
  <c r="D95" i="9"/>
  <c r="D104" i="9" s="1"/>
  <c r="N95" i="9"/>
  <c r="N104" i="9" s="1"/>
  <c r="C282" i="11"/>
  <c r="D167" i="11"/>
  <c r="H236" i="11"/>
  <c r="I236" i="11"/>
  <c r="J104" i="9"/>
  <c r="S104" i="9"/>
  <c r="Q104" i="9"/>
  <c r="B95" i="9"/>
  <c r="C86" i="9"/>
  <c r="C95" i="9" s="1"/>
  <c r="B282" i="11"/>
  <c r="C361" i="14"/>
  <c r="B361" i="14" s="1"/>
  <c r="C360" i="14"/>
  <c r="B360" i="14" s="1"/>
  <c r="AC359" i="14"/>
  <c r="C356" i="14"/>
  <c r="B356" i="14" s="1"/>
  <c r="C355" i="14"/>
  <c r="B355" i="14"/>
  <c r="I77" i="9"/>
  <c r="I78" i="9" s="1"/>
  <c r="H71" i="9"/>
  <c r="P77" i="9"/>
  <c r="P78" i="9" s="1"/>
  <c r="C69" i="9"/>
  <c r="B69" i="9"/>
  <c r="O77" i="9"/>
  <c r="O78" i="9" s="1"/>
  <c r="Q77" i="9"/>
  <c r="Q78" i="9" s="1"/>
  <c r="C68" i="9"/>
  <c r="B68" i="9"/>
  <c r="K77" i="9"/>
  <c r="K78" i="9" s="1"/>
  <c r="S77" i="9"/>
  <c r="S78" i="9" s="1"/>
  <c r="B131" i="9"/>
  <c r="B130" i="9"/>
  <c r="E323" i="11"/>
  <c r="B129" i="9"/>
  <c r="D323" i="11" s="1"/>
  <c r="B128" i="9"/>
  <c r="C323" i="11"/>
  <c r="Q503" i="8"/>
  <c r="Q131" i="8"/>
  <c r="D59" i="8"/>
  <c r="R129" i="8"/>
  <c r="C107" i="8"/>
  <c r="D107" i="8" s="1"/>
  <c r="R128" i="8"/>
  <c r="R503" i="8"/>
  <c r="D98" i="11"/>
  <c r="B107" i="8"/>
  <c r="J56" i="8"/>
  <c r="F171" i="8"/>
  <c r="F169" i="8"/>
  <c r="F168" i="8"/>
  <c r="F172" i="8"/>
  <c r="F508" i="8"/>
  <c r="H148" i="8"/>
  <c r="H146" i="8"/>
  <c r="H145" i="8"/>
  <c r="H144" i="8"/>
  <c r="H147" i="8"/>
  <c r="I208" i="8"/>
  <c r="I211" i="8"/>
  <c r="I212" i="8"/>
  <c r="I209" i="8"/>
  <c r="M178" i="8"/>
  <c r="M176" i="8"/>
  <c r="M177" i="8"/>
  <c r="M509" i="8"/>
  <c r="M179" i="8"/>
  <c r="B164" i="8"/>
  <c r="B507" i="8"/>
  <c r="B161" i="8"/>
  <c r="B162" i="8"/>
  <c r="B163" i="8"/>
  <c r="B160" i="8"/>
  <c r="C154" i="8"/>
  <c r="C156" i="8"/>
  <c r="C153" i="8"/>
  <c r="C152" i="8"/>
  <c r="C506" i="8"/>
  <c r="G508" i="8"/>
  <c r="G169" i="8"/>
  <c r="G171" i="8"/>
  <c r="G172" i="8"/>
  <c r="G168" i="8"/>
  <c r="B100" i="14"/>
  <c r="B148" i="8"/>
  <c r="B145" i="8"/>
  <c r="B147" i="8"/>
  <c r="B144" i="8"/>
  <c r="B146" i="8"/>
  <c r="D179" i="8"/>
  <c r="D177" i="8"/>
  <c r="D176" i="8"/>
  <c r="D509" i="8"/>
  <c r="D178" i="8"/>
  <c r="K508" i="8"/>
  <c r="B410" i="8"/>
  <c r="K168" i="8"/>
  <c r="B407" i="8"/>
  <c r="B411" i="8"/>
  <c r="B408" i="8"/>
  <c r="K169" i="8"/>
  <c r="K171" i="8"/>
  <c r="K172" i="8"/>
  <c r="M209" i="8"/>
  <c r="M329" i="8" s="1"/>
  <c r="M208" i="8"/>
  <c r="B451" i="8"/>
  <c r="B447" i="8"/>
  <c r="M212" i="8"/>
  <c r="M332" i="8" s="1"/>
  <c r="M211" i="8"/>
  <c r="M331" i="8"/>
  <c r="B450" i="8"/>
  <c r="B448" i="8"/>
  <c r="M148" i="8"/>
  <c r="B385" i="8"/>
  <c r="B386" i="8"/>
  <c r="M147" i="8"/>
  <c r="B383" i="8"/>
  <c r="B384" i="8"/>
  <c r="M146" i="8"/>
  <c r="B387" i="8"/>
  <c r="M144" i="8"/>
  <c r="M145" i="8"/>
  <c r="M265" i="8"/>
  <c r="K164" i="8"/>
  <c r="K161" i="8"/>
  <c r="K281" i="8" s="1"/>
  <c r="K348" i="8" s="1"/>
  <c r="K160" i="8"/>
  <c r="K507" i="8"/>
  <c r="K163" i="8"/>
  <c r="K283" i="8" s="1"/>
  <c r="K162" i="8"/>
  <c r="K282" i="8"/>
  <c r="L144" i="8"/>
  <c r="L146" i="8"/>
  <c r="L148" i="8"/>
  <c r="L145" i="8"/>
  <c r="L147" i="8"/>
  <c r="J218" i="8"/>
  <c r="J217" i="8"/>
  <c r="J216" i="8"/>
  <c r="J220" i="8"/>
  <c r="J219" i="8"/>
  <c r="B208" i="8"/>
  <c r="B212" i="8"/>
  <c r="B211" i="8"/>
  <c r="B209" i="8"/>
  <c r="C203" i="8"/>
  <c r="C204" i="8"/>
  <c r="C201" i="8"/>
  <c r="C200" i="8"/>
  <c r="C202" i="8"/>
  <c r="G184" i="8"/>
  <c r="G188" i="8"/>
  <c r="G510" i="8"/>
  <c r="G187" i="8"/>
  <c r="G185" i="8"/>
  <c r="C100" i="14"/>
  <c r="G153" i="8"/>
  <c r="G506" i="8"/>
  <c r="G152" i="8"/>
  <c r="G154" i="8"/>
  <c r="G156" i="8"/>
  <c r="F219" i="8"/>
  <c r="F217" i="8"/>
  <c r="F218" i="8"/>
  <c r="F216" i="8"/>
  <c r="F220" i="8"/>
  <c r="A33" i="11"/>
  <c r="B80" i="14"/>
  <c r="B94" i="14"/>
  <c r="B95" i="14" s="1"/>
  <c r="B93" i="1"/>
  <c r="B94" i="1" s="1"/>
  <c r="C79" i="1"/>
  <c r="C80" i="14" s="1"/>
  <c r="C94" i="14" s="1"/>
  <c r="C95" i="14" s="1"/>
  <c r="M200" i="8"/>
  <c r="B441" i="8"/>
  <c r="B439" i="8"/>
  <c r="M202" i="8"/>
  <c r="M322" i="8"/>
  <c r="M201" i="8"/>
  <c r="M321" i="8" s="1"/>
  <c r="B442" i="8"/>
  <c r="B440" i="8"/>
  <c r="M204" i="8"/>
  <c r="M324" i="8"/>
  <c r="M203" i="8"/>
  <c r="M323" i="8" s="1"/>
  <c r="B443" i="8"/>
  <c r="BN120" i="6"/>
  <c r="BJ120" i="6"/>
  <c r="G106" i="1"/>
  <c r="G107" i="14"/>
  <c r="C107" i="14"/>
  <c r="F105" i="1"/>
  <c r="F106" i="14"/>
  <c r="B106" i="14"/>
  <c r="D101" i="11"/>
  <c r="R506" i="8"/>
  <c r="Q506" i="8"/>
  <c r="M20" i="9"/>
  <c r="M22" i="9"/>
  <c r="Q20" i="9"/>
  <c r="Q22" i="9"/>
  <c r="BD120" i="6"/>
  <c r="BH120" i="6"/>
  <c r="F147" i="11"/>
  <c r="O208" i="3"/>
  <c r="G235" i="11"/>
  <c r="L103" i="9"/>
  <c r="M246" i="3"/>
  <c r="F211" i="3"/>
  <c r="P142" i="3"/>
  <c r="H255" i="3"/>
  <c r="H248" i="3"/>
  <c r="O141" i="3"/>
  <c r="H256" i="3"/>
  <c r="H249" i="3"/>
  <c r="P141" i="3"/>
  <c r="F101" i="1"/>
  <c r="F102" i="14"/>
  <c r="B102" i="14"/>
  <c r="C102" i="14"/>
  <c r="G101" i="1"/>
  <c r="G102" i="14"/>
  <c r="Q509" i="8"/>
  <c r="D104" i="11"/>
  <c r="R22" i="9"/>
  <c r="R20" i="9"/>
  <c r="K20" i="9"/>
  <c r="K22" i="9"/>
  <c r="D288" i="3"/>
  <c r="B293" i="3"/>
  <c r="H293" i="3"/>
  <c r="D293" i="3"/>
  <c r="J293" i="3"/>
  <c r="H296" i="3"/>
  <c r="M294" i="3"/>
  <c r="M150" i="11"/>
  <c r="P104" i="9"/>
  <c r="B104" i="9" s="1"/>
  <c r="B85" i="11" s="1"/>
  <c r="E225" i="3"/>
  <c r="D225" i="3"/>
  <c r="F231" i="3"/>
  <c r="J185" i="3"/>
  <c r="N185" i="3" s="1"/>
  <c r="I184" i="3"/>
  <c r="M231" i="3"/>
  <c r="L132" i="3"/>
  <c r="L225" i="3"/>
  <c r="B55" i="3"/>
  <c r="G137" i="3"/>
  <c r="D134" i="3"/>
  <c r="F116" i="3"/>
  <c r="D77" i="3"/>
  <c r="J87" i="8"/>
  <c r="M91" i="8"/>
  <c r="AT16" i="4"/>
  <c r="J146" i="8"/>
  <c r="I506" i="8"/>
  <c r="H201" i="8"/>
  <c r="J321" i="8" s="1"/>
  <c r="J353" i="8" s="1"/>
  <c r="G179" i="8"/>
  <c r="F506" i="8"/>
  <c r="E200" i="8"/>
  <c r="E233" i="8" s="1"/>
  <c r="D146" i="8"/>
  <c r="D266" i="8" s="1"/>
  <c r="A419" i="8"/>
  <c r="A371" i="8"/>
  <c r="A299" i="8"/>
  <c r="A33" i="8"/>
  <c r="K144" i="8"/>
  <c r="J194" i="8"/>
  <c r="W72" i="9"/>
  <c r="U359" i="14"/>
  <c r="A99" i="11"/>
  <c r="D36" i="9"/>
  <c r="D34" i="9"/>
  <c r="D26" i="9"/>
  <c r="L2" i="5"/>
  <c r="U40" i="5"/>
  <c r="I40" i="5"/>
  <c r="T40" i="5" s="1"/>
  <c r="H301" i="14"/>
  <c r="C112" i="8"/>
  <c r="D112" i="8"/>
  <c r="D35" i="9"/>
  <c r="U25" i="5"/>
  <c r="I25" i="5" s="1"/>
  <c r="T25" i="5" s="1"/>
  <c r="U60" i="5"/>
  <c r="I60" i="5" s="1"/>
  <c r="T60" i="5" s="1"/>
  <c r="H77" i="9"/>
  <c r="H78" i="9"/>
  <c r="R132" i="8"/>
  <c r="R224" i="8" s="1"/>
  <c r="Q132" i="8"/>
  <c r="Q224" i="8" s="1"/>
  <c r="C98" i="11"/>
  <c r="F98" i="11" s="1"/>
  <c r="G98" i="11" s="1"/>
  <c r="H98" i="11" s="1"/>
  <c r="J55" i="8"/>
  <c r="J59" i="8"/>
  <c r="M55" i="8"/>
  <c r="M58" i="8"/>
  <c r="L56" i="8"/>
  <c r="L55" i="8"/>
  <c r="L58" i="8"/>
  <c r="L59" i="8"/>
  <c r="K58" i="8"/>
  <c r="M59" i="8"/>
  <c r="L57" i="8"/>
  <c r="K57" i="8"/>
  <c r="J57" i="8"/>
  <c r="K59" i="8"/>
  <c r="J58" i="8"/>
  <c r="K55" i="8"/>
  <c r="M56" i="8"/>
  <c r="K56" i="8"/>
  <c r="M57" i="8"/>
  <c r="J232" i="8"/>
  <c r="D226" i="8"/>
  <c r="N137" i="3"/>
  <c r="G205" i="3"/>
  <c r="J211" i="3"/>
  <c r="BD121" i="6"/>
  <c r="BH121" i="6"/>
  <c r="Q42" i="9"/>
  <c r="P105" i="9" s="1"/>
  <c r="J147" i="11"/>
  <c r="M42" i="9"/>
  <c r="L105" i="9" s="1"/>
  <c r="G237" i="11"/>
  <c r="A34" i="11"/>
  <c r="D76" i="12" s="1"/>
  <c r="C93" i="1"/>
  <c r="C94" i="1" s="1"/>
  <c r="F235" i="8"/>
  <c r="I276" i="8"/>
  <c r="H276" i="8"/>
  <c r="G276" i="8"/>
  <c r="I272" i="8"/>
  <c r="H272" i="8"/>
  <c r="G272" i="8"/>
  <c r="I273" i="8"/>
  <c r="H304" i="8"/>
  <c r="C320" i="8"/>
  <c r="C233" i="8"/>
  <c r="D320" i="8"/>
  <c r="C321" i="8"/>
  <c r="C323" i="8"/>
  <c r="D331" i="8"/>
  <c r="B331" i="8"/>
  <c r="C331" i="8"/>
  <c r="B328" i="8"/>
  <c r="C328" i="8"/>
  <c r="L340" i="8"/>
  <c r="J235" i="8"/>
  <c r="L338" i="8"/>
  <c r="L226" i="8"/>
  <c r="L264" i="8"/>
  <c r="K228" i="8"/>
  <c r="K280" i="8"/>
  <c r="L280" i="8"/>
  <c r="M280" i="8"/>
  <c r="K284" i="8"/>
  <c r="M284" i="8"/>
  <c r="M264" i="8"/>
  <c r="M346" i="8" s="1"/>
  <c r="M226" i="8"/>
  <c r="B266" i="8"/>
  <c r="C266" i="8"/>
  <c r="D267" i="8"/>
  <c r="C267" i="8"/>
  <c r="B267" i="8"/>
  <c r="B268" i="8"/>
  <c r="I292" i="8"/>
  <c r="I291" i="8"/>
  <c r="H291" i="8"/>
  <c r="G291" i="8"/>
  <c r="F272" i="8"/>
  <c r="B283" i="8"/>
  <c r="D283" i="8"/>
  <c r="C283" i="8"/>
  <c r="B281" i="8"/>
  <c r="C281" i="8"/>
  <c r="D281" i="8"/>
  <c r="B284" i="8"/>
  <c r="C284" i="8"/>
  <c r="E284" i="8"/>
  <c r="D284" i="8"/>
  <c r="L332" i="8"/>
  <c r="K332" i="8"/>
  <c r="L328" i="8"/>
  <c r="K328" i="8"/>
  <c r="H251" i="3"/>
  <c r="O143" i="3"/>
  <c r="K237" i="11"/>
  <c r="M267" i="8"/>
  <c r="L282" i="8"/>
  <c r="M283" i="8"/>
  <c r="L284" i="8"/>
  <c r="A122" i="11"/>
  <c r="E61" i="12"/>
  <c r="D61" i="12" s="1"/>
  <c r="A65" i="11"/>
  <c r="K226" i="8"/>
  <c r="K264" i="8"/>
  <c r="H299" i="8"/>
  <c r="G299" i="8"/>
  <c r="I299" i="8"/>
  <c r="J299" i="8"/>
  <c r="H233" i="8"/>
  <c r="K321" i="8"/>
  <c r="K353" i="8" s="1"/>
  <c r="J226" i="8"/>
  <c r="K266" i="8"/>
  <c r="J266" i="8"/>
  <c r="O144" i="3"/>
  <c r="P144" i="3"/>
  <c r="O145" i="3"/>
  <c r="P145" i="3"/>
  <c r="P143" i="3"/>
  <c r="H257" i="3"/>
  <c r="B76" i="3"/>
  <c r="D76" i="3"/>
  <c r="O136" i="3" s="1"/>
  <c r="E76" i="3"/>
  <c r="B69" i="11"/>
  <c r="C76" i="3"/>
  <c r="O137" i="3" s="1"/>
  <c r="F76" i="3"/>
  <c r="B310" i="3"/>
  <c r="L205" i="3"/>
  <c r="I211" i="3"/>
  <c r="K42" i="9"/>
  <c r="J105" i="9" s="1"/>
  <c r="E237" i="11"/>
  <c r="K147" i="11"/>
  <c r="L237" i="11"/>
  <c r="R42" i="9"/>
  <c r="Q105" i="9"/>
  <c r="BN121" i="6"/>
  <c r="BJ121" i="6"/>
  <c r="B473" i="8"/>
  <c r="M233" i="8"/>
  <c r="M320" i="8"/>
  <c r="D75" i="12"/>
  <c r="B14" i="12"/>
  <c r="E14" i="12" s="1"/>
  <c r="I274" i="8"/>
  <c r="C322" i="8"/>
  <c r="C324" i="8"/>
  <c r="B329" i="8"/>
  <c r="C329" i="8"/>
  <c r="C332" i="8"/>
  <c r="B332" i="8"/>
  <c r="L339" i="8"/>
  <c r="B466" i="8"/>
  <c r="M328" i="8"/>
  <c r="F296" i="8"/>
  <c r="B226" i="8"/>
  <c r="B264" i="8"/>
  <c r="B265" i="8"/>
  <c r="B346" i="8" s="1"/>
  <c r="I288" i="8"/>
  <c r="I289" i="8"/>
  <c r="F276" i="8"/>
  <c r="B280" i="8"/>
  <c r="B348" i="8" s="1"/>
  <c r="B228" i="8"/>
  <c r="C280" i="8"/>
  <c r="C348" i="8"/>
  <c r="D280" i="8"/>
  <c r="D348" i="8" s="1"/>
  <c r="B282" i="8"/>
  <c r="E282" i="8"/>
  <c r="C282" i="8"/>
  <c r="D282" i="8"/>
  <c r="L329" i="8"/>
  <c r="J329" i="8"/>
  <c r="K329" i="8"/>
  <c r="L331" i="8"/>
  <c r="K331" i="8"/>
  <c r="H226" i="8"/>
  <c r="J264" i="8"/>
  <c r="H250" i="3"/>
  <c r="H253" i="3" s="1"/>
  <c r="H258" i="3"/>
  <c r="H260" i="3" s="1"/>
  <c r="H252" i="3"/>
  <c r="H259" i="3"/>
  <c r="D147" i="11"/>
  <c r="L266" i="8"/>
  <c r="M266" i="8"/>
  <c r="M268" i="8"/>
  <c r="L283" i="8"/>
  <c r="M281" i="8"/>
  <c r="L281" i="8"/>
  <c r="M282" i="8"/>
  <c r="J61" i="8"/>
  <c r="K61" i="8"/>
  <c r="L61" i="8"/>
  <c r="M61" i="8"/>
  <c r="BN122" i="6"/>
  <c r="BJ122" i="6"/>
  <c r="O134" i="3"/>
  <c r="O133" i="3"/>
  <c r="G250" i="3"/>
  <c r="G249" i="3"/>
  <c r="G248" i="3"/>
  <c r="C353" i="8"/>
  <c r="M348" i="8"/>
  <c r="C14" i="12"/>
  <c r="G65" i="11"/>
  <c r="F65" i="11"/>
  <c r="BH122" i="6"/>
  <c r="BD122" i="6"/>
  <c r="L348" i="8"/>
  <c r="BN123" i="6"/>
  <c r="BJ123" i="6"/>
  <c r="BH123" i="6"/>
  <c r="BD123" i="6"/>
  <c r="BN124" i="6"/>
  <c r="BJ124" i="6"/>
  <c r="BJ125" i="6"/>
  <c r="BN125" i="6"/>
  <c r="BJ126" i="6" s="1"/>
  <c r="BN126" i="6"/>
  <c r="D82" i="14"/>
  <c r="R81" i="1"/>
  <c r="D15" i="8"/>
  <c r="D129" i="8" s="1"/>
  <c r="L82" i="14"/>
  <c r="Z81" i="1"/>
  <c r="L15" i="8" s="1"/>
  <c r="K82" i="14"/>
  <c r="Y81" i="1"/>
  <c r="K15" i="8"/>
  <c r="K132" i="8" s="1"/>
  <c r="I82" i="14"/>
  <c r="W81" i="1"/>
  <c r="I15" i="8" s="1"/>
  <c r="T81" i="1"/>
  <c r="F15" i="8"/>
  <c r="F82" i="14"/>
  <c r="E82" i="14"/>
  <c r="S81" i="1"/>
  <c r="E15" i="8"/>
  <c r="D50" i="3"/>
  <c r="D130" i="8"/>
  <c r="D200" i="3"/>
  <c r="AA81" i="1"/>
  <c r="M15" i="8"/>
  <c r="M82" i="14"/>
  <c r="X81" i="1"/>
  <c r="J15" i="8" s="1"/>
  <c r="J82" i="14"/>
  <c r="V81" i="1"/>
  <c r="H15" i="8" s="1"/>
  <c r="H82" i="14"/>
  <c r="U81" i="1"/>
  <c r="G15" i="8" s="1"/>
  <c r="G82" i="14"/>
  <c r="Q81" i="1"/>
  <c r="C15" i="8" s="1"/>
  <c r="C82" i="14"/>
  <c r="N81" i="1"/>
  <c r="G99" i="1" s="1"/>
  <c r="G100" i="14" s="1"/>
  <c r="P81" i="1"/>
  <c r="B15" i="8" s="1"/>
  <c r="B82" i="14"/>
  <c r="B64" i="1"/>
  <c r="U3" i="5"/>
  <c r="I3" i="5" s="1"/>
  <c r="T3" i="5" s="1"/>
  <c r="F99" i="1"/>
  <c r="F100" i="14"/>
  <c r="K129" i="8"/>
  <c r="K131" i="8"/>
  <c r="K503" i="8"/>
  <c r="B65" i="14"/>
  <c r="C64" i="1"/>
  <c r="B33" i="8"/>
  <c r="F369" i="8" s="1"/>
  <c r="P92" i="3"/>
  <c r="D305" i="3"/>
  <c r="D64" i="1"/>
  <c r="D65" i="14" s="1"/>
  <c r="C65" i="14"/>
  <c r="AN77" i="9"/>
  <c r="AN78" i="9" s="1"/>
  <c r="D360" i="14"/>
  <c r="AE77" i="9"/>
  <c r="AE78" i="9" s="1"/>
  <c r="E358" i="14"/>
  <c r="E356" i="14"/>
  <c r="E355" i="14"/>
  <c r="E68" i="9"/>
  <c r="D354" i="14"/>
  <c r="AM77" i="9"/>
  <c r="AM78" i="9" s="1"/>
  <c r="D223" i="6"/>
  <c r="D382" i="11"/>
  <c r="G262" i="6"/>
  <c r="D244" i="6"/>
  <c r="D217" i="6"/>
  <c r="D205" i="6"/>
  <c r="D269" i="6" s="1"/>
  <c r="D225" i="6"/>
  <c r="D289" i="6"/>
  <c r="G289" i="6" s="1"/>
  <c r="D213" i="6"/>
  <c r="D237" i="6"/>
  <c r="D243" i="6"/>
  <c r="D211" i="6"/>
  <c r="D275" i="6"/>
  <c r="D219" i="6"/>
  <c r="D283" i="6" s="1"/>
  <c r="D196" i="6"/>
  <c r="D260" i="6"/>
  <c r="L150" i="11" s="1"/>
  <c r="D224" i="6"/>
  <c r="D288" i="6" s="1"/>
  <c r="G288" i="6" s="1"/>
  <c r="D228" i="6"/>
  <c r="D292" i="6"/>
  <c r="G292" i="6" s="1"/>
  <c r="D242" i="6"/>
  <c r="D245" i="6"/>
  <c r="D227" i="6"/>
  <c r="D291" i="6" s="1"/>
  <c r="G291" i="6" s="1"/>
  <c r="D241" i="6"/>
  <c r="D28" i="6"/>
  <c r="B197" i="14"/>
  <c r="D206" i="6"/>
  <c r="D270" i="6" s="1"/>
  <c r="D390" i="11" s="1"/>
  <c r="G270" i="6"/>
  <c r="D194" i="6"/>
  <c r="D258" i="6"/>
  <c r="D195" i="6"/>
  <c r="D259" i="6"/>
  <c r="D222" i="6"/>
  <c r="D286" i="6" s="1"/>
  <c r="G286" i="6"/>
  <c r="D215" i="6"/>
  <c r="D279" i="6"/>
  <c r="G279" i="6" s="1"/>
  <c r="D207" i="6"/>
  <c r="D271" i="6" s="1"/>
  <c r="D234" i="6"/>
  <c r="D209" i="6"/>
  <c r="D273" i="6" s="1"/>
  <c r="G273" i="6" s="1"/>
  <c r="D218" i="6"/>
  <c r="D282" i="6"/>
  <c r="D204" i="6"/>
  <c r="D268" i="6" s="1"/>
  <c r="D232" i="6"/>
  <c r="D387" i="11"/>
  <c r="D373" i="11"/>
  <c r="E150" i="11"/>
  <c r="G253" i="6"/>
  <c r="F251" i="11"/>
  <c r="F150" i="11"/>
  <c r="D374" i="11"/>
  <c r="G254" i="6"/>
  <c r="G251" i="11"/>
  <c r="C150" i="11"/>
  <c r="D371" i="11"/>
  <c r="G251" i="6"/>
  <c r="D251" i="11"/>
  <c r="G150" i="11"/>
  <c r="G255" i="6"/>
  <c r="H251" i="11" s="1"/>
  <c r="D375" i="11"/>
  <c r="D372" i="11"/>
  <c r="D150" i="11"/>
  <c r="G252" i="6"/>
  <c r="E251" i="11"/>
  <c r="D392" i="11"/>
  <c r="G272" i="6"/>
  <c r="I150" i="11"/>
  <c r="G257" i="6"/>
  <c r="J251" i="11"/>
  <c r="D377" i="11"/>
  <c r="D380" i="11"/>
  <c r="G278" i="6"/>
  <c r="D398" i="11"/>
  <c r="G261" i="6"/>
  <c r="N251" i="11"/>
  <c r="D381" i="11"/>
  <c r="S71" i="5"/>
  <c r="U71" i="5"/>
  <c r="D202" i="6"/>
  <c r="D266" i="6" s="1"/>
  <c r="D386" i="11"/>
  <c r="D396" i="11"/>
  <c r="G276" i="6"/>
  <c r="D400" i="11"/>
  <c r="G280" i="6"/>
  <c r="G258" i="6"/>
  <c r="K251" i="11" s="1"/>
  <c r="D56" i="6"/>
  <c r="D89" i="6" s="1"/>
  <c r="D10" i="11"/>
  <c r="G259" i="6"/>
  <c r="L251" i="11" s="1"/>
  <c r="H150" i="11"/>
  <c r="G256" i="6"/>
  <c r="I251" i="11"/>
  <c r="D376" i="11"/>
  <c r="G250" i="6"/>
  <c r="C251" i="11" s="1"/>
  <c r="B150" i="11"/>
  <c r="D370" i="11"/>
  <c r="D378" i="11"/>
  <c r="G179" i="5"/>
  <c r="H132" i="8"/>
  <c r="E130" i="8"/>
  <c r="E132" i="8"/>
  <c r="E131" i="8"/>
  <c r="E128" i="8"/>
  <c r="E503" i="8"/>
  <c r="E129" i="8"/>
  <c r="I132" i="8"/>
  <c r="E367" i="8"/>
  <c r="E370" i="8"/>
  <c r="J179" i="5"/>
  <c r="H179" i="5"/>
  <c r="B87" i="11"/>
  <c r="J150" i="11"/>
  <c r="M503" i="8"/>
  <c r="B369" i="8"/>
  <c r="M131" i="8"/>
  <c r="M130" i="8"/>
  <c r="B370" i="8"/>
  <c r="M132" i="8"/>
  <c r="M128" i="8"/>
  <c r="B367" i="8"/>
  <c r="B371" i="8"/>
  <c r="B368" i="8"/>
  <c r="M129" i="8"/>
  <c r="F130" i="8"/>
  <c r="F503" i="8"/>
  <c r="F128" i="8"/>
  <c r="F131" i="8"/>
  <c r="F129" i="8"/>
  <c r="F132" i="8"/>
  <c r="L129" i="8"/>
  <c r="L503" i="8"/>
  <c r="L128" i="8"/>
  <c r="L130" i="8"/>
  <c r="L132" i="8"/>
  <c r="L131" i="8"/>
  <c r="E368" i="8"/>
  <c r="F370" i="8"/>
  <c r="F371" i="8"/>
  <c r="F367" i="8"/>
  <c r="E371" i="8"/>
  <c r="R252" i="8"/>
  <c r="B319" i="6"/>
  <c r="G260" i="6"/>
  <c r="M251" i="11" s="1"/>
  <c r="D393" i="11"/>
  <c r="D60" i="12"/>
  <c r="F235" i="11"/>
  <c r="K103" i="9"/>
  <c r="K235" i="11"/>
  <c r="P103" i="9"/>
  <c r="D235" i="11"/>
  <c r="I103" i="9"/>
  <c r="C104" i="9"/>
  <c r="C85" i="11" s="1"/>
  <c r="D39" i="12" s="1"/>
  <c r="C167" i="11"/>
  <c r="J128" i="8"/>
  <c r="H103" i="9"/>
  <c r="C235" i="11"/>
  <c r="O103" i="9"/>
  <c r="J235" i="11"/>
  <c r="G265" i="6"/>
  <c r="D385" i="11"/>
  <c r="J156" i="8"/>
  <c r="J152" i="8"/>
  <c r="J154" i="8"/>
  <c r="J153" i="8"/>
  <c r="J506" i="8"/>
  <c r="G136" i="8"/>
  <c r="G139" i="8"/>
  <c r="G137" i="8"/>
  <c r="G140" i="8"/>
  <c r="G138" i="8"/>
  <c r="G504" i="8"/>
  <c r="M218" i="8"/>
  <c r="M338" i="8"/>
  <c r="M220" i="8"/>
  <c r="M340" i="8" s="1"/>
  <c r="M216" i="8"/>
  <c r="M219" i="8"/>
  <c r="M339" i="8" s="1"/>
  <c r="M217" i="8"/>
  <c r="M337" i="8"/>
  <c r="B456" i="8"/>
  <c r="B475" i="8" s="1"/>
  <c r="I185" i="8"/>
  <c r="I187" i="8"/>
  <c r="I510" i="8"/>
  <c r="I188" i="8"/>
  <c r="I184" i="8"/>
  <c r="B219" i="8"/>
  <c r="B218" i="8"/>
  <c r="B217" i="8"/>
  <c r="B216" i="8"/>
  <c r="B220" i="8"/>
  <c r="F16" i="3"/>
  <c r="F56" i="3" s="1"/>
  <c r="E56" i="3"/>
  <c r="J172" i="8"/>
  <c r="J171" i="8"/>
  <c r="J168" i="8"/>
  <c r="J169" i="8"/>
  <c r="J508" i="8"/>
  <c r="F202" i="8"/>
  <c r="F200" i="8"/>
  <c r="F204" i="8"/>
  <c r="F201" i="8"/>
  <c r="F203" i="8"/>
  <c r="F160" i="8"/>
  <c r="F163" i="8"/>
  <c r="F164" i="8"/>
  <c r="F162" i="8"/>
  <c r="F507" i="8"/>
  <c r="F161" i="8"/>
  <c r="K178" i="8"/>
  <c r="K509" i="8"/>
  <c r="K179" i="8"/>
  <c r="K177" i="8"/>
  <c r="M297" i="8" s="1"/>
  <c r="K176" i="8"/>
  <c r="B153" i="8"/>
  <c r="B152" i="8"/>
  <c r="B156" i="8"/>
  <c r="B154" i="8"/>
  <c r="B506" i="8"/>
  <c r="J90" i="8"/>
  <c r="J89" i="8"/>
  <c r="J91" i="8"/>
  <c r="M90" i="8"/>
  <c r="M87" i="8"/>
  <c r="L90" i="8"/>
  <c r="L87" i="8"/>
  <c r="AZ152" i="6"/>
  <c r="AZ159" i="6"/>
  <c r="AZ176" i="6"/>
  <c r="AZ177" i="6"/>
  <c r="AZ155" i="6"/>
  <c r="AZ156" i="6"/>
  <c r="AZ143" i="6"/>
  <c r="AZ157" i="6"/>
  <c r="AZ158" i="6"/>
  <c r="AZ145" i="6"/>
  <c r="AZ175" i="6"/>
  <c r="AZ161" i="6"/>
  <c r="AZ178" i="6"/>
  <c r="AZ171" i="6"/>
  <c r="AZ164" i="6"/>
  <c r="AZ147" i="6"/>
  <c r="AZ173" i="6"/>
  <c r="AZ166" i="6"/>
  <c r="BL160" i="6"/>
  <c r="BL150" i="6"/>
  <c r="BL159" i="6"/>
  <c r="BL123" i="6"/>
  <c r="BL124" i="6"/>
  <c r="BL126" i="6"/>
  <c r="BL128" i="6"/>
  <c r="BL130" i="6"/>
  <c r="BL132" i="6"/>
  <c r="BL134" i="6"/>
  <c r="BL136" i="6"/>
  <c r="BL138" i="6"/>
  <c r="BL140" i="6"/>
  <c r="BL165" i="6"/>
  <c r="BL143" i="6"/>
  <c r="BL173" i="6"/>
  <c r="BL178" i="6"/>
  <c r="BL121" i="6"/>
  <c r="BL122" i="6"/>
  <c r="BL125" i="6"/>
  <c r="BL127" i="6"/>
  <c r="BL129" i="6"/>
  <c r="BL131" i="6"/>
  <c r="BL133" i="6"/>
  <c r="BL135" i="6"/>
  <c r="BL137" i="6"/>
  <c r="BL139" i="6"/>
  <c r="BL141" i="6"/>
  <c r="AN152" i="6"/>
  <c r="D170" i="6" s="1"/>
  <c r="D301" i="6"/>
  <c r="G301" i="6" s="1"/>
  <c r="AN164" i="6"/>
  <c r="AN166" i="6"/>
  <c r="AN160" i="6"/>
  <c r="D178" i="6"/>
  <c r="D309" i="6" s="1"/>
  <c r="G309" i="6" s="1"/>
  <c r="AN149" i="6"/>
  <c r="D167" i="6" s="1"/>
  <c r="D298" i="6" s="1"/>
  <c r="AN162" i="6"/>
  <c r="AN159" i="6"/>
  <c r="D177" i="6"/>
  <c r="D308" i="6" s="1"/>
  <c r="G308" i="6" s="1"/>
  <c r="AN168" i="6"/>
  <c r="AN161" i="6"/>
  <c r="AN170" i="6"/>
  <c r="AN150" i="6"/>
  <c r="D168" i="6"/>
  <c r="D299" i="6"/>
  <c r="G299" i="6" s="1"/>
  <c r="AN153" i="6"/>
  <c r="D171" i="6"/>
  <c r="D302" i="6" s="1"/>
  <c r="G302" i="6" s="1"/>
  <c r="AN156" i="6"/>
  <c r="D174" i="6"/>
  <c r="D305" i="6"/>
  <c r="G305" i="6" s="1"/>
  <c r="AN148" i="6"/>
  <c r="D166" i="6"/>
  <c r="D297" i="6"/>
  <c r="G297" i="6" s="1"/>
  <c r="AN158" i="6"/>
  <c r="D176" i="6"/>
  <c r="D307" i="6"/>
  <c r="G307" i="6" s="1"/>
  <c r="AN155" i="6"/>
  <c r="D173" i="6"/>
  <c r="D304" i="6" s="1"/>
  <c r="G304" i="6" s="1"/>
  <c r="AN157" i="6"/>
  <c r="D175" i="6"/>
  <c r="D306" i="6"/>
  <c r="G306" i="6" s="1"/>
  <c r="AN167" i="6"/>
  <c r="AN176" i="6"/>
  <c r="AN169" i="6"/>
  <c r="AN178" i="6"/>
  <c r="AN175" i="6"/>
  <c r="AN147" i="6"/>
  <c r="D165" i="6"/>
  <c r="D296" i="6" s="1"/>
  <c r="G296" i="6" s="1"/>
  <c r="AN177" i="6"/>
  <c r="AN145" i="6"/>
  <c r="D163" i="6" s="1"/>
  <c r="D294" i="6" s="1"/>
  <c r="AN154" i="6"/>
  <c r="D172" i="6"/>
  <c r="D303" i="6" s="1"/>
  <c r="G303" i="6" s="1"/>
  <c r="AN163" i="6"/>
  <c r="AN172" i="6"/>
  <c r="AN165" i="6"/>
  <c r="AN174" i="6"/>
  <c r="E295" i="3"/>
  <c r="Q226" i="8"/>
  <c r="G294" i="6"/>
  <c r="B274" i="8"/>
  <c r="C274" i="8"/>
  <c r="D274" i="8"/>
  <c r="B272" i="8"/>
  <c r="E272" i="8"/>
  <c r="D272" i="8"/>
  <c r="C272" i="8"/>
  <c r="M296" i="8"/>
  <c r="K296" i="8"/>
  <c r="L296" i="8"/>
  <c r="K299" i="8"/>
  <c r="L299" i="8"/>
  <c r="M299" i="8"/>
  <c r="F282" i="8"/>
  <c r="I283" i="8"/>
  <c r="H323" i="8"/>
  <c r="I323" i="8"/>
  <c r="H321" i="8"/>
  <c r="I321" i="8"/>
  <c r="F233" i="8"/>
  <c r="I320" i="8"/>
  <c r="N200" i="8"/>
  <c r="H320" i="8"/>
  <c r="F320" i="8"/>
  <c r="G320" i="8"/>
  <c r="L289" i="8"/>
  <c r="M289" i="8"/>
  <c r="J289" i="8"/>
  <c r="K289" i="8"/>
  <c r="J291" i="8"/>
  <c r="M291" i="8"/>
  <c r="K291" i="8"/>
  <c r="L291" i="8"/>
  <c r="Q140" i="3"/>
  <c r="H263" i="3"/>
  <c r="Q141" i="3"/>
  <c r="H262" i="3"/>
  <c r="H264" i="3"/>
  <c r="H267" i="3" s="1"/>
  <c r="H266" i="3"/>
  <c r="Q144" i="3"/>
  <c r="E311" i="3"/>
  <c r="Q142" i="3"/>
  <c r="H265" i="3"/>
  <c r="Q143" i="3"/>
  <c r="Q145" i="3"/>
  <c r="B235" i="8"/>
  <c r="C336" i="8"/>
  <c r="D336" i="8"/>
  <c r="B336" i="8"/>
  <c r="B338" i="8"/>
  <c r="C338" i="8"/>
  <c r="D338" i="8"/>
  <c r="B339" i="8"/>
  <c r="C339" i="8"/>
  <c r="D339" i="8"/>
  <c r="J308" i="8"/>
  <c r="M235" i="8"/>
  <c r="M336" i="8"/>
  <c r="M355" i="8"/>
  <c r="J273" i="8"/>
  <c r="J276" i="8"/>
  <c r="K276" i="8"/>
  <c r="L224" i="8"/>
  <c r="F224" i="8"/>
  <c r="B464" i="8"/>
  <c r="K273" i="8"/>
  <c r="R251" i="8"/>
  <c r="B276" i="8"/>
  <c r="D276" i="8"/>
  <c r="C276" i="8"/>
  <c r="E276" i="8"/>
  <c r="B273" i="8"/>
  <c r="C273" i="8"/>
  <c r="D273" i="8"/>
  <c r="K298" i="8"/>
  <c r="I284" i="8"/>
  <c r="G284" i="8"/>
  <c r="F284" i="8"/>
  <c r="N164" i="8"/>
  <c r="H284" i="8"/>
  <c r="F228" i="8"/>
  <c r="H324" i="8"/>
  <c r="I324" i="8"/>
  <c r="I322" i="8"/>
  <c r="I353" i="8" s="1"/>
  <c r="H322" i="8"/>
  <c r="L288" i="8"/>
  <c r="J288" i="8"/>
  <c r="K288" i="8"/>
  <c r="M288" i="8"/>
  <c r="L292" i="8"/>
  <c r="J292" i="8"/>
  <c r="M292" i="8"/>
  <c r="K292" i="8"/>
  <c r="H270" i="3"/>
  <c r="F311" i="3"/>
  <c r="R140" i="3"/>
  <c r="H271" i="3"/>
  <c r="H273" i="3"/>
  <c r="R142" i="3"/>
  <c r="H269" i="3"/>
  <c r="R141" i="3"/>
  <c r="R143" i="3"/>
  <c r="R144" i="3"/>
  <c r="H272" i="3"/>
  <c r="R145" i="3"/>
  <c r="B340" i="8"/>
  <c r="C340" i="8"/>
  <c r="D340" i="8"/>
  <c r="B337" i="8"/>
  <c r="D337" i="8"/>
  <c r="C337" i="8"/>
  <c r="K304" i="8"/>
  <c r="L304" i="8"/>
  <c r="I304" i="8"/>
  <c r="J304" i="8"/>
  <c r="K305" i="8"/>
  <c r="L305" i="8"/>
  <c r="J305" i="8"/>
  <c r="G260" i="8"/>
  <c r="G259" i="8"/>
  <c r="J274" i="8"/>
  <c r="K272" i="8"/>
  <c r="J272" i="8"/>
  <c r="D44" i="12"/>
  <c r="A44" i="12"/>
  <c r="C175" i="11"/>
  <c r="B361" i="11"/>
  <c r="M224" i="8"/>
  <c r="R248" i="8"/>
  <c r="E224" i="8"/>
  <c r="L93" i="8"/>
  <c r="M93" i="8"/>
  <c r="K274" i="8"/>
  <c r="H353" i="8"/>
  <c r="H274" i="3"/>
  <c r="D355" i="8" l="1"/>
  <c r="Q206" i="3"/>
  <c r="G268" i="6"/>
  <c r="D388" i="11"/>
  <c r="I130" i="8"/>
  <c r="I128" i="8"/>
  <c r="I131" i="8"/>
  <c r="I503" i="8"/>
  <c r="I129" i="8"/>
  <c r="C355" i="8"/>
  <c r="L298" i="8"/>
  <c r="M298" i="8"/>
  <c r="J307" i="8"/>
  <c r="B355" i="8"/>
  <c r="G225" i="8"/>
  <c r="C44" i="12"/>
  <c r="B44" i="12"/>
  <c r="R206" i="3"/>
  <c r="F319" i="6"/>
  <c r="G298" i="6"/>
  <c r="D403" i="11"/>
  <c r="G283" i="6"/>
  <c r="B297" i="11"/>
  <c r="J178" i="5"/>
  <c r="BB185" i="6" s="1"/>
  <c r="F177" i="5"/>
  <c r="D178" i="5"/>
  <c r="D179" i="5"/>
  <c r="E177" i="5"/>
  <c r="G177" i="5"/>
  <c r="F178" i="5"/>
  <c r="J177" i="5"/>
  <c r="J180" i="5" s="1"/>
  <c r="I179" i="5"/>
  <c r="I178" i="5"/>
  <c r="H177" i="5"/>
  <c r="D177" i="5"/>
  <c r="F179" i="5"/>
  <c r="C178" i="5"/>
  <c r="H178" i="5"/>
  <c r="AP185" i="6" s="1"/>
  <c r="C179" i="5"/>
  <c r="I177" i="5"/>
  <c r="G282" i="6"/>
  <c r="D402" i="11"/>
  <c r="D391" i="11"/>
  <c r="G271" i="6"/>
  <c r="B89" i="6"/>
  <c r="H89" i="6" s="1"/>
  <c r="B10" i="11"/>
  <c r="H10" i="11" s="1"/>
  <c r="D395" i="11"/>
  <c r="G275" i="6"/>
  <c r="G269" i="6"/>
  <c r="D389" i="11"/>
  <c r="C132" i="8"/>
  <c r="C130" i="8"/>
  <c r="C129" i="8"/>
  <c r="C503" i="8"/>
  <c r="C128" i="8"/>
  <c r="C131" i="8"/>
  <c r="H128" i="8"/>
  <c r="H131" i="8"/>
  <c r="H503" i="8"/>
  <c r="H129" i="8"/>
  <c r="H130" i="8"/>
  <c r="F250" i="8"/>
  <c r="G178" i="5"/>
  <c r="E179" i="5"/>
  <c r="C87" i="11"/>
  <c r="D41" i="12" s="1"/>
  <c r="K150" i="11"/>
  <c r="D379" i="11"/>
  <c r="B129" i="8"/>
  <c r="B128" i="8"/>
  <c r="B131" i="8"/>
  <c r="B503" i="8"/>
  <c r="B130" i="8"/>
  <c r="B132" i="8"/>
  <c r="J93" i="8"/>
  <c r="E178" i="5"/>
  <c r="G132" i="8"/>
  <c r="G503" i="8"/>
  <c r="G131" i="8"/>
  <c r="G130" i="8"/>
  <c r="G250" i="8" s="1"/>
  <c r="G129" i="8"/>
  <c r="G249" i="8" s="1"/>
  <c r="G128" i="8"/>
  <c r="J131" i="8"/>
  <c r="J129" i="8"/>
  <c r="J503" i="8"/>
  <c r="J132" i="8"/>
  <c r="L252" i="8" s="1"/>
  <c r="J130" i="8"/>
  <c r="D399" i="11"/>
  <c r="C33" i="8"/>
  <c r="B10" i="3"/>
  <c r="D128" i="8"/>
  <c r="E369" i="8"/>
  <c r="BJ127" i="6"/>
  <c r="BN127" i="6"/>
  <c r="F368" i="8"/>
  <c r="R249" i="8" s="1"/>
  <c r="K128" i="8"/>
  <c r="K130" i="8"/>
  <c r="D132" i="8"/>
  <c r="D503" i="8"/>
  <c r="M353" i="8"/>
  <c r="C371" i="8"/>
  <c r="C369" i="8"/>
  <c r="D131" i="8"/>
  <c r="BD124" i="6"/>
  <c r="BH124" i="6"/>
  <c r="S103" i="9"/>
  <c r="N235" i="11"/>
  <c r="Q103" i="9"/>
  <c r="L235" i="11"/>
  <c r="D119" i="8"/>
  <c r="G252" i="3"/>
  <c r="E320" i="8"/>
  <c r="D79" i="1"/>
  <c r="G251" i="3"/>
  <c r="G253" i="3" s="1"/>
  <c r="C286" i="3"/>
  <c r="E286" i="3"/>
  <c r="G286" i="3"/>
  <c r="I286" i="3"/>
  <c r="K286" i="3"/>
  <c r="H286" i="3"/>
  <c r="J286" i="3"/>
  <c r="B286" i="3"/>
  <c r="F286" i="3"/>
  <c r="J233" i="8"/>
  <c r="L321" i="8"/>
  <c r="L353" i="8" s="1"/>
  <c r="O297" i="8"/>
  <c r="D470" i="8"/>
  <c r="Q297" i="8"/>
  <c r="L18" i="8"/>
  <c r="B13" i="3"/>
  <c r="P296" i="8"/>
  <c r="E200" i="3"/>
  <c r="D286" i="3"/>
  <c r="C228" i="8"/>
  <c r="F410" i="8"/>
  <c r="F411" i="8"/>
  <c r="C409" i="8"/>
  <c r="D409" i="8"/>
  <c r="C410" i="8"/>
  <c r="C38" i="8"/>
  <c r="E410" i="8"/>
  <c r="R291" i="8" s="1"/>
  <c r="F409" i="8"/>
  <c r="D407" i="8"/>
  <c r="D410" i="8"/>
  <c r="Q291" i="8" s="1"/>
  <c r="D411" i="8"/>
  <c r="F408" i="8"/>
  <c r="C408" i="8"/>
  <c r="E411" i="8"/>
  <c r="R292" i="8" s="1"/>
  <c r="C411" i="8"/>
  <c r="E408" i="8"/>
  <c r="R289" i="8" s="1"/>
  <c r="F407" i="8"/>
  <c r="F469" i="8" s="1"/>
  <c r="E407" i="8"/>
  <c r="D408" i="8"/>
  <c r="Q289" i="8" s="1"/>
  <c r="C510" i="8"/>
  <c r="C185" i="8"/>
  <c r="C184" i="8"/>
  <c r="C188" i="8"/>
  <c r="C187" i="8"/>
  <c r="H228" i="8"/>
  <c r="B233" i="8"/>
  <c r="B320" i="8"/>
  <c r="M304" i="8"/>
  <c r="L256" i="8"/>
  <c r="L345" i="8" s="1"/>
  <c r="K225" i="8"/>
  <c r="D202" i="8"/>
  <c r="D204" i="8"/>
  <c r="D201" i="8"/>
  <c r="D233" i="8" s="1"/>
  <c r="D203" i="8"/>
  <c r="E507" i="8"/>
  <c r="N507" i="8" s="1"/>
  <c r="E163" i="8"/>
  <c r="E160" i="8"/>
  <c r="E161" i="8"/>
  <c r="E168" i="8"/>
  <c r="E169" i="8"/>
  <c r="B187" i="8"/>
  <c r="B184" i="8"/>
  <c r="B188" i="8"/>
  <c r="B510" i="8"/>
  <c r="F86" i="9"/>
  <c r="E95" i="9"/>
  <c r="I207" i="3"/>
  <c r="B82" i="3"/>
  <c r="O185" i="3" s="1"/>
  <c r="F82" i="3"/>
  <c r="E82" i="3"/>
  <c r="D82" i="3"/>
  <c r="O184" i="3" s="1"/>
  <c r="B75" i="11"/>
  <c r="C82" i="3"/>
  <c r="B316" i="3"/>
  <c r="E211" i="3"/>
  <c r="N183" i="3"/>
  <c r="D209" i="3"/>
  <c r="F166" i="3"/>
  <c r="D229" i="3"/>
  <c r="H168" i="3"/>
  <c r="E165" i="3"/>
  <c r="G167" i="3"/>
  <c r="I169" i="3"/>
  <c r="D294" i="3"/>
  <c r="E135" i="3"/>
  <c r="F136" i="3"/>
  <c r="B225" i="3"/>
  <c r="B132" i="3"/>
  <c r="C133" i="3"/>
  <c r="B15" i="9"/>
  <c r="B370" i="14"/>
  <c r="F206" i="3"/>
  <c r="N140" i="3"/>
  <c r="C105" i="14"/>
  <c r="G104" i="1"/>
  <c r="G105" i="14" s="1"/>
  <c r="V92" i="1"/>
  <c r="H93" i="14"/>
  <c r="B75" i="1"/>
  <c r="H196" i="8"/>
  <c r="H193" i="8"/>
  <c r="I313" i="8" s="1"/>
  <c r="H195" i="8"/>
  <c r="H194" i="8"/>
  <c r="H192" i="8"/>
  <c r="K312" i="8" s="1"/>
  <c r="V82" i="1"/>
  <c r="H16" i="8" s="1"/>
  <c r="B65" i="1"/>
  <c r="N82" i="1"/>
  <c r="H83" i="14"/>
  <c r="G211" i="8"/>
  <c r="G208" i="8"/>
  <c r="G212" i="8"/>
  <c r="G177" i="8"/>
  <c r="G176" i="8"/>
  <c r="I296" i="8" s="1"/>
  <c r="G509" i="8"/>
  <c r="G161" i="8"/>
  <c r="G162" i="8"/>
  <c r="G160" i="8"/>
  <c r="F92" i="14"/>
  <c r="T91" i="1"/>
  <c r="F25" i="8" s="1"/>
  <c r="F187" i="8"/>
  <c r="F510" i="8"/>
  <c r="F188" i="8"/>
  <c r="F185" i="8"/>
  <c r="N86" i="1"/>
  <c r="F87" i="14"/>
  <c r="B69" i="1"/>
  <c r="F84" i="14"/>
  <c r="T83" i="1"/>
  <c r="B66" i="1"/>
  <c r="S91" i="1"/>
  <c r="N91" i="1"/>
  <c r="E90" i="14"/>
  <c r="S89" i="1"/>
  <c r="N89" i="1"/>
  <c r="D212" i="8"/>
  <c r="D208" i="8"/>
  <c r="D209" i="8"/>
  <c r="D89" i="14"/>
  <c r="R88" i="1"/>
  <c r="R178" i="8"/>
  <c r="Q178" i="8"/>
  <c r="Q298" i="8" s="1"/>
  <c r="E178" i="8"/>
  <c r="BQ119" i="6"/>
  <c r="BT119" i="6"/>
  <c r="BQ133" i="6"/>
  <c r="BQ141" i="6"/>
  <c r="BQ149" i="6"/>
  <c r="BQ157" i="6"/>
  <c r="BQ165" i="6"/>
  <c r="BQ173" i="6"/>
  <c r="BQ123" i="6"/>
  <c r="BQ126" i="6"/>
  <c r="BQ136" i="6"/>
  <c r="BQ144" i="6"/>
  <c r="BQ152" i="6"/>
  <c r="BQ160" i="6"/>
  <c r="BQ168" i="6"/>
  <c r="BQ176" i="6"/>
  <c r="BQ121" i="6"/>
  <c r="BQ124" i="6"/>
  <c r="BQ135" i="6"/>
  <c r="BQ143" i="6"/>
  <c r="BQ151" i="6"/>
  <c r="BQ159" i="6"/>
  <c r="BQ167" i="6"/>
  <c r="BQ175" i="6"/>
  <c r="BQ127" i="6"/>
  <c r="BQ130" i="6"/>
  <c r="BQ138" i="6"/>
  <c r="BQ146" i="6"/>
  <c r="BQ154" i="6"/>
  <c r="BQ162" i="6"/>
  <c r="BQ170" i="6"/>
  <c r="BQ178" i="6"/>
  <c r="BT117" i="6"/>
  <c r="BQ118" i="6" s="1"/>
  <c r="BQ125" i="6"/>
  <c r="BQ128" i="6"/>
  <c r="BQ137" i="6"/>
  <c r="BQ145" i="6"/>
  <c r="BQ153" i="6"/>
  <c r="BQ161" i="6"/>
  <c r="BQ169" i="6"/>
  <c r="BQ177" i="6"/>
  <c r="BP119" i="6"/>
  <c r="BQ132" i="6"/>
  <c r="BQ140" i="6"/>
  <c r="BQ148" i="6"/>
  <c r="BQ156" i="6"/>
  <c r="BQ164" i="6"/>
  <c r="BQ172" i="6"/>
  <c r="BQ139" i="6"/>
  <c r="BQ171" i="6"/>
  <c r="BQ142" i="6"/>
  <c r="BQ174" i="6"/>
  <c r="BQ147" i="6"/>
  <c r="BQ120" i="6"/>
  <c r="BQ150" i="6"/>
  <c r="BQ129" i="6"/>
  <c r="BQ155" i="6"/>
  <c r="BQ122" i="6"/>
  <c r="BQ158" i="6"/>
  <c r="BQ131" i="6"/>
  <c r="BQ163" i="6"/>
  <c r="BQ134" i="6"/>
  <c r="U4" i="5"/>
  <c r="I4" i="5" s="1"/>
  <c r="T4" i="5" s="1"/>
  <c r="S4" i="5"/>
  <c r="U26" i="5"/>
  <c r="I26" i="5" s="1"/>
  <c r="T26" i="5" s="1"/>
  <c r="S26" i="5"/>
  <c r="S42" i="5"/>
  <c r="U42" i="5"/>
  <c r="I42" i="5" s="1"/>
  <c r="T42" i="5" s="1"/>
  <c r="H357" i="14"/>
  <c r="J70" i="9"/>
  <c r="P357" i="14"/>
  <c r="R70" i="9"/>
  <c r="R77" i="9" s="1"/>
  <c r="R78" i="9" s="1"/>
  <c r="N71" i="9"/>
  <c r="L358" i="14"/>
  <c r="C358" i="14" s="1"/>
  <c r="B358" i="14" s="1"/>
  <c r="H359" i="14"/>
  <c r="C359" i="14" s="1"/>
  <c r="B359" i="14" s="1"/>
  <c r="J72" i="9"/>
  <c r="R72" i="9"/>
  <c r="P359" i="14"/>
  <c r="W355" i="14"/>
  <c r="D355" i="14" s="1"/>
  <c r="Y68" i="9"/>
  <c r="D68" i="9" s="1"/>
  <c r="T356" i="14"/>
  <c r="D356" i="14" s="1"/>
  <c r="V69" i="9"/>
  <c r="S357" i="14"/>
  <c r="D357" i="14" s="1"/>
  <c r="U70" i="9"/>
  <c r="W71" i="9"/>
  <c r="U358" i="14"/>
  <c r="D358" i="14" s="1"/>
  <c r="X359" i="14"/>
  <c r="D359" i="14" s="1"/>
  <c r="Z72" i="9"/>
  <c r="Y361" i="14"/>
  <c r="AA74" i="9"/>
  <c r="AD74" i="9"/>
  <c r="AB361" i="14"/>
  <c r="AM354" i="14"/>
  <c r="E354" i="14" s="1"/>
  <c r="AO67" i="9"/>
  <c r="AD357" i="14"/>
  <c r="E357" i="14" s="1"/>
  <c r="AF70" i="9"/>
  <c r="AI72" i="9"/>
  <c r="AG359" i="14"/>
  <c r="E359" i="14" s="1"/>
  <c r="AD360" i="14"/>
  <c r="E360" i="14" s="1"/>
  <c r="AF73" i="9"/>
  <c r="E73" i="9" s="1"/>
  <c r="AM360" i="14"/>
  <c r="AO73" i="9"/>
  <c r="AH361" i="14"/>
  <c r="E361" i="14" s="1"/>
  <c r="AJ74" i="9"/>
  <c r="AJ77" i="9" s="1"/>
  <c r="AJ78" i="9" s="1"/>
  <c r="AP74" i="9"/>
  <c r="AN361" i="14"/>
  <c r="N370" i="14"/>
  <c r="N392" i="14" s="1"/>
  <c r="N391" i="1"/>
  <c r="T15" i="9"/>
  <c r="P16" i="9"/>
  <c r="J371" i="14"/>
  <c r="J392" i="14" s="1"/>
  <c r="J391" i="1"/>
  <c r="J20" i="9"/>
  <c r="D17" i="9"/>
  <c r="J22" i="9"/>
  <c r="I20" i="9"/>
  <c r="D18" i="9"/>
  <c r="I22" i="9"/>
  <c r="N22" i="9"/>
  <c r="N42" i="9" s="1"/>
  <c r="M105" i="9" s="1"/>
  <c r="N20" i="9"/>
  <c r="S19" i="9"/>
  <c r="M374" i="14"/>
  <c r="M392" i="14" s="1"/>
  <c r="V15" i="9"/>
  <c r="P370" i="14"/>
  <c r="K101" i="3"/>
  <c r="K201" i="3" s="1"/>
  <c r="J100" i="3"/>
  <c r="M103" i="3"/>
  <c r="L102" i="3"/>
  <c r="L221" i="3"/>
  <c r="C244" i="3"/>
  <c r="K221" i="3"/>
  <c r="C245" i="3"/>
  <c r="J221" i="3"/>
  <c r="M221" i="3"/>
  <c r="M201" i="3"/>
  <c r="O140" i="3"/>
  <c r="O206" i="3" s="1"/>
  <c r="C311" i="3"/>
  <c r="P140" i="3"/>
  <c r="P206" i="3" s="1"/>
  <c r="D311" i="3"/>
  <c r="C144" i="8"/>
  <c r="B177" i="8"/>
  <c r="D69" i="11"/>
  <c r="C15" i="3"/>
  <c r="D15" i="3" s="1"/>
  <c r="E15" i="3" s="1"/>
  <c r="I509" i="8"/>
  <c r="B192" i="8"/>
  <c r="B196" i="8"/>
  <c r="B194" i="8"/>
  <c r="B504" i="8"/>
  <c r="C171" i="8"/>
  <c r="C172" i="8"/>
  <c r="J228" i="8"/>
  <c r="I217" i="8"/>
  <c r="I216" i="8"/>
  <c r="G218" i="8"/>
  <c r="G220" i="8"/>
  <c r="G219" i="8"/>
  <c r="H298" i="8"/>
  <c r="J284" i="8"/>
  <c r="N284" i="8" s="1"/>
  <c r="B249" i="11"/>
  <c r="B127" i="9"/>
  <c r="A437" i="8"/>
  <c r="A318" i="8"/>
  <c r="E26" i="8"/>
  <c r="B44" i="8"/>
  <c r="M194" i="8"/>
  <c r="B432" i="8"/>
  <c r="M192" i="8"/>
  <c r="M193" i="8"/>
  <c r="B431" i="8"/>
  <c r="B472" i="8" s="1"/>
  <c r="M196" i="8"/>
  <c r="M316" i="8" s="1"/>
  <c r="E17" i="8"/>
  <c r="B12" i="3"/>
  <c r="M137" i="8"/>
  <c r="M257" i="8" s="1"/>
  <c r="M136" i="8"/>
  <c r="M138" i="8"/>
  <c r="M258" i="8" s="1"/>
  <c r="M504" i="8"/>
  <c r="M188" i="8"/>
  <c r="M510" i="8"/>
  <c r="M187" i="8"/>
  <c r="I145" i="8"/>
  <c r="I148" i="8"/>
  <c r="I147" i="8"/>
  <c r="D74" i="9"/>
  <c r="B74" i="9"/>
  <c r="C74" i="9"/>
  <c r="D263" i="6"/>
  <c r="E290" i="3"/>
  <c r="I290" i="3"/>
  <c r="M290" i="3"/>
  <c r="K188" i="8"/>
  <c r="B427" i="8"/>
  <c r="K187" i="8"/>
  <c r="E153" i="8"/>
  <c r="E154" i="8"/>
  <c r="C145" i="8"/>
  <c r="C148" i="8"/>
  <c r="B178" i="8"/>
  <c r="P177" i="8"/>
  <c r="P297" i="8" s="1"/>
  <c r="P179" i="8"/>
  <c r="P299" i="8" s="1"/>
  <c r="P178" i="8"/>
  <c r="P298" i="8" s="1"/>
  <c r="I177" i="8"/>
  <c r="L312" i="8"/>
  <c r="G235" i="8"/>
  <c r="B140" i="8"/>
  <c r="J315" i="8"/>
  <c r="I315" i="8"/>
  <c r="A302" i="8"/>
  <c r="B71" i="14"/>
  <c r="C70" i="1"/>
  <c r="L193" i="8"/>
  <c r="L313" i="8" s="1"/>
  <c r="L195" i="8"/>
  <c r="L315" i="8" s="1"/>
  <c r="L194" i="8"/>
  <c r="I196" i="8"/>
  <c r="L316" i="8" s="1"/>
  <c r="I194" i="8"/>
  <c r="E508" i="8"/>
  <c r="N508" i="8" s="1"/>
  <c r="F232" i="8"/>
  <c r="G92" i="3"/>
  <c r="H93" i="3"/>
  <c r="C16" i="8"/>
  <c r="B34" i="8"/>
  <c r="B11" i="3"/>
  <c r="M295" i="3"/>
  <c r="I295" i="3"/>
  <c r="H295" i="3"/>
  <c r="B295" i="3"/>
  <c r="G295" i="3"/>
  <c r="G20" i="9"/>
  <c r="H20" i="9" s="1"/>
  <c r="F22" i="9"/>
  <c r="D146" i="6"/>
  <c r="D277" i="6" s="1"/>
  <c r="D143" i="6"/>
  <c r="D274" i="6" s="1"/>
  <c r="D264" i="6"/>
  <c r="D284" i="6"/>
  <c r="K290" i="3"/>
  <c r="D290" i="3"/>
  <c r="F290" i="3"/>
  <c r="B424" i="8"/>
  <c r="B176" i="8"/>
  <c r="C72" i="1"/>
  <c r="E136" i="8"/>
  <c r="G256" i="8" s="1"/>
  <c r="E138" i="8"/>
  <c r="E137" i="8"/>
  <c r="D68" i="11"/>
  <c r="I232" i="8"/>
  <c r="I312" i="8"/>
  <c r="B136" i="8"/>
  <c r="C177" i="8"/>
  <c r="C179" i="8"/>
  <c r="C509" i="8"/>
  <c r="N509" i="8" s="1"/>
  <c r="F74" i="11"/>
  <c r="G74" i="11"/>
  <c r="B139" i="8"/>
  <c r="B169" i="8"/>
  <c r="B168" i="8"/>
  <c r="B171" i="8"/>
  <c r="B172" i="8"/>
  <c r="E172" i="8"/>
  <c r="K232" i="8"/>
  <c r="B73" i="9"/>
  <c r="AP77" i="9"/>
  <c r="AP78" i="9" s="1"/>
  <c r="Y77" i="9"/>
  <c r="Y78" i="9" s="1"/>
  <c r="AD77" i="9"/>
  <c r="AD78" i="9" s="1"/>
  <c r="D15" i="9"/>
  <c r="D156" i="6"/>
  <c r="D287" i="6" s="1"/>
  <c r="G287" i="6" s="1"/>
  <c r="BQ166" i="6"/>
  <c r="B43" i="8"/>
  <c r="B42" i="8"/>
  <c r="F68" i="11"/>
  <c r="D316" i="3"/>
  <c r="K296" i="3"/>
  <c r="C316" i="3"/>
  <c r="J294" i="3"/>
  <c r="M296" i="3"/>
  <c r="I294" i="3"/>
  <c r="D16" i="9"/>
  <c r="I392" i="14"/>
  <c r="D150" i="6"/>
  <c r="D281" i="6" s="1"/>
  <c r="W101" i="8"/>
  <c r="M69" i="8"/>
  <c r="N180" i="3"/>
  <c r="B74" i="3"/>
  <c r="G207" i="3"/>
  <c r="N151" i="3"/>
  <c r="E78" i="3"/>
  <c r="B71" i="11"/>
  <c r="D78" i="3"/>
  <c r="C78" i="3"/>
  <c r="F78" i="3"/>
  <c r="I104" i="3"/>
  <c r="F101" i="3"/>
  <c r="B51" i="3"/>
  <c r="H221" i="3"/>
  <c r="I221" i="3"/>
  <c r="J105" i="3"/>
  <c r="F221" i="3"/>
  <c r="G102" i="3"/>
  <c r="E100" i="3"/>
  <c r="E221" i="3"/>
  <c r="C51" i="3"/>
  <c r="B321" i="14"/>
  <c r="B494" i="8"/>
  <c r="D512" i="8" s="1"/>
  <c r="B314" i="14"/>
  <c r="B487" i="8"/>
  <c r="C505" i="8" s="1"/>
  <c r="K354" i="14"/>
  <c r="C354" i="14" s="1"/>
  <c r="B354" i="14" s="1"/>
  <c r="M67" i="9"/>
  <c r="B19" i="3"/>
  <c r="B37" i="8"/>
  <c r="B36" i="8"/>
  <c r="B294" i="3"/>
  <c r="G296" i="3"/>
  <c r="E296" i="3"/>
  <c r="C294" i="3"/>
  <c r="F296" i="3"/>
  <c r="Y101" i="8"/>
  <c r="C306" i="14"/>
  <c r="D195" i="14"/>
  <c r="D196" i="14"/>
  <c r="I23" i="14"/>
  <c r="Q225" i="8"/>
  <c r="D154" i="6"/>
  <c r="D285" i="6" s="1"/>
  <c r="K69" i="8"/>
  <c r="N101" i="3"/>
  <c r="D74" i="3"/>
  <c r="B67" i="11"/>
  <c r="C74" i="3"/>
  <c r="F74" i="3"/>
  <c r="H118" i="3"/>
  <c r="G117" i="3"/>
  <c r="J120" i="3"/>
  <c r="H223" i="3"/>
  <c r="F223" i="3"/>
  <c r="K121" i="3"/>
  <c r="K223" i="3"/>
  <c r="I119" i="3"/>
  <c r="G223" i="3"/>
  <c r="C116" i="3"/>
  <c r="E223" i="3"/>
  <c r="D117" i="3"/>
  <c r="E118" i="3"/>
  <c r="N118" i="3" s="1"/>
  <c r="H121" i="3"/>
  <c r="N121" i="3" s="1"/>
  <c r="F119" i="3"/>
  <c r="F203" i="3" s="1"/>
  <c r="C223" i="3"/>
  <c r="D223" i="3"/>
  <c r="G120" i="3"/>
  <c r="D105" i="11"/>
  <c r="Q510" i="8"/>
  <c r="G392" i="14"/>
  <c r="D51" i="3"/>
  <c r="E227" i="3"/>
  <c r="F227" i="3"/>
  <c r="K72" i="8"/>
  <c r="D53" i="3"/>
  <c r="C53" i="3"/>
  <c r="E244" i="3"/>
  <c r="L223" i="3"/>
  <c r="E242" i="3"/>
  <c r="E246" i="3" s="1"/>
  <c r="M117" i="3"/>
  <c r="L119" i="3"/>
  <c r="L203" i="3" s="1"/>
  <c r="J223" i="3"/>
  <c r="I116" i="3"/>
  <c r="I203" i="3" s="1"/>
  <c r="M120" i="3"/>
  <c r="J117" i="3"/>
  <c r="J203" i="3" s="1"/>
  <c r="E245" i="3"/>
  <c r="I223" i="3"/>
  <c r="N145" i="3"/>
  <c r="Z79" i="8"/>
  <c r="Y80" i="8"/>
  <c r="X83" i="8"/>
  <c r="W80" i="8"/>
  <c r="X82" i="8"/>
  <c r="Y81" i="8"/>
  <c r="C107" i="11"/>
  <c r="Z81" i="8"/>
  <c r="Z82" i="8"/>
  <c r="W83" i="8"/>
  <c r="X81" i="8"/>
  <c r="X79" i="8"/>
  <c r="W81" i="8"/>
  <c r="W82" i="8"/>
  <c r="Y79" i="8"/>
  <c r="Y85" i="8" s="1"/>
  <c r="Y83" i="8"/>
  <c r="C111" i="14"/>
  <c r="G110" i="1"/>
  <c r="G111" i="14" s="1"/>
  <c r="F103" i="3"/>
  <c r="N103" i="3" s="1"/>
  <c r="G104" i="3"/>
  <c r="H105" i="3"/>
  <c r="N105" i="3" s="1"/>
  <c r="W85" i="8"/>
  <c r="K203" i="3"/>
  <c r="L72" i="8"/>
  <c r="J74" i="8"/>
  <c r="K71" i="8"/>
  <c r="M72" i="8"/>
  <c r="M71" i="8"/>
  <c r="M75" i="8"/>
  <c r="L71" i="8"/>
  <c r="J71" i="8"/>
  <c r="M73" i="8"/>
  <c r="K73" i="8"/>
  <c r="L74" i="8"/>
  <c r="J73" i="8"/>
  <c r="M74" i="8"/>
  <c r="K74" i="8"/>
  <c r="C100" i="11"/>
  <c r="J72" i="8"/>
  <c r="F369" i="14"/>
  <c r="F392" i="14" s="1"/>
  <c r="L14" i="9"/>
  <c r="M346" i="14"/>
  <c r="I346" i="14"/>
  <c r="C276" i="14"/>
  <c r="C265" i="14"/>
  <c r="I17" i="14"/>
  <c r="I16" i="14"/>
  <c r="A289" i="8"/>
  <c r="A408" i="8"/>
  <c r="A152" i="8"/>
  <c r="A391" i="8"/>
  <c r="A195" i="8"/>
  <c r="A315" i="8"/>
  <c r="A434" i="8"/>
  <c r="A252" i="8"/>
  <c r="A132" i="8"/>
  <c r="F323" i="14"/>
  <c r="B322" i="1"/>
  <c r="J322" i="14"/>
  <c r="B321" i="1"/>
  <c r="H108" i="11"/>
  <c r="C131" i="11"/>
  <c r="E131" i="11" s="1"/>
  <c r="E103" i="11"/>
  <c r="H103" i="11"/>
  <c r="C126" i="11"/>
  <c r="E126" i="11" s="1"/>
  <c r="B349" i="11"/>
  <c r="B211" i="12" s="1"/>
  <c r="G212" i="12" s="1"/>
  <c r="G209" i="12" s="1"/>
  <c r="B109" i="6"/>
  <c r="B351" i="11" s="1"/>
  <c r="B108" i="14"/>
  <c r="F107" i="1"/>
  <c r="F108" i="14" s="1"/>
  <c r="C205" i="3"/>
  <c r="J133" i="3"/>
  <c r="J205" i="3" s="1"/>
  <c r="K134" i="3"/>
  <c r="K205" i="3" s="1"/>
  <c r="I132" i="3"/>
  <c r="I205" i="3" s="1"/>
  <c r="I225" i="3"/>
  <c r="M136" i="3"/>
  <c r="M205" i="3" s="1"/>
  <c r="G184" i="3"/>
  <c r="C231" i="3"/>
  <c r="N231" i="3" s="1"/>
  <c r="D181" i="3"/>
  <c r="N181" i="3" s="1"/>
  <c r="I231" i="3"/>
  <c r="K231" i="3"/>
  <c r="K184" i="3"/>
  <c r="K211" i="3" s="1"/>
  <c r="J148" i="3"/>
  <c r="J207" i="3" s="1"/>
  <c r="L150" i="3"/>
  <c r="L207" i="3" s="1"/>
  <c r="Y77" i="8"/>
  <c r="B101" i="14"/>
  <c r="F100" i="1"/>
  <c r="F101" i="14" s="1"/>
  <c r="C286" i="14"/>
  <c r="N159" i="3"/>
  <c r="N208" i="3" s="1"/>
  <c r="F45" i="6"/>
  <c r="G45" i="6"/>
  <c r="AR12" i="4"/>
  <c r="B110" i="1" s="1"/>
  <c r="AR5" i="4"/>
  <c r="B103" i="1" s="1"/>
  <c r="AT5" i="4"/>
  <c r="C103" i="1" s="1"/>
  <c r="F225" i="3"/>
  <c r="C225" i="3"/>
  <c r="D133" i="3"/>
  <c r="D205" i="3" s="1"/>
  <c r="G182" i="3"/>
  <c r="G211" i="3" s="1"/>
  <c r="G243" i="3"/>
  <c r="M225" i="3"/>
  <c r="H119" i="3"/>
  <c r="B319" i="1"/>
  <c r="A34" i="3"/>
  <c r="A205" i="3"/>
  <c r="A76" i="3"/>
  <c r="G225" i="3"/>
  <c r="E266" i="6"/>
  <c r="G266" i="6" s="1"/>
  <c r="T71" i="5"/>
  <c r="C177" i="5" s="1"/>
  <c r="L71" i="5"/>
  <c r="A339" i="11"/>
  <c r="A48" i="15"/>
  <c r="AR4" i="4"/>
  <c r="B102" i="1" s="1"/>
  <c r="D192" i="8"/>
  <c r="Q89" i="8"/>
  <c r="B117" i="8" s="1"/>
  <c r="Q65" i="8"/>
  <c r="L186" i="8" s="1"/>
  <c r="Q59" i="8"/>
  <c r="D33" i="9"/>
  <c r="A468" i="8"/>
  <c r="AT4" i="4"/>
  <c r="C102" i="1" s="1"/>
  <c r="D97" i="8"/>
  <c r="D82" i="8"/>
  <c r="U36" i="5"/>
  <c r="I36" i="5" s="1"/>
  <c r="T36" i="5" s="1"/>
  <c r="A31" i="3"/>
  <c r="A100" i="11"/>
  <c r="D27" i="9"/>
  <c r="U68" i="5"/>
  <c r="I68" i="5" s="1"/>
  <c r="T68" i="5" s="1"/>
  <c r="AQ74" i="9"/>
  <c r="AQ77" i="9" s="1"/>
  <c r="AQ78" i="9" s="1"/>
  <c r="AI74" i="9"/>
  <c r="AA72" i="9"/>
  <c r="AA77" i="9" s="1"/>
  <c r="AA78" i="9" s="1"/>
  <c r="B370" i="1"/>
  <c r="U16" i="9"/>
  <c r="AI38" i="3"/>
  <c r="AH38" i="3"/>
  <c r="AE38" i="3"/>
  <c r="AD38" i="3"/>
  <c r="AA38" i="3"/>
  <c r="Z38" i="3"/>
  <c r="S38" i="3"/>
  <c r="R38" i="3"/>
  <c r="L38" i="3"/>
  <c r="K38" i="3"/>
  <c r="F38" i="3"/>
  <c r="H38" i="3"/>
  <c r="E38" i="3"/>
  <c r="AL31" i="3"/>
  <c r="AK31" i="3"/>
  <c r="AK42" i="3" s="1"/>
  <c r="H84" i="12" s="1"/>
  <c r="AI31" i="3"/>
  <c r="AI42" i="3" s="1"/>
  <c r="H82" i="12" s="1"/>
  <c r="AH31" i="3"/>
  <c r="AG31" i="3"/>
  <c r="AG42" i="3" s="1"/>
  <c r="H80" i="12" s="1"/>
  <c r="AE31" i="3"/>
  <c r="AE42" i="3" s="1"/>
  <c r="H78" i="12" s="1"/>
  <c r="AD31" i="3"/>
  <c r="AD42" i="3" s="1"/>
  <c r="H77" i="12" s="1"/>
  <c r="AC31" i="3"/>
  <c r="AC42" i="3" s="1"/>
  <c r="H76" i="12" s="1"/>
  <c r="AA31" i="3"/>
  <c r="AA42" i="3" s="1"/>
  <c r="H74" i="12" s="1"/>
  <c r="Z31" i="3"/>
  <c r="Z42" i="3" s="1"/>
  <c r="H73" i="12" s="1"/>
  <c r="X31" i="3"/>
  <c r="S31" i="3"/>
  <c r="R31" i="3"/>
  <c r="P31" i="3"/>
  <c r="K31" i="3"/>
  <c r="J31" i="3"/>
  <c r="H31" i="3"/>
  <c r="F31" i="3"/>
  <c r="Y31" i="3"/>
  <c r="Q31" i="3"/>
  <c r="I31" i="3"/>
  <c r="E31" i="3"/>
  <c r="D31" i="3"/>
  <c r="C31" i="3"/>
  <c r="AJ31" i="3"/>
  <c r="AF31" i="3"/>
  <c r="AF42" i="3" s="1"/>
  <c r="H79" i="12" s="1"/>
  <c r="AB31" i="3"/>
  <c r="W31" i="3"/>
  <c r="W42" i="3" s="1"/>
  <c r="H70" i="12" s="1"/>
  <c r="V31" i="3"/>
  <c r="V42" i="3" s="1"/>
  <c r="H69" i="12" s="1"/>
  <c r="T31" i="3"/>
  <c r="O31" i="3"/>
  <c r="M31" i="3"/>
  <c r="G31" i="3"/>
  <c r="AL33" i="3"/>
  <c r="U33" i="3"/>
  <c r="L33" i="3"/>
  <c r="B33" i="3"/>
  <c r="AK33" i="3"/>
  <c r="AI33" i="3"/>
  <c r="AH33" i="3"/>
  <c r="AG33" i="3"/>
  <c r="AE33" i="3"/>
  <c r="AD33" i="3"/>
  <c r="AC33" i="3"/>
  <c r="AA33" i="3"/>
  <c r="Z33" i="3"/>
  <c r="X33" i="3"/>
  <c r="S33" i="3"/>
  <c r="R33" i="3"/>
  <c r="P33" i="3"/>
  <c r="C54" i="3" s="1"/>
  <c r="K33" i="3"/>
  <c r="J33" i="3"/>
  <c r="H33" i="3"/>
  <c r="F33" i="3"/>
  <c r="Y33" i="3"/>
  <c r="Q33" i="3"/>
  <c r="I33" i="3"/>
  <c r="E33" i="3"/>
  <c r="D33" i="3"/>
  <c r="C33" i="3"/>
  <c r="C39" i="3"/>
  <c r="F39" i="3"/>
  <c r="I29" i="3"/>
  <c r="J39" i="3"/>
  <c r="K39" i="3"/>
  <c r="L39" i="3"/>
  <c r="Q39" i="3"/>
  <c r="R39" i="3"/>
  <c r="S39" i="3"/>
  <c r="U36" i="3"/>
  <c r="Y39" i="3"/>
  <c r="Z39" i="3"/>
  <c r="AA39" i="3"/>
  <c r="AB37" i="3"/>
  <c r="AD39" i="3"/>
  <c r="AD34" i="3"/>
  <c r="AE39" i="3"/>
  <c r="AE34" i="3"/>
  <c r="AF37" i="3"/>
  <c r="AH39" i="3"/>
  <c r="AH34" i="3"/>
  <c r="AI39" i="3"/>
  <c r="AJ37" i="3"/>
  <c r="F29" i="3"/>
  <c r="P39" i="3"/>
  <c r="T36" i="3"/>
  <c r="C57" i="3" s="1"/>
  <c r="T29" i="3"/>
  <c r="U29" i="3"/>
  <c r="X39" i="3"/>
  <c r="AB36" i="3"/>
  <c r="D57" i="3" s="1"/>
  <c r="AC39" i="3"/>
  <c r="AF36" i="3"/>
  <c r="AG39" i="3"/>
  <c r="AK39" i="3"/>
  <c r="L231" i="8" l="1"/>
  <c r="C180" i="5"/>
  <c r="K177" i="5"/>
  <c r="B243" i="11"/>
  <c r="O149" i="3"/>
  <c r="O153" i="3"/>
  <c r="C312" i="3"/>
  <c r="O148" i="3"/>
  <c r="O151" i="3"/>
  <c r="I250" i="3"/>
  <c r="O150" i="3"/>
  <c r="I251" i="3"/>
  <c r="I248" i="3"/>
  <c r="I252" i="3"/>
  <c r="I249" i="3"/>
  <c r="O152" i="3"/>
  <c r="X88" i="8"/>
  <c r="Z89" i="8"/>
  <c r="Y88" i="8"/>
  <c r="X87" i="8"/>
  <c r="W87" i="8"/>
  <c r="W89" i="8"/>
  <c r="Y90" i="8"/>
  <c r="W90" i="8"/>
  <c r="Z87" i="8"/>
  <c r="C108" i="11"/>
  <c r="X90" i="8"/>
  <c r="Z91" i="8"/>
  <c r="Y89" i="8"/>
  <c r="X91" i="8"/>
  <c r="Y87" i="8"/>
  <c r="W88" i="8"/>
  <c r="Z88" i="8"/>
  <c r="Z90" i="8"/>
  <c r="W91" i="8"/>
  <c r="Y91" i="8"/>
  <c r="X89" i="8"/>
  <c r="P148" i="3"/>
  <c r="P150" i="3"/>
  <c r="P152" i="3"/>
  <c r="P151" i="3"/>
  <c r="P149" i="3"/>
  <c r="P153" i="3"/>
  <c r="D312" i="3"/>
  <c r="U42" i="3"/>
  <c r="H68" i="12" s="1"/>
  <c r="F92" i="3"/>
  <c r="G93" i="3"/>
  <c r="F42" i="3"/>
  <c r="H94" i="3"/>
  <c r="J96" i="3"/>
  <c r="I95" i="3"/>
  <c r="K97" i="3"/>
  <c r="F285" i="3"/>
  <c r="B50" i="3"/>
  <c r="F220" i="3"/>
  <c r="D55" i="3"/>
  <c r="J230" i="3"/>
  <c r="L174" i="3"/>
  <c r="M175" i="3"/>
  <c r="J172" i="3"/>
  <c r="J295" i="3"/>
  <c r="K173" i="3"/>
  <c r="D125" i="3"/>
  <c r="E126" i="3"/>
  <c r="F127" i="3"/>
  <c r="H129" i="3"/>
  <c r="C224" i="3"/>
  <c r="C124" i="3"/>
  <c r="G128" i="3"/>
  <c r="C289" i="3"/>
  <c r="M127" i="3"/>
  <c r="L126" i="3"/>
  <c r="K125" i="3"/>
  <c r="J224" i="3"/>
  <c r="F244" i="3"/>
  <c r="J124" i="3"/>
  <c r="J289" i="3"/>
  <c r="L124" i="3"/>
  <c r="M125" i="3"/>
  <c r="L224" i="3"/>
  <c r="M224" i="3"/>
  <c r="F242" i="3"/>
  <c r="L42" i="3"/>
  <c r="L289" i="3"/>
  <c r="D241" i="3"/>
  <c r="M108" i="3"/>
  <c r="D242" i="3"/>
  <c r="M222" i="3"/>
  <c r="M42" i="3"/>
  <c r="M287" i="3"/>
  <c r="M298" i="3" s="1"/>
  <c r="C108" i="3"/>
  <c r="C222" i="3"/>
  <c r="G112" i="3"/>
  <c r="E110" i="3"/>
  <c r="H113" i="3"/>
  <c r="F111" i="3"/>
  <c r="D109" i="3"/>
  <c r="B52" i="3"/>
  <c r="C287" i="3"/>
  <c r="C42" i="3"/>
  <c r="Q42" i="3"/>
  <c r="H64" i="12" s="1"/>
  <c r="L110" i="3"/>
  <c r="K109" i="3"/>
  <c r="K187" i="3" s="1"/>
  <c r="L225" i="11" s="1"/>
  <c r="D244" i="3"/>
  <c r="J108" i="3"/>
  <c r="J222" i="3"/>
  <c r="M111" i="3"/>
  <c r="M189" i="3" s="1"/>
  <c r="N227" i="11" s="1"/>
  <c r="J287" i="3"/>
  <c r="J42" i="3"/>
  <c r="S42" i="3"/>
  <c r="H66" i="12" s="1"/>
  <c r="AH42" i="3"/>
  <c r="H81" i="12" s="1"/>
  <c r="E164" i="3"/>
  <c r="F165" i="3"/>
  <c r="H167" i="3"/>
  <c r="J169" i="3"/>
  <c r="G166" i="3"/>
  <c r="I168" i="3"/>
  <c r="E229" i="3"/>
  <c r="N229" i="3" s="1"/>
  <c r="E294" i="3"/>
  <c r="M165" i="3"/>
  <c r="L164" i="3"/>
  <c r="K242" i="3"/>
  <c r="M229" i="3"/>
  <c r="K243" i="3"/>
  <c r="K244" i="3"/>
  <c r="K245" i="3"/>
  <c r="L294" i="3"/>
  <c r="L229" i="3"/>
  <c r="D59" i="3"/>
  <c r="E74" i="9"/>
  <c r="A66" i="11"/>
  <c r="A123" i="11"/>
  <c r="E62" i="12"/>
  <c r="D62" i="12" s="1"/>
  <c r="Q170" i="8"/>
  <c r="B112" i="8"/>
  <c r="R170" i="8"/>
  <c r="I170" i="8"/>
  <c r="M170" i="8"/>
  <c r="H170" i="8"/>
  <c r="C170" i="8"/>
  <c r="F170" i="8"/>
  <c r="G170" i="8"/>
  <c r="K170" i="8"/>
  <c r="B409" i="8"/>
  <c r="B469" i="8" s="1"/>
  <c r="J170" i="8"/>
  <c r="Q180" i="8"/>
  <c r="H180" i="8"/>
  <c r="E180" i="8"/>
  <c r="F180" i="8"/>
  <c r="R180" i="8"/>
  <c r="R300" i="8" s="1"/>
  <c r="L180" i="8"/>
  <c r="J180" i="8"/>
  <c r="O180" i="8"/>
  <c r="C180" i="8"/>
  <c r="M180" i="8"/>
  <c r="P180" i="8"/>
  <c r="P300" i="8" s="1"/>
  <c r="B419" i="8"/>
  <c r="B470" i="8" s="1"/>
  <c r="D180" i="8"/>
  <c r="K180" i="8"/>
  <c r="B320" i="14"/>
  <c r="B493" i="8"/>
  <c r="G103" i="1"/>
  <c r="G104" i="14" s="1"/>
  <c r="C104" i="14"/>
  <c r="J77" i="8"/>
  <c r="X85" i="8"/>
  <c r="D306" i="3"/>
  <c r="P100" i="3"/>
  <c r="N120" i="3"/>
  <c r="C203" i="3"/>
  <c r="N116" i="3"/>
  <c r="G203" i="3"/>
  <c r="N148" i="3"/>
  <c r="D393" i="8"/>
  <c r="Q274" i="8" s="1"/>
  <c r="C391" i="8"/>
  <c r="D392" i="8"/>
  <c r="E395" i="8"/>
  <c r="F391" i="8"/>
  <c r="F467" i="8" s="1"/>
  <c r="F393" i="8"/>
  <c r="F392" i="8"/>
  <c r="F394" i="8"/>
  <c r="E392" i="8"/>
  <c r="R273" i="8" s="1"/>
  <c r="F395" i="8"/>
  <c r="D395" i="8"/>
  <c r="Q276" i="8" s="1"/>
  <c r="E394" i="8"/>
  <c r="C392" i="8"/>
  <c r="C395" i="8"/>
  <c r="C36" i="8"/>
  <c r="D394" i="8"/>
  <c r="D391" i="8"/>
  <c r="C393" i="8"/>
  <c r="C394" i="8"/>
  <c r="E393" i="8"/>
  <c r="R274" i="8" s="1"/>
  <c r="E391" i="8"/>
  <c r="N102" i="3"/>
  <c r="G201" i="3"/>
  <c r="C447" i="8"/>
  <c r="F448" i="8"/>
  <c r="E450" i="8"/>
  <c r="R331" i="8" s="1"/>
  <c r="F447" i="8"/>
  <c r="E449" i="8"/>
  <c r="D448" i="8"/>
  <c r="E448" i="8"/>
  <c r="R329" i="8" s="1"/>
  <c r="E447" i="8"/>
  <c r="D447" i="8"/>
  <c r="C43" i="8"/>
  <c r="E451" i="8"/>
  <c r="D449" i="8"/>
  <c r="F451" i="8"/>
  <c r="C448" i="8"/>
  <c r="D451" i="8"/>
  <c r="Q332" i="8" s="1"/>
  <c r="F450" i="8"/>
  <c r="C451" i="8"/>
  <c r="D450" i="8"/>
  <c r="C449" i="8"/>
  <c r="C450" i="8"/>
  <c r="F449" i="8"/>
  <c r="B170" i="8"/>
  <c r="B259" i="8"/>
  <c r="B225" i="8"/>
  <c r="B256" i="8"/>
  <c r="G257" i="8"/>
  <c r="G345" i="8" s="1"/>
  <c r="B296" i="8"/>
  <c r="D296" i="8"/>
  <c r="E296" i="8"/>
  <c r="N176" i="8"/>
  <c r="D397" i="11"/>
  <c r="G277" i="6"/>
  <c r="C504" i="8"/>
  <c r="C140" i="8"/>
  <c r="C137" i="8"/>
  <c r="E257" i="8" s="1"/>
  <c r="C136" i="8"/>
  <c r="C138" i="8"/>
  <c r="C139" i="8"/>
  <c r="G200" i="3"/>
  <c r="I314" i="8"/>
  <c r="I352" i="8" s="1"/>
  <c r="J314" i="8"/>
  <c r="K314" i="8"/>
  <c r="L314" i="8"/>
  <c r="I297" i="8"/>
  <c r="I350" i="8" s="1"/>
  <c r="J297" i="8"/>
  <c r="K297" i="8"/>
  <c r="L297" i="8"/>
  <c r="B298" i="8"/>
  <c r="C298" i="8"/>
  <c r="D298" i="8"/>
  <c r="N178" i="8"/>
  <c r="H273" i="8"/>
  <c r="G273" i="8"/>
  <c r="F273" i="8"/>
  <c r="E273" i="8"/>
  <c r="K268" i="8"/>
  <c r="J268" i="8"/>
  <c r="M308" i="8"/>
  <c r="M225" i="8"/>
  <c r="M256" i="8"/>
  <c r="M345" i="8" s="1"/>
  <c r="B316" i="8"/>
  <c r="C316" i="8"/>
  <c r="D316" i="8"/>
  <c r="F15" i="3"/>
  <c r="F55" i="3" s="1"/>
  <c r="E55" i="3"/>
  <c r="L201" i="3"/>
  <c r="L188" i="3"/>
  <c r="M226" i="11" s="1"/>
  <c r="E70" i="9"/>
  <c r="AF77" i="9"/>
  <c r="AF78" i="9" s="1"/>
  <c r="Z77" i="9"/>
  <c r="Z78" i="9" s="1"/>
  <c r="D72" i="9"/>
  <c r="U77" i="9"/>
  <c r="U78" i="9" s="1"/>
  <c r="D70" i="9"/>
  <c r="B72" i="9"/>
  <c r="C72" i="9"/>
  <c r="M235" i="11"/>
  <c r="R103" i="9"/>
  <c r="C121" i="5"/>
  <c r="E119" i="5"/>
  <c r="F117" i="5"/>
  <c r="D124" i="5"/>
  <c r="J101" i="5"/>
  <c r="F98" i="5"/>
  <c r="J112" i="5"/>
  <c r="H95" i="5"/>
  <c r="J99" i="5"/>
  <c r="J108" i="5"/>
  <c r="H108" i="5"/>
  <c r="J124" i="5"/>
  <c r="I109" i="5"/>
  <c r="E108" i="5"/>
  <c r="G106" i="5"/>
  <c r="I114" i="5"/>
  <c r="C119" i="5"/>
  <c r="I97" i="5"/>
  <c r="I119" i="5"/>
  <c r="C113" i="5"/>
  <c r="I100" i="5"/>
  <c r="F108" i="5"/>
  <c r="C122" i="5"/>
  <c r="F102" i="5"/>
  <c r="C110" i="5"/>
  <c r="G117" i="5"/>
  <c r="C108" i="5"/>
  <c r="J119" i="5"/>
  <c r="J106" i="5"/>
  <c r="C95" i="5"/>
  <c r="F101" i="5"/>
  <c r="E106" i="5"/>
  <c r="H122" i="5"/>
  <c r="F124" i="5"/>
  <c r="G121" i="5"/>
  <c r="F122" i="5"/>
  <c r="F95" i="5"/>
  <c r="H103" i="5"/>
  <c r="C117" i="5"/>
  <c r="H114" i="5"/>
  <c r="H120" i="5"/>
  <c r="F120" i="5"/>
  <c r="D122" i="5"/>
  <c r="E109" i="5"/>
  <c r="J97" i="5"/>
  <c r="E117" i="5"/>
  <c r="E114" i="5"/>
  <c r="F114" i="5"/>
  <c r="J120" i="5"/>
  <c r="E118" i="5"/>
  <c r="I108" i="5"/>
  <c r="G112" i="5"/>
  <c r="C106" i="5"/>
  <c r="E120" i="5"/>
  <c r="J122" i="5"/>
  <c r="G298" i="8"/>
  <c r="F298" i="8"/>
  <c r="E298" i="8"/>
  <c r="B17" i="3"/>
  <c r="B40" i="8"/>
  <c r="D22" i="8"/>
  <c r="D328" i="8"/>
  <c r="F17" i="8"/>
  <c r="B35" i="8"/>
  <c r="H307" i="8"/>
  <c r="J282" i="8"/>
  <c r="N162" i="8"/>
  <c r="H282" i="8"/>
  <c r="I282" i="8"/>
  <c r="G282" i="8"/>
  <c r="G180" i="8"/>
  <c r="G300" i="8" s="1"/>
  <c r="J328" i="8"/>
  <c r="C65" i="1"/>
  <c r="B66" i="14"/>
  <c r="N206" i="3"/>
  <c r="N136" i="3"/>
  <c r="F205" i="3"/>
  <c r="B59" i="3"/>
  <c r="M259" i="3"/>
  <c r="M251" i="3"/>
  <c r="P185" i="3"/>
  <c r="P183" i="3"/>
  <c r="M256" i="3"/>
  <c r="M252" i="3"/>
  <c r="M250" i="3"/>
  <c r="M257" i="3"/>
  <c r="P182" i="3"/>
  <c r="P181" i="3"/>
  <c r="M248" i="3"/>
  <c r="M253" i="3" s="1"/>
  <c r="M249" i="3"/>
  <c r="M255" i="3"/>
  <c r="P184" i="3"/>
  <c r="O182" i="3"/>
  <c r="O183" i="3"/>
  <c r="O181" i="3"/>
  <c r="O211" i="3" s="1"/>
  <c r="M258" i="3"/>
  <c r="B304" i="8"/>
  <c r="H289" i="8"/>
  <c r="F289" i="8"/>
  <c r="G289" i="8"/>
  <c r="E289" i="8"/>
  <c r="K315" i="8"/>
  <c r="E283" i="8"/>
  <c r="F283" i="8"/>
  <c r="N163" i="8"/>
  <c r="G283" i="8"/>
  <c r="H283" i="8"/>
  <c r="J296" i="8"/>
  <c r="B180" i="8"/>
  <c r="C308" i="8"/>
  <c r="P350" i="8"/>
  <c r="E251" i="8"/>
  <c r="F251" i="8"/>
  <c r="D251" i="8"/>
  <c r="K224" i="8"/>
  <c r="K248" i="8"/>
  <c r="L248" i="8"/>
  <c r="M248" i="8"/>
  <c r="C367" i="8"/>
  <c r="O128" i="8"/>
  <c r="C368" i="8"/>
  <c r="O132" i="8"/>
  <c r="O252" i="8" s="1"/>
  <c r="D33" i="8"/>
  <c r="O131" i="8"/>
  <c r="O251" i="8" s="1"/>
  <c r="O129" i="8"/>
  <c r="O249" i="8" s="1"/>
  <c r="O130" i="8"/>
  <c r="O250" i="8" s="1"/>
  <c r="C370" i="8"/>
  <c r="O503" i="8"/>
  <c r="J250" i="8"/>
  <c r="J251" i="8"/>
  <c r="M251" i="8"/>
  <c r="K251" i="8"/>
  <c r="G251" i="8"/>
  <c r="H102" i="5"/>
  <c r="D114" i="5"/>
  <c r="F110" i="5"/>
  <c r="F97" i="5"/>
  <c r="F96" i="5"/>
  <c r="H124" i="5"/>
  <c r="G124" i="5"/>
  <c r="E98" i="5"/>
  <c r="D110" i="5"/>
  <c r="J96" i="5"/>
  <c r="E103" i="5"/>
  <c r="J95" i="5"/>
  <c r="C109" i="5"/>
  <c r="G108" i="5"/>
  <c r="U108" i="5" s="1"/>
  <c r="I121" i="5"/>
  <c r="J123" i="5"/>
  <c r="H109" i="5"/>
  <c r="D118" i="5"/>
  <c r="C103" i="5"/>
  <c r="I101" i="5"/>
  <c r="E102" i="5"/>
  <c r="C107" i="5"/>
  <c r="J98" i="5"/>
  <c r="D103" i="5"/>
  <c r="G96" i="5"/>
  <c r="E111" i="5"/>
  <c r="G122" i="5"/>
  <c r="D106" i="5"/>
  <c r="G120" i="5"/>
  <c r="E124" i="5"/>
  <c r="D112" i="5"/>
  <c r="F118" i="5"/>
  <c r="J103" i="5"/>
  <c r="H118" i="5"/>
  <c r="G119" i="5"/>
  <c r="C114" i="5"/>
  <c r="G99" i="5"/>
  <c r="H112" i="5"/>
  <c r="G111" i="5"/>
  <c r="H111" i="5"/>
  <c r="N503" i="8"/>
  <c r="F464" i="8"/>
  <c r="H251" i="8"/>
  <c r="I180" i="5"/>
  <c r="D200" i="5" s="1"/>
  <c r="D289" i="11"/>
  <c r="I243" i="11"/>
  <c r="E180" i="5"/>
  <c r="AY223" i="6"/>
  <c r="AY240" i="6"/>
  <c r="AY230" i="6"/>
  <c r="AY231" i="6"/>
  <c r="AY235" i="6"/>
  <c r="AY213" i="6"/>
  <c r="AY218" i="6"/>
  <c r="BB186" i="6"/>
  <c r="AY203" i="6"/>
  <c r="AY207" i="6"/>
  <c r="AY219" i="6"/>
  <c r="AY211" i="6"/>
  <c r="AY206" i="6"/>
  <c r="AY212" i="6"/>
  <c r="AY243" i="6"/>
  <c r="AY198" i="6"/>
  <c r="AY210" i="6"/>
  <c r="AY222" i="6"/>
  <c r="AY225" i="6"/>
  <c r="AY233" i="6"/>
  <c r="AY232" i="6"/>
  <c r="AY234" i="6"/>
  <c r="AY237" i="6"/>
  <c r="AY187" i="6"/>
  <c r="AY220" i="6"/>
  <c r="AY205" i="6"/>
  <c r="AY200" i="6"/>
  <c r="BB184" i="6"/>
  <c r="AY185" i="6" s="1"/>
  <c r="AY191" i="6"/>
  <c r="AY242" i="6"/>
  <c r="AY202" i="6"/>
  <c r="AY196" i="6"/>
  <c r="AY221" i="6"/>
  <c r="AY228" i="6"/>
  <c r="AY194" i="6"/>
  <c r="AY241" i="6"/>
  <c r="AY195" i="6"/>
  <c r="AY236" i="6"/>
  <c r="AY216" i="6"/>
  <c r="AY217" i="6"/>
  <c r="AY186" i="6"/>
  <c r="AY201" i="6"/>
  <c r="AY227" i="6"/>
  <c r="AY190" i="6"/>
  <c r="AY192" i="6"/>
  <c r="AY229" i="6"/>
  <c r="AY209" i="6"/>
  <c r="AY226" i="6"/>
  <c r="AY215" i="6"/>
  <c r="AY189" i="6"/>
  <c r="AY193" i="6"/>
  <c r="AY197" i="6"/>
  <c r="AY204" i="6"/>
  <c r="AY208" i="6"/>
  <c r="AY188" i="6"/>
  <c r="AY245" i="6"/>
  <c r="AY238" i="6"/>
  <c r="AY214" i="6"/>
  <c r="AX186" i="6"/>
  <c r="AY199" i="6"/>
  <c r="AY224" i="6"/>
  <c r="AY244" i="6"/>
  <c r="AY239" i="6"/>
  <c r="I251" i="8"/>
  <c r="J93" i="3"/>
  <c r="M96" i="3"/>
  <c r="K94" i="3"/>
  <c r="L95" i="3"/>
  <c r="J220" i="3"/>
  <c r="M220" i="3"/>
  <c r="I42" i="3"/>
  <c r="I285" i="3"/>
  <c r="I92" i="3"/>
  <c r="L220" i="3"/>
  <c r="I220" i="3"/>
  <c r="B245" i="3"/>
  <c r="B246" i="3" s="1"/>
  <c r="K220" i="3"/>
  <c r="F126" i="3"/>
  <c r="H128" i="3"/>
  <c r="I129" i="3"/>
  <c r="D224" i="3"/>
  <c r="G127" i="3"/>
  <c r="E125" i="3"/>
  <c r="D124" i="3"/>
  <c r="D289" i="3"/>
  <c r="K124" i="3"/>
  <c r="K224" i="3"/>
  <c r="F243" i="3"/>
  <c r="M126" i="3"/>
  <c r="L125" i="3"/>
  <c r="K289" i="3"/>
  <c r="C52" i="3"/>
  <c r="O42" i="3"/>
  <c r="H62" i="12" s="1"/>
  <c r="AB42" i="3"/>
  <c r="H75" i="12" s="1"/>
  <c r="I113" i="3"/>
  <c r="G111" i="3"/>
  <c r="G189" i="3" s="1"/>
  <c r="H227" i="11" s="1"/>
  <c r="D108" i="3"/>
  <c r="E109" i="3"/>
  <c r="E187" i="3" s="1"/>
  <c r="F225" i="11" s="1"/>
  <c r="D222" i="3"/>
  <c r="H112" i="3"/>
  <c r="H190" i="3" s="1"/>
  <c r="I228" i="11" s="1"/>
  <c r="F110" i="3"/>
  <c r="D42" i="3"/>
  <c r="D287" i="3"/>
  <c r="Y42" i="3"/>
  <c r="H72" i="12" s="1"/>
  <c r="D243" i="3"/>
  <c r="K222" i="3"/>
  <c r="M110" i="3"/>
  <c r="L222" i="3"/>
  <c r="L109" i="3"/>
  <c r="K108" i="3"/>
  <c r="K42" i="3"/>
  <c r="K287" i="3"/>
  <c r="X42" i="3"/>
  <c r="H71" i="12" s="1"/>
  <c r="H164" i="3"/>
  <c r="K167" i="3"/>
  <c r="L168" i="3"/>
  <c r="J166" i="3"/>
  <c r="I165" i="3"/>
  <c r="M169" i="3"/>
  <c r="H229" i="3"/>
  <c r="J229" i="3"/>
  <c r="I229" i="3"/>
  <c r="H294" i="3"/>
  <c r="C59" i="3"/>
  <c r="U20" i="9"/>
  <c r="E16" i="9"/>
  <c r="C103" i="14"/>
  <c r="G102" i="1"/>
  <c r="G103" i="14" s="1"/>
  <c r="B114" i="8"/>
  <c r="Q186" i="8"/>
  <c r="R186" i="8"/>
  <c r="J186" i="8"/>
  <c r="H186" i="8"/>
  <c r="E186" i="8"/>
  <c r="F186" i="8"/>
  <c r="B425" i="8"/>
  <c r="B471" i="8" s="1"/>
  <c r="K186" i="8"/>
  <c r="G186" i="8"/>
  <c r="I186" i="8"/>
  <c r="B103" i="14"/>
  <c r="F102" i="1"/>
  <c r="F103" i="14" s="1"/>
  <c r="C67" i="1"/>
  <c r="B104" i="14"/>
  <c r="F103" i="1"/>
  <c r="F104" i="14" s="1"/>
  <c r="C68" i="1"/>
  <c r="B496" i="8"/>
  <c r="B323" i="14"/>
  <c r="L77" i="8"/>
  <c r="K77" i="8"/>
  <c r="L170" i="8"/>
  <c r="M203" i="3"/>
  <c r="E251" i="3"/>
  <c r="E252" i="3"/>
  <c r="E248" i="3"/>
  <c r="O121" i="3"/>
  <c r="O118" i="3"/>
  <c r="O119" i="3"/>
  <c r="O116" i="3"/>
  <c r="O120" i="3"/>
  <c r="O117" i="3"/>
  <c r="C308" i="3"/>
  <c r="E249" i="3"/>
  <c r="E250" i="3"/>
  <c r="H203" i="3"/>
  <c r="D405" i="11"/>
  <c r="G285" i="6"/>
  <c r="C403" i="8"/>
  <c r="C401" i="8"/>
  <c r="E400" i="8"/>
  <c r="F400" i="8"/>
  <c r="D399" i="8"/>
  <c r="C37" i="8"/>
  <c r="D402" i="8"/>
  <c r="E403" i="8"/>
  <c r="R284" i="8" s="1"/>
  <c r="F402" i="8"/>
  <c r="C400" i="8"/>
  <c r="D403" i="8"/>
  <c r="F401" i="8"/>
  <c r="F403" i="8"/>
  <c r="E402" i="8"/>
  <c r="R283" i="8" s="1"/>
  <c r="F399" i="8"/>
  <c r="E399" i="8"/>
  <c r="C399" i="8"/>
  <c r="C402" i="8"/>
  <c r="D400" i="8"/>
  <c r="Q281" i="8" s="1"/>
  <c r="D401" i="8"/>
  <c r="Q282" i="8" s="1"/>
  <c r="E401" i="8"/>
  <c r="D100" i="11"/>
  <c r="F100" i="11" s="1"/>
  <c r="G100" i="11" s="1"/>
  <c r="R505" i="8"/>
  <c r="R516" i="8" s="1"/>
  <c r="Q505" i="8"/>
  <c r="Q516" i="8" s="1"/>
  <c r="D505" i="8"/>
  <c r="I505" i="8"/>
  <c r="K505" i="8"/>
  <c r="J505" i="8"/>
  <c r="G505" i="8"/>
  <c r="B505" i="8"/>
  <c r="M505" i="8"/>
  <c r="L505" i="8"/>
  <c r="H505" i="8"/>
  <c r="O100" i="3"/>
  <c r="C306" i="3"/>
  <c r="E72" i="3"/>
  <c r="B72" i="3"/>
  <c r="C252" i="3" s="1"/>
  <c r="F72" i="3"/>
  <c r="P101" i="3" s="1"/>
  <c r="C72" i="3"/>
  <c r="D72" i="3"/>
  <c r="B65" i="11"/>
  <c r="B306" i="3"/>
  <c r="I256" i="3"/>
  <c r="I259" i="3"/>
  <c r="I255" i="3"/>
  <c r="I258" i="3"/>
  <c r="I257" i="3"/>
  <c r="E292" i="8"/>
  <c r="G292" i="8"/>
  <c r="F292" i="8"/>
  <c r="H292" i="8"/>
  <c r="B291" i="8"/>
  <c r="N171" i="8"/>
  <c r="C299" i="8"/>
  <c r="D299" i="8"/>
  <c r="F299" i="8"/>
  <c r="E299" i="8"/>
  <c r="N179" i="8"/>
  <c r="E258" i="8"/>
  <c r="F258" i="8"/>
  <c r="G284" i="6"/>
  <c r="D404" i="11"/>
  <c r="N182" i="3"/>
  <c r="N211" i="3" s="1"/>
  <c r="H220" i="3"/>
  <c r="B260" i="8"/>
  <c r="C268" i="8"/>
  <c r="D268" i="8"/>
  <c r="K307" i="8"/>
  <c r="L307" i="8"/>
  <c r="K265" i="8"/>
  <c r="L265" i="8"/>
  <c r="J265" i="8"/>
  <c r="M186" i="8"/>
  <c r="M314" i="8"/>
  <c r="N504" i="8"/>
  <c r="B312" i="8"/>
  <c r="B232" i="8"/>
  <c r="C312" i="8"/>
  <c r="V20" i="9"/>
  <c r="E15" i="9"/>
  <c r="J42" i="9"/>
  <c r="I105" i="9" s="1"/>
  <c r="C147" i="11"/>
  <c r="D237" i="11"/>
  <c r="D332" i="8"/>
  <c r="F231" i="8"/>
  <c r="H305" i="8"/>
  <c r="I305" i="8"/>
  <c r="F209" i="8"/>
  <c r="F211" i="8"/>
  <c r="F212" i="8"/>
  <c r="F208" i="8"/>
  <c r="F210" i="8"/>
  <c r="G281" i="8"/>
  <c r="I281" i="8"/>
  <c r="H281" i="8"/>
  <c r="H297" i="8"/>
  <c r="G297" i="8"/>
  <c r="J331" i="8"/>
  <c r="H504" i="8"/>
  <c r="H137" i="8"/>
  <c r="H136" i="8"/>
  <c r="N136" i="8" s="1"/>
  <c r="H140" i="8"/>
  <c r="H138" i="8"/>
  <c r="H139" i="8"/>
  <c r="H26" i="8"/>
  <c r="B21" i="3"/>
  <c r="N133" i="3"/>
  <c r="N135" i="3"/>
  <c r="E205" i="3"/>
  <c r="E104" i="9"/>
  <c r="E167" i="11"/>
  <c r="E119" i="9" s="1"/>
  <c r="D282" i="11"/>
  <c r="B307" i="8"/>
  <c r="E170" i="8"/>
  <c r="D323" i="8"/>
  <c r="E323" i="8"/>
  <c r="G323" i="8"/>
  <c r="N203" i="8"/>
  <c r="F323" i="8"/>
  <c r="D322" i="8"/>
  <c r="E322" i="8"/>
  <c r="N202" i="8"/>
  <c r="F322" i="8"/>
  <c r="G322" i="8"/>
  <c r="J281" i="8"/>
  <c r="C304" i="8"/>
  <c r="Q292" i="8"/>
  <c r="P230" i="8"/>
  <c r="M315" i="8"/>
  <c r="D93" i="1"/>
  <c r="D94" i="1" s="1"/>
  <c r="D80" i="14"/>
  <c r="D94" i="14" s="1"/>
  <c r="D95" i="14" s="1"/>
  <c r="E79" i="1"/>
  <c r="A35" i="11"/>
  <c r="D77" i="12" s="1"/>
  <c r="BH125" i="6"/>
  <c r="BD125" i="6"/>
  <c r="R250" i="8"/>
  <c r="R344" i="8" s="1"/>
  <c r="E464" i="8"/>
  <c r="K252" i="8"/>
  <c r="M252" i="8"/>
  <c r="J252" i="8"/>
  <c r="G224" i="8"/>
  <c r="G248" i="8"/>
  <c r="I106" i="5"/>
  <c r="C125" i="5"/>
  <c r="E95" i="5"/>
  <c r="F109" i="5"/>
  <c r="H100" i="5"/>
  <c r="H133" i="5" s="1"/>
  <c r="I117" i="5"/>
  <c r="E123" i="5"/>
  <c r="G102" i="5"/>
  <c r="D102" i="5"/>
  <c r="I113" i="5"/>
  <c r="E107" i="5"/>
  <c r="H125" i="5"/>
  <c r="I118" i="5"/>
  <c r="F111" i="5"/>
  <c r="H113" i="5"/>
  <c r="E101" i="5"/>
  <c r="F113" i="5"/>
  <c r="J102" i="5"/>
  <c r="G97" i="5"/>
  <c r="I98" i="5"/>
  <c r="J111" i="5"/>
  <c r="D97" i="5"/>
  <c r="C99" i="5"/>
  <c r="J110" i="5"/>
  <c r="C112" i="5"/>
  <c r="C102" i="5"/>
  <c r="H97" i="5"/>
  <c r="D119" i="5"/>
  <c r="D125" i="5"/>
  <c r="D107" i="5"/>
  <c r="E96" i="5"/>
  <c r="E113" i="5"/>
  <c r="I112" i="5"/>
  <c r="C118" i="5"/>
  <c r="J121" i="5"/>
  <c r="D117" i="5"/>
  <c r="H123" i="5"/>
  <c r="J117" i="5"/>
  <c r="I123" i="5"/>
  <c r="D111" i="5"/>
  <c r="B251" i="8"/>
  <c r="N131" i="8"/>
  <c r="AJ185" i="6"/>
  <c r="C292" i="11"/>
  <c r="H250" i="8"/>
  <c r="H224" i="8"/>
  <c r="H248" i="8"/>
  <c r="F249" i="8"/>
  <c r="D249" i="8"/>
  <c r="E249" i="8"/>
  <c r="C249" i="8"/>
  <c r="K179" i="5"/>
  <c r="D25" i="11" s="1"/>
  <c r="F243" i="11"/>
  <c r="D180" i="5"/>
  <c r="I307" i="8"/>
  <c r="I224" i="8"/>
  <c r="J248" i="8"/>
  <c r="I248" i="8"/>
  <c r="D58" i="3"/>
  <c r="G173" i="3"/>
  <c r="F172" i="3"/>
  <c r="F230" i="3"/>
  <c r="H230" i="3"/>
  <c r="K177" i="3"/>
  <c r="G230" i="3"/>
  <c r="H174" i="3"/>
  <c r="J176" i="3"/>
  <c r="I175" i="3"/>
  <c r="I210" i="3" s="1"/>
  <c r="I230" i="3"/>
  <c r="F295" i="3"/>
  <c r="O124" i="3"/>
  <c r="C309" i="3"/>
  <c r="E108" i="3"/>
  <c r="E202" i="3" s="1"/>
  <c r="J113" i="3"/>
  <c r="F109" i="3"/>
  <c r="F187" i="3" s="1"/>
  <c r="G225" i="11" s="1"/>
  <c r="G110" i="3"/>
  <c r="G188" i="3" s="1"/>
  <c r="H226" i="11" s="1"/>
  <c r="H111" i="3"/>
  <c r="I112" i="3"/>
  <c r="E222" i="3"/>
  <c r="E233" i="3" s="1"/>
  <c r="E42" i="3"/>
  <c r="E287" i="3"/>
  <c r="E298" i="3" s="1"/>
  <c r="F108" i="3"/>
  <c r="H110" i="3"/>
  <c r="G109" i="3"/>
  <c r="F222" i="3"/>
  <c r="I111" i="3"/>
  <c r="K113" i="3"/>
  <c r="J112" i="3"/>
  <c r="F287" i="3"/>
  <c r="P42" i="3"/>
  <c r="H63" i="12" s="1"/>
  <c r="G165" i="3"/>
  <c r="G209" i="3" s="1"/>
  <c r="F164" i="3"/>
  <c r="F209" i="3" s="1"/>
  <c r="H166" i="3"/>
  <c r="N166" i="3" s="1"/>
  <c r="K169" i="3"/>
  <c r="I167" i="3"/>
  <c r="N167" i="3" s="1"/>
  <c r="G229" i="3"/>
  <c r="F229" i="3"/>
  <c r="F294" i="3"/>
  <c r="J168" i="3"/>
  <c r="B16" i="9"/>
  <c r="B371" i="14"/>
  <c r="Q210" i="8"/>
  <c r="K210" i="8"/>
  <c r="J210" i="8"/>
  <c r="R210" i="8"/>
  <c r="L210" i="8"/>
  <c r="C210" i="8"/>
  <c r="D210" i="8"/>
  <c r="H210" i="8"/>
  <c r="I210" i="8"/>
  <c r="M210" i="8"/>
  <c r="B210" i="8"/>
  <c r="B449" i="8"/>
  <c r="B474" i="8" s="1"/>
  <c r="B111" i="14"/>
  <c r="F110" i="1"/>
  <c r="F111" i="14" s="1"/>
  <c r="L20" i="9"/>
  <c r="D20" i="9" s="1"/>
  <c r="L22" i="9"/>
  <c r="D22" i="9" s="1"/>
  <c r="D42" i="9" s="1"/>
  <c r="D14" i="9"/>
  <c r="P120" i="3"/>
  <c r="P116" i="3"/>
  <c r="P118" i="3"/>
  <c r="P121" i="3"/>
  <c r="P119" i="3"/>
  <c r="D308" i="3"/>
  <c r="P117" i="3"/>
  <c r="N223" i="3"/>
  <c r="N117" i="3"/>
  <c r="D203" i="3"/>
  <c r="E257" i="3"/>
  <c r="E258" i="3"/>
  <c r="E256" i="3"/>
  <c r="E259" i="3"/>
  <c r="E255" i="3"/>
  <c r="E260" i="3" s="1"/>
  <c r="D73" i="11"/>
  <c r="C19" i="3"/>
  <c r="D19" i="3" s="1"/>
  <c r="E19" i="3" s="1"/>
  <c r="N221" i="3"/>
  <c r="F201" i="3"/>
  <c r="D211" i="3"/>
  <c r="G281" i="6"/>
  <c r="D401" i="11"/>
  <c r="B288" i="8"/>
  <c r="C288" i="8"/>
  <c r="D288" i="8"/>
  <c r="B229" i="8"/>
  <c r="N168" i="8"/>
  <c r="C297" i="8"/>
  <c r="C230" i="8"/>
  <c r="D297" i="8"/>
  <c r="F297" i="8"/>
  <c r="E297" i="8"/>
  <c r="C14" i="3"/>
  <c r="D14" i="3" s="1"/>
  <c r="E14" i="3" s="1"/>
  <c r="E225" i="8"/>
  <c r="F256" i="8"/>
  <c r="E256" i="8"/>
  <c r="D384" i="11"/>
  <c r="G264" i="6"/>
  <c r="D65" i="11"/>
  <c r="C11" i="3"/>
  <c r="D11" i="3" s="1"/>
  <c r="E11" i="3" s="1"/>
  <c r="G220" i="3"/>
  <c r="J316" i="8"/>
  <c r="I316" i="8"/>
  <c r="K316" i="8"/>
  <c r="L232" i="8"/>
  <c r="D265" i="8"/>
  <c r="C265" i="8"/>
  <c r="M307" i="8"/>
  <c r="D66" i="11"/>
  <c r="C12" i="3"/>
  <c r="D12" i="3" s="1"/>
  <c r="E12" i="3" s="1"/>
  <c r="M313" i="8"/>
  <c r="E458" i="8"/>
  <c r="C44" i="8"/>
  <c r="F457" i="8"/>
  <c r="C459" i="8"/>
  <c r="E459" i="8"/>
  <c r="D456" i="8"/>
  <c r="C457" i="8"/>
  <c r="D457" i="8"/>
  <c r="Q338" i="8" s="1"/>
  <c r="C455" i="8"/>
  <c r="E457" i="8"/>
  <c r="D459" i="8"/>
  <c r="F455" i="8"/>
  <c r="E455" i="8"/>
  <c r="D458" i="8"/>
  <c r="D455" i="8"/>
  <c r="E456" i="8"/>
  <c r="R337" i="8" s="1"/>
  <c r="C456" i="8"/>
  <c r="F456" i="8"/>
  <c r="F458" i="8"/>
  <c r="C458" i="8"/>
  <c r="F459" i="8"/>
  <c r="B151" i="11"/>
  <c r="F151" i="11"/>
  <c r="J151" i="11"/>
  <c r="D151" i="11"/>
  <c r="I151" i="11"/>
  <c r="E151" i="11"/>
  <c r="H151" i="11"/>
  <c r="M151" i="11"/>
  <c r="K151" i="11"/>
  <c r="L151" i="11"/>
  <c r="C151" i="11"/>
  <c r="G151" i="11"/>
  <c r="I235" i="8"/>
  <c r="L336" i="8"/>
  <c r="D292" i="8"/>
  <c r="C292" i="8"/>
  <c r="D314" i="8"/>
  <c r="B314" i="8"/>
  <c r="C314" i="8"/>
  <c r="I180" i="8"/>
  <c r="I300" i="8" s="1"/>
  <c r="B297" i="8"/>
  <c r="N177" i="8"/>
  <c r="C246" i="3"/>
  <c r="J201" i="3"/>
  <c r="J186" i="3"/>
  <c r="I42" i="9"/>
  <c r="H105" i="9" s="1"/>
  <c r="C237" i="11"/>
  <c r="B147" i="11"/>
  <c r="P20" i="9"/>
  <c r="P22" i="9"/>
  <c r="AO77" i="9"/>
  <c r="AO78" i="9" s="1"/>
  <c r="E67" i="9"/>
  <c r="D69" i="9"/>
  <c r="D78" i="9" s="1"/>
  <c r="V77" i="9"/>
  <c r="V78" i="9" s="1"/>
  <c r="J77" i="9"/>
  <c r="J78" i="9" s="1"/>
  <c r="C70" i="9"/>
  <c r="B70" i="9"/>
  <c r="BT120" i="6"/>
  <c r="BP120" i="6"/>
  <c r="R298" i="8"/>
  <c r="R350" i="8" s="1"/>
  <c r="R230" i="8"/>
  <c r="D329" i="8"/>
  <c r="E25" i="8"/>
  <c r="B20" i="3"/>
  <c r="B70" i="14"/>
  <c r="C69" i="1"/>
  <c r="H308" i="8"/>
  <c r="I308" i="8"/>
  <c r="G210" i="8"/>
  <c r="H232" i="8"/>
  <c r="J312" i="8"/>
  <c r="B205" i="3"/>
  <c r="N132" i="3"/>
  <c r="N168" i="3"/>
  <c r="N150" i="3"/>
  <c r="G86" i="9"/>
  <c r="G95" i="9" s="1"/>
  <c r="G104" i="9" s="1"/>
  <c r="F95" i="9"/>
  <c r="F104" i="9" s="1"/>
  <c r="B308" i="8"/>
  <c r="H237" i="11"/>
  <c r="E288" i="8"/>
  <c r="E229" i="8"/>
  <c r="G288" i="8"/>
  <c r="F288" i="8"/>
  <c r="H288" i="8"/>
  <c r="E281" i="8"/>
  <c r="N281" i="8" s="1"/>
  <c r="F281" i="8"/>
  <c r="N161" i="8"/>
  <c r="D321" i="8"/>
  <c r="E321" i="8"/>
  <c r="F321" i="8"/>
  <c r="N201" i="8"/>
  <c r="G321" i="8"/>
  <c r="B353" i="8"/>
  <c r="N320" i="8"/>
  <c r="C305" i="8"/>
  <c r="R288" i="8"/>
  <c r="E469" i="8"/>
  <c r="O508" i="8"/>
  <c r="O170" i="8"/>
  <c r="O290" i="8" s="1"/>
  <c r="O168" i="8"/>
  <c r="O172" i="8"/>
  <c r="O292" i="8" s="1"/>
  <c r="O169" i="8"/>
  <c r="O289" i="8" s="1"/>
  <c r="D38" i="8"/>
  <c r="O171" i="8"/>
  <c r="O291" i="8" s="1"/>
  <c r="D298" i="3"/>
  <c r="D67" i="11"/>
  <c r="C13" i="3"/>
  <c r="D13" i="3" s="1"/>
  <c r="E13" i="3" s="1"/>
  <c r="K313" i="8"/>
  <c r="K352" i="8" s="1"/>
  <c r="C296" i="8"/>
  <c r="C163" i="11"/>
  <c r="C161" i="11"/>
  <c r="F252" i="8"/>
  <c r="E252" i="8"/>
  <c r="D252" i="8"/>
  <c r="D224" i="8"/>
  <c r="F248" i="8"/>
  <c r="F344" i="8" s="1"/>
  <c r="D248" i="8"/>
  <c r="E248" i="8"/>
  <c r="G252" i="8"/>
  <c r="H252" i="8"/>
  <c r="I252" i="8"/>
  <c r="E122" i="5"/>
  <c r="C100" i="5"/>
  <c r="D120" i="5"/>
  <c r="C98" i="5"/>
  <c r="I102" i="5"/>
  <c r="J125" i="5"/>
  <c r="G123" i="5"/>
  <c r="I124" i="5"/>
  <c r="D99" i="5"/>
  <c r="H117" i="5"/>
  <c r="I103" i="5"/>
  <c r="H99" i="5"/>
  <c r="E97" i="5"/>
  <c r="I122" i="5"/>
  <c r="H101" i="5"/>
  <c r="I120" i="5"/>
  <c r="H121" i="5"/>
  <c r="G100" i="5"/>
  <c r="E121" i="5"/>
  <c r="D96" i="5"/>
  <c r="G118" i="5"/>
  <c r="E99" i="5"/>
  <c r="G110" i="5"/>
  <c r="J100" i="5"/>
  <c r="C124" i="5"/>
  <c r="G114" i="5"/>
  <c r="D101" i="5"/>
  <c r="E112" i="5"/>
  <c r="G125" i="5"/>
  <c r="D100" i="5"/>
  <c r="F121" i="5"/>
  <c r="H96" i="5"/>
  <c r="D95" i="5"/>
  <c r="F100" i="5"/>
  <c r="D113" i="5"/>
  <c r="J107" i="5"/>
  <c r="F125" i="5"/>
  <c r="F103" i="5"/>
  <c r="E110" i="5"/>
  <c r="F107" i="5"/>
  <c r="X185" i="6"/>
  <c r="I246" i="11"/>
  <c r="B252" i="8"/>
  <c r="N132" i="8"/>
  <c r="B224" i="8"/>
  <c r="N128" i="8"/>
  <c r="B248" i="8"/>
  <c r="H249" i="8"/>
  <c r="C251" i="8"/>
  <c r="E250" i="8"/>
  <c r="D250" i="8"/>
  <c r="C250" i="8"/>
  <c r="AM192" i="6"/>
  <c r="AM191" i="6"/>
  <c r="AM188" i="6"/>
  <c r="AM227" i="6"/>
  <c r="AM187" i="6"/>
  <c r="AM229" i="6"/>
  <c r="AM212" i="6"/>
  <c r="AM230" i="6"/>
  <c r="AM198" i="6"/>
  <c r="AL186" i="6"/>
  <c r="AP184" i="6"/>
  <c r="AM185" i="6" s="1"/>
  <c r="AM228" i="6"/>
  <c r="AM225" i="6"/>
  <c r="AM208" i="6"/>
  <c r="AM238" i="6"/>
  <c r="AM205" i="6"/>
  <c r="AM186" i="6"/>
  <c r="AP186" i="6" s="1"/>
  <c r="AM190" i="6"/>
  <c r="AM209" i="6"/>
  <c r="AM203" i="6"/>
  <c r="AM224" i="6"/>
  <c r="AM234" i="6"/>
  <c r="AM215" i="6"/>
  <c r="AM237" i="6"/>
  <c r="AM213" i="6"/>
  <c r="AM210" i="6"/>
  <c r="AM222" i="6"/>
  <c r="AM239" i="6"/>
  <c r="AM196" i="6"/>
  <c r="AM201" i="6"/>
  <c r="AM236" i="6"/>
  <c r="AM216" i="6"/>
  <c r="AM245" i="6"/>
  <c r="AM194" i="6"/>
  <c r="AM226" i="6"/>
  <c r="AM231" i="6"/>
  <c r="AM189" i="6"/>
  <c r="AM232" i="6"/>
  <c r="AM197" i="6"/>
  <c r="AM214" i="6"/>
  <c r="AM200" i="6"/>
  <c r="AM221" i="6"/>
  <c r="AM243" i="6"/>
  <c r="AM211" i="6"/>
  <c r="AM219" i="6"/>
  <c r="AM199" i="6"/>
  <c r="AM218" i="6"/>
  <c r="AM195" i="6"/>
  <c r="AM233" i="6"/>
  <c r="AM202" i="6"/>
  <c r="AM235" i="6"/>
  <c r="AM242" i="6"/>
  <c r="AM244" i="6"/>
  <c r="AM223" i="6"/>
  <c r="AM220" i="6"/>
  <c r="AM240" i="6"/>
  <c r="AM241" i="6"/>
  <c r="AM204" i="6"/>
  <c r="AM193" i="6"/>
  <c r="AM206" i="6"/>
  <c r="AM217" i="6"/>
  <c r="AM207" i="6"/>
  <c r="H180" i="5"/>
  <c r="AD185" i="6"/>
  <c r="L246" i="11"/>
  <c r="E246" i="11"/>
  <c r="E247" i="11" s="1"/>
  <c r="R185" i="6"/>
  <c r="G258" i="8"/>
  <c r="I249" i="8"/>
  <c r="I250" i="8"/>
  <c r="C50" i="3"/>
  <c r="T42" i="3"/>
  <c r="H67" i="12" s="1"/>
  <c r="L244" i="3"/>
  <c r="L230" i="3"/>
  <c r="M230" i="3"/>
  <c r="M173" i="3"/>
  <c r="L245" i="3"/>
  <c r="L242" i="3"/>
  <c r="L295" i="3"/>
  <c r="L172" i="3"/>
  <c r="E124" i="3"/>
  <c r="E204" i="3" s="1"/>
  <c r="J129" i="3"/>
  <c r="J191" i="3" s="1"/>
  <c r="K229" i="11" s="1"/>
  <c r="F125" i="3"/>
  <c r="G126" i="3"/>
  <c r="H127" i="3"/>
  <c r="E224" i="3"/>
  <c r="I128" i="3"/>
  <c r="I190" i="3" s="1"/>
  <c r="J228" i="11" s="1"/>
  <c r="E289" i="3"/>
  <c r="I127" i="3"/>
  <c r="F124" i="3"/>
  <c r="H126" i="3"/>
  <c r="J128" i="3"/>
  <c r="K129" i="3"/>
  <c r="G125" i="3"/>
  <c r="F224" i="3"/>
  <c r="G224" i="3"/>
  <c r="F289" i="3"/>
  <c r="C60" i="3"/>
  <c r="D60" i="3"/>
  <c r="M174" i="3"/>
  <c r="L173" i="3"/>
  <c r="L243" i="3"/>
  <c r="K172" i="3"/>
  <c r="K210" i="3" s="1"/>
  <c r="K230" i="3"/>
  <c r="K295" i="3"/>
  <c r="E174" i="3"/>
  <c r="F175" i="3"/>
  <c r="N175" i="3" s="1"/>
  <c r="C172" i="3"/>
  <c r="C230" i="3"/>
  <c r="B60" i="3"/>
  <c r="D230" i="3"/>
  <c r="D173" i="3"/>
  <c r="H177" i="3"/>
  <c r="N177" i="3" s="1"/>
  <c r="G176" i="3"/>
  <c r="N176" i="3" s="1"/>
  <c r="C295" i="3"/>
  <c r="C298" i="3" s="1"/>
  <c r="E230" i="3"/>
  <c r="M128" i="3"/>
  <c r="I224" i="3"/>
  <c r="I124" i="3"/>
  <c r="I204" i="3" s="1"/>
  <c r="J125" i="3"/>
  <c r="L127" i="3"/>
  <c r="F245" i="3"/>
  <c r="K126" i="3"/>
  <c r="I289" i="3"/>
  <c r="I125" i="3"/>
  <c r="H224" i="3"/>
  <c r="H124" i="3"/>
  <c r="H204" i="3" s="1"/>
  <c r="K127" i="3"/>
  <c r="L128" i="3"/>
  <c r="J126" i="3"/>
  <c r="M129" i="3"/>
  <c r="H289" i="3"/>
  <c r="D54" i="3"/>
  <c r="C125" i="3"/>
  <c r="D126" i="3"/>
  <c r="G129" i="3"/>
  <c r="B224" i="3"/>
  <c r="E127" i="3"/>
  <c r="F128" i="3"/>
  <c r="B54" i="3"/>
  <c r="B124" i="3"/>
  <c r="B42" i="3"/>
  <c r="B289" i="3"/>
  <c r="B298" i="3" s="1"/>
  <c r="G222" i="3"/>
  <c r="H109" i="3"/>
  <c r="L113" i="3"/>
  <c r="L191" i="3" s="1"/>
  <c r="M229" i="11" s="1"/>
  <c r="G108" i="3"/>
  <c r="G202" i="3" s="1"/>
  <c r="K112" i="3"/>
  <c r="K190" i="3" s="1"/>
  <c r="L228" i="11" s="1"/>
  <c r="J111" i="3"/>
  <c r="J189" i="3" s="1"/>
  <c r="K227" i="11" s="1"/>
  <c r="I110" i="3"/>
  <c r="I188" i="3" s="1"/>
  <c r="J226" i="11" s="1"/>
  <c r="G42" i="3"/>
  <c r="G287" i="3"/>
  <c r="AJ42" i="3"/>
  <c r="H83" i="12" s="1"/>
  <c r="M112" i="3"/>
  <c r="I108" i="3"/>
  <c r="I202" i="3" s="1"/>
  <c r="J109" i="3"/>
  <c r="K110" i="3"/>
  <c r="L111" i="3"/>
  <c r="D245" i="3"/>
  <c r="I222" i="3"/>
  <c r="I287" i="3"/>
  <c r="H108" i="3"/>
  <c r="K111" i="3"/>
  <c r="K189" i="3" s="1"/>
  <c r="L227" i="11" s="1"/>
  <c r="L112" i="3"/>
  <c r="H222" i="3"/>
  <c r="J110" i="3"/>
  <c r="J188" i="3" s="1"/>
  <c r="K226" i="11" s="1"/>
  <c r="M113" i="3"/>
  <c r="M191" i="3" s="1"/>
  <c r="N229" i="11" s="1"/>
  <c r="I109" i="3"/>
  <c r="H42" i="3"/>
  <c r="H287" i="3"/>
  <c r="H298" i="3" s="1"/>
  <c r="R42" i="3"/>
  <c r="H65" i="12" s="1"/>
  <c r="D52" i="3"/>
  <c r="AL42" i="3"/>
  <c r="H85" i="12" s="1"/>
  <c r="M166" i="3"/>
  <c r="L165" i="3"/>
  <c r="K164" i="3"/>
  <c r="K209" i="3" s="1"/>
  <c r="K229" i="3"/>
  <c r="K294" i="3"/>
  <c r="K298" i="3" s="1"/>
  <c r="B110" i="8"/>
  <c r="R155" i="8"/>
  <c r="Q155" i="8"/>
  <c r="H155" i="8"/>
  <c r="D155" i="8"/>
  <c r="M155" i="8"/>
  <c r="I155" i="8"/>
  <c r="E155" i="8"/>
  <c r="E227" i="8" s="1"/>
  <c r="F155" i="8"/>
  <c r="K155" i="8"/>
  <c r="G155" i="8"/>
  <c r="C155" i="8"/>
  <c r="J155" i="8"/>
  <c r="B155" i="8"/>
  <c r="D232" i="8"/>
  <c r="D312" i="8"/>
  <c r="D352" i="8" s="1"/>
  <c r="D170" i="8"/>
  <c r="G246" i="3"/>
  <c r="O135" i="3"/>
  <c r="O205" i="3" s="1"/>
  <c r="O225" i="3" s="1"/>
  <c r="N184" i="3"/>
  <c r="B322" i="14"/>
  <c r="B495" i="8"/>
  <c r="M77" i="8"/>
  <c r="G190" i="3"/>
  <c r="H228" i="11" s="1"/>
  <c r="N104" i="3"/>
  <c r="Z85" i="8"/>
  <c r="E203" i="3"/>
  <c r="N227" i="3"/>
  <c r="N119" i="3"/>
  <c r="H201" i="3"/>
  <c r="M77" i="9"/>
  <c r="M78" i="9" s="1"/>
  <c r="B67" i="9"/>
  <c r="B78" i="9" s="1"/>
  <c r="C67" i="9"/>
  <c r="Q512" i="8"/>
  <c r="D107" i="11"/>
  <c r="F107" i="11" s="1"/>
  <c r="G107" i="11" s="1"/>
  <c r="E512" i="8"/>
  <c r="K512" i="8"/>
  <c r="L512" i="8"/>
  <c r="G512" i="8"/>
  <c r="H512" i="8"/>
  <c r="B512" i="8"/>
  <c r="I512" i="8"/>
  <c r="J512" i="8"/>
  <c r="C512" i="8"/>
  <c r="M512" i="8"/>
  <c r="F512" i="8"/>
  <c r="E201" i="3"/>
  <c r="N100" i="3"/>
  <c r="N201" i="3" s="1"/>
  <c r="I201" i="3"/>
  <c r="C439" i="8"/>
  <c r="C441" i="8"/>
  <c r="E441" i="8"/>
  <c r="R322" i="8" s="1"/>
  <c r="C443" i="8"/>
  <c r="E442" i="8"/>
  <c r="F439" i="8"/>
  <c r="C440" i="8"/>
  <c r="E439" i="8"/>
  <c r="D442" i="8"/>
  <c r="Q323" i="8" s="1"/>
  <c r="F441" i="8"/>
  <c r="D443" i="8"/>
  <c r="C442" i="8"/>
  <c r="C42" i="8"/>
  <c r="E440" i="8"/>
  <c r="E443" i="8"/>
  <c r="R324" i="8" s="1"/>
  <c r="D439" i="8"/>
  <c r="F442" i="8"/>
  <c r="D441" i="8"/>
  <c r="F440" i="8"/>
  <c r="F443" i="8"/>
  <c r="D440" i="8"/>
  <c r="Q321" i="8" s="1"/>
  <c r="B292" i="8"/>
  <c r="N292" i="8" s="1"/>
  <c r="N172" i="8"/>
  <c r="B289" i="8"/>
  <c r="C289" i="8"/>
  <c r="D289" i="8"/>
  <c r="N169" i="8"/>
  <c r="D72" i="1"/>
  <c r="D73" i="14" s="1"/>
  <c r="C73" i="14"/>
  <c r="G274" i="6"/>
  <c r="D394" i="11"/>
  <c r="D319" i="6"/>
  <c r="G22" i="9"/>
  <c r="F42" i="9"/>
  <c r="D378" i="8"/>
  <c r="E379" i="8"/>
  <c r="C377" i="8"/>
  <c r="D377" i="8"/>
  <c r="C375" i="8"/>
  <c r="C378" i="8"/>
  <c r="C376" i="8"/>
  <c r="E375" i="8"/>
  <c r="F375" i="8"/>
  <c r="D375" i="8"/>
  <c r="C34" i="8"/>
  <c r="F376" i="8"/>
  <c r="D379" i="8"/>
  <c r="E377" i="8"/>
  <c r="F378" i="8"/>
  <c r="E378" i="8"/>
  <c r="R259" i="8" s="1"/>
  <c r="C379" i="8"/>
  <c r="F379" i="8"/>
  <c r="D376" i="8"/>
  <c r="F377" i="8"/>
  <c r="E376" i="8"/>
  <c r="H187" i="3"/>
  <c r="I225" i="11" s="1"/>
  <c r="H200" i="3"/>
  <c r="C71" i="14"/>
  <c r="D70" i="1"/>
  <c r="D71" i="14" s="1"/>
  <c r="M187" i="3"/>
  <c r="N225" i="11" s="1"/>
  <c r="L352" i="8"/>
  <c r="H274" i="8"/>
  <c r="F274" i="8"/>
  <c r="G274" i="8"/>
  <c r="E274" i="8"/>
  <c r="N154" i="8"/>
  <c r="L308" i="8"/>
  <c r="K308" i="8"/>
  <c r="G263" i="6"/>
  <c r="C319" i="6"/>
  <c r="D383" i="11"/>
  <c r="K267" i="8"/>
  <c r="J267" i="8"/>
  <c r="E147" i="8"/>
  <c r="E145" i="8"/>
  <c r="E265" i="8" s="1"/>
  <c r="E148" i="8"/>
  <c r="E268" i="8" s="1"/>
  <c r="E505" i="8"/>
  <c r="E146" i="8"/>
  <c r="E144" i="8"/>
  <c r="M232" i="8"/>
  <c r="M312" i="8"/>
  <c r="M352" i="8" s="1"/>
  <c r="E514" i="8"/>
  <c r="E219" i="8"/>
  <c r="E220" i="8"/>
  <c r="E218" i="8"/>
  <c r="G338" i="8" s="1"/>
  <c r="E217" i="8"/>
  <c r="E216" i="8"/>
  <c r="B295" i="11"/>
  <c r="L337" i="8"/>
  <c r="C291" i="8"/>
  <c r="D291" i="8"/>
  <c r="F291" i="8"/>
  <c r="C226" i="8"/>
  <c r="C264" i="8"/>
  <c r="D264" i="8"/>
  <c r="D346" i="8" s="1"/>
  <c r="D19" i="9"/>
  <c r="S20" i="9"/>
  <c r="S22" i="9"/>
  <c r="T22" i="9"/>
  <c r="T20" i="9"/>
  <c r="E72" i="9"/>
  <c r="AI77" i="9"/>
  <c r="AI78" i="9" s="1"/>
  <c r="D361" i="14"/>
  <c r="D71" i="9"/>
  <c r="W77" i="9"/>
  <c r="W78" i="9" s="1"/>
  <c r="N77" i="9"/>
  <c r="N78" i="9" s="1"/>
  <c r="C71" i="9"/>
  <c r="B71" i="9"/>
  <c r="C357" i="14"/>
  <c r="B357" i="14" s="1"/>
  <c r="B113" i="8"/>
  <c r="B18" i="3"/>
  <c r="E23" i="8"/>
  <c r="B41" i="8"/>
  <c r="C66" i="1"/>
  <c r="B67" i="14"/>
  <c r="G228" i="8"/>
  <c r="J280" i="8"/>
  <c r="J348" i="8" s="1"/>
  <c r="I280" i="8"/>
  <c r="I348" i="8" s="1"/>
  <c r="G280" i="8"/>
  <c r="G348" i="8" s="1"/>
  <c r="H280" i="8"/>
  <c r="H348" i="8" s="1"/>
  <c r="H296" i="8"/>
  <c r="G230" i="8"/>
  <c r="G296" i="8"/>
  <c r="G350" i="8" s="1"/>
  <c r="J332" i="8"/>
  <c r="I332" i="8"/>
  <c r="C75" i="1"/>
  <c r="B76" i="14"/>
  <c r="B20" i="9"/>
  <c r="N225" i="3"/>
  <c r="N169" i="3"/>
  <c r="B186" i="8"/>
  <c r="B231" i="8" s="1"/>
  <c r="G147" i="11"/>
  <c r="E228" i="8"/>
  <c r="E280" i="8"/>
  <c r="F280" i="8"/>
  <c r="F348" i="8" s="1"/>
  <c r="N160" i="8"/>
  <c r="N228" i="8" s="1"/>
  <c r="E324" i="8"/>
  <c r="E353" i="8" s="1"/>
  <c r="D324" i="8"/>
  <c r="G324" i="8"/>
  <c r="N204" i="8"/>
  <c r="F324" i="8"/>
  <c r="I230" i="8"/>
  <c r="E291" i="8"/>
  <c r="C307" i="8"/>
  <c r="C186" i="8"/>
  <c r="C306" i="8" s="1"/>
  <c r="C469" i="8"/>
  <c r="D469" i="8"/>
  <c r="Q288" i="8"/>
  <c r="I226" i="8"/>
  <c r="L155" i="8"/>
  <c r="L152" i="8"/>
  <c r="L506" i="8"/>
  <c r="N506" i="8" s="1"/>
  <c r="B392" i="8"/>
  <c r="B393" i="8"/>
  <c r="B391" i="8"/>
  <c r="L156" i="8"/>
  <c r="L153" i="8"/>
  <c r="B395" i="8"/>
  <c r="B394" i="8"/>
  <c r="L154" i="8"/>
  <c r="J313" i="8"/>
  <c r="J298" i="3"/>
  <c r="G298" i="3"/>
  <c r="N134" i="3"/>
  <c r="L268" i="8"/>
  <c r="M250" i="8"/>
  <c r="K250" i="8"/>
  <c r="L250" i="8"/>
  <c r="L267" i="8"/>
  <c r="BJ128" i="6"/>
  <c r="BN128" i="6"/>
  <c r="C10" i="3"/>
  <c r="D10" i="3" s="1"/>
  <c r="E10" i="3" s="1"/>
  <c r="D64" i="11"/>
  <c r="L249" i="8"/>
  <c r="K249" i="8"/>
  <c r="J249" i="8"/>
  <c r="J224" i="8"/>
  <c r="H107" i="5"/>
  <c r="F119" i="5"/>
  <c r="G103" i="5"/>
  <c r="D98" i="5"/>
  <c r="J114" i="5"/>
  <c r="C111" i="5"/>
  <c r="H98" i="5"/>
  <c r="I99" i="5"/>
  <c r="G113" i="5"/>
  <c r="F106" i="5"/>
  <c r="H119" i="5"/>
  <c r="I125" i="5"/>
  <c r="H110" i="5"/>
  <c r="H106" i="5"/>
  <c r="D121" i="5"/>
  <c r="I110" i="5"/>
  <c r="I107" i="5"/>
  <c r="D123" i="5"/>
  <c r="G98" i="5"/>
  <c r="F99" i="5"/>
  <c r="E100" i="5"/>
  <c r="G101" i="5"/>
  <c r="C123" i="5"/>
  <c r="D108" i="5"/>
  <c r="J113" i="5"/>
  <c r="E125" i="5"/>
  <c r="C97" i="5"/>
  <c r="G107" i="5"/>
  <c r="J109" i="5"/>
  <c r="F112" i="5"/>
  <c r="C96" i="5"/>
  <c r="J118" i="5"/>
  <c r="G109" i="5"/>
  <c r="D109" i="5"/>
  <c r="I111" i="5"/>
  <c r="I96" i="5"/>
  <c r="G95" i="5"/>
  <c r="C120" i="5"/>
  <c r="I95" i="5"/>
  <c r="C101" i="5"/>
  <c r="F123" i="5"/>
  <c r="M249" i="8"/>
  <c r="B250" i="8"/>
  <c r="N250" i="8" s="1"/>
  <c r="N130" i="8"/>
  <c r="B249" i="8"/>
  <c r="N129" i="8"/>
  <c r="D46" i="12"/>
  <c r="C46" i="12"/>
  <c r="F46" i="12"/>
  <c r="B46" i="12"/>
  <c r="A46" i="12"/>
  <c r="L251" i="8"/>
  <c r="C248" i="8"/>
  <c r="C224" i="8"/>
  <c r="C252" i="8"/>
  <c r="E319" i="6"/>
  <c r="B246" i="11"/>
  <c r="B292" i="11" s="1"/>
  <c r="K178" i="5"/>
  <c r="L185" i="6"/>
  <c r="D292" i="11"/>
  <c r="AV185" i="6"/>
  <c r="C289" i="11"/>
  <c r="G180" i="5"/>
  <c r="C200" i="5" s="1"/>
  <c r="L243" i="11"/>
  <c r="F180" i="5"/>
  <c r="U125" i="5" l="1"/>
  <c r="V112" i="5"/>
  <c r="U122" i="5"/>
  <c r="V120" i="5"/>
  <c r="V123" i="5"/>
  <c r="V111" i="5"/>
  <c r="H131" i="5"/>
  <c r="H148" i="5" s="1"/>
  <c r="U120" i="5"/>
  <c r="U123" i="5"/>
  <c r="U109" i="5"/>
  <c r="E130" i="5"/>
  <c r="E147" i="5" s="1"/>
  <c r="V108" i="5"/>
  <c r="V125" i="5"/>
  <c r="J133" i="5"/>
  <c r="J150" i="5" s="1"/>
  <c r="D129" i="5"/>
  <c r="D146" i="5" s="1"/>
  <c r="H134" i="5"/>
  <c r="E129" i="5"/>
  <c r="E146" i="5" s="1"/>
  <c r="V122" i="5"/>
  <c r="E133" i="5"/>
  <c r="E150" i="5" s="1"/>
  <c r="V107" i="5"/>
  <c r="U113" i="5"/>
  <c r="U118" i="5"/>
  <c r="U111" i="5"/>
  <c r="U124" i="5"/>
  <c r="U107" i="5"/>
  <c r="F132" i="5"/>
  <c r="F149" i="5" s="1"/>
  <c r="V110" i="5"/>
  <c r="V124" i="5"/>
  <c r="H115" i="5"/>
  <c r="AP118" i="6" s="1"/>
  <c r="AM163" i="6" s="1"/>
  <c r="F136" i="5"/>
  <c r="F153" i="5" s="1"/>
  <c r="F133" i="5"/>
  <c r="F150" i="5" s="1"/>
  <c r="D133" i="5"/>
  <c r="D150" i="5" s="1"/>
  <c r="U114" i="5"/>
  <c r="E132" i="5"/>
  <c r="E149" i="5" s="1"/>
  <c r="E131" i="5"/>
  <c r="E148" i="5" s="1"/>
  <c r="J130" i="5"/>
  <c r="J147" i="5" s="1"/>
  <c r="L233" i="11"/>
  <c r="K148" i="11"/>
  <c r="AP187" i="6"/>
  <c r="AL187" i="6"/>
  <c r="D103" i="9"/>
  <c r="C281" i="11"/>
  <c r="D165" i="11"/>
  <c r="B148" i="11"/>
  <c r="C233" i="11"/>
  <c r="C148" i="11"/>
  <c r="D233" i="11"/>
  <c r="H148" i="11"/>
  <c r="I233" i="11"/>
  <c r="C105" i="9"/>
  <c r="C86" i="11" s="1"/>
  <c r="D40" i="12" s="1"/>
  <c r="C171" i="11"/>
  <c r="B8" i="15" s="1"/>
  <c r="E148" i="11"/>
  <c r="F233" i="11"/>
  <c r="C25" i="11"/>
  <c r="C346" i="11"/>
  <c r="C209" i="12" s="1"/>
  <c r="T101" i="5"/>
  <c r="K101" i="5"/>
  <c r="C134" i="5"/>
  <c r="C344" i="8"/>
  <c r="I104" i="5"/>
  <c r="I128" i="5"/>
  <c r="I145" i="5" s="1"/>
  <c r="V95" i="5"/>
  <c r="C129" i="5"/>
  <c r="K96" i="5"/>
  <c r="T96" i="5"/>
  <c r="K97" i="5"/>
  <c r="S97" i="5" s="1"/>
  <c r="C130" i="5"/>
  <c r="T97" i="5"/>
  <c r="K123" i="5"/>
  <c r="S123" i="5" s="1"/>
  <c r="T123" i="5"/>
  <c r="G131" i="5"/>
  <c r="U98" i="5"/>
  <c r="U103" i="5"/>
  <c r="G136" i="5"/>
  <c r="F10" i="3"/>
  <c r="F50" i="3" s="1"/>
  <c r="E50" i="3"/>
  <c r="L275" i="8"/>
  <c r="N324" i="8"/>
  <c r="E348" i="8"/>
  <c r="N280" i="8"/>
  <c r="C67" i="14"/>
  <c r="D66" i="1"/>
  <c r="D67" i="14" s="1"/>
  <c r="X58" i="8"/>
  <c r="W56" i="8"/>
  <c r="Z59" i="8"/>
  <c r="Y58" i="8"/>
  <c r="Z57" i="8"/>
  <c r="Z56" i="8"/>
  <c r="X57" i="8"/>
  <c r="X59" i="8"/>
  <c r="W59" i="8"/>
  <c r="X55" i="8"/>
  <c r="X61" i="8" s="1"/>
  <c r="X56" i="8"/>
  <c r="Y57" i="8"/>
  <c r="Z58" i="8"/>
  <c r="W55" i="8"/>
  <c r="W61" i="8" s="1"/>
  <c r="Y55" i="8"/>
  <c r="W58" i="8"/>
  <c r="Y59" i="8"/>
  <c r="C104" i="11"/>
  <c r="F104" i="11" s="1"/>
  <c r="G104" i="11" s="1"/>
  <c r="Y56" i="8"/>
  <c r="W57" i="8"/>
  <c r="Z55" i="8"/>
  <c r="I235" i="11"/>
  <c r="N103" i="9"/>
  <c r="M237" i="11"/>
  <c r="L147" i="11"/>
  <c r="S42" i="9"/>
  <c r="R105" i="9" s="1"/>
  <c r="C346" i="8"/>
  <c r="F340" i="8"/>
  <c r="E340" i="8"/>
  <c r="Q257" i="8"/>
  <c r="O140" i="8"/>
  <c r="O260" i="8" s="1"/>
  <c r="O136" i="8"/>
  <c r="O137" i="8"/>
  <c r="O257" i="8" s="1"/>
  <c r="D34" i="8"/>
  <c r="O139" i="8"/>
  <c r="O259" i="8" s="1"/>
  <c r="O504" i="8"/>
  <c r="O138" i="8"/>
  <c r="O258" i="8" s="1"/>
  <c r="H22" i="9"/>
  <c r="H42" i="9" s="1"/>
  <c r="G105" i="9" s="1"/>
  <c r="G42" i="9"/>
  <c r="F105" i="9" s="1"/>
  <c r="Q322" i="8"/>
  <c r="R321" i="8"/>
  <c r="F473" i="8"/>
  <c r="E186" i="3"/>
  <c r="N512" i="8"/>
  <c r="C78" i="9"/>
  <c r="Q513" i="8"/>
  <c r="D108" i="11"/>
  <c r="F108" i="11" s="1"/>
  <c r="G108" i="11" s="1"/>
  <c r="C513" i="8"/>
  <c r="H513" i="8"/>
  <c r="J513" i="8"/>
  <c r="L513" i="8"/>
  <c r="K513" i="8"/>
  <c r="G513" i="8"/>
  <c r="I513" i="8"/>
  <c r="B513" i="8"/>
  <c r="M513" i="8"/>
  <c r="D513" i="8"/>
  <c r="B275" i="8"/>
  <c r="B227" i="8"/>
  <c r="N155" i="8"/>
  <c r="K275" i="8"/>
  <c r="K347" i="8" s="1"/>
  <c r="K227" i="8"/>
  <c r="M227" i="8"/>
  <c r="M275" i="8"/>
  <c r="R275" i="8"/>
  <c r="R227" i="8"/>
  <c r="P108" i="3"/>
  <c r="D307" i="3"/>
  <c r="I187" i="3"/>
  <c r="J225" i="11" s="1"/>
  <c r="L190" i="3"/>
  <c r="M228" i="11" s="1"/>
  <c r="F75" i="3"/>
  <c r="E75" i="3"/>
  <c r="B75" i="3"/>
  <c r="B68" i="11"/>
  <c r="D75" i="3"/>
  <c r="C75" i="3"/>
  <c r="B309" i="3"/>
  <c r="N129" i="3"/>
  <c r="G191" i="3"/>
  <c r="H229" i="11" s="1"/>
  <c r="D210" i="3"/>
  <c r="N173" i="3"/>
  <c r="N172" i="3"/>
  <c r="C210" i="3"/>
  <c r="L210" i="3"/>
  <c r="M210" i="3"/>
  <c r="B344" i="8"/>
  <c r="N248" i="8"/>
  <c r="N252" i="8"/>
  <c r="D134" i="5"/>
  <c r="U110" i="5"/>
  <c r="I136" i="5"/>
  <c r="V103" i="5"/>
  <c r="D344" i="8"/>
  <c r="D161" i="11"/>
  <c r="C318" i="11"/>
  <c r="D163" i="11"/>
  <c r="D148" i="11"/>
  <c r="E233" i="11"/>
  <c r="F353" i="8"/>
  <c r="E209" i="8"/>
  <c r="E212" i="8"/>
  <c r="E211" i="8"/>
  <c r="G331" i="8" s="1"/>
  <c r="E210" i="8"/>
  <c r="E330" i="8" s="1"/>
  <c r="E513" i="8"/>
  <c r="E208" i="8"/>
  <c r="E78" i="9"/>
  <c r="K224" i="11"/>
  <c r="N297" i="8"/>
  <c r="F475" i="8"/>
  <c r="G233" i="3"/>
  <c r="F14" i="3"/>
  <c r="F54" i="3" s="1"/>
  <c r="E54" i="3"/>
  <c r="P203" i="3"/>
  <c r="P223" i="3" s="1"/>
  <c r="B330" i="8"/>
  <c r="B234" i="8"/>
  <c r="D330" i="8"/>
  <c r="J234" i="8"/>
  <c r="J330" i="8"/>
  <c r="H53" i="12"/>
  <c r="B36" i="11"/>
  <c r="E144" i="11"/>
  <c r="H210" i="3"/>
  <c r="I344" i="8"/>
  <c r="H344" i="8"/>
  <c r="AG227" i="6"/>
  <c r="AG215" i="6"/>
  <c r="AG203" i="6"/>
  <c r="AG200" i="6"/>
  <c r="AG217" i="6"/>
  <c r="AG189" i="6"/>
  <c r="AG206" i="6"/>
  <c r="AG244" i="6"/>
  <c r="AG209" i="6"/>
  <c r="AG230" i="6"/>
  <c r="AG221" i="6"/>
  <c r="AG186" i="6"/>
  <c r="AG243" i="6"/>
  <c r="AG192" i="6"/>
  <c r="AG211" i="6"/>
  <c r="AG193" i="6"/>
  <c r="AG196" i="6"/>
  <c r="AG239" i="6"/>
  <c r="AG231" i="6"/>
  <c r="AG236" i="6"/>
  <c r="AG233" i="6"/>
  <c r="AG207" i="6"/>
  <c r="AG187" i="6"/>
  <c r="AG194" i="6"/>
  <c r="AG225" i="6"/>
  <c r="AG222" i="6"/>
  <c r="AG241" i="6"/>
  <c r="AJ186" i="6"/>
  <c r="AG213" i="6"/>
  <c r="AG232" i="6"/>
  <c r="AG210" i="6"/>
  <c r="AG242" i="6"/>
  <c r="AG198" i="6"/>
  <c r="AG208" i="6"/>
  <c r="AG226" i="6"/>
  <c r="AG216" i="6"/>
  <c r="AG205" i="6"/>
  <c r="AG199" i="6"/>
  <c r="AG218" i="6"/>
  <c r="AG237" i="6"/>
  <c r="AG220" i="6"/>
  <c r="AG197" i="6"/>
  <c r="AG238" i="6"/>
  <c r="AG191" i="6"/>
  <c r="AG188" i="6"/>
  <c r="AG224" i="6"/>
  <c r="AG234" i="6"/>
  <c r="AG223" i="6"/>
  <c r="AG195" i="6"/>
  <c r="AG204" i="6"/>
  <c r="AG212" i="6"/>
  <c r="AG214" i="6"/>
  <c r="AG245" i="6"/>
  <c r="AF186" i="6"/>
  <c r="AG202" i="6"/>
  <c r="AG219" i="6"/>
  <c r="AJ184" i="6"/>
  <c r="AG185" i="6" s="1"/>
  <c r="AG229" i="6"/>
  <c r="AG201" i="6"/>
  <c r="AG190" i="6"/>
  <c r="AG240" i="6"/>
  <c r="AG228" i="6"/>
  <c r="AG235" i="6"/>
  <c r="H130" i="5"/>
  <c r="K99" i="5"/>
  <c r="S99" i="5" s="1"/>
  <c r="T99" i="5"/>
  <c r="C132" i="5"/>
  <c r="U97" i="5"/>
  <c r="G130" i="5"/>
  <c r="E104" i="5"/>
  <c r="E128" i="5"/>
  <c r="E145" i="5" s="1"/>
  <c r="G344" i="8"/>
  <c r="A36" i="11"/>
  <c r="D78" i="12" s="1"/>
  <c r="E80" i="14"/>
  <c r="E94" i="14" s="1"/>
  <c r="E95" i="14" s="1"/>
  <c r="F79" i="1"/>
  <c r="E93" i="1"/>
  <c r="E94" i="1" s="1"/>
  <c r="F119" i="9"/>
  <c r="H119" i="9"/>
  <c r="G119" i="9"/>
  <c r="N165" i="3"/>
  <c r="C21" i="3"/>
  <c r="D21" i="3" s="1"/>
  <c r="E21" i="3" s="1"/>
  <c r="D75" i="11"/>
  <c r="K258" i="8"/>
  <c r="I258" i="8"/>
  <c r="H258" i="8"/>
  <c r="J258" i="8"/>
  <c r="F332" i="8"/>
  <c r="B352" i="8"/>
  <c r="M306" i="8"/>
  <c r="M351" i="8" s="1"/>
  <c r="M231" i="8"/>
  <c r="K346" i="8"/>
  <c r="H233" i="3"/>
  <c r="C249" i="3"/>
  <c r="C250" i="3"/>
  <c r="F468" i="8"/>
  <c r="Q284" i="8"/>
  <c r="Q283" i="8"/>
  <c r="R281" i="8"/>
  <c r="C69" i="14"/>
  <c r="D68" i="1"/>
  <c r="D69" i="14" s="1"/>
  <c r="K306" i="8"/>
  <c r="K351" i="8" s="1"/>
  <c r="K231" i="8"/>
  <c r="H231" i="8"/>
  <c r="H306" i="8"/>
  <c r="Y63" i="8"/>
  <c r="X65" i="8"/>
  <c r="W66" i="8"/>
  <c r="W64" i="8"/>
  <c r="W67" i="8"/>
  <c r="C105" i="11"/>
  <c r="F105" i="11" s="1"/>
  <c r="G105" i="11" s="1"/>
  <c r="Y66" i="8"/>
  <c r="X64" i="8"/>
  <c r="Y67" i="8"/>
  <c r="Z67" i="8"/>
  <c r="Y65" i="8"/>
  <c r="Z64" i="8"/>
  <c r="X67" i="8"/>
  <c r="X63" i="8"/>
  <c r="W65" i="8"/>
  <c r="Z65" i="8"/>
  <c r="W63" i="8"/>
  <c r="W69" i="8" s="1"/>
  <c r="Y64" i="8"/>
  <c r="X66" i="8"/>
  <c r="Z63" i="8"/>
  <c r="Z66" i="8"/>
  <c r="E20" i="9"/>
  <c r="E22" i="9" s="1"/>
  <c r="E42" i="9" s="1"/>
  <c r="J209" i="3"/>
  <c r="L202" i="3"/>
  <c r="L187" i="3"/>
  <c r="M225" i="11" s="1"/>
  <c r="F188" i="3"/>
  <c r="G226" i="11" s="1"/>
  <c r="D202" i="3"/>
  <c r="D186" i="3"/>
  <c r="K233" i="3"/>
  <c r="I200" i="3"/>
  <c r="I186" i="3"/>
  <c r="J233" i="3"/>
  <c r="J200" i="3"/>
  <c r="J187" i="3"/>
  <c r="K225" i="11" s="1"/>
  <c r="T107" i="5"/>
  <c r="K107" i="5"/>
  <c r="S107" i="5" s="1"/>
  <c r="J129" i="5"/>
  <c r="J146" i="5" s="1"/>
  <c r="P503" i="8"/>
  <c r="P130" i="8"/>
  <c r="P132" i="8"/>
  <c r="P252" i="8" s="1"/>
  <c r="D371" i="8"/>
  <c r="Q252" i="8" s="1"/>
  <c r="D367" i="8"/>
  <c r="D370" i="8"/>
  <c r="Q251" i="8" s="1"/>
  <c r="D368" i="8"/>
  <c r="Q249" i="8" s="1"/>
  <c r="P128" i="8"/>
  <c r="P131" i="8"/>
  <c r="P251" i="8" s="1"/>
  <c r="P129" i="8"/>
  <c r="D369" i="8"/>
  <c r="Q250" i="8" s="1"/>
  <c r="C464" i="8"/>
  <c r="F80" i="3"/>
  <c r="C80" i="3"/>
  <c r="B73" i="11"/>
  <c r="E80" i="3"/>
  <c r="D80" i="3"/>
  <c r="B80" i="3"/>
  <c r="B314" i="3"/>
  <c r="J354" i="8"/>
  <c r="G234" i="8"/>
  <c r="D354" i="8"/>
  <c r="C40" i="8"/>
  <c r="D427" i="8"/>
  <c r="Q308" i="8" s="1"/>
  <c r="D425" i="8"/>
  <c r="C423" i="8"/>
  <c r="C425" i="8"/>
  <c r="F424" i="8"/>
  <c r="C424" i="8"/>
  <c r="C427" i="8"/>
  <c r="F427" i="8"/>
  <c r="C426" i="8"/>
  <c r="F425" i="8"/>
  <c r="E426" i="8"/>
  <c r="E424" i="8"/>
  <c r="D426" i="8"/>
  <c r="Q307" i="8" s="1"/>
  <c r="F423" i="8"/>
  <c r="E427" i="8"/>
  <c r="R308" i="8" s="1"/>
  <c r="D423" i="8"/>
  <c r="D424" i="8"/>
  <c r="Q305" i="8" s="1"/>
  <c r="E423" i="8"/>
  <c r="E425" i="8"/>
  <c r="F426" i="8"/>
  <c r="U112" i="5"/>
  <c r="E115" i="5"/>
  <c r="F135" i="5"/>
  <c r="K113" i="5"/>
  <c r="S113" i="5" s="1"/>
  <c r="T113" i="5"/>
  <c r="V114" i="5"/>
  <c r="H128" i="5"/>
  <c r="H145" i="5" s="1"/>
  <c r="H104" i="5"/>
  <c r="F189" i="3"/>
  <c r="G227" i="11" s="1"/>
  <c r="N298" i="8"/>
  <c r="D259" i="8"/>
  <c r="F259" i="8"/>
  <c r="E259" i="8"/>
  <c r="C259" i="8"/>
  <c r="D260" i="8"/>
  <c r="C260" i="8"/>
  <c r="E260" i="8"/>
  <c r="F260" i="8"/>
  <c r="N296" i="8"/>
  <c r="N139" i="8"/>
  <c r="R328" i="8"/>
  <c r="E474" i="8"/>
  <c r="F474" i="8"/>
  <c r="R276" i="8"/>
  <c r="N207" i="3"/>
  <c r="P105" i="3"/>
  <c r="P103" i="3"/>
  <c r="J300" i="8"/>
  <c r="J230" i="8"/>
  <c r="E300" i="8"/>
  <c r="E230" i="8"/>
  <c r="C290" i="8"/>
  <c r="C229" i="8"/>
  <c r="R290" i="8"/>
  <c r="R229" i="8"/>
  <c r="M209" i="3"/>
  <c r="E209" i="3"/>
  <c r="E213" i="3" s="1"/>
  <c r="N164" i="3"/>
  <c r="N209" i="3" s="1"/>
  <c r="H51" i="12"/>
  <c r="B34" i="11"/>
  <c r="C144" i="11"/>
  <c r="N111" i="3"/>
  <c r="N222" i="3"/>
  <c r="C233" i="3"/>
  <c r="L298" i="3"/>
  <c r="J204" i="3"/>
  <c r="C204" i="3"/>
  <c r="J210" i="3"/>
  <c r="P132" i="3"/>
  <c r="D310" i="3"/>
  <c r="P134" i="3"/>
  <c r="P135" i="3"/>
  <c r="P137" i="3"/>
  <c r="G256" i="3"/>
  <c r="G255" i="3"/>
  <c r="P133" i="3"/>
  <c r="P136" i="3"/>
  <c r="G257" i="3"/>
  <c r="G259" i="3"/>
  <c r="G258" i="3"/>
  <c r="K191" i="3"/>
  <c r="L229" i="11" s="1"/>
  <c r="N97" i="3"/>
  <c r="H54" i="12"/>
  <c r="B37" i="11"/>
  <c r="F144" i="11"/>
  <c r="X93" i="8"/>
  <c r="O207" i="3"/>
  <c r="B289" i="11"/>
  <c r="F115" i="5"/>
  <c r="T111" i="5"/>
  <c r="K111" i="5"/>
  <c r="S111" i="5" s="1"/>
  <c r="BN129" i="6"/>
  <c r="BJ129" i="6"/>
  <c r="L273" i="8"/>
  <c r="N273" i="8" s="1"/>
  <c r="M273" i="8"/>
  <c r="C76" i="14"/>
  <c r="D75" i="1"/>
  <c r="D76" i="14" s="1"/>
  <c r="F432" i="8"/>
  <c r="C432" i="8"/>
  <c r="D433" i="8"/>
  <c r="Q314" i="8" s="1"/>
  <c r="E431" i="8"/>
  <c r="C433" i="8"/>
  <c r="C41" i="8"/>
  <c r="C431" i="8"/>
  <c r="C435" i="8"/>
  <c r="D432" i="8"/>
  <c r="Q313" i="8" s="1"/>
  <c r="E435" i="8"/>
  <c r="R316" i="8" s="1"/>
  <c r="D435" i="8"/>
  <c r="Q316" i="8" s="1"/>
  <c r="E432" i="8"/>
  <c r="D431" i="8"/>
  <c r="E433" i="8"/>
  <c r="R314" i="8" s="1"/>
  <c r="C434" i="8"/>
  <c r="F435" i="8"/>
  <c r="F434" i="8"/>
  <c r="D434" i="8"/>
  <c r="F431" i="8"/>
  <c r="F472" i="8" s="1"/>
  <c r="F433" i="8"/>
  <c r="E434" i="8"/>
  <c r="R315" i="8" s="1"/>
  <c r="E235" i="8"/>
  <c r="F336" i="8"/>
  <c r="G336" i="8"/>
  <c r="E336" i="8"/>
  <c r="F339" i="8"/>
  <c r="E339" i="8"/>
  <c r="E226" i="8"/>
  <c r="E264" i="8"/>
  <c r="R258" i="8"/>
  <c r="Q256" i="8"/>
  <c r="D465" i="8"/>
  <c r="R260" i="8"/>
  <c r="D361" i="11"/>
  <c r="D297" i="11"/>
  <c r="E175" i="11"/>
  <c r="E126" i="9" s="1"/>
  <c r="O201" i="8"/>
  <c r="O321" i="8" s="1"/>
  <c r="D42" i="8"/>
  <c r="O512" i="8"/>
  <c r="O203" i="8"/>
  <c r="O323" i="8" s="1"/>
  <c r="O202" i="8"/>
  <c r="O322" i="8" s="1"/>
  <c r="O200" i="8"/>
  <c r="O204" i="8"/>
  <c r="O324" i="8" s="1"/>
  <c r="R323" i="8"/>
  <c r="C473" i="8"/>
  <c r="D290" i="8"/>
  <c r="D349" i="8" s="1"/>
  <c r="D229" i="8"/>
  <c r="J227" i="8"/>
  <c r="J275" i="8"/>
  <c r="J347" i="8" s="1"/>
  <c r="F227" i="8"/>
  <c r="F275" i="8"/>
  <c r="D227" i="8"/>
  <c r="D275" i="8"/>
  <c r="D347" i="8" s="1"/>
  <c r="L83" i="8"/>
  <c r="K83" i="8"/>
  <c r="L82" i="8"/>
  <c r="K80" i="8"/>
  <c r="K79" i="8"/>
  <c r="J81" i="8"/>
  <c r="K82" i="8"/>
  <c r="L80" i="8"/>
  <c r="M81" i="8"/>
  <c r="L79" i="8"/>
  <c r="L85" i="8" s="1"/>
  <c r="L81" i="8"/>
  <c r="M83" i="8"/>
  <c r="J82" i="8"/>
  <c r="C101" i="11"/>
  <c r="F101" i="11" s="1"/>
  <c r="G101" i="11" s="1"/>
  <c r="J83" i="8"/>
  <c r="M79" i="8"/>
  <c r="K81" i="8"/>
  <c r="J80" i="8"/>
  <c r="J79" i="8"/>
  <c r="M80" i="8"/>
  <c r="M82" i="8"/>
  <c r="H55" i="12"/>
  <c r="B38" i="11"/>
  <c r="G144" i="11"/>
  <c r="N128" i="3"/>
  <c r="F190" i="3"/>
  <c r="G228" i="11" s="1"/>
  <c r="N126" i="3"/>
  <c r="D188" i="3"/>
  <c r="E226" i="11" s="1"/>
  <c r="P172" i="3"/>
  <c r="D315" i="3"/>
  <c r="C64" i="3"/>
  <c r="O92" i="3"/>
  <c r="C305" i="3"/>
  <c r="C46" i="3"/>
  <c r="D46" i="3"/>
  <c r="AA202" i="6"/>
  <c r="AA231" i="6"/>
  <c r="AA199" i="6"/>
  <c r="AA238" i="6"/>
  <c r="AA240" i="6"/>
  <c r="AA210" i="6"/>
  <c r="AD186" i="6"/>
  <c r="AA200" i="6"/>
  <c r="AA207" i="6"/>
  <c r="AA198" i="6"/>
  <c r="AA227" i="6"/>
  <c r="AA230" i="6"/>
  <c r="AA192" i="6"/>
  <c r="AA242" i="6"/>
  <c r="AA221" i="6"/>
  <c r="AA189" i="6"/>
  <c r="AA214" i="6"/>
  <c r="AA203" i="6"/>
  <c r="AA195" i="6"/>
  <c r="AA229" i="6"/>
  <c r="AA193" i="6"/>
  <c r="AA191" i="6"/>
  <c r="AA241" i="6"/>
  <c r="AA196" i="6"/>
  <c r="AA187" i="6"/>
  <c r="AA218" i="6"/>
  <c r="AA219" i="6"/>
  <c r="AA243" i="6"/>
  <c r="AA226" i="6"/>
  <c r="AA233" i="6"/>
  <c r="AA194" i="6"/>
  <c r="AA209" i="6"/>
  <c r="AA228" i="6"/>
  <c r="AA232" i="6"/>
  <c r="AA201" i="6"/>
  <c r="AA205" i="6"/>
  <c r="AA190" i="6"/>
  <c r="AA186" i="6"/>
  <c r="AA244" i="6"/>
  <c r="AA204" i="6"/>
  <c r="Z186" i="6"/>
  <c r="AA211" i="6"/>
  <c r="AA223" i="6"/>
  <c r="AA213" i="6"/>
  <c r="AA197" i="6"/>
  <c r="AA234" i="6"/>
  <c r="AA215" i="6"/>
  <c r="AA212" i="6"/>
  <c r="AA216" i="6"/>
  <c r="AA239" i="6"/>
  <c r="AA236" i="6"/>
  <c r="AA188" i="6"/>
  <c r="AA225" i="6"/>
  <c r="AA224" i="6"/>
  <c r="AA237" i="6"/>
  <c r="AA245" i="6"/>
  <c r="AD184" i="6"/>
  <c r="AA185" i="6" s="1"/>
  <c r="AA222" i="6"/>
  <c r="AA235" i="6"/>
  <c r="AA208" i="6"/>
  <c r="AA220" i="6"/>
  <c r="AA217" i="6"/>
  <c r="AA206" i="6"/>
  <c r="N224" i="8"/>
  <c r="U100" i="5"/>
  <c r="G133" i="5"/>
  <c r="H126" i="5"/>
  <c r="K100" i="5"/>
  <c r="S100" i="5" s="1"/>
  <c r="T100" i="5"/>
  <c r="C133" i="5"/>
  <c r="E53" i="3"/>
  <c r="F13" i="3"/>
  <c r="F53" i="3" s="1"/>
  <c r="O229" i="8"/>
  <c r="O288" i="8"/>
  <c r="O349" i="8" s="1"/>
  <c r="R349" i="8"/>
  <c r="D69" i="1"/>
  <c r="D70" i="14" s="1"/>
  <c r="C70" i="14"/>
  <c r="J103" i="9"/>
  <c r="E235" i="11"/>
  <c r="D475" i="8"/>
  <c r="Q336" i="8"/>
  <c r="Q340" i="8"/>
  <c r="F12" i="3"/>
  <c r="F52" i="3" s="1"/>
  <c r="E52" i="3"/>
  <c r="E51" i="3"/>
  <c r="F11" i="3"/>
  <c r="F51" i="3" s="1"/>
  <c r="E345" i="8"/>
  <c r="C349" i="8"/>
  <c r="M330" i="8"/>
  <c r="M354" i="8" s="1"/>
  <c r="M234" i="8"/>
  <c r="C234" i="8"/>
  <c r="C330" i="8"/>
  <c r="C354" i="8" s="1"/>
  <c r="K330" i="8"/>
  <c r="K354" i="8" s="1"/>
  <c r="K234" i="8"/>
  <c r="F210" i="3"/>
  <c r="J344" i="8"/>
  <c r="J126" i="5"/>
  <c r="T118" i="5"/>
  <c r="K118" i="5"/>
  <c r="S118" i="5" s="1"/>
  <c r="T102" i="5"/>
  <c r="K102" i="5"/>
  <c r="S102" i="5" s="1"/>
  <c r="C135" i="5"/>
  <c r="D130" i="5"/>
  <c r="J135" i="5"/>
  <c r="J152" i="5" s="1"/>
  <c r="V113" i="5"/>
  <c r="I126" i="5"/>
  <c r="V117" i="5"/>
  <c r="T125" i="5"/>
  <c r="K125" i="5"/>
  <c r="S125" i="5" s="1"/>
  <c r="BD126" i="6"/>
  <c r="BH126" i="6"/>
  <c r="C351" i="8"/>
  <c r="N322" i="8"/>
  <c r="H216" i="8"/>
  <c r="H219" i="8"/>
  <c r="H514" i="8"/>
  <c r="H220" i="8"/>
  <c r="H218" i="8"/>
  <c r="H217" i="8"/>
  <c r="K260" i="8"/>
  <c r="J260" i="8"/>
  <c r="I260" i="8"/>
  <c r="H260" i="8"/>
  <c r="F331" i="8"/>
  <c r="J346" i="8"/>
  <c r="N291" i="8"/>
  <c r="C251" i="3"/>
  <c r="O103" i="3"/>
  <c r="O161" i="8"/>
  <c r="O281" i="8" s="1"/>
  <c r="O162" i="8"/>
  <c r="O282" i="8" s="1"/>
  <c r="O160" i="8"/>
  <c r="O163" i="8"/>
  <c r="O283" i="8" s="1"/>
  <c r="O507" i="8"/>
  <c r="O164" i="8"/>
  <c r="O284" i="8" s="1"/>
  <c r="D37" i="8"/>
  <c r="J306" i="8"/>
  <c r="J351" i="8" s="1"/>
  <c r="J231" i="8"/>
  <c r="K248" i="3"/>
  <c r="O167" i="3"/>
  <c r="O166" i="3"/>
  <c r="O165" i="3"/>
  <c r="K252" i="3"/>
  <c r="K249" i="3"/>
  <c r="O164" i="3"/>
  <c r="O168" i="3"/>
  <c r="O169" i="3"/>
  <c r="K251" i="3"/>
  <c r="K250" i="3"/>
  <c r="C314" i="3"/>
  <c r="O108" i="3"/>
  <c r="C307" i="3"/>
  <c r="D204" i="3"/>
  <c r="I298" i="3"/>
  <c r="L189" i="3"/>
  <c r="M227" i="11" s="1"/>
  <c r="L200" i="3"/>
  <c r="AX187" i="6"/>
  <c r="BB187" i="6"/>
  <c r="U99" i="5"/>
  <c r="G132" i="5"/>
  <c r="J136" i="5"/>
  <c r="J153" i="5" s="1"/>
  <c r="G129" i="5"/>
  <c r="U96" i="5"/>
  <c r="E135" i="5"/>
  <c r="K109" i="5"/>
  <c r="S109" i="5" s="1"/>
  <c r="T109" i="5"/>
  <c r="F129" i="5"/>
  <c r="H135" i="5"/>
  <c r="M344" i="8"/>
  <c r="B300" i="8"/>
  <c r="N180" i="8"/>
  <c r="N230" i="8" s="1"/>
  <c r="I328" i="8"/>
  <c r="D71" i="11"/>
  <c r="C17" i="3"/>
  <c r="D17" i="3" s="1"/>
  <c r="E17" i="3" s="1"/>
  <c r="T117" i="5"/>
  <c r="C126" i="5"/>
  <c r="K117" i="5"/>
  <c r="S117" i="5" s="1"/>
  <c r="U121" i="5"/>
  <c r="F134" i="5"/>
  <c r="K108" i="5"/>
  <c r="T108" i="5"/>
  <c r="K122" i="5"/>
  <c r="S122" i="5" s="1"/>
  <c r="T122" i="5"/>
  <c r="V119" i="5"/>
  <c r="G115" i="5"/>
  <c r="U106" i="5"/>
  <c r="F126" i="5"/>
  <c r="F347" i="8"/>
  <c r="L350" i="8"/>
  <c r="H191" i="3"/>
  <c r="I229" i="11" s="1"/>
  <c r="D258" i="8"/>
  <c r="C258" i="8"/>
  <c r="N258" i="8" s="1"/>
  <c r="N138" i="8"/>
  <c r="E350" i="8"/>
  <c r="R332" i="8"/>
  <c r="D36" i="8"/>
  <c r="O156" i="8"/>
  <c r="O276" i="8" s="1"/>
  <c r="O506" i="8"/>
  <c r="O153" i="8"/>
  <c r="O273" i="8" s="1"/>
  <c r="O155" i="8"/>
  <c r="O275" i="8" s="1"/>
  <c r="O152" i="8"/>
  <c r="O154" i="8"/>
  <c r="O274" i="8" s="1"/>
  <c r="Q273" i="8"/>
  <c r="P102" i="3"/>
  <c r="K300" i="8"/>
  <c r="K230" i="8"/>
  <c r="M230" i="8"/>
  <c r="M300" i="8"/>
  <c r="M350" i="8" s="1"/>
  <c r="L300" i="8"/>
  <c r="L230" i="8"/>
  <c r="H300" i="8"/>
  <c r="H350" i="8" s="1"/>
  <c r="H230" i="8"/>
  <c r="K229" i="8"/>
  <c r="K238" i="8" s="1"/>
  <c r="K290" i="8"/>
  <c r="K349" i="8" s="1"/>
  <c r="H229" i="8"/>
  <c r="H290" i="8"/>
  <c r="C103" i="11"/>
  <c r="F103" i="11" s="1"/>
  <c r="G103" i="11" s="1"/>
  <c r="K95" i="8"/>
  <c r="M98" i="8"/>
  <c r="J99" i="8"/>
  <c r="L97" i="8"/>
  <c r="J96" i="8"/>
  <c r="M95" i="8"/>
  <c r="M99" i="8"/>
  <c r="L99" i="8"/>
  <c r="K99" i="8"/>
  <c r="M96" i="8"/>
  <c r="M97" i="8"/>
  <c r="K96" i="8"/>
  <c r="L95" i="8"/>
  <c r="L101" i="8" s="1"/>
  <c r="K98" i="8"/>
  <c r="L96" i="8"/>
  <c r="J95" i="8"/>
  <c r="K97" i="8"/>
  <c r="L98" i="8"/>
  <c r="J97" i="8"/>
  <c r="J98" i="8"/>
  <c r="F66" i="11"/>
  <c r="G66" i="11"/>
  <c r="N113" i="3"/>
  <c r="C202" i="3"/>
  <c r="C213" i="3" s="1"/>
  <c r="N108" i="3"/>
  <c r="C186" i="3"/>
  <c r="H60" i="12"/>
  <c r="B43" i="11"/>
  <c r="L144" i="11"/>
  <c r="M204" i="3"/>
  <c r="F233" i="3"/>
  <c r="N220" i="3"/>
  <c r="I189" i="3"/>
  <c r="J227" i="11" s="1"/>
  <c r="N95" i="3"/>
  <c r="G187" i="3"/>
  <c r="H225" i="11" s="1"/>
  <c r="N93" i="3"/>
  <c r="Y93" i="8"/>
  <c r="K120" i="5"/>
  <c r="S120" i="5" s="1"/>
  <c r="T120" i="5"/>
  <c r="U101" i="5"/>
  <c r="G134" i="5"/>
  <c r="I217" i="6"/>
  <c r="I191" i="6"/>
  <c r="I204" i="6"/>
  <c r="I235" i="6"/>
  <c r="I198" i="6"/>
  <c r="L184" i="6"/>
  <c r="I185" i="6" s="1"/>
  <c r="I220" i="6"/>
  <c r="I188" i="6"/>
  <c r="C188" i="6" s="1"/>
  <c r="I199" i="6"/>
  <c r="I225" i="6"/>
  <c r="I238" i="6"/>
  <c r="I203" i="6"/>
  <c r="I228" i="6"/>
  <c r="I192" i="6"/>
  <c r="I230" i="6"/>
  <c r="I218" i="6"/>
  <c r="I187" i="6"/>
  <c r="C187" i="6" s="1"/>
  <c r="I205" i="6"/>
  <c r="I214" i="6"/>
  <c r="I196" i="6"/>
  <c r="I236" i="6"/>
  <c r="I209" i="6"/>
  <c r="I223" i="6"/>
  <c r="I226" i="6"/>
  <c r="I241" i="6"/>
  <c r="I227" i="6"/>
  <c r="I194" i="6"/>
  <c r="H186" i="6"/>
  <c r="B186" i="6" s="1"/>
  <c r="I224" i="6"/>
  <c r="I222" i="6"/>
  <c r="I189" i="6"/>
  <c r="I237" i="6"/>
  <c r="I200" i="6"/>
  <c r="I245" i="6"/>
  <c r="I197" i="6"/>
  <c r="I211" i="6"/>
  <c r="I206" i="6"/>
  <c r="I232" i="6"/>
  <c r="I229" i="6"/>
  <c r="I233" i="6"/>
  <c r="I201" i="6"/>
  <c r="I212" i="6"/>
  <c r="I216" i="6"/>
  <c r="I215" i="6"/>
  <c r="I243" i="6"/>
  <c r="I208" i="6"/>
  <c r="I213" i="6"/>
  <c r="I202" i="6"/>
  <c r="I244" i="6"/>
  <c r="I186" i="6"/>
  <c r="C186" i="6" s="1"/>
  <c r="I190" i="6"/>
  <c r="I221" i="6"/>
  <c r="I219" i="6"/>
  <c r="I242" i="6"/>
  <c r="L186" i="6"/>
  <c r="I239" i="6"/>
  <c r="I234" i="6"/>
  <c r="I231" i="6"/>
  <c r="F185" i="6"/>
  <c r="I210" i="6"/>
  <c r="I207" i="6"/>
  <c r="I193" i="6"/>
  <c r="I195" i="6"/>
  <c r="I240" i="6"/>
  <c r="N249" i="8"/>
  <c r="G104" i="5"/>
  <c r="G128" i="5"/>
  <c r="G145" i="5" s="1"/>
  <c r="U95" i="5"/>
  <c r="H233" i="11"/>
  <c r="G148" i="11"/>
  <c r="L274" i="8"/>
  <c r="N274" i="8" s="1"/>
  <c r="M274" i="8"/>
  <c r="L276" i="8"/>
  <c r="N156" i="8"/>
  <c r="M276" i="8"/>
  <c r="E193" i="8"/>
  <c r="E192" i="8"/>
  <c r="E195" i="8"/>
  <c r="E196" i="8"/>
  <c r="E194" i="8"/>
  <c r="E511" i="8"/>
  <c r="F337" i="8"/>
  <c r="G337" i="8"/>
  <c r="E337" i="8"/>
  <c r="N217" i="8"/>
  <c r="E266" i="8"/>
  <c r="E267" i="8"/>
  <c r="R257" i="8"/>
  <c r="Q260" i="8"/>
  <c r="F465" i="8"/>
  <c r="C465" i="8"/>
  <c r="Q259" i="8"/>
  <c r="N289" i="8"/>
  <c r="D473" i="8"/>
  <c r="Q320" i="8"/>
  <c r="R320" i="8"/>
  <c r="R353" i="8" s="1"/>
  <c r="E473" i="8"/>
  <c r="M103" i="9"/>
  <c r="H235" i="11"/>
  <c r="C227" i="8"/>
  <c r="C275" i="8"/>
  <c r="C347" i="8" s="1"/>
  <c r="E275" i="8"/>
  <c r="E347" i="8" s="1"/>
  <c r="H227" i="8"/>
  <c r="H275" i="8"/>
  <c r="H202" i="3"/>
  <c r="H213" i="3" s="1"/>
  <c r="H186" i="3"/>
  <c r="H50" i="12"/>
  <c r="B33" i="11"/>
  <c r="B144" i="11"/>
  <c r="N127" i="3"/>
  <c r="E189" i="3"/>
  <c r="F227" i="11" s="1"/>
  <c r="N125" i="3"/>
  <c r="C187" i="3"/>
  <c r="D225" i="11" s="1"/>
  <c r="B81" i="3"/>
  <c r="B74" i="11"/>
  <c r="D81" i="3"/>
  <c r="F81" i="3"/>
  <c r="C81" i="3"/>
  <c r="E81" i="3"/>
  <c r="L252" i="3" s="1"/>
  <c r="B315" i="3"/>
  <c r="E210" i="3"/>
  <c r="N174" i="3"/>
  <c r="L248" i="3"/>
  <c r="O172" i="3"/>
  <c r="O177" i="3"/>
  <c r="O175" i="3"/>
  <c r="O173" i="3"/>
  <c r="C315" i="3"/>
  <c r="G204" i="3"/>
  <c r="F204" i="3"/>
  <c r="L246" i="3"/>
  <c r="O219" i="6"/>
  <c r="O232" i="6"/>
  <c r="O198" i="6"/>
  <c r="O205" i="6"/>
  <c r="O193" i="6"/>
  <c r="O218" i="6"/>
  <c r="O207" i="6"/>
  <c r="O188" i="6"/>
  <c r="O206" i="6"/>
  <c r="O225" i="6"/>
  <c r="O203" i="6"/>
  <c r="O223" i="6"/>
  <c r="O197" i="6"/>
  <c r="O186" i="6"/>
  <c r="O239" i="6"/>
  <c r="O235" i="6"/>
  <c r="O195" i="6"/>
  <c r="O236" i="6"/>
  <c r="O226" i="6"/>
  <c r="O192" i="6"/>
  <c r="O211" i="6"/>
  <c r="O228" i="6"/>
  <c r="O199" i="6"/>
  <c r="O204" i="6"/>
  <c r="O215" i="6"/>
  <c r="O200" i="6"/>
  <c r="O194" i="6"/>
  <c r="O210" i="6"/>
  <c r="R186" i="6"/>
  <c r="O189" i="6"/>
  <c r="O231" i="6"/>
  <c r="O237" i="6"/>
  <c r="O196" i="6"/>
  <c r="O243" i="6"/>
  <c r="O217" i="6"/>
  <c r="O234" i="6"/>
  <c r="O242" i="6"/>
  <c r="O230" i="6"/>
  <c r="O209" i="6"/>
  <c r="O202" i="6"/>
  <c r="O224" i="6"/>
  <c r="O216" i="6"/>
  <c r="O220" i="6"/>
  <c r="O187" i="6"/>
  <c r="R184" i="6"/>
  <c r="O185" i="6" s="1"/>
  <c r="O212" i="6"/>
  <c r="O208" i="6"/>
  <c r="O244" i="6"/>
  <c r="O245" i="6"/>
  <c r="O191" i="6"/>
  <c r="O201" i="6"/>
  <c r="O222" i="6"/>
  <c r="O241" i="6"/>
  <c r="O190" i="6"/>
  <c r="N186" i="6"/>
  <c r="O221" i="6"/>
  <c r="O229" i="6"/>
  <c r="O240" i="6"/>
  <c r="O214" i="6"/>
  <c r="O233" i="6"/>
  <c r="O227" i="6"/>
  <c r="O238" i="6"/>
  <c r="O213" i="6"/>
  <c r="U205" i="6"/>
  <c r="U201" i="6"/>
  <c r="U204" i="6"/>
  <c r="U222" i="6"/>
  <c r="U202" i="6"/>
  <c r="U241" i="6"/>
  <c r="U216" i="6"/>
  <c r="U229" i="6"/>
  <c r="U226" i="6"/>
  <c r="U228" i="6"/>
  <c r="U233" i="6"/>
  <c r="U197" i="6"/>
  <c r="U244" i="6"/>
  <c r="U209" i="6"/>
  <c r="U188" i="6"/>
  <c r="U206" i="6"/>
  <c r="U221" i="6"/>
  <c r="U214" i="6"/>
  <c r="U191" i="6"/>
  <c r="U231" i="6"/>
  <c r="U200" i="6"/>
  <c r="X184" i="6"/>
  <c r="U185" i="6" s="1"/>
  <c r="U189" i="6"/>
  <c r="U190" i="6"/>
  <c r="U215" i="6"/>
  <c r="U217" i="6"/>
  <c r="T186" i="6"/>
  <c r="U211" i="6"/>
  <c r="U186" i="6"/>
  <c r="X186" i="6" s="1"/>
  <c r="U192" i="6"/>
  <c r="U235" i="6"/>
  <c r="U218" i="6"/>
  <c r="U196" i="6"/>
  <c r="U199" i="6"/>
  <c r="U193" i="6"/>
  <c r="U240" i="6"/>
  <c r="U220" i="6"/>
  <c r="U237" i="6"/>
  <c r="U210" i="6"/>
  <c r="U234" i="6"/>
  <c r="U194" i="6"/>
  <c r="U232" i="6"/>
  <c r="U243" i="6"/>
  <c r="U213" i="6"/>
  <c r="U198" i="6"/>
  <c r="U225" i="6"/>
  <c r="U223" i="6"/>
  <c r="U227" i="6"/>
  <c r="U230" i="6"/>
  <c r="U224" i="6"/>
  <c r="U187" i="6"/>
  <c r="U203" i="6"/>
  <c r="U236" i="6"/>
  <c r="U207" i="6"/>
  <c r="U238" i="6"/>
  <c r="U239" i="6"/>
  <c r="U195" i="6"/>
  <c r="U245" i="6"/>
  <c r="U212" i="6"/>
  <c r="U208" i="6"/>
  <c r="U242" i="6"/>
  <c r="U219" i="6"/>
  <c r="D128" i="5"/>
  <c r="D145" i="5" s="1"/>
  <c r="D104" i="5"/>
  <c r="K124" i="5"/>
  <c r="S124" i="5" s="1"/>
  <c r="T124" i="5"/>
  <c r="D132" i="5"/>
  <c r="V102" i="5"/>
  <c r="I135" i="5"/>
  <c r="P169" i="8"/>
  <c r="P289" i="8" s="1"/>
  <c r="P170" i="8"/>
  <c r="P290" i="8" s="1"/>
  <c r="P168" i="8"/>
  <c r="P172" i="8"/>
  <c r="P292" i="8" s="1"/>
  <c r="P508" i="8"/>
  <c r="P171" i="8"/>
  <c r="P291" i="8" s="1"/>
  <c r="G353" i="8"/>
  <c r="D353" i="8"/>
  <c r="N321" i="8"/>
  <c r="N353" i="8" s="1"/>
  <c r="H349" i="8"/>
  <c r="F107" i="9"/>
  <c r="N205" i="3"/>
  <c r="J352" i="8"/>
  <c r="BT121" i="6"/>
  <c r="BP121" i="6"/>
  <c r="P42" i="9"/>
  <c r="O105" i="9" s="1"/>
  <c r="I147" i="11"/>
  <c r="J237" i="11"/>
  <c r="L355" i="8"/>
  <c r="G340" i="8"/>
  <c r="Q339" i="8"/>
  <c r="R338" i="8"/>
  <c r="Q337" i="8"/>
  <c r="D44" i="8"/>
  <c r="O216" i="8"/>
  <c r="O219" i="8"/>
  <c r="O339" i="8" s="1"/>
  <c r="O514" i="8"/>
  <c r="O220" i="8"/>
  <c r="O340" i="8" s="1"/>
  <c r="O217" i="8"/>
  <c r="O337" i="8" s="1"/>
  <c r="O218" i="8"/>
  <c r="O338" i="8" s="1"/>
  <c r="N288" i="8"/>
  <c r="E59" i="3"/>
  <c r="F19" i="3"/>
  <c r="F59" i="3" s="1"/>
  <c r="I330" i="8"/>
  <c r="I234" i="8"/>
  <c r="L330" i="8"/>
  <c r="L354" i="8" s="1"/>
  <c r="L234" i="8"/>
  <c r="Q330" i="8"/>
  <c r="Q234" i="8"/>
  <c r="F202" i="3"/>
  <c r="G210" i="3"/>
  <c r="N251" i="8"/>
  <c r="K112" i="5"/>
  <c r="S112" i="5" s="1"/>
  <c r="T112" i="5"/>
  <c r="V118" i="5"/>
  <c r="D135" i="5"/>
  <c r="H150" i="5"/>
  <c r="I115" i="5"/>
  <c r="V106" i="5"/>
  <c r="C231" i="8"/>
  <c r="N323" i="8"/>
  <c r="H225" i="8"/>
  <c r="J256" i="8"/>
  <c r="I256" i="8"/>
  <c r="H256" i="8"/>
  <c r="K256" i="8"/>
  <c r="I331" i="8"/>
  <c r="F330" i="8"/>
  <c r="F513" i="8"/>
  <c r="C352" i="8"/>
  <c r="G339" i="8"/>
  <c r="L346" i="8"/>
  <c r="N140" i="8"/>
  <c r="O105" i="3"/>
  <c r="O102" i="3"/>
  <c r="O101" i="3"/>
  <c r="O201" i="3" s="1"/>
  <c r="O221" i="3" s="1"/>
  <c r="R282" i="8"/>
  <c r="C468" i="8"/>
  <c r="D468" i="8"/>
  <c r="Q280" i="8"/>
  <c r="Q348" i="8" s="1"/>
  <c r="I306" i="8"/>
  <c r="I351" i="8" s="1"/>
  <c r="I231" i="8"/>
  <c r="R231" i="8"/>
  <c r="R306" i="8"/>
  <c r="K144" i="11"/>
  <c r="B42" i="11"/>
  <c r="H59" i="12"/>
  <c r="M188" i="3"/>
  <c r="N226" i="11" s="1"/>
  <c r="D233" i="3"/>
  <c r="I191" i="3"/>
  <c r="J229" i="11" s="1"/>
  <c r="I233" i="3"/>
  <c r="H57" i="12"/>
  <c r="B40" i="11"/>
  <c r="I144" i="11"/>
  <c r="K188" i="3"/>
  <c r="L226" i="11" s="1"/>
  <c r="K200" i="3"/>
  <c r="K114" i="5"/>
  <c r="S114" i="5" s="1"/>
  <c r="T114" i="5"/>
  <c r="D115" i="5"/>
  <c r="D136" i="5"/>
  <c r="V101" i="5"/>
  <c r="I134" i="5"/>
  <c r="J104" i="5"/>
  <c r="J128" i="5"/>
  <c r="J145" i="5" s="1"/>
  <c r="F130" i="5"/>
  <c r="L344" i="8"/>
  <c r="J350" i="8"/>
  <c r="P211" i="3"/>
  <c r="N282" i="8"/>
  <c r="C35" i="8"/>
  <c r="F383" i="8"/>
  <c r="F384" i="8"/>
  <c r="E386" i="8"/>
  <c r="C385" i="8"/>
  <c r="F385" i="8"/>
  <c r="D385" i="8"/>
  <c r="D383" i="8"/>
  <c r="C383" i="8"/>
  <c r="C384" i="8"/>
  <c r="C386" i="8"/>
  <c r="E385" i="8"/>
  <c r="R266" i="8" s="1"/>
  <c r="D386" i="8"/>
  <c r="E387" i="8"/>
  <c r="F386" i="8"/>
  <c r="E383" i="8"/>
  <c r="E384" i="8"/>
  <c r="F387" i="8"/>
  <c r="D384" i="8"/>
  <c r="Q265" i="8" s="1"/>
  <c r="D387" i="8"/>
  <c r="Q268" i="8" s="1"/>
  <c r="C387" i="8"/>
  <c r="D234" i="8"/>
  <c r="E126" i="5"/>
  <c r="H136" i="5"/>
  <c r="C104" i="5"/>
  <c r="T95" i="5"/>
  <c r="C128" i="5"/>
  <c r="K95" i="5"/>
  <c r="S95" i="5" s="1"/>
  <c r="U117" i="5"/>
  <c r="G126" i="5"/>
  <c r="I130" i="5"/>
  <c r="V97" i="5"/>
  <c r="F131" i="5"/>
  <c r="Q133" i="3"/>
  <c r="Q135" i="3"/>
  <c r="Q137" i="3"/>
  <c r="Q136" i="3"/>
  <c r="Q132" i="3"/>
  <c r="Q134" i="3"/>
  <c r="E310" i="3"/>
  <c r="G262" i="3"/>
  <c r="G264" i="3"/>
  <c r="G266" i="3"/>
  <c r="G265" i="3"/>
  <c r="G263" i="3"/>
  <c r="M238" i="8"/>
  <c r="K350" i="8"/>
  <c r="G186" i="3"/>
  <c r="D256" i="8"/>
  <c r="C256" i="8"/>
  <c r="C225" i="8"/>
  <c r="B345" i="8"/>
  <c r="N256" i="8"/>
  <c r="B290" i="8"/>
  <c r="N170" i="8"/>
  <c r="N229" i="8" s="1"/>
  <c r="Q331" i="8"/>
  <c r="O211" i="8"/>
  <c r="O331" i="8" s="1"/>
  <c r="O212" i="8"/>
  <c r="O332" i="8" s="1"/>
  <c r="O208" i="8"/>
  <c r="O209" i="8"/>
  <c r="O329" i="8" s="1"/>
  <c r="O513" i="8"/>
  <c r="O210" i="8"/>
  <c r="O330" i="8" s="1"/>
  <c r="D43" i="8"/>
  <c r="Q329" i="8"/>
  <c r="C467" i="8"/>
  <c r="D64" i="3"/>
  <c r="D230" i="8"/>
  <c r="D300" i="8"/>
  <c r="D350" i="8" s="1"/>
  <c r="C300" i="8"/>
  <c r="Q300" i="8"/>
  <c r="Q350" i="8" s="1"/>
  <c r="Q230" i="8"/>
  <c r="G290" i="8"/>
  <c r="G349" i="8" s="1"/>
  <c r="G229" i="8"/>
  <c r="M290" i="8"/>
  <c r="M349" i="8" s="1"/>
  <c r="M229" i="8"/>
  <c r="Q290" i="8"/>
  <c r="Q349" i="8" s="1"/>
  <c r="Q229" i="8"/>
  <c r="K246" i="3"/>
  <c r="C73" i="3"/>
  <c r="F73" i="3"/>
  <c r="P110" i="3" s="1"/>
  <c r="D73" i="3"/>
  <c r="B66" i="11"/>
  <c r="B73" i="3"/>
  <c r="P113" i="3" s="1"/>
  <c r="B307" i="3"/>
  <c r="E73" i="3"/>
  <c r="N110" i="3"/>
  <c r="E188" i="3"/>
  <c r="F226" i="11" s="1"/>
  <c r="M148" i="11"/>
  <c r="N233" i="11"/>
  <c r="M202" i="3"/>
  <c r="M186" i="3"/>
  <c r="F246" i="3"/>
  <c r="L204" i="3"/>
  <c r="L186" i="3"/>
  <c r="B71" i="3"/>
  <c r="B84" i="3" s="1"/>
  <c r="B305" i="3"/>
  <c r="B318" i="3" s="1"/>
  <c r="C172" i="11" s="1"/>
  <c r="B9" i="15" s="1"/>
  <c r="B64" i="11"/>
  <c r="E71" i="3"/>
  <c r="C71" i="3"/>
  <c r="C84" i="3" s="1"/>
  <c r="F71" i="3"/>
  <c r="B249" i="3" s="1"/>
  <c r="D71" i="3"/>
  <c r="B64" i="3"/>
  <c r="N33" i="3" s="1"/>
  <c r="N29" i="3"/>
  <c r="J190" i="3"/>
  <c r="K228" i="11" s="1"/>
  <c r="N96" i="3"/>
  <c r="N92" i="3"/>
  <c r="F186" i="3"/>
  <c r="F200" i="3"/>
  <c r="F213" i="3" s="1"/>
  <c r="P207" i="3"/>
  <c r="K180" i="5"/>
  <c r="B25" i="11"/>
  <c r="E25" i="11" s="1"/>
  <c r="L306" i="8"/>
  <c r="L351" i="8" s="1"/>
  <c r="AS235" i="6"/>
  <c r="AS228" i="6"/>
  <c r="AS243" i="6"/>
  <c r="AS239" i="6"/>
  <c r="AS202" i="6"/>
  <c r="AS231" i="6"/>
  <c r="AS186" i="6"/>
  <c r="AS210" i="6"/>
  <c r="AS232" i="6"/>
  <c r="AS225" i="6"/>
  <c r="AS194" i="6"/>
  <c r="AS227" i="6"/>
  <c r="AS187" i="6"/>
  <c r="AR186" i="6"/>
  <c r="AS240" i="6"/>
  <c r="AS218" i="6"/>
  <c r="AS193" i="6"/>
  <c r="AS189" i="6"/>
  <c r="AS191" i="6"/>
  <c r="AS236" i="6"/>
  <c r="AS208" i="6"/>
  <c r="AS245" i="6"/>
  <c r="AS188" i="6"/>
  <c r="AS201" i="6"/>
  <c r="AS224" i="6"/>
  <c r="AS213" i="6"/>
  <c r="AS197" i="6"/>
  <c r="AS244" i="6"/>
  <c r="AS241" i="6"/>
  <c r="AS230" i="6"/>
  <c r="AS219" i="6"/>
  <c r="AS214" i="6"/>
  <c r="AS229" i="6"/>
  <c r="AS223" i="6"/>
  <c r="AS199" i="6"/>
  <c r="AS217" i="6"/>
  <c r="AS242" i="6"/>
  <c r="AS222" i="6"/>
  <c r="AS198" i="6"/>
  <c r="AS238" i="6"/>
  <c r="AS226" i="6"/>
  <c r="AS212" i="6"/>
  <c r="AS196" i="6"/>
  <c r="AS234" i="6"/>
  <c r="AS195" i="6"/>
  <c r="AS204" i="6"/>
  <c r="AV186" i="6"/>
  <c r="AS205" i="6"/>
  <c r="AS200" i="6"/>
  <c r="AS233" i="6"/>
  <c r="AV184" i="6"/>
  <c r="AS185" i="6" s="1"/>
  <c r="AS206" i="6"/>
  <c r="AS216" i="6"/>
  <c r="AS190" i="6"/>
  <c r="AS237" i="6"/>
  <c r="AS207" i="6"/>
  <c r="AS221" i="6"/>
  <c r="AS203" i="6"/>
  <c r="AS220" i="6"/>
  <c r="AS209" i="6"/>
  <c r="AS211" i="6"/>
  <c r="AS192" i="6"/>
  <c r="AS215" i="6"/>
  <c r="C238" i="8"/>
  <c r="I129" i="5"/>
  <c r="V96" i="5"/>
  <c r="I132" i="5"/>
  <c r="V99" i="5"/>
  <c r="D131" i="5"/>
  <c r="J148" i="11"/>
  <c r="K233" i="11"/>
  <c r="B467" i="8"/>
  <c r="B477" i="8" s="1"/>
  <c r="C326" i="11" s="1"/>
  <c r="L227" i="8"/>
  <c r="M272" i="8"/>
  <c r="M347" i="8" s="1"/>
  <c r="N152" i="8"/>
  <c r="L272" i="8"/>
  <c r="B306" i="8"/>
  <c r="B22" i="9"/>
  <c r="D72" i="11"/>
  <c r="D76" i="11" s="1"/>
  <c r="C18" i="3"/>
  <c r="D18" i="3" s="1"/>
  <c r="E18" i="3" s="1"/>
  <c r="N237" i="11"/>
  <c r="T42" i="9"/>
  <c r="S105" i="9" s="1"/>
  <c r="M147" i="11"/>
  <c r="F338" i="8"/>
  <c r="N218" i="8"/>
  <c r="E338" i="8"/>
  <c r="E516" i="8"/>
  <c r="F234" i="11" s="1"/>
  <c r="C297" i="11"/>
  <c r="D175" i="11"/>
  <c r="G319" i="6"/>
  <c r="C361" i="11"/>
  <c r="E465" i="8"/>
  <c r="R256" i="8"/>
  <c r="R345" i="8" s="1"/>
  <c r="Q258" i="8"/>
  <c r="E105" i="9"/>
  <c r="E171" i="11"/>
  <c r="D283" i="11"/>
  <c r="Q324" i="8"/>
  <c r="G275" i="8"/>
  <c r="G347" i="8" s="1"/>
  <c r="G227" i="8"/>
  <c r="G238" i="8" s="1"/>
  <c r="I227" i="8"/>
  <c r="I238" i="8" s="1"/>
  <c r="I275" i="8"/>
  <c r="I347" i="8" s="1"/>
  <c r="Q275" i="8"/>
  <c r="Q227" i="8"/>
  <c r="Q238" i="8" s="1"/>
  <c r="H144" i="11"/>
  <c r="H56" i="12"/>
  <c r="B39" i="11"/>
  <c r="B204" i="3"/>
  <c r="B213" i="3" s="1"/>
  <c r="N124" i="3"/>
  <c r="N204" i="3" s="1"/>
  <c r="B186" i="3"/>
  <c r="N224" i="3"/>
  <c r="B233" i="3"/>
  <c r="P124" i="3"/>
  <c r="P126" i="3"/>
  <c r="P125" i="3"/>
  <c r="P129" i="3"/>
  <c r="P128" i="3"/>
  <c r="P127" i="3"/>
  <c r="D309" i="3"/>
  <c r="D318" i="3" s="1"/>
  <c r="N230" i="3"/>
  <c r="H129" i="5"/>
  <c r="H132" i="5"/>
  <c r="C131" i="5"/>
  <c r="T98" i="5"/>
  <c r="K98" i="5"/>
  <c r="S98" i="5" s="1"/>
  <c r="E344" i="8"/>
  <c r="B232" i="11"/>
  <c r="C350" i="8"/>
  <c r="N233" i="8"/>
  <c r="G107" i="9"/>
  <c r="C20" i="3"/>
  <c r="D20" i="3" s="1"/>
  <c r="E20" i="3" s="1"/>
  <c r="D74" i="11"/>
  <c r="B105" i="9"/>
  <c r="B86" i="11" s="1"/>
  <c r="R336" i="8"/>
  <c r="E475" i="8"/>
  <c r="C475" i="8"/>
  <c r="R340" i="8"/>
  <c r="R339" i="8"/>
  <c r="L42" i="9"/>
  <c r="K105" i="9" s="1"/>
  <c r="F237" i="11"/>
  <c r="E147" i="11"/>
  <c r="H330" i="8"/>
  <c r="H234" i="8"/>
  <c r="R234" i="8"/>
  <c r="R330" i="8"/>
  <c r="H189" i="3"/>
  <c r="I227" i="11" s="1"/>
  <c r="P156" i="3"/>
  <c r="J255" i="3"/>
  <c r="J256" i="3"/>
  <c r="P160" i="3"/>
  <c r="J258" i="3"/>
  <c r="J257" i="3"/>
  <c r="P161" i="3"/>
  <c r="P158" i="3"/>
  <c r="J259" i="3"/>
  <c r="P157" i="3"/>
  <c r="D313" i="3"/>
  <c r="P159" i="3"/>
  <c r="D126" i="5"/>
  <c r="V98" i="5"/>
  <c r="I131" i="5"/>
  <c r="E134" i="5"/>
  <c r="G135" i="5"/>
  <c r="U102" i="5"/>
  <c r="E290" i="8"/>
  <c r="E349" i="8" s="1"/>
  <c r="K259" i="8"/>
  <c r="I259" i="8"/>
  <c r="J259" i="8"/>
  <c r="H259" i="8"/>
  <c r="N259" i="8" s="1"/>
  <c r="K257" i="8"/>
  <c r="I257" i="8"/>
  <c r="H257" i="8"/>
  <c r="J257" i="8"/>
  <c r="F328" i="8"/>
  <c r="F234" i="8"/>
  <c r="I329" i="8"/>
  <c r="F329" i="8"/>
  <c r="G329" i="8"/>
  <c r="H329" i="8"/>
  <c r="H351" i="8"/>
  <c r="N260" i="8"/>
  <c r="N299" i="8"/>
  <c r="I260" i="3"/>
  <c r="C257" i="3"/>
  <c r="C266" i="3"/>
  <c r="C264" i="3"/>
  <c r="C263" i="3"/>
  <c r="C265" i="3"/>
  <c r="C262" i="3"/>
  <c r="C258" i="3"/>
  <c r="C259" i="3"/>
  <c r="C255" i="3"/>
  <c r="C260" i="3" s="1"/>
  <c r="C256" i="3"/>
  <c r="C273" i="3"/>
  <c r="C271" i="3"/>
  <c r="C270" i="3"/>
  <c r="C272" i="3"/>
  <c r="C269" i="3"/>
  <c r="O104" i="3"/>
  <c r="C248" i="3"/>
  <c r="C253" i="3" s="1"/>
  <c r="E468" i="8"/>
  <c r="R280" i="8"/>
  <c r="R348" i="8" s="1"/>
  <c r="O203" i="3"/>
  <c r="O223" i="3" s="1"/>
  <c r="E253" i="3"/>
  <c r="L229" i="8"/>
  <c r="L290" i="8"/>
  <c r="L349" i="8" s="1"/>
  <c r="Q514" i="8"/>
  <c r="D109" i="11"/>
  <c r="F109" i="11" s="1"/>
  <c r="G109" i="11" s="1"/>
  <c r="D514" i="8"/>
  <c r="L514" i="8"/>
  <c r="C514" i="8"/>
  <c r="K514" i="8"/>
  <c r="J514" i="8"/>
  <c r="F514" i="8"/>
  <c r="B514" i="8"/>
  <c r="N514" i="8" s="1"/>
  <c r="M514" i="8"/>
  <c r="I514" i="8"/>
  <c r="G514" i="8"/>
  <c r="D67" i="1"/>
  <c r="D68" i="14" s="1"/>
  <c r="C68" i="14"/>
  <c r="G231" i="8"/>
  <c r="E231" i="8"/>
  <c r="Q231" i="8"/>
  <c r="Q306" i="8"/>
  <c r="I209" i="3"/>
  <c r="H209" i="3"/>
  <c r="K202" i="3"/>
  <c r="K186" i="3"/>
  <c r="H52" i="12"/>
  <c r="D144" i="11"/>
  <c r="B35" i="11"/>
  <c r="K204" i="3"/>
  <c r="L233" i="3"/>
  <c r="M233" i="3"/>
  <c r="M190" i="3"/>
  <c r="N228" i="11" s="1"/>
  <c r="M200" i="3"/>
  <c r="M213" i="3" s="1"/>
  <c r="U119" i="5"/>
  <c r="J131" i="5"/>
  <c r="J148" i="5" s="1"/>
  <c r="C136" i="5"/>
  <c r="K103" i="5"/>
  <c r="S103" i="5" s="1"/>
  <c r="T103" i="5"/>
  <c r="V121" i="5"/>
  <c r="E136" i="5"/>
  <c r="O248" i="8"/>
  <c r="O344" i="8" s="1"/>
  <c r="O224" i="8"/>
  <c r="K344" i="8"/>
  <c r="N283" i="8"/>
  <c r="B351" i="8"/>
  <c r="M260" i="3"/>
  <c r="C66" i="14"/>
  <c r="D65" i="1"/>
  <c r="D66" i="14" s="1"/>
  <c r="H328" i="8"/>
  <c r="F505" i="8"/>
  <c r="F516" i="8" s="1"/>
  <c r="G234" i="11" s="1"/>
  <c r="F146" i="8"/>
  <c r="F147" i="8"/>
  <c r="N147" i="8" s="1"/>
  <c r="F148" i="8"/>
  <c r="F144" i="8"/>
  <c r="F145" i="8"/>
  <c r="D184" i="8"/>
  <c r="D185" i="8"/>
  <c r="D187" i="8"/>
  <c r="D510" i="8"/>
  <c r="D188" i="8"/>
  <c r="D186" i="8"/>
  <c r="D306" i="8" s="1"/>
  <c r="C115" i="5"/>
  <c r="T106" i="5"/>
  <c r="K106" i="5"/>
  <c r="S106" i="5" s="1"/>
  <c r="F104" i="5"/>
  <c r="F128" i="5"/>
  <c r="F145" i="5" s="1"/>
  <c r="J115" i="5"/>
  <c r="BB118" i="6" s="1"/>
  <c r="T110" i="5"/>
  <c r="K110" i="5"/>
  <c r="S110" i="5" s="1"/>
  <c r="V100" i="5"/>
  <c r="I133" i="5"/>
  <c r="K119" i="5"/>
  <c r="T119" i="5"/>
  <c r="V109" i="5"/>
  <c r="J132" i="5"/>
  <c r="J149" i="5" s="1"/>
  <c r="J134" i="5"/>
  <c r="T121" i="5"/>
  <c r="K121" i="5"/>
  <c r="S121" i="5" s="1"/>
  <c r="R132" i="3"/>
  <c r="R134" i="3"/>
  <c r="G269" i="3"/>
  <c r="R137" i="3"/>
  <c r="F310" i="3"/>
  <c r="R136" i="3"/>
  <c r="G270" i="3"/>
  <c r="R133" i="3"/>
  <c r="R135" i="3"/>
  <c r="G271" i="3"/>
  <c r="G273" i="3"/>
  <c r="G272" i="3"/>
  <c r="N153" i="8"/>
  <c r="H347" i="8"/>
  <c r="G213" i="3"/>
  <c r="D257" i="8"/>
  <c r="C257" i="8"/>
  <c r="N137" i="8"/>
  <c r="N225" i="8" s="1"/>
  <c r="B230" i="8"/>
  <c r="B238" i="8" s="1"/>
  <c r="F257" i="8"/>
  <c r="F345" i="8" s="1"/>
  <c r="Q328" i="8"/>
  <c r="Q354" i="8" s="1"/>
  <c r="D474" i="8"/>
  <c r="C474" i="8"/>
  <c r="R272" i="8"/>
  <c r="R347" i="8" s="1"/>
  <c r="E467" i="8"/>
  <c r="Q272" i="8"/>
  <c r="Q347" i="8" s="1"/>
  <c r="D467" i="8"/>
  <c r="N203" i="3"/>
  <c r="P104" i="3"/>
  <c r="P201" i="3"/>
  <c r="P221" i="3" s="1"/>
  <c r="P186" i="3"/>
  <c r="Q511" i="8"/>
  <c r="D106" i="11"/>
  <c r="F106" i="11" s="1"/>
  <c r="G106" i="11" s="1"/>
  <c r="J511" i="8"/>
  <c r="J516" i="8" s="1"/>
  <c r="K234" i="11" s="1"/>
  <c r="D511" i="8"/>
  <c r="F511" i="8"/>
  <c r="G511" i="8"/>
  <c r="C511" i="8"/>
  <c r="C516" i="8" s="1"/>
  <c r="D234" i="11" s="1"/>
  <c r="M511" i="8"/>
  <c r="M516" i="8" s="1"/>
  <c r="N234" i="11" s="1"/>
  <c r="H511" i="8"/>
  <c r="H516" i="8" s="1"/>
  <c r="I234" i="11" s="1"/>
  <c r="B511" i="8"/>
  <c r="B516" i="8" s="1"/>
  <c r="C234" i="11" s="1"/>
  <c r="L511" i="8"/>
  <c r="L516" i="8" s="1"/>
  <c r="M234" i="11" s="1"/>
  <c r="K511" i="8"/>
  <c r="K516" i="8" s="1"/>
  <c r="L234" i="11" s="1"/>
  <c r="I511" i="8"/>
  <c r="I516" i="8" s="1"/>
  <c r="J234" i="11" s="1"/>
  <c r="O300" i="8"/>
  <c r="O350" i="8" s="1"/>
  <c r="O230" i="8"/>
  <c r="F300" i="8"/>
  <c r="F350" i="8" s="1"/>
  <c r="F230" i="8"/>
  <c r="J229" i="8"/>
  <c r="J238" i="8" s="1"/>
  <c r="J290" i="8"/>
  <c r="J349" i="8" s="1"/>
  <c r="F229" i="8"/>
  <c r="F290" i="8"/>
  <c r="F349" i="8" s="1"/>
  <c r="I290" i="8"/>
  <c r="I349" i="8" s="1"/>
  <c r="I229" i="8"/>
  <c r="B65" i="12"/>
  <c r="C65" i="12" s="1"/>
  <c r="B64" i="12"/>
  <c r="C64" i="12" s="1"/>
  <c r="P168" i="3"/>
  <c r="P166" i="3"/>
  <c r="P169" i="3"/>
  <c r="P167" i="3"/>
  <c r="P164" i="3"/>
  <c r="D314" i="3"/>
  <c r="P165" i="3"/>
  <c r="L209" i="3"/>
  <c r="H58" i="12"/>
  <c r="B41" i="11"/>
  <c r="J144" i="11"/>
  <c r="J202" i="3"/>
  <c r="N109" i="3"/>
  <c r="D187" i="3"/>
  <c r="E225" i="11" s="1"/>
  <c r="N112" i="3"/>
  <c r="B44" i="11"/>
  <c r="H61" i="12"/>
  <c r="M144" i="11"/>
  <c r="D246" i="3"/>
  <c r="N246" i="3" s="1"/>
  <c r="C317" i="11" s="1"/>
  <c r="F298" i="3"/>
  <c r="H188" i="3"/>
  <c r="I226" i="11" s="1"/>
  <c r="N94" i="3"/>
  <c r="N188" i="3" s="1"/>
  <c r="Z93" i="8"/>
  <c r="W93" i="8"/>
  <c r="I253" i="3"/>
  <c r="B316" i="11"/>
  <c r="B200" i="5"/>
  <c r="U133" i="5" l="1"/>
  <c r="V134" i="5"/>
  <c r="V133" i="5"/>
  <c r="AM141" i="6"/>
  <c r="AM158" i="6"/>
  <c r="T136" i="5"/>
  <c r="AM177" i="6"/>
  <c r="AM178" i="6"/>
  <c r="AM144" i="6"/>
  <c r="AM125" i="6"/>
  <c r="AM176" i="6"/>
  <c r="AM136" i="6"/>
  <c r="U131" i="5"/>
  <c r="AM169" i="6"/>
  <c r="AM142" i="6"/>
  <c r="AM134" i="6"/>
  <c r="AM155" i="6"/>
  <c r="U129" i="5"/>
  <c r="V130" i="5"/>
  <c r="AM145" i="6"/>
  <c r="AM135" i="6"/>
  <c r="AM170" i="6"/>
  <c r="AM146" i="6"/>
  <c r="AM129" i="6"/>
  <c r="AM152" i="6"/>
  <c r="AM154" i="6"/>
  <c r="AM128" i="6"/>
  <c r="AM149" i="6"/>
  <c r="AM147" i="6"/>
  <c r="AM153" i="6"/>
  <c r="AM175" i="6"/>
  <c r="AM122" i="6"/>
  <c r="AM167" i="6"/>
  <c r="AM137" i="6"/>
  <c r="AM138" i="6"/>
  <c r="AM151" i="6"/>
  <c r="AM126" i="6"/>
  <c r="AM156" i="6"/>
  <c r="AM160" i="6"/>
  <c r="AM140" i="6"/>
  <c r="AM161" i="6"/>
  <c r="AM148" i="6"/>
  <c r="AM119" i="6"/>
  <c r="AP119" i="6" s="1"/>
  <c r="AL120" i="6" s="1"/>
  <c r="AM164" i="6"/>
  <c r="AM173" i="6"/>
  <c r="AM171" i="6"/>
  <c r="AL119" i="6"/>
  <c r="AM121" i="6"/>
  <c r="AM143" i="6"/>
  <c r="AM124" i="6"/>
  <c r="AM168" i="6"/>
  <c r="AM174" i="6"/>
  <c r="AM132" i="6"/>
  <c r="U134" i="5"/>
  <c r="AM162" i="6"/>
  <c r="AM159" i="6"/>
  <c r="AM166" i="6"/>
  <c r="AM157" i="6"/>
  <c r="AM150" i="6"/>
  <c r="AM131" i="6"/>
  <c r="AM120" i="6"/>
  <c r="AM165" i="6"/>
  <c r="AM133" i="6"/>
  <c r="AM127" i="6"/>
  <c r="AM172" i="6"/>
  <c r="AM123" i="6"/>
  <c r="AP117" i="6"/>
  <c r="AM118" i="6" s="1"/>
  <c r="AM130" i="6"/>
  <c r="AM139" i="6"/>
  <c r="U135" i="5"/>
  <c r="V129" i="5"/>
  <c r="V135" i="5"/>
  <c r="U136" i="5"/>
  <c r="T131" i="5"/>
  <c r="E172" i="11"/>
  <c r="D279" i="11"/>
  <c r="E70" i="11"/>
  <c r="E68" i="11"/>
  <c r="E69" i="11"/>
  <c r="E65" i="11"/>
  <c r="E64" i="11"/>
  <c r="E66" i="11"/>
  <c r="E73" i="11"/>
  <c r="E67" i="11"/>
  <c r="T187" i="6"/>
  <c r="X187" i="6"/>
  <c r="I102" i="11"/>
  <c r="J102" i="11" s="1"/>
  <c r="D329" i="3"/>
  <c r="F329" i="3"/>
  <c r="C329" i="3"/>
  <c r="G329" i="3"/>
  <c r="B329" i="3"/>
  <c r="E329" i="3"/>
  <c r="B180" i="1"/>
  <c r="B66" i="6" s="1"/>
  <c r="D18" i="11"/>
  <c r="B181" i="14"/>
  <c r="B245" i="11"/>
  <c r="L118" i="6"/>
  <c r="L115" i="5"/>
  <c r="B346" i="11" s="1"/>
  <c r="C208" i="12" s="1"/>
  <c r="B327" i="11"/>
  <c r="E83" i="12"/>
  <c r="G274" i="3"/>
  <c r="F268" i="8"/>
  <c r="G268" i="8"/>
  <c r="H268" i="8"/>
  <c r="I268" i="8"/>
  <c r="K136" i="5"/>
  <c r="D163" i="5"/>
  <c r="E163" i="5" s="1"/>
  <c r="F163" i="5" s="1"/>
  <c r="G163" i="5" s="1"/>
  <c r="H163" i="5" s="1"/>
  <c r="I163" i="5" s="1"/>
  <c r="J163" i="5" s="1"/>
  <c r="K163" i="5" s="1"/>
  <c r="E173" i="5" s="1"/>
  <c r="S136" i="5"/>
  <c r="C153" i="5"/>
  <c r="B85" i="5"/>
  <c r="G306" i="8"/>
  <c r="F148" i="11"/>
  <c r="G233" i="11"/>
  <c r="E86" i="12"/>
  <c r="R205" i="3"/>
  <c r="R225" i="3" s="1"/>
  <c r="T115" i="5"/>
  <c r="T116" i="5"/>
  <c r="D516" i="8"/>
  <c r="E234" i="11" s="1"/>
  <c r="B280" i="11" s="1"/>
  <c r="N510" i="8"/>
  <c r="F265" i="8"/>
  <c r="H265" i="8"/>
  <c r="G265" i="8"/>
  <c r="I265" i="8"/>
  <c r="G266" i="8"/>
  <c r="F266" i="8"/>
  <c r="I266" i="8"/>
  <c r="H266" i="8"/>
  <c r="B24" i="11"/>
  <c r="B152" i="1"/>
  <c r="E306" i="8"/>
  <c r="C267" i="3"/>
  <c r="F354" i="8"/>
  <c r="E151" i="5"/>
  <c r="H149" i="5"/>
  <c r="P204" i="3"/>
  <c r="P224" i="3" s="1"/>
  <c r="N272" i="8"/>
  <c r="L347" i="8"/>
  <c r="Q81" i="5"/>
  <c r="R81" i="5" s="1"/>
  <c r="I149" i="5"/>
  <c r="I146" i="5"/>
  <c r="Q78" i="5"/>
  <c r="R78" i="5" s="1"/>
  <c r="N190" i="3"/>
  <c r="D84" i="3"/>
  <c r="B76" i="11"/>
  <c r="N31" i="3"/>
  <c r="B54" i="11"/>
  <c r="E160" i="11"/>
  <c r="N290" i="8"/>
  <c r="B144" i="1"/>
  <c r="B16" i="11"/>
  <c r="B242" i="11"/>
  <c r="B254" i="11"/>
  <c r="C143" i="5"/>
  <c r="L104" i="5"/>
  <c r="B332" i="11"/>
  <c r="B335" i="11" s="1"/>
  <c r="C332" i="11"/>
  <c r="R265" i="8"/>
  <c r="Q267" i="8"/>
  <c r="C466" i="8"/>
  <c r="O148" i="8"/>
  <c r="O268" i="8" s="1"/>
  <c r="O505" i="8"/>
  <c r="O147" i="8"/>
  <c r="O267" i="8" s="1"/>
  <c r="O146" i="8"/>
  <c r="O266" i="8" s="1"/>
  <c r="D35" i="8"/>
  <c r="O145" i="8"/>
  <c r="O265" i="8" s="1"/>
  <c r="O144" i="8"/>
  <c r="L357" i="8"/>
  <c r="M232" i="11" s="1"/>
  <c r="D153" i="5"/>
  <c r="C24" i="11"/>
  <c r="B169" i="1"/>
  <c r="E82" i="12"/>
  <c r="I345" i="8"/>
  <c r="C22" i="11"/>
  <c r="B167" i="1"/>
  <c r="R166" i="3"/>
  <c r="R168" i="3"/>
  <c r="R165" i="3"/>
  <c r="R164" i="3"/>
  <c r="R169" i="3"/>
  <c r="F314" i="3"/>
  <c r="R167" i="3"/>
  <c r="N145" i="8"/>
  <c r="P514" i="8"/>
  <c r="P217" i="8"/>
  <c r="P337" i="8" s="1"/>
  <c r="P218" i="8"/>
  <c r="P338" i="8" s="1"/>
  <c r="P219" i="8"/>
  <c r="P339" i="8" s="1"/>
  <c r="P216" i="8"/>
  <c r="P220" i="8"/>
  <c r="P340" i="8" s="1"/>
  <c r="BT122" i="6"/>
  <c r="BP122" i="6"/>
  <c r="D149" i="5"/>
  <c r="L249" i="3"/>
  <c r="O174" i="3"/>
  <c r="N39" i="3"/>
  <c r="L256" i="3"/>
  <c r="L257" i="3"/>
  <c r="L259" i="3"/>
  <c r="L255" i="3"/>
  <c r="L258" i="3"/>
  <c r="B271" i="11"/>
  <c r="N266" i="8"/>
  <c r="F316" i="8"/>
  <c r="E316" i="8"/>
  <c r="G316" i="8"/>
  <c r="N196" i="8"/>
  <c r="H316" i="8"/>
  <c r="C288" i="11"/>
  <c r="C300" i="11"/>
  <c r="C193" i="6"/>
  <c r="C231" i="6"/>
  <c r="C242" i="6"/>
  <c r="C208" i="6"/>
  <c r="C212" i="6"/>
  <c r="C232" i="6"/>
  <c r="C245" i="6"/>
  <c r="C222" i="6"/>
  <c r="C227" i="6"/>
  <c r="C209" i="6"/>
  <c r="C205" i="6"/>
  <c r="C192" i="6"/>
  <c r="C225" i="6"/>
  <c r="C191" i="6"/>
  <c r="O227" i="8"/>
  <c r="O272" i="8"/>
  <c r="O347" i="8" s="1"/>
  <c r="E57" i="3"/>
  <c r="F17" i="3"/>
  <c r="F57" i="3" s="1"/>
  <c r="N300" i="8"/>
  <c r="U132" i="5"/>
  <c r="L213" i="3"/>
  <c r="O109" i="3"/>
  <c r="O112" i="3"/>
  <c r="O110" i="3"/>
  <c r="K253" i="3"/>
  <c r="J338" i="8"/>
  <c r="I338" i="8"/>
  <c r="K338" i="8"/>
  <c r="H338" i="8"/>
  <c r="N338" i="8" s="1"/>
  <c r="H235" i="8"/>
  <c r="H238" i="8" s="1"/>
  <c r="H336" i="8"/>
  <c r="I336" i="8"/>
  <c r="K336" i="8"/>
  <c r="J336" i="8"/>
  <c r="BH127" i="6"/>
  <c r="BD127" i="6"/>
  <c r="B186" i="1"/>
  <c r="B72" i="6" s="1"/>
  <c r="D24" i="11"/>
  <c r="B187" i="14"/>
  <c r="B179" i="1"/>
  <c r="B65" i="6" s="1"/>
  <c r="B180" i="14"/>
  <c r="D17" i="11"/>
  <c r="E306" i="3"/>
  <c r="Q102" i="3"/>
  <c r="Q105" i="3"/>
  <c r="Q103" i="3"/>
  <c r="Q100" i="3"/>
  <c r="Q104" i="3"/>
  <c r="Q101" i="3"/>
  <c r="B103" i="9"/>
  <c r="E308" i="3"/>
  <c r="Q118" i="3"/>
  <c r="Q121" i="3"/>
  <c r="Q116" i="3"/>
  <c r="Q119" i="3"/>
  <c r="Q117" i="3"/>
  <c r="Q120" i="3"/>
  <c r="E266" i="3"/>
  <c r="E265" i="3"/>
  <c r="E263" i="3"/>
  <c r="E262" i="3"/>
  <c r="E267" i="3" s="1"/>
  <c r="E264" i="3"/>
  <c r="O96" i="3"/>
  <c r="P175" i="3"/>
  <c r="P176" i="3"/>
  <c r="E80" i="12"/>
  <c r="J85" i="8"/>
  <c r="E346" i="8"/>
  <c r="F355" i="8"/>
  <c r="C472" i="8"/>
  <c r="G260" i="3"/>
  <c r="N350" i="8"/>
  <c r="J213" i="3"/>
  <c r="Y69" i="8"/>
  <c r="N148" i="8"/>
  <c r="E61" i="3"/>
  <c r="F21" i="3"/>
  <c r="F61" i="3" s="1"/>
  <c r="G147" i="5"/>
  <c r="O79" i="5"/>
  <c r="AJ187" i="6"/>
  <c r="AF187" i="6"/>
  <c r="E78" i="12"/>
  <c r="B354" i="8"/>
  <c r="R125" i="3"/>
  <c r="F309" i="3"/>
  <c r="R124" i="3"/>
  <c r="R127" i="3"/>
  <c r="R129" i="3"/>
  <c r="R128" i="3"/>
  <c r="R126" i="3"/>
  <c r="E234" i="8"/>
  <c r="E328" i="8"/>
  <c r="N208" i="8"/>
  <c r="E332" i="8"/>
  <c r="G332" i="8"/>
  <c r="N212" i="8"/>
  <c r="H332" i="8"/>
  <c r="E163" i="11"/>
  <c r="E318" i="11" s="1"/>
  <c r="D318" i="11"/>
  <c r="E161" i="11"/>
  <c r="V136" i="5"/>
  <c r="N344" i="8"/>
  <c r="B275" i="11"/>
  <c r="P109" i="3"/>
  <c r="C165" i="11"/>
  <c r="C103" i="9"/>
  <c r="N348" i="8"/>
  <c r="Q93" i="3"/>
  <c r="Q96" i="3"/>
  <c r="Q94" i="3"/>
  <c r="Q92" i="3"/>
  <c r="Q97" i="3"/>
  <c r="Q95" i="3"/>
  <c r="E305" i="3"/>
  <c r="B79" i="5"/>
  <c r="C147" i="5"/>
  <c r="S130" i="5"/>
  <c r="K130" i="5"/>
  <c r="D157" i="5"/>
  <c r="E157" i="5" s="1"/>
  <c r="F157" i="5" s="1"/>
  <c r="G157" i="5" s="1"/>
  <c r="H157" i="5" s="1"/>
  <c r="B145" i="1"/>
  <c r="B17" i="11"/>
  <c r="C151" i="5"/>
  <c r="K134" i="5"/>
  <c r="S134" i="5"/>
  <c r="G138" i="5"/>
  <c r="I138" i="5" s="1"/>
  <c r="I151" i="5" s="1"/>
  <c r="D161" i="5"/>
  <c r="E161" i="5" s="1"/>
  <c r="F161" i="5" s="1"/>
  <c r="G161" i="5" s="1"/>
  <c r="H161" i="5" s="1"/>
  <c r="B83" i="5"/>
  <c r="AL188" i="6"/>
  <c r="AP188" i="6"/>
  <c r="D270" i="11"/>
  <c r="F143" i="5"/>
  <c r="L242" i="11"/>
  <c r="L254" i="11"/>
  <c r="D307" i="8"/>
  <c r="E307" i="8"/>
  <c r="F307" i="8"/>
  <c r="G307" i="8"/>
  <c r="N187" i="8"/>
  <c r="E153" i="5"/>
  <c r="Q80" i="5"/>
  <c r="R80" i="5" s="1"/>
  <c r="I148" i="5"/>
  <c r="B147" i="1"/>
  <c r="B19" i="11"/>
  <c r="D8" i="15"/>
  <c r="E123" i="9"/>
  <c r="B42" i="9"/>
  <c r="C22" i="9" s="1"/>
  <c r="N227" i="8"/>
  <c r="F84" i="3"/>
  <c r="B255" i="3"/>
  <c r="P94" i="3"/>
  <c r="P95" i="3"/>
  <c r="P96" i="3"/>
  <c r="B257" i="3"/>
  <c r="P93" i="3"/>
  <c r="P97" i="3"/>
  <c r="B259" i="3"/>
  <c r="B258" i="3"/>
  <c r="B256" i="3"/>
  <c r="B273" i="3"/>
  <c r="B266" i="3"/>
  <c r="B269" i="3"/>
  <c r="B264" i="3"/>
  <c r="B272" i="3"/>
  <c r="B271" i="3"/>
  <c r="B262" i="3"/>
  <c r="B263" i="3"/>
  <c r="B265" i="3"/>
  <c r="B270" i="3"/>
  <c r="D259" i="3"/>
  <c r="D256" i="3"/>
  <c r="D257" i="3"/>
  <c r="D258" i="3"/>
  <c r="C345" i="8"/>
  <c r="I147" i="5"/>
  <c r="Q79" i="5"/>
  <c r="R79" i="5" s="1"/>
  <c r="H153" i="5"/>
  <c r="E466" i="8"/>
  <c r="E477" i="8" s="1"/>
  <c r="R264" i="8"/>
  <c r="Q264" i="8"/>
  <c r="D466" i="8"/>
  <c r="R267" i="8"/>
  <c r="F147" i="5"/>
  <c r="F245" i="11"/>
  <c r="R118" i="6"/>
  <c r="K213" i="3"/>
  <c r="J345" i="8"/>
  <c r="V116" i="5"/>
  <c r="V115" i="5"/>
  <c r="D152" i="5"/>
  <c r="Q166" i="3"/>
  <c r="E314" i="3"/>
  <c r="Q164" i="3"/>
  <c r="Q168" i="3"/>
  <c r="Q169" i="3"/>
  <c r="Q165" i="3"/>
  <c r="Q167" i="3"/>
  <c r="P288" i="8"/>
  <c r="P349" i="8" s="1"/>
  <c r="P229" i="8"/>
  <c r="D23" i="11"/>
  <c r="B185" i="1"/>
  <c r="B71" i="6" s="1"/>
  <c r="B186" i="14"/>
  <c r="L250" i="3"/>
  <c r="O176" i="3"/>
  <c r="E75" i="12"/>
  <c r="B16" i="12"/>
  <c r="B18" i="12"/>
  <c r="N146" i="8"/>
  <c r="F315" i="8"/>
  <c r="G315" i="8"/>
  <c r="N195" i="8"/>
  <c r="E315" i="8"/>
  <c r="H315" i="8"/>
  <c r="C207" i="6"/>
  <c r="C234" i="6"/>
  <c r="C219" i="6"/>
  <c r="C244" i="6"/>
  <c r="C243" i="6"/>
  <c r="C201" i="6"/>
  <c r="C206" i="6"/>
  <c r="C200" i="6"/>
  <c r="C224" i="6"/>
  <c r="C241" i="6"/>
  <c r="C236" i="6"/>
  <c r="C228" i="6"/>
  <c r="C199" i="6"/>
  <c r="C198" i="6"/>
  <c r="C217" i="6"/>
  <c r="O83" i="5"/>
  <c r="D19" i="11"/>
  <c r="B181" i="1"/>
  <c r="B67" i="6" s="1"/>
  <c r="B182" i="14"/>
  <c r="N189" i="3"/>
  <c r="D224" i="11"/>
  <c r="D230" i="11" s="1"/>
  <c r="C192" i="3"/>
  <c r="M101" i="8"/>
  <c r="P506" i="8"/>
  <c r="P156" i="8"/>
  <c r="P276" i="8" s="1"/>
  <c r="P153" i="8"/>
  <c r="P273" i="8" s="1"/>
  <c r="P152" i="8"/>
  <c r="P155" i="8"/>
  <c r="P275" i="8" s="1"/>
  <c r="P154" i="8"/>
  <c r="P274" i="8" s="1"/>
  <c r="U116" i="5"/>
  <c r="U115" i="5"/>
  <c r="C18" i="11"/>
  <c r="B163" i="1"/>
  <c r="B178" i="1"/>
  <c r="B64" i="6" s="1"/>
  <c r="D16" i="11"/>
  <c r="B179" i="14"/>
  <c r="E71" i="11"/>
  <c r="M357" i="8"/>
  <c r="N232" i="11" s="1"/>
  <c r="N238" i="11" s="1"/>
  <c r="O78" i="5"/>
  <c r="G146" i="5"/>
  <c r="D251" i="3"/>
  <c r="O111" i="3"/>
  <c r="K340" i="8"/>
  <c r="I340" i="8"/>
  <c r="J340" i="8"/>
  <c r="H340" i="8"/>
  <c r="C152" i="5"/>
  <c r="D162" i="5"/>
  <c r="S135" i="5"/>
  <c r="B84" i="5"/>
  <c r="K135" i="5"/>
  <c r="Q355" i="8"/>
  <c r="B149" i="1"/>
  <c r="B21" i="11"/>
  <c r="B252" i="3"/>
  <c r="B251" i="3"/>
  <c r="O93" i="3"/>
  <c r="O200" i="3" s="1"/>
  <c r="O186" i="3"/>
  <c r="P173" i="3"/>
  <c r="B274" i="11"/>
  <c r="H126" i="9"/>
  <c r="F126" i="9"/>
  <c r="G126" i="9"/>
  <c r="N216" i="8"/>
  <c r="Q315" i="8"/>
  <c r="O511" i="8"/>
  <c r="D41" i="8"/>
  <c r="O196" i="8"/>
  <c r="O316" i="8" s="1"/>
  <c r="O192" i="8"/>
  <c r="O195" i="8"/>
  <c r="O315" i="8" s="1"/>
  <c r="O193" i="8"/>
  <c r="O313" i="8" s="1"/>
  <c r="O194" i="8"/>
  <c r="O314" i="8" s="1"/>
  <c r="BJ130" i="6"/>
  <c r="BN130" i="6"/>
  <c r="L245" i="11"/>
  <c r="AD118" i="6"/>
  <c r="N191" i="3"/>
  <c r="B350" i="8"/>
  <c r="B168" i="1"/>
  <c r="C23" i="11"/>
  <c r="D471" i="8"/>
  <c r="Q304" i="8"/>
  <c r="Q351" i="8" s="1"/>
  <c r="R305" i="8"/>
  <c r="O185" i="8"/>
  <c r="O305" i="8" s="1"/>
  <c r="O188" i="8"/>
  <c r="O308" i="8" s="1"/>
  <c r="D40" i="8"/>
  <c r="O186" i="8"/>
  <c r="O306" i="8" s="1"/>
  <c r="O187" i="8"/>
  <c r="O307" i="8" s="1"/>
  <c r="O510" i="8"/>
  <c r="O184" i="8"/>
  <c r="K259" i="3"/>
  <c r="K258" i="3"/>
  <c r="K257" i="3"/>
  <c r="K262" i="3"/>
  <c r="K263" i="3"/>
  <c r="K255" i="3"/>
  <c r="K266" i="3"/>
  <c r="K264" i="3"/>
  <c r="K265" i="3"/>
  <c r="K256" i="3"/>
  <c r="K270" i="3"/>
  <c r="K271" i="3"/>
  <c r="K272" i="3"/>
  <c r="K273" i="3"/>
  <c r="K269" i="3"/>
  <c r="P249" i="8"/>
  <c r="P250" i="8"/>
  <c r="B162" i="1"/>
  <c r="C17" i="11"/>
  <c r="E224" i="11"/>
  <c r="E230" i="11" s="1"/>
  <c r="D192" i="3"/>
  <c r="Z69" i="8"/>
  <c r="U130" i="5"/>
  <c r="B148" i="1"/>
  <c r="B20" i="11"/>
  <c r="J192" i="3"/>
  <c r="E329" i="8"/>
  <c r="N329" i="8" s="1"/>
  <c r="N209" i="8"/>
  <c r="Q85" i="5"/>
  <c r="R85" i="5" s="1"/>
  <c r="I153" i="5"/>
  <c r="N210" i="3"/>
  <c r="O127" i="3"/>
  <c r="F255" i="3"/>
  <c r="F257" i="3"/>
  <c r="F259" i="3"/>
  <c r="F258" i="3"/>
  <c r="F256" i="3"/>
  <c r="F262" i="3"/>
  <c r="F266" i="3"/>
  <c r="F265" i="3"/>
  <c r="F263" i="3"/>
  <c r="F264" i="3"/>
  <c r="F273" i="3"/>
  <c r="F272" i="3"/>
  <c r="F270" i="3"/>
  <c r="F271" i="3"/>
  <c r="F269" i="3"/>
  <c r="F252" i="3"/>
  <c r="O125" i="3"/>
  <c r="O126" i="3"/>
  <c r="O128" i="3"/>
  <c r="F251" i="3"/>
  <c r="F248" i="3"/>
  <c r="F253" i="3" s="1"/>
  <c r="F250" i="3"/>
  <c r="F249" i="3"/>
  <c r="O256" i="8"/>
  <c r="O345" i="8" s="1"/>
  <c r="O225" i="8"/>
  <c r="Z61" i="8"/>
  <c r="F305" i="3"/>
  <c r="R94" i="3"/>
  <c r="R95" i="3"/>
  <c r="R96" i="3"/>
  <c r="R97" i="3"/>
  <c r="R92" i="3"/>
  <c r="R93" i="3"/>
  <c r="S96" i="5"/>
  <c r="D300" i="11"/>
  <c r="D288" i="11"/>
  <c r="B150" i="1"/>
  <c r="B22" i="11"/>
  <c r="G328" i="8"/>
  <c r="C45" i="12"/>
  <c r="D45" i="12"/>
  <c r="A45" i="12"/>
  <c r="B45" i="12"/>
  <c r="B183" i="14"/>
  <c r="B182" i="1"/>
  <c r="B68" i="6" s="1"/>
  <c r="D20" i="11"/>
  <c r="L224" i="11"/>
  <c r="L230" i="11" s="1"/>
  <c r="K192" i="3"/>
  <c r="V131" i="5"/>
  <c r="J260" i="3"/>
  <c r="E74" i="11"/>
  <c r="B318" i="11"/>
  <c r="B319" i="11" s="1"/>
  <c r="B238" i="11"/>
  <c r="B239" i="11" s="1"/>
  <c r="E81" i="12"/>
  <c r="E58" i="3"/>
  <c r="E64" i="3" s="1"/>
  <c r="F18" i="3"/>
  <c r="F58" i="3" s="1"/>
  <c r="N186" i="8"/>
  <c r="D148" i="5"/>
  <c r="AV187" i="6"/>
  <c r="AR187" i="6"/>
  <c r="G224" i="11"/>
  <c r="G230" i="11" s="1"/>
  <c r="F192" i="3"/>
  <c r="F325" i="3"/>
  <c r="B325" i="3"/>
  <c r="I98" i="11"/>
  <c r="E325" i="3"/>
  <c r="D325" i="3"/>
  <c r="G325" i="3"/>
  <c r="C325" i="3"/>
  <c r="N224" i="11"/>
  <c r="N230" i="11" s="1"/>
  <c r="M192" i="3"/>
  <c r="D255" i="3"/>
  <c r="D260" i="3" s="1"/>
  <c r="D263" i="3"/>
  <c r="D266" i="3"/>
  <c r="D264" i="3"/>
  <c r="D265" i="3"/>
  <c r="D262" i="3"/>
  <c r="D267" i="3" s="1"/>
  <c r="D270" i="3"/>
  <c r="D272" i="3"/>
  <c r="D269" i="3"/>
  <c r="D273" i="3"/>
  <c r="D271" i="3"/>
  <c r="D345" i="8"/>
  <c r="Q205" i="3"/>
  <c r="Q225" i="3" s="1"/>
  <c r="S128" i="5"/>
  <c r="C145" i="5"/>
  <c r="K128" i="5"/>
  <c r="Q266" i="8"/>
  <c r="Q83" i="5"/>
  <c r="R83" i="5" s="1"/>
  <c r="K345" i="8"/>
  <c r="AV118" i="6"/>
  <c r="D291" i="11"/>
  <c r="N349" i="8"/>
  <c r="I152" i="5"/>
  <c r="Q84" i="5"/>
  <c r="R84" i="5" s="1"/>
  <c r="F254" i="11"/>
  <c r="F242" i="11"/>
  <c r="F247" i="11" s="1"/>
  <c r="D143" i="5"/>
  <c r="N187" i="6"/>
  <c r="R187" i="6"/>
  <c r="O210" i="3"/>
  <c r="B273" i="11"/>
  <c r="Q353" i="8"/>
  <c r="E312" i="8"/>
  <c r="F312" i="8"/>
  <c r="E232" i="8"/>
  <c r="E238" i="8" s="1"/>
  <c r="G312" i="8"/>
  <c r="N192" i="8"/>
  <c r="H312" i="8"/>
  <c r="U105" i="5"/>
  <c r="U128" i="5"/>
  <c r="U104" i="5"/>
  <c r="C240" i="6"/>
  <c r="C210" i="6"/>
  <c r="C239" i="6"/>
  <c r="C221" i="6"/>
  <c r="C202" i="6"/>
  <c r="C215" i="6"/>
  <c r="C233" i="6"/>
  <c r="C211" i="6"/>
  <c r="C237" i="6"/>
  <c r="C226" i="6"/>
  <c r="C196" i="6"/>
  <c r="C218" i="6"/>
  <c r="C203" i="6"/>
  <c r="C235" i="6"/>
  <c r="N202" i="3"/>
  <c r="K101" i="8"/>
  <c r="C291" i="11"/>
  <c r="AJ118" i="6"/>
  <c r="B183" i="1"/>
  <c r="B69" i="6" s="1"/>
  <c r="D21" i="11"/>
  <c r="B184" i="14"/>
  <c r="H138" i="5"/>
  <c r="F151" i="5"/>
  <c r="L126" i="5"/>
  <c r="I354" i="8"/>
  <c r="H152" i="5"/>
  <c r="C19" i="11"/>
  <c r="B164" i="1"/>
  <c r="AX188" i="6"/>
  <c r="BB188" i="6"/>
  <c r="I148" i="11"/>
  <c r="J233" i="11"/>
  <c r="O113" i="3"/>
  <c r="D248" i="3"/>
  <c r="D249" i="3"/>
  <c r="O209" i="3"/>
  <c r="N505" i="8"/>
  <c r="B151" i="1"/>
  <c r="B23" i="11"/>
  <c r="E307" i="3"/>
  <c r="Q113" i="3"/>
  <c r="Q112" i="3"/>
  <c r="Q108" i="3"/>
  <c r="Q202" i="3" s="1"/>
  <c r="Q222" i="3" s="1"/>
  <c r="Q109" i="3"/>
  <c r="Q110" i="3"/>
  <c r="Q111" i="3"/>
  <c r="D160" i="5"/>
  <c r="C150" i="5"/>
  <c r="B82" i="5"/>
  <c r="S133" i="5"/>
  <c r="K133" i="5"/>
  <c r="Z187" i="6"/>
  <c r="AD187" i="6"/>
  <c r="O97" i="3"/>
  <c r="O95" i="3"/>
  <c r="O189" i="3" s="1"/>
  <c r="C273" i="11" s="1"/>
  <c r="O94" i="3"/>
  <c r="O188" i="3" s="1"/>
  <c r="C272" i="11" s="1"/>
  <c r="B248" i="3"/>
  <c r="P177" i="3"/>
  <c r="K85" i="8"/>
  <c r="O233" i="8"/>
  <c r="O320" i="8"/>
  <c r="O353" i="8" s="1"/>
  <c r="P201" i="8"/>
  <c r="P321" i="8" s="1"/>
  <c r="P202" i="8"/>
  <c r="P322" i="8" s="1"/>
  <c r="P203" i="8"/>
  <c r="P323" i="8" s="1"/>
  <c r="P512" i="8"/>
  <c r="P200" i="8"/>
  <c r="P204" i="8"/>
  <c r="P324" i="8" s="1"/>
  <c r="Q345" i="8"/>
  <c r="E355" i="8"/>
  <c r="N336" i="8"/>
  <c r="D472" i="8"/>
  <c r="Q312" i="8"/>
  <c r="Q352" i="8" s="1"/>
  <c r="P205" i="3"/>
  <c r="P225" i="3" s="1"/>
  <c r="M233" i="11"/>
  <c r="L148" i="11"/>
  <c r="R354" i="8"/>
  <c r="F152" i="5"/>
  <c r="R307" i="8"/>
  <c r="C471" i="8"/>
  <c r="N38" i="3"/>
  <c r="D464" i="8"/>
  <c r="D477" i="8" s="1"/>
  <c r="E326" i="11" s="1"/>
  <c r="Q248" i="8"/>
  <c r="Q344" i="8" s="1"/>
  <c r="J224" i="11"/>
  <c r="J230" i="11" s="1"/>
  <c r="I192" i="3"/>
  <c r="D213" i="3"/>
  <c r="F80" i="14"/>
  <c r="F94" i="14" s="1"/>
  <c r="F95" i="14" s="1"/>
  <c r="G79" i="1"/>
  <c r="F93" i="1"/>
  <c r="F94" i="1" s="1"/>
  <c r="A37" i="11"/>
  <c r="D79" i="12" s="1"/>
  <c r="K132" i="5"/>
  <c r="D159" i="5"/>
  <c r="E159" i="5" s="1"/>
  <c r="F159" i="5" s="1"/>
  <c r="G159" i="5" s="1"/>
  <c r="H159" i="5" s="1"/>
  <c r="C149" i="5"/>
  <c r="B81" i="5"/>
  <c r="S132" i="5"/>
  <c r="H147" i="5"/>
  <c r="K230" i="11"/>
  <c r="G330" i="8"/>
  <c r="N330" i="8" s="1"/>
  <c r="D151" i="5"/>
  <c r="P111" i="3"/>
  <c r="N513" i="8"/>
  <c r="F224" i="11"/>
  <c r="F230" i="11" s="1"/>
  <c r="E192" i="3"/>
  <c r="N220" i="8"/>
  <c r="O85" i="5"/>
  <c r="G153" i="5"/>
  <c r="D22" i="11"/>
  <c r="B185" i="14"/>
  <c r="B184" i="1"/>
  <c r="B70" i="6" s="1"/>
  <c r="B146" i="1"/>
  <c r="B18" i="11"/>
  <c r="C146" i="5"/>
  <c r="D156" i="5"/>
  <c r="S129" i="5"/>
  <c r="K129" i="5"/>
  <c r="B78" i="5"/>
  <c r="C357" i="8"/>
  <c r="D232" i="11" s="1"/>
  <c r="D238" i="11" s="1"/>
  <c r="T134" i="5"/>
  <c r="C20" i="11"/>
  <c r="B165" i="1"/>
  <c r="F226" i="8"/>
  <c r="F238" i="8" s="1"/>
  <c r="I264" i="8"/>
  <c r="I346" i="8" s="1"/>
  <c r="G264" i="8"/>
  <c r="H264" i="8"/>
  <c r="F264" i="8"/>
  <c r="N144" i="8"/>
  <c r="N226" i="8" s="1"/>
  <c r="Q82" i="5"/>
  <c r="R82" i="5" s="1"/>
  <c r="I150" i="5"/>
  <c r="D305" i="8"/>
  <c r="E305" i="8"/>
  <c r="N185" i="8"/>
  <c r="G305" i="8"/>
  <c r="F305" i="8"/>
  <c r="P209" i="3"/>
  <c r="N511" i="8"/>
  <c r="G516" i="8"/>
  <c r="H234" i="11" s="1"/>
  <c r="N257" i="8"/>
  <c r="N345" i="8" s="1"/>
  <c r="S119" i="5"/>
  <c r="S126" i="5" s="1"/>
  <c r="AY126" i="6"/>
  <c r="AY161" i="6"/>
  <c r="AY148" i="6"/>
  <c r="AY121" i="6"/>
  <c r="AY131" i="6"/>
  <c r="AY176" i="6"/>
  <c r="AY154" i="6"/>
  <c r="AY173" i="6"/>
  <c r="AY171" i="6"/>
  <c r="AY140" i="6"/>
  <c r="AY169" i="6"/>
  <c r="AY149" i="6"/>
  <c r="AY133" i="6"/>
  <c r="AY150" i="6"/>
  <c r="AY174" i="6"/>
  <c r="AY155" i="6"/>
  <c r="AY170" i="6"/>
  <c r="AY134" i="6"/>
  <c r="AY147" i="6"/>
  <c r="AY119" i="6"/>
  <c r="BB119" i="6" s="1"/>
  <c r="AY151" i="6"/>
  <c r="AY178" i="6"/>
  <c r="AY167" i="6"/>
  <c r="AY137" i="6"/>
  <c r="AY163" i="6"/>
  <c r="AY144" i="6"/>
  <c r="AY166" i="6"/>
  <c r="AY129" i="6"/>
  <c r="AY156" i="6"/>
  <c r="AX119" i="6"/>
  <c r="BB117" i="6"/>
  <c r="AY118" i="6" s="1"/>
  <c r="AY159" i="6"/>
  <c r="AY160" i="6"/>
  <c r="AY122" i="6"/>
  <c r="AY152" i="6"/>
  <c r="AY125" i="6"/>
  <c r="AY141" i="6"/>
  <c r="AY175" i="6"/>
  <c r="AY157" i="6"/>
  <c r="AY135" i="6"/>
  <c r="AY124" i="6"/>
  <c r="AY123" i="6"/>
  <c r="AY165" i="6"/>
  <c r="AY162" i="6"/>
  <c r="AY146" i="6"/>
  <c r="AY136" i="6"/>
  <c r="AY145" i="6"/>
  <c r="AY130" i="6"/>
  <c r="AY177" i="6"/>
  <c r="AY142" i="6"/>
  <c r="AY139" i="6"/>
  <c r="AY132" i="6"/>
  <c r="AY143" i="6"/>
  <c r="AY158" i="6"/>
  <c r="AY120" i="6"/>
  <c r="AY168" i="6"/>
  <c r="AY153" i="6"/>
  <c r="AY127" i="6"/>
  <c r="AY164" i="6"/>
  <c r="AY172" i="6"/>
  <c r="AY128" i="6"/>
  <c r="AY138" i="6"/>
  <c r="B161" i="1"/>
  <c r="C16" i="11"/>
  <c r="D308" i="8"/>
  <c r="N308" i="8" s="1"/>
  <c r="E308" i="8"/>
  <c r="F308" i="8"/>
  <c r="G308" i="8"/>
  <c r="N188" i="8"/>
  <c r="D304" i="8"/>
  <c r="F304" i="8"/>
  <c r="D231" i="8"/>
  <c r="D238" i="8" s="1"/>
  <c r="E304" i="8"/>
  <c r="E351" i="8" s="1"/>
  <c r="G304" i="8"/>
  <c r="N184" i="8"/>
  <c r="G267" i="8"/>
  <c r="F267" i="8"/>
  <c r="H267" i="8"/>
  <c r="I267" i="8"/>
  <c r="E77" i="12"/>
  <c r="C274" i="3"/>
  <c r="G152" i="5"/>
  <c r="O84" i="5"/>
  <c r="P208" i="3"/>
  <c r="R355" i="8"/>
  <c r="E60" i="3"/>
  <c r="L265" i="3" s="1"/>
  <c r="F20" i="3"/>
  <c r="F60" i="3" s="1"/>
  <c r="K131" i="5"/>
  <c r="S131" i="5"/>
  <c r="D158" i="5"/>
  <c r="B80" i="5"/>
  <c r="C148" i="5"/>
  <c r="H146" i="5"/>
  <c r="B192" i="3"/>
  <c r="C224" i="11"/>
  <c r="E72" i="11"/>
  <c r="L238" i="8"/>
  <c r="V132" i="5"/>
  <c r="N186" i="3"/>
  <c r="N200" i="3"/>
  <c r="N213" i="3" s="1"/>
  <c r="C160" i="11"/>
  <c r="N37" i="3"/>
  <c r="N35" i="3"/>
  <c r="N40" i="3"/>
  <c r="N32" i="3"/>
  <c r="N34" i="3"/>
  <c r="N42" i="3"/>
  <c r="N36" i="3"/>
  <c r="B52" i="11"/>
  <c r="C44" i="11" s="1"/>
  <c r="N30" i="3"/>
  <c r="E84" i="3"/>
  <c r="M224" i="11"/>
  <c r="M230" i="11" s="1"/>
  <c r="L192" i="3"/>
  <c r="P212" i="8"/>
  <c r="P332" i="8" s="1"/>
  <c r="P209" i="8"/>
  <c r="P329" i="8" s="1"/>
  <c r="P513" i="8"/>
  <c r="P211" i="8"/>
  <c r="P331" i="8" s="1"/>
  <c r="P208" i="8"/>
  <c r="P210" i="8"/>
  <c r="P330" i="8" s="1"/>
  <c r="O234" i="8"/>
  <c r="O328" i="8"/>
  <c r="O354" i="8" s="1"/>
  <c r="H224" i="11"/>
  <c r="H230" i="11" s="1"/>
  <c r="G192" i="3"/>
  <c r="G267" i="3"/>
  <c r="F148" i="5"/>
  <c r="U126" i="5"/>
  <c r="U127" i="5"/>
  <c r="T104" i="5"/>
  <c r="T128" i="5"/>
  <c r="T105" i="5"/>
  <c r="R268" i="8"/>
  <c r="F466" i="8"/>
  <c r="F477" i="8" s="1"/>
  <c r="E84" i="12"/>
  <c r="F306" i="8"/>
  <c r="N306" i="8" s="1"/>
  <c r="H345" i="8"/>
  <c r="B349" i="8"/>
  <c r="O235" i="8"/>
  <c r="O336" i="8"/>
  <c r="O355" i="8" s="1"/>
  <c r="B283" i="11"/>
  <c r="L251" i="3"/>
  <c r="L253" i="3"/>
  <c r="H192" i="3"/>
  <c r="I224" i="11"/>
  <c r="I230" i="11" s="1"/>
  <c r="N267" i="8"/>
  <c r="F314" i="8"/>
  <c r="E314" i="8"/>
  <c r="G314" i="8"/>
  <c r="N194" i="8"/>
  <c r="H314" i="8"/>
  <c r="G313" i="8"/>
  <c r="E313" i="8"/>
  <c r="N313" i="8" s="1"/>
  <c r="N193" i="8"/>
  <c r="F313" i="8"/>
  <c r="H313" i="8"/>
  <c r="N276" i="8"/>
  <c r="C195" i="6"/>
  <c r="H187" i="6"/>
  <c r="B187" i="6" s="1"/>
  <c r="L187" i="6"/>
  <c r="F186" i="6"/>
  <c r="C190" i="6"/>
  <c r="C213" i="6"/>
  <c r="C216" i="6"/>
  <c r="C229" i="6"/>
  <c r="C197" i="6"/>
  <c r="C189" i="6"/>
  <c r="C194" i="6"/>
  <c r="C223" i="6"/>
  <c r="C214" i="6"/>
  <c r="C230" i="6"/>
  <c r="C238" i="6"/>
  <c r="C220" i="6"/>
  <c r="C204" i="6"/>
  <c r="N187" i="3"/>
  <c r="N233" i="3"/>
  <c r="E85" i="12"/>
  <c r="J101" i="8"/>
  <c r="S108" i="5"/>
  <c r="S115" i="5" s="1"/>
  <c r="T126" i="5"/>
  <c r="T127" i="5"/>
  <c r="F146" i="5"/>
  <c r="E152" i="5"/>
  <c r="O81" i="5"/>
  <c r="G149" i="5"/>
  <c r="O202" i="3"/>
  <c r="O222" i="3" s="1"/>
  <c r="D250" i="3"/>
  <c r="D252" i="3"/>
  <c r="P160" i="8"/>
  <c r="P162" i="8"/>
  <c r="P282" i="8" s="1"/>
  <c r="P163" i="8"/>
  <c r="P283" i="8" s="1"/>
  <c r="P161" i="8"/>
  <c r="P281" i="8" s="1"/>
  <c r="P164" i="8"/>
  <c r="P284" i="8" s="1"/>
  <c r="P507" i="8"/>
  <c r="O228" i="8"/>
  <c r="O280" i="8"/>
  <c r="O348" i="8" s="1"/>
  <c r="H337" i="8"/>
  <c r="N337" i="8" s="1"/>
  <c r="J337" i="8"/>
  <c r="K337" i="8"/>
  <c r="I337" i="8"/>
  <c r="I339" i="8"/>
  <c r="H339" i="8"/>
  <c r="N339" i="8" s="1"/>
  <c r="J339" i="8"/>
  <c r="K339" i="8"/>
  <c r="V126" i="5"/>
  <c r="D147" i="5"/>
  <c r="T135" i="5"/>
  <c r="R102" i="3"/>
  <c r="R100" i="3"/>
  <c r="R105" i="3"/>
  <c r="F306" i="3"/>
  <c r="R103" i="3"/>
  <c r="R101" i="3"/>
  <c r="R104" i="3"/>
  <c r="F307" i="3"/>
  <c r="R113" i="3"/>
  <c r="R110" i="3"/>
  <c r="R108" i="3"/>
  <c r="R109" i="3"/>
  <c r="R111" i="3"/>
  <c r="R112" i="3"/>
  <c r="B281" i="11"/>
  <c r="R118" i="3"/>
  <c r="R116" i="3"/>
  <c r="R120" i="3"/>
  <c r="R119" i="3"/>
  <c r="R117" i="3"/>
  <c r="F308" i="3"/>
  <c r="R121" i="3"/>
  <c r="E269" i="3"/>
  <c r="E273" i="3"/>
  <c r="E271" i="3"/>
  <c r="E270" i="3"/>
  <c r="E272" i="3"/>
  <c r="T133" i="5"/>
  <c r="G150" i="5"/>
  <c r="O82" i="5"/>
  <c r="B250" i="3"/>
  <c r="C318" i="3"/>
  <c r="D160" i="11"/>
  <c r="B53" i="11"/>
  <c r="P174" i="3"/>
  <c r="P210" i="3" s="1"/>
  <c r="B272" i="11"/>
  <c r="M85" i="8"/>
  <c r="N219" i="8"/>
  <c r="G355" i="8"/>
  <c r="R313" i="8"/>
  <c r="R312" i="8"/>
  <c r="E472" i="8"/>
  <c r="C21" i="11"/>
  <c r="B166" i="1"/>
  <c r="E79" i="12"/>
  <c r="E76" i="12"/>
  <c r="C34" i="11"/>
  <c r="I245" i="11"/>
  <c r="X118" i="6"/>
  <c r="E471" i="8"/>
  <c r="R304" i="8"/>
  <c r="R351" i="8" s="1"/>
  <c r="F471" i="8"/>
  <c r="C477" i="8"/>
  <c r="D326" i="11" s="1"/>
  <c r="P248" i="8"/>
  <c r="P344" i="8" s="1"/>
  <c r="P224" i="8"/>
  <c r="I213" i="3"/>
  <c r="C283" i="11"/>
  <c r="D105" i="9"/>
  <c r="D171" i="11"/>
  <c r="X69" i="8"/>
  <c r="E75" i="11"/>
  <c r="I242" i="11"/>
  <c r="I254" i="11"/>
  <c r="E143" i="5"/>
  <c r="T132" i="5"/>
  <c r="N210" i="8"/>
  <c r="Q127" i="3"/>
  <c r="Q125" i="3"/>
  <c r="Q124" i="3"/>
  <c r="Q129" i="3"/>
  <c r="E309" i="3"/>
  <c r="Q128" i="3"/>
  <c r="Q126" i="3"/>
  <c r="E165" i="11"/>
  <c r="E118" i="9" s="1"/>
  <c r="D281" i="11"/>
  <c r="E103" i="9"/>
  <c r="E331" i="8"/>
  <c r="N331" i="8" s="1"/>
  <c r="N211" i="8"/>
  <c r="H331" i="8"/>
  <c r="H354" i="8" s="1"/>
  <c r="O129" i="3"/>
  <c r="P112" i="3"/>
  <c r="P202" i="3" s="1"/>
  <c r="P222" i="3" s="1"/>
  <c r="R238" i="8"/>
  <c r="N275" i="8"/>
  <c r="B347" i="8"/>
  <c r="B357" i="8" s="1"/>
  <c r="C232" i="11" s="1"/>
  <c r="P139" i="8"/>
  <c r="P259" i="8" s="1"/>
  <c r="P136" i="8"/>
  <c r="P137" i="8"/>
  <c r="P257" i="8" s="1"/>
  <c r="P504" i="8"/>
  <c r="P138" i="8"/>
  <c r="P258" i="8" s="1"/>
  <c r="P140" i="8"/>
  <c r="P260" i="8" s="1"/>
  <c r="N340" i="8"/>
  <c r="N264" i="8"/>
  <c r="Y61" i="8"/>
  <c r="G148" i="5"/>
  <c r="O80" i="5"/>
  <c r="P80" i="5" s="1"/>
  <c r="T130" i="5"/>
  <c r="T129" i="5"/>
  <c r="V128" i="5"/>
  <c r="V104" i="5"/>
  <c r="V105" i="5"/>
  <c r="S101" i="5"/>
  <c r="B279" i="11"/>
  <c r="AP120" i="6" l="1"/>
  <c r="E154" i="5"/>
  <c r="I247" i="11"/>
  <c r="E23" i="11"/>
  <c r="S104" i="5"/>
  <c r="G151" i="5"/>
  <c r="G154" i="5" s="1"/>
  <c r="I154" i="5"/>
  <c r="D154" i="5"/>
  <c r="F154" i="5"/>
  <c r="E18" i="11"/>
  <c r="I159" i="5"/>
  <c r="J159" i="5" s="1"/>
  <c r="K159" i="5" s="1"/>
  <c r="E169" i="5" s="1"/>
  <c r="I161" i="5"/>
  <c r="J161" i="5" s="1"/>
  <c r="K161" i="5" s="1"/>
  <c r="E171" i="5" s="1"/>
  <c r="O220" i="3"/>
  <c r="C238" i="11"/>
  <c r="I157" i="5"/>
  <c r="J157" i="5" s="1"/>
  <c r="K157" i="5" s="1"/>
  <c r="E274" i="3"/>
  <c r="C5" i="15"/>
  <c r="B191" i="11"/>
  <c r="B121" i="12" s="1"/>
  <c r="C106" i="12"/>
  <c r="R202" i="3"/>
  <c r="R222" i="3" s="1"/>
  <c r="P81" i="5"/>
  <c r="P225" i="8"/>
  <c r="P256" i="8"/>
  <c r="P345" i="8" s="1"/>
  <c r="C73" i="11"/>
  <c r="F35" i="12" s="1"/>
  <c r="G35" i="12" s="1"/>
  <c r="U155" i="6"/>
  <c r="U151" i="6"/>
  <c r="U172" i="6"/>
  <c r="U175" i="6"/>
  <c r="U133" i="6"/>
  <c r="U124" i="6"/>
  <c r="U121" i="6"/>
  <c r="U143" i="6"/>
  <c r="U126" i="6"/>
  <c r="U163" i="6"/>
  <c r="U152" i="6"/>
  <c r="U138" i="6"/>
  <c r="U145" i="6"/>
  <c r="U160" i="6"/>
  <c r="U158" i="6"/>
  <c r="U125" i="6"/>
  <c r="U156" i="6"/>
  <c r="U165" i="6"/>
  <c r="U170" i="6"/>
  <c r="U171" i="6"/>
  <c r="U134" i="6"/>
  <c r="U173" i="6"/>
  <c r="U144" i="6"/>
  <c r="U132" i="6"/>
  <c r="U123" i="6"/>
  <c r="U162" i="6"/>
  <c r="U141" i="6"/>
  <c r="U168" i="6"/>
  <c r="U120" i="6"/>
  <c r="U135" i="6"/>
  <c r="U142" i="6"/>
  <c r="U147" i="6"/>
  <c r="U128" i="6"/>
  <c r="U122" i="6"/>
  <c r="U150" i="6"/>
  <c r="U129" i="6"/>
  <c r="U127" i="6"/>
  <c r="U140" i="6"/>
  <c r="U161" i="6"/>
  <c r="U177" i="6"/>
  <c r="U148" i="6"/>
  <c r="U157" i="6"/>
  <c r="U166" i="6"/>
  <c r="U131" i="6"/>
  <c r="U137" i="6"/>
  <c r="U178" i="6"/>
  <c r="X117" i="6"/>
  <c r="U118" i="6" s="1"/>
  <c r="U164" i="6"/>
  <c r="U174" i="6"/>
  <c r="U119" i="6"/>
  <c r="X119" i="6" s="1"/>
  <c r="U139" i="6"/>
  <c r="T119" i="6"/>
  <c r="U176" i="6"/>
  <c r="U149" i="6"/>
  <c r="U169" i="6"/>
  <c r="U154" i="6"/>
  <c r="U153" i="6"/>
  <c r="U159" i="6"/>
  <c r="U130" i="6"/>
  <c r="U146" i="6"/>
  <c r="U136" i="6"/>
  <c r="U167" i="6"/>
  <c r="C37" i="11"/>
  <c r="D172" i="11"/>
  <c r="C9" i="15" s="1"/>
  <c r="C279" i="11"/>
  <c r="R203" i="3"/>
  <c r="R223" i="3" s="1"/>
  <c r="R201" i="3"/>
  <c r="R221" i="3" s="1"/>
  <c r="C43" i="11"/>
  <c r="G331" i="3"/>
  <c r="C331" i="3"/>
  <c r="D331" i="3"/>
  <c r="E331" i="3"/>
  <c r="B331" i="3"/>
  <c r="F331" i="3"/>
  <c r="I104" i="11"/>
  <c r="J104" i="11" s="1"/>
  <c r="N192" i="3"/>
  <c r="R176" i="3"/>
  <c r="R174" i="3"/>
  <c r="R172" i="3"/>
  <c r="F315" i="3"/>
  <c r="R177" i="3"/>
  <c r="R175" i="3"/>
  <c r="R173" i="3"/>
  <c r="N231" i="8"/>
  <c r="N238" i="8" s="1"/>
  <c r="F351" i="8"/>
  <c r="B39" i="6"/>
  <c r="B162" i="14"/>
  <c r="B103" i="6"/>
  <c r="F346" i="8"/>
  <c r="D164" i="5"/>
  <c r="E156" i="5"/>
  <c r="D70" i="6"/>
  <c r="E70" i="6"/>
  <c r="C68" i="11"/>
  <c r="F30" i="12" s="1"/>
  <c r="G30" i="12" s="1"/>
  <c r="H79" i="1"/>
  <c r="A38" i="11"/>
  <c r="D80" i="12" s="1"/>
  <c r="G80" i="14"/>
  <c r="G94" i="14" s="1"/>
  <c r="G95" i="14" s="1"/>
  <c r="G93" i="1"/>
  <c r="G94" i="1" s="1"/>
  <c r="B334" i="3"/>
  <c r="F334" i="3"/>
  <c r="I107" i="11"/>
  <c r="J107" i="11" s="1"/>
  <c r="D334" i="3"/>
  <c r="G334" i="3"/>
  <c r="E334" i="3"/>
  <c r="C334" i="3"/>
  <c r="B253" i="3"/>
  <c r="AD188" i="6"/>
  <c r="Z188" i="6"/>
  <c r="C82" i="5"/>
  <c r="D82" i="5" s="1"/>
  <c r="E82" i="5" s="1"/>
  <c r="F82" i="5" s="1"/>
  <c r="G82" i="5" s="1"/>
  <c r="H82" i="5" s="1"/>
  <c r="I82" i="5" s="1"/>
  <c r="J82" i="5" s="1"/>
  <c r="K82" i="5" s="1"/>
  <c r="L82" i="5" s="1"/>
  <c r="M82" i="5" s="1"/>
  <c r="N516" i="8"/>
  <c r="C166" i="11" s="1"/>
  <c r="G69" i="6"/>
  <c r="H69" i="6"/>
  <c r="F69" i="6"/>
  <c r="D69" i="6"/>
  <c r="E69" i="6"/>
  <c r="I69" i="6"/>
  <c r="N232" i="8"/>
  <c r="E352" i="8"/>
  <c r="E357" i="8" s="1"/>
  <c r="F232" i="11" s="1"/>
  <c r="F238" i="11" s="1"/>
  <c r="F239" i="11" s="1"/>
  <c r="N312" i="8"/>
  <c r="C74" i="11"/>
  <c r="F36" i="12" s="1"/>
  <c r="G36" i="12" s="1"/>
  <c r="C154" i="5"/>
  <c r="S145" i="5"/>
  <c r="AV188" i="6"/>
  <c r="AR188" i="6"/>
  <c r="J269" i="3"/>
  <c r="R159" i="3"/>
  <c r="J271" i="3"/>
  <c r="J270" i="3"/>
  <c r="R157" i="3"/>
  <c r="J273" i="3"/>
  <c r="R158" i="3"/>
  <c r="R161" i="3"/>
  <c r="J272" i="3"/>
  <c r="F313" i="3"/>
  <c r="R160" i="3"/>
  <c r="R156" i="3"/>
  <c r="E22" i="11"/>
  <c r="F274" i="3"/>
  <c r="K267" i="3"/>
  <c r="O231" i="8"/>
  <c r="O304" i="8"/>
  <c r="O351" i="8" s="1"/>
  <c r="P188" i="8"/>
  <c r="P308" i="8" s="1"/>
  <c r="P184" i="8"/>
  <c r="P185" i="8"/>
  <c r="P305" i="8" s="1"/>
  <c r="P186" i="8"/>
  <c r="P306" i="8" s="1"/>
  <c r="P187" i="8"/>
  <c r="P307" i="8" s="1"/>
  <c r="P510" i="8"/>
  <c r="P195" i="8"/>
  <c r="P315" i="8" s="1"/>
  <c r="P196" i="8"/>
  <c r="P316" i="8" s="1"/>
  <c r="P192" i="8"/>
  <c r="P193" i="8"/>
  <c r="P313" i="8" s="1"/>
  <c r="P194" i="8"/>
  <c r="P314" i="8" s="1"/>
  <c r="P511" i="8"/>
  <c r="B19" i="6"/>
  <c r="B150" i="14"/>
  <c r="C84" i="5"/>
  <c r="D84" i="5" s="1"/>
  <c r="E84" i="5" s="1"/>
  <c r="F84" i="5" s="1"/>
  <c r="G84" i="5" s="1"/>
  <c r="H84" i="5" s="1"/>
  <c r="I84" i="5" s="1"/>
  <c r="J84" i="5" s="1"/>
  <c r="K84" i="5" s="1"/>
  <c r="L84" i="5" s="1"/>
  <c r="M84" i="5" s="1"/>
  <c r="D26" i="11"/>
  <c r="P272" i="8"/>
  <c r="P347" i="8" s="1"/>
  <c r="P227" i="8"/>
  <c r="I143" i="5"/>
  <c r="B17" i="12"/>
  <c r="C18" i="12"/>
  <c r="O133" i="6"/>
  <c r="O158" i="6"/>
  <c r="O128" i="6"/>
  <c r="O120" i="6"/>
  <c r="O163" i="6"/>
  <c r="O121" i="6"/>
  <c r="O140" i="6"/>
  <c r="O132" i="6"/>
  <c r="O131" i="6"/>
  <c r="O155" i="6"/>
  <c r="O157" i="6"/>
  <c r="O168" i="6"/>
  <c r="O145" i="6"/>
  <c r="O156" i="6"/>
  <c r="O147" i="6"/>
  <c r="O123" i="6"/>
  <c r="O136" i="6"/>
  <c r="R117" i="6"/>
  <c r="O118" i="6" s="1"/>
  <c r="O149" i="6"/>
  <c r="O126" i="6"/>
  <c r="O171" i="6"/>
  <c r="O137" i="6"/>
  <c r="O135" i="6"/>
  <c r="O170" i="6"/>
  <c r="O172" i="6"/>
  <c r="O175" i="6"/>
  <c r="O162" i="6"/>
  <c r="O160" i="6"/>
  <c r="O169" i="6"/>
  <c r="O141" i="6"/>
  <c r="O161" i="6"/>
  <c r="O124" i="6"/>
  <c r="O152" i="6"/>
  <c r="O119" i="6"/>
  <c r="R119" i="6" s="1"/>
  <c r="O173" i="6"/>
  <c r="O164" i="6"/>
  <c r="O138" i="6"/>
  <c r="O146" i="6"/>
  <c r="O143" i="6"/>
  <c r="O139" i="6"/>
  <c r="O144" i="6"/>
  <c r="O130" i="6"/>
  <c r="O165" i="6"/>
  <c r="O178" i="6"/>
  <c r="O150" i="6"/>
  <c r="O127" i="6"/>
  <c r="O153" i="6"/>
  <c r="O125" i="6"/>
  <c r="O142" i="6"/>
  <c r="O177" i="6"/>
  <c r="O129" i="6"/>
  <c r="O174" i="6"/>
  <c r="O176" i="6"/>
  <c r="O159" i="6"/>
  <c r="O154" i="6"/>
  <c r="O134" i="6"/>
  <c r="O148" i="6"/>
  <c r="N119" i="6"/>
  <c r="O167" i="6"/>
  <c r="O151" i="6"/>
  <c r="O166" i="6"/>
  <c r="O122" i="6"/>
  <c r="B267" i="3"/>
  <c r="B274" i="3"/>
  <c r="B260" i="3"/>
  <c r="H123" i="9"/>
  <c r="F123" i="9"/>
  <c r="G123" i="9"/>
  <c r="L247" i="11"/>
  <c r="AP189" i="6"/>
  <c r="AL189" i="6"/>
  <c r="C171" i="5"/>
  <c r="C167" i="5"/>
  <c r="C79" i="5"/>
  <c r="D79" i="5" s="1"/>
  <c r="E79" i="5" s="1"/>
  <c r="F79" i="5" s="1"/>
  <c r="G79" i="5" s="1"/>
  <c r="H79" i="5" s="1"/>
  <c r="I79" i="5" s="1"/>
  <c r="J79" i="5" s="1"/>
  <c r="K79" i="5" s="1"/>
  <c r="L79" i="5" s="1"/>
  <c r="M79" i="5" s="1"/>
  <c r="Q200" i="3"/>
  <c r="N234" i="8"/>
  <c r="AJ188" i="6"/>
  <c r="AF188" i="6"/>
  <c r="F316" i="3"/>
  <c r="R184" i="3"/>
  <c r="R190" i="3" s="1"/>
  <c r="R182" i="3"/>
  <c r="R180" i="3"/>
  <c r="R181" i="3"/>
  <c r="R183" i="3"/>
  <c r="R185" i="3"/>
  <c r="M271" i="3"/>
  <c r="M273" i="3"/>
  <c r="M272" i="3"/>
  <c r="M270" i="3"/>
  <c r="M269" i="3"/>
  <c r="Q203" i="3"/>
  <c r="Q223" i="3" s="1"/>
  <c r="Q201" i="3"/>
  <c r="Q221" i="3" s="1"/>
  <c r="BH128" i="6"/>
  <c r="BD128" i="6"/>
  <c r="H355" i="8"/>
  <c r="C293" i="11"/>
  <c r="N316" i="8"/>
  <c r="L273" i="3"/>
  <c r="L260" i="3"/>
  <c r="D335" i="3"/>
  <c r="I108" i="11"/>
  <c r="J108" i="11" s="1"/>
  <c r="G335" i="3"/>
  <c r="C335" i="3"/>
  <c r="B335" i="3"/>
  <c r="F335" i="3"/>
  <c r="E335" i="3"/>
  <c r="B170" i="14"/>
  <c r="B47" i="6"/>
  <c r="P144" i="8"/>
  <c r="P148" i="8"/>
  <c r="P268" i="8" s="1"/>
  <c r="P146" i="8"/>
  <c r="P266" i="8" s="1"/>
  <c r="P147" i="8"/>
  <c r="P267" i="8" s="1"/>
  <c r="P145" i="8"/>
  <c r="P265" i="8" s="1"/>
  <c r="P505" i="8"/>
  <c r="P516" i="8" s="1"/>
  <c r="D332" i="11"/>
  <c r="B300" i="11"/>
  <c r="B255" i="11"/>
  <c r="D327" i="3"/>
  <c r="F327" i="3"/>
  <c r="I100" i="11"/>
  <c r="J100" i="11" s="1"/>
  <c r="B327" i="3"/>
  <c r="C327" i="3"/>
  <c r="E327" i="3"/>
  <c r="G327" i="3"/>
  <c r="B22" i="6"/>
  <c r="B153" i="14"/>
  <c r="C41" i="11"/>
  <c r="AP121" i="6"/>
  <c r="AL121" i="6"/>
  <c r="Q204" i="3"/>
  <c r="Q224" i="3" s="1"/>
  <c r="H118" i="9"/>
  <c r="G118" i="9"/>
  <c r="F118" i="9"/>
  <c r="B193" i="11"/>
  <c r="B124" i="12" s="1"/>
  <c r="C8" i="15"/>
  <c r="R352" i="8"/>
  <c r="P280" i="8"/>
  <c r="P348" i="8" s="1"/>
  <c r="P228" i="8"/>
  <c r="P234" i="8"/>
  <c r="P328" i="8"/>
  <c r="P354" i="8" s="1"/>
  <c r="I99" i="11"/>
  <c r="J99" i="11" s="1"/>
  <c r="F326" i="3"/>
  <c r="F338" i="3" s="1"/>
  <c r="B211" i="11" s="1"/>
  <c r="C143" i="12" s="1"/>
  <c r="C326" i="3"/>
  <c r="B326" i="3"/>
  <c r="G326" i="3"/>
  <c r="E326" i="3"/>
  <c r="D326" i="3"/>
  <c r="D338" i="3" s="1"/>
  <c r="B209" i="11" s="1"/>
  <c r="C141" i="12" s="1"/>
  <c r="C330" i="3"/>
  <c r="D330" i="3"/>
  <c r="G330" i="3"/>
  <c r="I103" i="11"/>
  <c r="J103" i="11" s="1"/>
  <c r="E330" i="3"/>
  <c r="F330" i="3"/>
  <c r="B330" i="3"/>
  <c r="I106" i="11"/>
  <c r="J106" i="11" s="1"/>
  <c r="B333" i="3"/>
  <c r="E333" i="3"/>
  <c r="F333" i="3"/>
  <c r="G333" i="3"/>
  <c r="C333" i="3"/>
  <c r="D333" i="3"/>
  <c r="Q173" i="3"/>
  <c r="E315" i="3"/>
  <c r="Q176" i="3"/>
  <c r="Q175" i="3"/>
  <c r="Q172" i="3"/>
  <c r="Q177" i="3"/>
  <c r="Q174" i="3"/>
  <c r="P84" i="5"/>
  <c r="C35" i="11"/>
  <c r="G351" i="8"/>
  <c r="D351" i="8"/>
  <c r="D357" i="8" s="1"/>
  <c r="E232" i="11" s="1"/>
  <c r="E238" i="11" s="1"/>
  <c r="E239" i="11" s="1"/>
  <c r="N304" i="8"/>
  <c r="H346" i="8"/>
  <c r="H357" i="8" s="1"/>
  <c r="I232" i="11" s="1"/>
  <c r="I238" i="11" s="1"/>
  <c r="I239" i="11" s="1"/>
  <c r="B166" i="14"/>
  <c r="B43" i="6"/>
  <c r="C78" i="5"/>
  <c r="D78" i="5" s="1"/>
  <c r="E78" i="5" s="1"/>
  <c r="F78" i="5" s="1"/>
  <c r="G78" i="5" s="1"/>
  <c r="H78" i="5" s="1"/>
  <c r="I78" i="5" s="1"/>
  <c r="J78" i="5" s="1"/>
  <c r="K78" i="5" s="1"/>
  <c r="L78" i="5" s="1"/>
  <c r="M78" i="5" s="1"/>
  <c r="S146" i="5"/>
  <c r="T167" i="5" s="1"/>
  <c r="P85" i="5"/>
  <c r="C81" i="5"/>
  <c r="D81" i="5" s="1"/>
  <c r="E81" i="5" s="1"/>
  <c r="F81" i="5" s="1"/>
  <c r="G81" i="5" s="1"/>
  <c r="H81" i="5" s="1"/>
  <c r="I81" i="5" s="1"/>
  <c r="J81" i="5" s="1"/>
  <c r="K81" i="5" s="1"/>
  <c r="L81" i="5" s="1"/>
  <c r="M81" i="5" s="1"/>
  <c r="N355" i="8"/>
  <c r="S150" i="5"/>
  <c r="T171" i="5" s="1"/>
  <c r="B165" i="14"/>
  <c r="B42" i="6"/>
  <c r="H143" i="5"/>
  <c r="J138" i="5"/>
  <c r="V138" i="5" s="1"/>
  <c r="V143" i="5" s="1"/>
  <c r="H151" i="5"/>
  <c r="H154" i="5" s="1"/>
  <c r="AG131" i="6"/>
  <c r="AG150" i="6"/>
  <c r="AG172" i="6"/>
  <c r="AJ117" i="6"/>
  <c r="AG118" i="6" s="1"/>
  <c r="AG156" i="6"/>
  <c r="AG159" i="6"/>
  <c r="AG135" i="6"/>
  <c r="AG122" i="6"/>
  <c r="AG145" i="6"/>
  <c r="AG151" i="6"/>
  <c r="AG164" i="6"/>
  <c r="AG168" i="6"/>
  <c r="AG134" i="6"/>
  <c r="AG121" i="6"/>
  <c r="AG147" i="6"/>
  <c r="AG148" i="6"/>
  <c r="AG144" i="6"/>
  <c r="AG138" i="6"/>
  <c r="AG125" i="6"/>
  <c r="AG137" i="6"/>
  <c r="AG178" i="6"/>
  <c r="AG170" i="6"/>
  <c r="AG174" i="6"/>
  <c r="AG161" i="6"/>
  <c r="AG129" i="6"/>
  <c r="AG162" i="6"/>
  <c r="AG160" i="6"/>
  <c r="AG146" i="6"/>
  <c r="AF119" i="6"/>
  <c r="AG120" i="6"/>
  <c r="AG176" i="6"/>
  <c r="AG154" i="6"/>
  <c r="AG149" i="6"/>
  <c r="AG163" i="6"/>
  <c r="AG175" i="6"/>
  <c r="AG142" i="6"/>
  <c r="AG136" i="6"/>
  <c r="AG171" i="6"/>
  <c r="AG157" i="6"/>
  <c r="AG132" i="6"/>
  <c r="AG133" i="6"/>
  <c r="AG126" i="6"/>
  <c r="AG166" i="6"/>
  <c r="AG177" i="6"/>
  <c r="AG169" i="6"/>
  <c r="AG143" i="6"/>
  <c r="AG153" i="6"/>
  <c r="AG139" i="6"/>
  <c r="AG141" i="6"/>
  <c r="AG127" i="6"/>
  <c r="AG155" i="6"/>
  <c r="AG119" i="6"/>
  <c r="AJ119" i="6" s="1"/>
  <c r="AG128" i="6"/>
  <c r="AG130" i="6"/>
  <c r="AG123" i="6"/>
  <c r="AG173" i="6"/>
  <c r="AG124" i="6"/>
  <c r="AG158" i="6"/>
  <c r="AG152" i="6"/>
  <c r="AG167" i="6"/>
  <c r="AG140" i="6"/>
  <c r="AG165" i="6"/>
  <c r="G352" i="8"/>
  <c r="AS168" i="6"/>
  <c r="AS126" i="6"/>
  <c r="AS136" i="6"/>
  <c r="AS163" i="6"/>
  <c r="AS161" i="6"/>
  <c r="AS165" i="6"/>
  <c r="AS178" i="6"/>
  <c r="AS175" i="6"/>
  <c r="AS129" i="6"/>
  <c r="AS121" i="6"/>
  <c r="AS122" i="6"/>
  <c r="AS149" i="6"/>
  <c r="AS128" i="6"/>
  <c r="AS134" i="6"/>
  <c r="AS154" i="6"/>
  <c r="AS173" i="6"/>
  <c r="AR119" i="6"/>
  <c r="AS170" i="6"/>
  <c r="AS144" i="6"/>
  <c r="AS164" i="6"/>
  <c r="AS166" i="6"/>
  <c r="AS157" i="6"/>
  <c r="AS158" i="6"/>
  <c r="AS145" i="6"/>
  <c r="AS156" i="6"/>
  <c r="AS171" i="6"/>
  <c r="AS133" i="6"/>
  <c r="AS177" i="6"/>
  <c r="AV117" i="6"/>
  <c r="AS118" i="6" s="1"/>
  <c r="AS155" i="6"/>
  <c r="AS153" i="6"/>
  <c r="AS119" i="6"/>
  <c r="AV119" i="6" s="1"/>
  <c r="AS159" i="6"/>
  <c r="AS150" i="6"/>
  <c r="AS148" i="6"/>
  <c r="AS138" i="6"/>
  <c r="AS124" i="6"/>
  <c r="AS147" i="6"/>
  <c r="AS174" i="6"/>
  <c r="AS123" i="6"/>
  <c r="AS125" i="6"/>
  <c r="AS151" i="6"/>
  <c r="AS172" i="6"/>
  <c r="AS160" i="6"/>
  <c r="AS127" i="6"/>
  <c r="AS142" i="6"/>
  <c r="AS152" i="6"/>
  <c r="AS139" i="6"/>
  <c r="AS131" i="6"/>
  <c r="AS137" i="6"/>
  <c r="AS143" i="6"/>
  <c r="AS169" i="6"/>
  <c r="AS120" i="6"/>
  <c r="AS146" i="6"/>
  <c r="AS135" i="6"/>
  <c r="AS132" i="6"/>
  <c r="AS176" i="6"/>
  <c r="AS141" i="6"/>
  <c r="AS167" i="6"/>
  <c r="AS140" i="6"/>
  <c r="AS130" i="6"/>
  <c r="AS162" i="6"/>
  <c r="S137" i="5"/>
  <c r="N239" i="11"/>
  <c r="E158" i="5"/>
  <c r="F158" i="5" s="1"/>
  <c r="G158" i="5" s="1"/>
  <c r="H158" i="5" s="1"/>
  <c r="Q157" i="3"/>
  <c r="Q159" i="3"/>
  <c r="Q160" i="3"/>
  <c r="J265" i="3"/>
  <c r="Q156" i="3"/>
  <c r="E313" i="3"/>
  <c r="J264" i="3"/>
  <c r="J263" i="3"/>
  <c r="J266" i="3"/>
  <c r="Q158" i="3"/>
  <c r="J262" i="3"/>
  <c r="Q161" i="3"/>
  <c r="B20" i="6"/>
  <c r="B151" i="14"/>
  <c r="F267" i="3"/>
  <c r="K274" i="3"/>
  <c r="BJ131" i="6"/>
  <c r="BN131" i="6"/>
  <c r="D64" i="6"/>
  <c r="E64" i="6"/>
  <c r="H64" i="6"/>
  <c r="I64" i="6"/>
  <c r="D76" i="6"/>
  <c r="F64" i="6"/>
  <c r="G64" i="6"/>
  <c r="G67" i="6"/>
  <c r="H67" i="6"/>
  <c r="D67" i="6"/>
  <c r="E67" i="6"/>
  <c r="I67" i="6"/>
  <c r="F67" i="6"/>
  <c r="A20" i="12"/>
  <c r="P190" i="3"/>
  <c r="D274" i="11" s="1"/>
  <c r="C34" i="9"/>
  <c r="C14" i="9"/>
  <c r="C29" i="9"/>
  <c r="C24" i="9"/>
  <c r="C32" i="9"/>
  <c r="C21" i="9"/>
  <c r="C42" i="9"/>
  <c r="C31" i="9"/>
  <c r="C40" i="9"/>
  <c r="C26" i="9"/>
  <c r="C30" i="9"/>
  <c r="C18" i="9"/>
  <c r="C28" i="9"/>
  <c r="C38" i="9"/>
  <c r="C19" i="9"/>
  <c r="C35" i="9"/>
  <c r="C33" i="9"/>
  <c r="C39" i="9"/>
  <c r="C37" i="9"/>
  <c r="C17" i="9"/>
  <c r="C27" i="9"/>
  <c r="C36" i="9"/>
  <c r="C25" i="9"/>
  <c r="C15" i="9"/>
  <c r="C16" i="9"/>
  <c r="C20" i="9"/>
  <c r="U138" i="5"/>
  <c r="U143" i="5" s="1"/>
  <c r="G143" i="5"/>
  <c r="E354" i="8"/>
  <c r="N328" i="8"/>
  <c r="C36" i="11"/>
  <c r="P79" i="5"/>
  <c r="Q181" i="3"/>
  <c r="Q185" i="3"/>
  <c r="Q180" i="3"/>
  <c r="Q186" i="3" s="1"/>
  <c r="Q182" i="3"/>
  <c r="E316" i="3"/>
  <c r="Q184" i="3"/>
  <c r="Q183" i="3"/>
  <c r="M265" i="3"/>
  <c r="M262" i="3"/>
  <c r="M266" i="3"/>
  <c r="M263" i="3"/>
  <c r="M264" i="3"/>
  <c r="B84" i="11"/>
  <c r="B89" i="11" s="1"/>
  <c r="J355" i="8"/>
  <c r="J357" i="8" s="1"/>
  <c r="K232" i="11" s="1"/>
  <c r="K238" i="11" s="1"/>
  <c r="K239" i="11" s="1"/>
  <c r="R148" i="3"/>
  <c r="R150" i="3"/>
  <c r="F312" i="3"/>
  <c r="F318" i="3" s="1"/>
  <c r="R149" i="3"/>
  <c r="R187" i="3" s="1"/>
  <c r="R153" i="3"/>
  <c r="R151" i="3"/>
  <c r="R189" i="3" s="1"/>
  <c r="R152" i="3"/>
  <c r="I270" i="3"/>
  <c r="I271" i="3"/>
  <c r="I273" i="3"/>
  <c r="I272" i="3"/>
  <c r="I269" i="3"/>
  <c r="L271" i="3"/>
  <c r="L269" i="3"/>
  <c r="L263" i="3"/>
  <c r="P336" i="8"/>
  <c r="P355" i="8" s="1"/>
  <c r="P235" i="8"/>
  <c r="M238" i="11"/>
  <c r="B288" i="11"/>
  <c r="B247" i="11"/>
  <c r="B256" i="11" s="1"/>
  <c r="B257" i="11" s="1"/>
  <c r="B259" i="11" s="1"/>
  <c r="E116" i="9"/>
  <c r="D5" i="15"/>
  <c r="D106" i="12"/>
  <c r="C191" i="11"/>
  <c r="B129" i="12" s="1"/>
  <c r="C64" i="11"/>
  <c r="N347" i="8"/>
  <c r="E24" i="11"/>
  <c r="N265" i="8"/>
  <c r="N346" i="8" s="1"/>
  <c r="C173" i="5"/>
  <c r="I154" i="6"/>
  <c r="I129" i="6"/>
  <c r="I146" i="6"/>
  <c r="I158" i="6"/>
  <c r="I119" i="6"/>
  <c r="C119" i="6" s="1"/>
  <c r="C250" i="6" s="1"/>
  <c r="I164" i="6"/>
  <c r="I165" i="6"/>
  <c r="I147" i="6"/>
  <c r="I173" i="6"/>
  <c r="I160" i="6"/>
  <c r="I136" i="6"/>
  <c r="I171" i="6"/>
  <c r="I162" i="6"/>
  <c r="I151" i="6"/>
  <c r="L117" i="6"/>
  <c r="I159" i="6"/>
  <c r="I127" i="6"/>
  <c r="I138" i="6"/>
  <c r="I177" i="6"/>
  <c r="I140" i="6"/>
  <c r="I124" i="6"/>
  <c r="I120" i="6"/>
  <c r="C120" i="6" s="1"/>
  <c r="C251" i="6" s="1"/>
  <c r="I141" i="6"/>
  <c r="I153" i="6"/>
  <c r="I139" i="6"/>
  <c r="I176" i="6"/>
  <c r="I122" i="6"/>
  <c r="I133" i="6"/>
  <c r="I144" i="6"/>
  <c r="I174" i="6"/>
  <c r="I128" i="6"/>
  <c r="F118" i="6"/>
  <c r="F249" i="6" s="1"/>
  <c r="C12" i="12" s="1"/>
  <c r="I168" i="6"/>
  <c r="I143" i="6"/>
  <c r="I150" i="6"/>
  <c r="I169" i="6"/>
  <c r="I172" i="6"/>
  <c r="I152" i="6"/>
  <c r="I131" i="6"/>
  <c r="I170" i="6"/>
  <c r="I157" i="6"/>
  <c r="H119" i="6"/>
  <c r="B119" i="6" s="1"/>
  <c r="B250" i="6" s="1"/>
  <c r="I163" i="6"/>
  <c r="I134" i="6"/>
  <c r="I130" i="6"/>
  <c r="I149" i="6"/>
  <c r="I142" i="6"/>
  <c r="I161" i="6"/>
  <c r="I155" i="6"/>
  <c r="I167" i="6"/>
  <c r="I126" i="6"/>
  <c r="I137" i="6"/>
  <c r="I156" i="6"/>
  <c r="I148" i="6"/>
  <c r="I145" i="6"/>
  <c r="I178" i="6"/>
  <c r="I123" i="6"/>
  <c r="I175" i="6"/>
  <c r="I135" i="6"/>
  <c r="I125" i="6"/>
  <c r="I121" i="6"/>
  <c r="C121" i="6" s="1"/>
  <c r="C252" i="6" s="1"/>
  <c r="I166" i="6"/>
  <c r="I132" i="6"/>
  <c r="F66" i="6"/>
  <c r="H66" i="6"/>
  <c r="I66" i="6"/>
  <c r="E66" i="6"/>
  <c r="D66" i="6"/>
  <c r="G66" i="6"/>
  <c r="D9" i="15"/>
  <c r="E124" i="9"/>
  <c r="B44" i="6"/>
  <c r="B167" i="14"/>
  <c r="C53" i="11"/>
  <c r="B25" i="12" s="1"/>
  <c r="D53" i="11"/>
  <c r="B24" i="12" s="1"/>
  <c r="E88" i="12"/>
  <c r="P82" i="5"/>
  <c r="H188" i="6"/>
  <c r="B188" i="6" s="1"/>
  <c r="L188" i="6"/>
  <c r="F187" i="6"/>
  <c r="E87" i="12"/>
  <c r="C52" i="11"/>
  <c r="C69" i="11"/>
  <c r="F31" i="12" s="1"/>
  <c r="G31" i="12" s="1"/>
  <c r="C70" i="11"/>
  <c r="F32" i="12" s="1"/>
  <c r="G32" i="12" s="1"/>
  <c r="B74" i="12"/>
  <c r="C72" i="11"/>
  <c r="F34" i="12" s="1"/>
  <c r="G34" i="12" s="1"/>
  <c r="C75" i="11"/>
  <c r="F37" i="12" s="1"/>
  <c r="G37" i="12" s="1"/>
  <c r="C67" i="11"/>
  <c r="F29" i="12" s="1"/>
  <c r="G29" i="12" s="1"/>
  <c r="C71" i="11"/>
  <c r="F33" i="12" s="1"/>
  <c r="G33" i="12" s="1"/>
  <c r="C65" i="11"/>
  <c r="F27" i="12" s="1"/>
  <c r="G27" i="12" s="1"/>
  <c r="F328" i="3"/>
  <c r="I101" i="11"/>
  <c r="J101" i="11" s="1"/>
  <c r="E328" i="3"/>
  <c r="E338" i="3" s="1"/>
  <c r="B210" i="11" s="1"/>
  <c r="C142" i="12" s="1"/>
  <c r="C328" i="3"/>
  <c r="C338" i="3" s="1"/>
  <c r="B208" i="11" s="1"/>
  <c r="C140" i="12" s="1"/>
  <c r="D328" i="3"/>
  <c r="G328" i="3"/>
  <c r="B328" i="3"/>
  <c r="B5" i="15"/>
  <c r="B106" i="12"/>
  <c r="C230" i="11"/>
  <c r="C239" i="11" s="1"/>
  <c r="B270" i="11"/>
  <c r="B276" i="11" s="1"/>
  <c r="S148" i="5"/>
  <c r="T169" i="5" s="1"/>
  <c r="AX120" i="6"/>
  <c r="BB120" i="6"/>
  <c r="N305" i="8"/>
  <c r="G346" i="8"/>
  <c r="S149" i="5"/>
  <c r="T170" i="5" s="1"/>
  <c r="Q357" i="8"/>
  <c r="P320" i="8"/>
  <c r="P353" i="8" s="1"/>
  <c r="P233" i="8"/>
  <c r="E160" i="5"/>
  <c r="F160" i="5" s="1"/>
  <c r="G160" i="5" s="1"/>
  <c r="H160" i="5" s="1"/>
  <c r="N188" i="6"/>
  <c r="R188" i="6"/>
  <c r="J98" i="11"/>
  <c r="C39" i="11"/>
  <c r="D68" i="6"/>
  <c r="G68" i="6"/>
  <c r="F68" i="6"/>
  <c r="I68" i="6"/>
  <c r="E68" i="6"/>
  <c r="H68" i="6"/>
  <c r="D293" i="11"/>
  <c r="R200" i="3"/>
  <c r="R186" i="3"/>
  <c r="F64" i="3"/>
  <c r="O204" i="3"/>
  <c r="O224" i="3" s="1"/>
  <c r="F260" i="3"/>
  <c r="E20" i="11"/>
  <c r="B40" i="6"/>
  <c r="B163" i="14"/>
  <c r="K260" i="3"/>
  <c r="O232" i="8"/>
  <c r="O312" i="8"/>
  <c r="O352" i="8" s="1"/>
  <c r="C270" i="11"/>
  <c r="B164" i="14"/>
  <c r="B41" i="6"/>
  <c r="D239" i="11"/>
  <c r="P83" i="5"/>
  <c r="C33" i="11"/>
  <c r="E162" i="5"/>
  <c r="F162" i="5" s="1"/>
  <c r="G162" i="5" s="1"/>
  <c r="H162" i="5" s="1"/>
  <c r="Q346" i="8"/>
  <c r="P191" i="3"/>
  <c r="D275" i="11" s="1"/>
  <c r="P189" i="3"/>
  <c r="D273" i="11" s="1"/>
  <c r="E19" i="11"/>
  <c r="N307" i="8"/>
  <c r="E17" i="11"/>
  <c r="Q190" i="3"/>
  <c r="G72" i="6"/>
  <c r="D72" i="6"/>
  <c r="E72" i="6"/>
  <c r="F72" i="6"/>
  <c r="K355" i="8"/>
  <c r="K357" i="8" s="1"/>
  <c r="L232" i="11" s="1"/>
  <c r="L238" i="11" s="1"/>
  <c r="L239" i="11" s="1"/>
  <c r="Q149" i="3"/>
  <c r="Q148" i="3"/>
  <c r="E312" i="3"/>
  <c r="E318" i="3" s="1"/>
  <c r="Q150" i="3"/>
  <c r="Q188" i="3" s="1"/>
  <c r="Q151" i="3"/>
  <c r="Q189" i="3" s="1"/>
  <c r="Q153" i="3"/>
  <c r="Q152" i="3"/>
  <c r="I264" i="3"/>
  <c r="I266" i="3"/>
  <c r="I265" i="3"/>
  <c r="I263" i="3"/>
  <c r="I262" i="3"/>
  <c r="L270" i="3"/>
  <c r="L266" i="3"/>
  <c r="L262" i="3"/>
  <c r="BT123" i="6"/>
  <c r="BP123" i="6"/>
  <c r="R209" i="3"/>
  <c r="B45" i="6"/>
  <c r="B168" i="14"/>
  <c r="C40" i="11"/>
  <c r="O226" i="8"/>
  <c r="O238" i="8" s="1"/>
  <c r="D162" i="11" s="1"/>
  <c r="D164" i="11" s="1"/>
  <c r="O264" i="8"/>
  <c r="O346" i="8" s="1"/>
  <c r="L180" i="5"/>
  <c r="C1" i="12"/>
  <c r="E16" i="11"/>
  <c r="B26" i="11"/>
  <c r="B26" i="12"/>
  <c r="E89" i="12"/>
  <c r="C54" i="11"/>
  <c r="D54" i="11"/>
  <c r="B27" i="12" s="1"/>
  <c r="C85" i="5"/>
  <c r="D85" i="5" s="1"/>
  <c r="E85" i="5" s="1"/>
  <c r="F85" i="5" s="1"/>
  <c r="G85" i="5" s="1"/>
  <c r="H85" i="5" s="1"/>
  <c r="I85" i="5" s="1"/>
  <c r="J85" i="5" s="1"/>
  <c r="K85" i="5" s="1"/>
  <c r="L85" i="5" s="1"/>
  <c r="M85" i="5" s="1"/>
  <c r="N268" i="8"/>
  <c r="B291" i="11"/>
  <c r="X188" i="6"/>
  <c r="T188" i="6"/>
  <c r="N314" i="8"/>
  <c r="C42" i="11"/>
  <c r="M239" i="11"/>
  <c r="D332" i="3"/>
  <c r="C332" i="3"/>
  <c r="I105" i="11"/>
  <c r="J105" i="11" s="1"/>
  <c r="B332" i="3"/>
  <c r="B338" i="3" s="1"/>
  <c r="G332" i="3"/>
  <c r="E332" i="3"/>
  <c r="F332" i="3"/>
  <c r="E336" i="3"/>
  <c r="B336" i="3"/>
  <c r="C336" i="3"/>
  <c r="I109" i="11"/>
  <c r="J109" i="11" s="1"/>
  <c r="G336" i="3"/>
  <c r="D336" i="3"/>
  <c r="F336" i="3"/>
  <c r="C80" i="5"/>
  <c r="D80" i="5" s="1"/>
  <c r="E80" i="5" s="1"/>
  <c r="F80" i="5" s="1"/>
  <c r="G80" i="5" s="1"/>
  <c r="H80" i="5" s="1"/>
  <c r="I80" i="5" s="1"/>
  <c r="J80" i="5" s="1"/>
  <c r="K80" i="5" s="1"/>
  <c r="L80" i="5" s="1"/>
  <c r="M80" i="5" s="1"/>
  <c r="C26" i="11"/>
  <c r="B147" i="14"/>
  <c r="B16" i="6"/>
  <c r="D173" i="5"/>
  <c r="C169" i="5"/>
  <c r="O191" i="3"/>
  <c r="C275" i="11" s="1"/>
  <c r="B152" i="14"/>
  <c r="B21" i="6"/>
  <c r="D253" i="3"/>
  <c r="BB189" i="6"/>
  <c r="AX189" i="6"/>
  <c r="H352" i="8"/>
  <c r="F352" i="8"/>
  <c r="D274" i="3"/>
  <c r="G338" i="3"/>
  <c r="B212" i="11" s="1"/>
  <c r="C144" i="12" s="1"/>
  <c r="G354" i="8"/>
  <c r="R191" i="3"/>
  <c r="R188" i="3"/>
  <c r="B149" i="14"/>
  <c r="B18" i="6"/>
  <c r="B169" i="14"/>
  <c r="B46" i="6"/>
  <c r="B104" i="6"/>
  <c r="AA170" i="6"/>
  <c r="AA162" i="6"/>
  <c r="AA129" i="6"/>
  <c r="AA144" i="6"/>
  <c r="AA124" i="6"/>
  <c r="AA168" i="6"/>
  <c r="AA178" i="6"/>
  <c r="AA161" i="6"/>
  <c r="AA120" i="6"/>
  <c r="AA169" i="6"/>
  <c r="AA132" i="6"/>
  <c r="AA155" i="6"/>
  <c r="AA174" i="6"/>
  <c r="AA127" i="6"/>
  <c r="AA166" i="6"/>
  <c r="AA145" i="6"/>
  <c r="Z119" i="6"/>
  <c r="AA156" i="6"/>
  <c r="AA135" i="6"/>
  <c r="AA163" i="6"/>
  <c r="AD117" i="6"/>
  <c r="AA118" i="6" s="1"/>
  <c r="AA121" i="6"/>
  <c r="AA122" i="6"/>
  <c r="AA138" i="6"/>
  <c r="AA164" i="6"/>
  <c r="AA125" i="6"/>
  <c r="AA134" i="6"/>
  <c r="AA142" i="6"/>
  <c r="AA133" i="6"/>
  <c r="AA172" i="6"/>
  <c r="AA137" i="6"/>
  <c r="AA176" i="6"/>
  <c r="AA143" i="6"/>
  <c r="AA177" i="6"/>
  <c r="AA167" i="6"/>
  <c r="AA149" i="6"/>
  <c r="AA126" i="6"/>
  <c r="AA119" i="6"/>
  <c r="AD119" i="6" s="1"/>
  <c r="AA136" i="6"/>
  <c r="AA141" i="6"/>
  <c r="AA139" i="6"/>
  <c r="AA128" i="6"/>
  <c r="AA151" i="6"/>
  <c r="AA147" i="6"/>
  <c r="AA157" i="6"/>
  <c r="AA152" i="6"/>
  <c r="AA150" i="6"/>
  <c r="AA165" i="6"/>
  <c r="AA130" i="6"/>
  <c r="AA154" i="6"/>
  <c r="AA148" i="6"/>
  <c r="AA153" i="6"/>
  <c r="AA173" i="6"/>
  <c r="AA160" i="6"/>
  <c r="AA159" i="6"/>
  <c r="AA131" i="6"/>
  <c r="AA171" i="6"/>
  <c r="AA146" i="6"/>
  <c r="AA140" i="6"/>
  <c r="AA175" i="6"/>
  <c r="AA123" i="6"/>
  <c r="AA158" i="6"/>
  <c r="N235" i="8"/>
  <c r="O187" i="3"/>
  <c r="C271" i="11" s="1"/>
  <c r="E21" i="11"/>
  <c r="S152" i="5"/>
  <c r="T173" i="5" s="1"/>
  <c r="P78" i="5"/>
  <c r="N315" i="8"/>
  <c r="D71" i="6"/>
  <c r="E71" i="6"/>
  <c r="G71" i="6"/>
  <c r="F71" i="6"/>
  <c r="Q209" i="3"/>
  <c r="R346" i="8"/>
  <c r="R357" i="8" s="1"/>
  <c r="P187" i="3"/>
  <c r="P200" i="3"/>
  <c r="P188" i="3"/>
  <c r="D272" i="11" s="1"/>
  <c r="C193" i="11"/>
  <c r="B132" i="12" s="1"/>
  <c r="C132" i="12" s="1"/>
  <c r="B17" i="6"/>
  <c r="B148" i="14"/>
  <c r="C83" i="5"/>
  <c r="D83" i="5" s="1"/>
  <c r="E83" i="5" s="1"/>
  <c r="F83" i="5" s="1"/>
  <c r="G83" i="5" s="1"/>
  <c r="H83" i="5" s="1"/>
  <c r="I83" i="5" s="1"/>
  <c r="J83" i="5" s="1"/>
  <c r="K83" i="5" s="1"/>
  <c r="L83" i="5" s="1"/>
  <c r="M83" i="5" s="1"/>
  <c r="U83" i="5" s="1"/>
  <c r="B146" i="14"/>
  <c r="B15" i="6"/>
  <c r="S147" i="5"/>
  <c r="T168" i="5" s="1"/>
  <c r="Q191" i="3"/>
  <c r="Q187" i="3"/>
  <c r="C84" i="11"/>
  <c r="N332" i="8"/>
  <c r="R204" i="3"/>
  <c r="R224" i="3" s="1"/>
  <c r="C38" i="11"/>
  <c r="O190" i="3"/>
  <c r="C274" i="11" s="1"/>
  <c r="G65" i="6"/>
  <c r="F65" i="6"/>
  <c r="I65" i="6"/>
  <c r="D65" i="6"/>
  <c r="H65" i="6"/>
  <c r="E65" i="6"/>
  <c r="I355" i="8"/>
  <c r="I357" i="8" s="1"/>
  <c r="J232" i="11" s="1"/>
  <c r="J238" i="11" s="1"/>
  <c r="J239" i="11" s="1"/>
  <c r="L272" i="3"/>
  <c r="L264" i="3"/>
  <c r="O516" i="8"/>
  <c r="B145" i="14"/>
  <c r="B14" i="6"/>
  <c r="C66" i="11"/>
  <c r="F28" i="12" s="1"/>
  <c r="G28" i="12" s="1"/>
  <c r="S153" i="5"/>
  <c r="T174" i="5" s="1"/>
  <c r="C207" i="12"/>
  <c r="B209" i="12" s="1"/>
  <c r="B330" i="11"/>
  <c r="B336" i="11" s="1"/>
  <c r="E76" i="11"/>
  <c r="T79" i="5" l="1"/>
  <c r="S138" i="5"/>
  <c r="S143" i="5" s="1"/>
  <c r="T84" i="5"/>
  <c r="T82" i="5"/>
  <c r="U85" i="5"/>
  <c r="U81" i="5"/>
  <c r="D169" i="5"/>
  <c r="C123" i="6"/>
  <c r="C254" i="6" s="1"/>
  <c r="C374" i="11" s="1"/>
  <c r="C127" i="6"/>
  <c r="C258" i="6" s="1"/>
  <c r="C125" i="6"/>
  <c r="C256" i="6" s="1"/>
  <c r="I250" i="11" s="1"/>
  <c r="I255" i="11" s="1"/>
  <c r="I256" i="11" s="1"/>
  <c r="I257" i="11" s="1"/>
  <c r="D167" i="5"/>
  <c r="N80" i="5"/>
  <c r="S80" i="5" s="1"/>
  <c r="N84" i="5"/>
  <c r="S84" i="5" s="1"/>
  <c r="T78" i="5"/>
  <c r="C126" i="6"/>
  <c r="C257" i="6" s="1"/>
  <c r="C377" i="11" s="1"/>
  <c r="C122" i="6"/>
  <c r="C253" i="6" s="1"/>
  <c r="C373" i="11" s="1"/>
  <c r="L119" i="6"/>
  <c r="L120" i="6" s="1"/>
  <c r="C199" i="5"/>
  <c r="C201" i="5" s="1"/>
  <c r="C16" i="15" s="1"/>
  <c r="N81" i="5"/>
  <c r="S81" i="5" s="1"/>
  <c r="T81" i="5"/>
  <c r="C124" i="6"/>
  <c r="C255" i="6" s="1"/>
  <c r="C375" i="11" s="1"/>
  <c r="F140" i="12"/>
  <c r="G140" i="12"/>
  <c r="B140" i="12"/>
  <c r="E140" i="12"/>
  <c r="A140" i="12" s="1"/>
  <c r="Q192" i="3"/>
  <c r="F531" i="8"/>
  <c r="F532" i="8"/>
  <c r="F535" i="8"/>
  <c r="C162" i="11"/>
  <c r="C164" i="11" s="1"/>
  <c r="F534" i="8"/>
  <c r="F528" i="8"/>
  <c r="F529" i="8"/>
  <c r="F524" i="8"/>
  <c r="F533" i="8"/>
  <c r="F530" i="8"/>
  <c r="F525" i="8"/>
  <c r="F527" i="8"/>
  <c r="F526" i="8"/>
  <c r="B142" i="12"/>
  <c r="F142" i="12"/>
  <c r="G142" i="12"/>
  <c r="E142" i="12"/>
  <c r="A142" i="12" s="1"/>
  <c r="C258" i="11"/>
  <c r="B304" i="11" s="1"/>
  <c r="F141" i="12"/>
  <c r="E141" i="12"/>
  <c r="A141" i="12" s="1"/>
  <c r="B141" i="12"/>
  <c r="G141" i="12"/>
  <c r="X120" i="6"/>
  <c r="T120" i="6"/>
  <c r="D209" i="12"/>
  <c r="H207" i="12"/>
  <c r="G207" i="12"/>
  <c r="G211" i="12"/>
  <c r="F207" i="12"/>
  <c r="H338" i="3"/>
  <c r="B207" i="11"/>
  <c r="C139" i="12" s="1"/>
  <c r="B143" i="12"/>
  <c r="G143" i="12"/>
  <c r="E143" i="12"/>
  <c r="D280" i="11"/>
  <c r="E166" i="11"/>
  <c r="R120" i="6"/>
  <c r="N120" i="6"/>
  <c r="X189" i="6"/>
  <c r="T189" i="6"/>
  <c r="BP124" i="6"/>
  <c r="BT124" i="6"/>
  <c r="I267" i="3"/>
  <c r="T83" i="5"/>
  <c r="F40" i="6"/>
  <c r="E40" i="6"/>
  <c r="H40" i="6"/>
  <c r="I40" i="6"/>
  <c r="G40" i="6"/>
  <c r="D40" i="6"/>
  <c r="N189" i="6"/>
  <c r="R189" i="6"/>
  <c r="G357" i="8"/>
  <c r="H232" i="11" s="1"/>
  <c r="H238" i="11" s="1"/>
  <c r="H239" i="11" s="1"/>
  <c r="A29" i="12"/>
  <c r="G124" i="9"/>
  <c r="H124" i="9"/>
  <c r="F124" i="9"/>
  <c r="C132" i="6"/>
  <c r="C263" i="6" s="1"/>
  <c r="C383" i="11" s="1"/>
  <c r="C135" i="6"/>
  <c r="C266" i="6" s="1"/>
  <c r="C386" i="11" s="1"/>
  <c r="C145" i="6"/>
  <c r="C276" i="6" s="1"/>
  <c r="C396" i="11" s="1"/>
  <c r="J250" i="11"/>
  <c r="J255" i="11" s="1"/>
  <c r="J256" i="11" s="1"/>
  <c r="J257" i="11" s="1"/>
  <c r="C142" i="6"/>
  <c r="C273" i="6" s="1"/>
  <c r="C393" i="11" s="1"/>
  <c r="C163" i="6"/>
  <c r="C294" i="6" s="1"/>
  <c r="C131" i="6"/>
  <c r="C262" i="6" s="1"/>
  <c r="C150" i="6"/>
  <c r="C281" i="6" s="1"/>
  <c r="C401" i="11" s="1"/>
  <c r="C128" i="6"/>
  <c r="C259" i="6" s="1"/>
  <c r="C141" i="6"/>
  <c r="C272" i="6" s="1"/>
  <c r="C392" i="11" s="1"/>
  <c r="C177" i="6"/>
  <c r="C308" i="6" s="1"/>
  <c r="C171" i="6"/>
  <c r="C302" i="6" s="1"/>
  <c r="C147" i="6"/>
  <c r="C278" i="6" s="1"/>
  <c r="C398" i="11" s="1"/>
  <c r="C158" i="6"/>
  <c r="C289" i="6" s="1"/>
  <c r="F26" i="12"/>
  <c r="G26" i="12" s="1"/>
  <c r="B34" i="12"/>
  <c r="C76" i="11"/>
  <c r="C33" i="12"/>
  <c r="B33" i="12" s="1"/>
  <c r="A46" i="11"/>
  <c r="A30" i="15"/>
  <c r="F76" i="6"/>
  <c r="E76" i="6"/>
  <c r="AF120" i="6"/>
  <c r="AJ120" i="6"/>
  <c r="T85" i="5"/>
  <c r="U78" i="5"/>
  <c r="N351" i="8"/>
  <c r="N357" i="8" s="1"/>
  <c r="Q210" i="3"/>
  <c r="E332" i="11"/>
  <c r="Q220" i="3"/>
  <c r="Q233" i="3" s="1"/>
  <c r="AP190" i="6"/>
  <c r="AL190" i="6"/>
  <c r="P231" i="8"/>
  <c r="P304" i="8"/>
  <c r="P351" i="8" s="1"/>
  <c r="AV189" i="6"/>
  <c r="AR189" i="6"/>
  <c r="B199" i="5"/>
  <c r="B201" i="5" s="1"/>
  <c r="B16" i="15" s="1"/>
  <c r="B320" i="11"/>
  <c r="U82" i="5"/>
  <c r="N253" i="3"/>
  <c r="D317" i="11" s="1"/>
  <c r="H93" i="1"/>
  <c r="H94" i="1" s="1"/>
  <c r="I79" i="1"/>
  <c r="H80" i="14"/>
  <c r="H94" i="14" s="1"/>
  <c r="H95" i="14" s="1"/>
  <c r="A39" i="11"/>
  <c r="D81" i="12" s="1"/>
  <c r="G39" i="6"/>
  <c r="D39" i="6"/>
  <c r="H39" i="6"/>
  <c r="D51" i="6"/>
  <c r="F39" i="6"/>
  <c r="E39" i="6"/>
  <c r="I39" i="6"/>
  <c r="O213" i="3"/>
  <c r="C280" i="11"/>
  <c r="D166" i="11"/>
  <c r="Z120" i="6"/>
  <c r="AD120" i="6"/>
  <c r="D38" i="12"/>
  <c r="I15" i="6"/>
  <c r="D15" i="6"/>
  <c r="G15" i="6"/>
  <c r="H15" i="6"/>
  <c r="F15" i="6"/>
  <c r="E15" i="6"/>
  <c r="E46" i="6"/>
  <c r="D46" i="6"/>
  <c r="F46" i="6"/>
  <c r="G46" i="6"/>
  <c r="D21" i="6"/>
  <c r="F21" i="6"/>
  <c r="G21" i="6"/>
  <c r="E21" i="6"/>
  <c r="O357" i="8"/>
  <c r="C278" i="11" s="1"/>
  <c r="C284" i="11" s="1"/>
  <c r="D45" i="6"/>
  <c r="E45" i="6"/>
  <c r="L267" i="3"/>
  <c r="C172" i="5"/>
  <c r="R192" i="3"/>
  <c r="I110" i="11"/>
  <c r="C166" i="6"/>
  <c r="C297" i="6" s="1"/>
  <c r="C175" i="6"/>
  <c r="C306" i="6" s="1"/>
  <c r="C148" i="6"/>
  <c r="C279" i="6" s="1"/>
  <c r="C399" i="11" s="1"/>
  <c r="C167" i="6"/>
  <c r="C298" i="6" s="1"/>
  <c r="C149" i="6"/>
  <c r="C280" i="6" s="1"/>
  <c r="C400" i="11" s="1"/>
  <c r="B370" i="11"/>
  <c r="C152" i="6"/>
  <c r="C283" i="6" s="1"/>
  <c r="C403" i="11" s="1"/>
  <c r="C143" i="6"/>
  <c r="C274" i="6" s="1"/>
  <c r="C174" i="6"/>
  <c r="C305" i="6" s="1"/>
  <c r="C176" i="6"/>
  <c r="C307" i="6" s="1"/>
  <c r="C371" i="11"/>
  <c r="D250" i="11"/>
  <c r="D255" i="11" s="1"/>
  <c r="D256" i="11" s="1"/>
  <c r="C138" i="6"/>
  <c r="C269" i="6" s="1"/>
  <c r="C389" i="11" s="1"/>
  <c r="I118" i="6"/>
  <c r="D113" i="6"/>
  <c r="C136" i="6"/>
  <c r="C267" i="6" s="1"/>
  <c r="C387" i="11" s="1"/>
  <c r="C165" i="6"/>
  <c r="C296" i="6" s="1"/>
  <c r="C146" i="6"/>
  <c r="C277" i="6" s="1"/>
  <c r="C397" i="11" s="1"/>
  <c r="B136" i="12"/>
  <c r="F116" i="9"/>
  <c r="L274" i="3"/>
  <c r="M267" i="3"/>
  <c r="N354" i="8"/>
  <c r="F88" i="6"/>
  <c r="D80" i="6"/>
  <c r="E20" i="6"/>
  <c r="D20" i="6"/>
  <c r="Q208" i="3"/>
  <c r="AR120" i="6"/>
  <c r="AV120" i="6"/>
  <c r="G42" i="6"/>
  <c r="I42" i="6"/>
  <c r="H42" i="6"/>
  <c r="E42" i="6"/>
  <c r="F42" i="6"/>
  <c r="D42" i="6"/>
  <c r="H43" i="6"/>
  <c r="G43" i="6"/>
  <c r="E43" i="6"/>
  <c r="I43" i="6"/>
  <c r="F43" i="6"/>
  <c r="D43" i="6"/>
  <c r="AP122" i="6"/>
  <c r="AL122" i="6"/>
  <c r="E22" i="6"/>
  <c r="F22" i="6"/>
  <c r="G22" i="6"/>
  <c r="D22" i="6"/>
  <c r="M274" i="3"/>
  <c r="R211" i="3"/>
  <c r="N260" i="3"/>
  <c r="E317" i="11" s="1"/>
  <c r="E19" i="6"/>
  <c r="F19" i="6"/>
  <c r="D19" i="6"/>
  <c r="I19" i="6"/>
  <c r="G19" i="6"/>
  <c r="H19" i="6"/>
  <c r="P312" i="8"/>
  <c r="P352" i="8" s="1"/>
  <c r="P232" i="8"/>
  <c r="N82" i="5"/>
  <c r="S82" i="5" s="1"/>
  <c r="E164" i="5"/>
  <c r="F156" i="5"/>
  <c r="F357" i="8"/>
  <c r="G232" i="11" s="1"/>
  <c r="G238" i="11" s="1"/>
  <c r="G239" i="11" s="1"/>
  <c r="O233" i="3"/>
  <c r="D171" i="5"/>
  <c r="E14" i="6"/>
  <c r="D14" i="6"/>
  <c r="I14" i="6"/>
  <c r="H14" i="6"/>
  <c r="D26" i="6"/>
  <c r="G14" i="6"/>
  <c r="F14" i="6"/>
  <c r="P220" i="3"/>
  <c r="P233" i="3" s="1"/>
  <c r="P213" i="3"/>
  <c r="G144" i="12"/>
  <c r="B144" i="12"/>
  <c r="E26" i="11"/>
  <c r="Q207" i="3"/>
  <c r="Q213" i="3" s="1"/>
  <c r="I162" i="5"/>
  <c r="J162" i="5" s="1"/>
  <c r="K162" i="5" s="1"/>
  <c r="E172" i="5" s="1"/>
  <c r="D257" i="11"/>
  <c r="O192" i="3"/>
  <c r="R220" i="3"/>
  <c r="R233" i="3" s="1"/>
  <c r="J110" i="11"/>
  <c r="I160" i="5"/>
  <c r="J160" i="5" s="1"/>
  <c r="K160" i="5" s="1"/>
  <c r="E170" i="5" s="1"/>
  <c r="AX121" i="6"/>
  <c r="BB121" i="6"/>
  <c r="H189" i="6"/>
  <c r="B189" i="6" s="1"/>
  <c r="L189" i="6"/>
  <c r="F188" i="6"/>
  <c r="C372" i="11"/>
  <c r="E250" i="11"/>
  <c r="E255" i="11" s="1"/>
  <c r="E256" i="11" s="1"/>
  <c r="E257" i="11" s="1"/>
  <c r="C156" i="6"/>
  <c r="C287" i="6" s="1"/>
  <c r="C155" i="6"/>
  <c r="C286" i="6" s="1"/>
  <c r="C130" i="6"/>
  <c r="C261" i="6" s="1"/>
  <c r="C157" i="6"/>
  <c r="C288" i="6" s="1"/>
  <c r="C172" i="6"/>
  <c r="C303" i="6" s="1"/>
  <c r="C168" i="6"/>
  <c r="C299" i="6" s="1"/>
  <c r="C144" i="6"/>
  <c r="C275" i="6" s="1"/>
  <c r="C395" i="11" s="1"/>
  <c r="C139" i="6"/>
  <c r="C270" i="6" s="1"/>
  <c r="C390" i="11" s="1"/>
  <c r="H250" i="11"/>
  <c r="H255" i="11" s="1"/>
  <c r="H256" i="11" s="1"/>
  <c r="C378" i="11"/>
  <c r="K250" i="11"/>
  <c r="K255" i="11" s="1"/>
  <c r="K256" i="11" s="1"/>
  <c r="K257" i="11" s="1"/>
  <c r="C151" i="6"/>
  <c r="C282" i="6" s="1"/>
  <c r="C402" i="11" s="1"/>
  <c r="C160" i="6"/>
  <c r="C291" i="6" s="1"/>
  <c r="C164" i="6"/>
  <c r="C295" i="6" s="1"/>
  <c r="C129" i="6"/>
  <c r="C260" i="6" s="1"/>
  <c r="R207" i="3"/>
  <c r="I76" i="6"/>
  <c r="BJ132" i="6"/>
  <c r="BN132" i="6"/>
  <c r="I158" i="5"/>
  <c r="J158" i="5" s="1"/>
  <c r="K158" i="5" s="1"/>
  <c r="E168" i="5" s="1"/>
  <c r="D124" i="12"/>
  <c r="C124" i="12"/>
  <c r="P226" i="8"/>
  <c r="P238" i="8" s="1"/>
  <c r="E162" i="11" s="1"/>
  <c r="P264" i="8"/>
  <c r="P346" i="8" s="1"/>
  <c r="P357" i="8" s="1"/>
  <c r="D278" i="11" s="1"/>
  <c r="D284" i="11" s="1"/>
  <c r="BH129" i="6"/>
  <c r="BD129" i="6"/>
  <c r="AJ189" i="6"/>
  <c r="AF189" i="6"/>
  <c r="U79" i="5"/>
  <c r="J274" i="3"/>
  <c r="N352" i="8"/>
  <c r="E184" i="5"/>
  <c r="J106" i="9" s="1"/>
  <c r="C184" i="5"/>
  <c r="H106" i="9" s="1"/>
  <c r="D184" i="5"/>
  <c r="I106" i="9" s="1"/>
  <c r="C168" i="5"/>
  <c r="C121" i="12"/>
  <c r="D121" i="12"/>
  <c r="B128" i="12"/>
  <c r="C191" i="12"/>
  <c r="B208" i="12"/>
  <c r="A211" i="12"/>
  <c r="B207" i="12"/>
  <c r="A207" i="12" s="1"/>
  <c r="B210" i="12"/>
  <c r="N83" i="5"/>
  <c r="S83" i="5" s="1"/>
  <c r="G17" i="6"/>
  <c r="D17" i="6"/>
  <c r="H17" i="6"/>
  <c r="F17" i="6"/>
  <c r="E17" i="6"/>
  <c r="I17" i="6"/>
  <c r="D271" i="11"/>
  <c r="D276" i="11" s="1"/>
  <c r="D285" i="11" s="1"/>
  <c r="P192" i="3"/>
  <c r="I18" i="6"/>
  <c r="H18" i="6"/>
  <c r="D18" i="6"/>
  <c r="E18" i="6"/>
  <c r="F18" i="6"/>
  <c r="G18" i="6"/>
  <c r="BB190" i="6"/>
  <c r="AX190" i="6"/>
  <c r="H16" i="6"/>
  <c r="G16" i="6"/>
  <c r="I16" i="6"/>
  <c r="D16" i="6"/>
  <c r="F16" i="6"/>
  <c r="E16" i="6"/>
  <c r="T80" i="5"/>
  <c r="U80" i="5"/>
  <c r="N85" i="5"/>
  <c r="S85" i="5" s="1"/>
  <c r="F41" i="6"/>
  <c r="D41" i="6"/>
  <c r="H41" i="6"/>
  <c r="E41" i="6"/>
  <c r="G41" i="6"/>
  <c r="I41" i="6"/>
  <c r="C276" i="11"/>
  <c r="C285" i="11" s="1"/>
  <c r="C170" i="5"/>
  <c r="I44" i="6"/>
  <c r="D44" i="6"/>
  <c r="F44" i="6"/>
  <c r="G44" i="6"/>
  <c r="E44" i="6"/>
  <c r="H44" i="6"/>
  <c r="C178" i="6"/>
  <c r="C309" i="6" s="1"/>
  <c r="C137" i="6"/>
  <c r="C268" i="6" s="1"/>
  <c r="C388" i="11" s="1"/>
  <c r="C161" i="6"/>
  <c r="C292" i="6" s="1"/>
  <c r="C134" i="6"/>
  <c r="C265" i="6" s="1"/>
  <c r="C385" i="11" s="1"/>
  <c r="C170" i="6"/>
  <c r="C301" i="6" s="1"/>
  <c r="C169" i="6"/>
  <c r="C300" i="6" s="1"/>
  <c r="F368" i="11"/>
  <c r="A13" i="12"/>
  <c r="A368" i="11" s="1"/>
  <c r="C133" i="6"/>
  <c r="C264" i="6" s="1"/>
  <c r="C384" i="11" s="1"/>
  <c r="C153" i="6"/>
  <c r="C284" i="6" s="1"/>
  <c r="C404" i="11" s="1"/>
  <c r="C140" i="6"/>
  <c r="C271" i="6" s="1"/>
  <c r="C391" i="11" s="1"/>
  <c r="C159" i="6"/>
  <c r="C290" i="6" s="1"/>
  <c r="C162" i="6"/>
  <c r="C293" i="6" s="1"/>
  <c r="C173" i="6"/>
  <c r="C304" i="6" s="1"/>
  <c r="C250" i="11"/>
  <c r="C370" i="11"/>
  <c r="C154" i="6"/>
  <c r="C285" i="6" s="1"/>
  <c r="C405" i="11" s="1"/>
  <c r="B293" i="11"/>
  <c r="I274" i="3"/>
  <c r="N274" i="3" s="1"/>
  <c r="Q211" i="3"/>
  <c r="G76" i="6"/>
  <c r="H76" i="6"/>
  <c r="J267" i="3"/>
  <c r="J143" i="5"/>
  <c r="J151" i="5"/>
  <c r="J154" i="5" s="1"/>
  <c r="D199" i="5" s="1"/>
  <c r="D201" i="5" s="1"/>
  <c r="D16" i="15" s="1"/>
  <c r="N78" i="5"/>
  <c r="S78" i="5" s="1"/>
  <c r="E47" i="6"/>
  <c r="D47" i="6"/>
  <c r="F47" i="6"/>
  <c r="G47" i="6"/>
  <c r="N79" i="5"/>
  <c r="S79" i="5" s="1"/>
  <c r="N267" i="3"/>
  <c r="U84" i="5"/>
  <c r="R208" i="3"/>
  <c r="R213" i="3" s="1"/>
  <c r="T166" i="5"/>
  <c r="AD189" i="6"/>
  <c r="Z189" i="6"/>
  <c r="R210" i="3"/>
  <c r="E167" i="5"/>
  <c r="G250" i="11" l="1"/>
  <c r="G255" i="11" s="1"/>
  <c r="G256" i="11" s="1"/>
  <c r="G257" i="11" s="1"/>
  <c r="C376" i="11"/>
  <c r="F250" i="11"/>
  <c r="F255" i="11" s="1"/>
  <c r="F256" i="11" s="1"/>
  <c r="F257" i="11" s="1"/>
  <c r="F119" i="6"/>
  <c r="F250" i="6" s="1"/>
  <c r="E370" i="11" s="1"/>
  <c r="B318" i="6"/>
  <c r="B360" i="11" s="1"/>
  <c r="B362" i="11" s="1"/>
  <c r="H120" i="6"/>
  <c r="B120" i="6" s="1"/>
  <c r="B251" i="6" s="1"/>
  <c r="B371" i="11" s="1"/>
  <c r="K164" i="5"/>
  <c r="A51" i="15"/>
  <c r="A353" i="11"/>
  <c r="J107" i="9"/>
  <c r="D145" i="11"/>
  <c r="D146" i="11" s="1"/>
  <c r="BH130" i="6"/>
  <c r="BD130" i="6"/>
  <c r="N250" i="11"/>
  <c r="N255" i="11" s="1"/>
  <c r="N256" i="11" s="1"/>
  <c r="N257" i="11" s="1"/>
  <c r="C381" i="11"/>
  <c r="F189" i="6"/>
  <c r="H190" i="6"/>
  <c r="B190" i="6" s="1"/>
  <c r="L190" i="6"/>
  <c r="B88" i="6"/>
  <c r="D30" i="6"/>
  <c r="E26" i="6"/>
  <c r="F318" i="6"/>
  <c r="F321" i="6" s="1"/>
  <c r="AD121" i="6"/>
  <c r="Z121" i="6"/>
  <c r="D55" i="6"/>
  <c r="D88" i="6"/>
  <c r="B36" i="12"/>
  <c r="C35" i="12"/>
  <c r="B35" i="12" s="1"/>
  <c r="A56" i="11"/>
  <c r="A31" i="15"/>
  <c r="BP125" i="6"/>
  <c r="BT125" i="6"/>
  <c r="A143" i="12"/>
  <c r="A144" i="12"/>
  <c r="D530" i="8"/>
  <c r="C530" i="8"/>
  <c r="E530" i="8"/>
  <c r="B530" i="8"/>
  <c r="D528" i="8"/>
  <c r="E528" i="8"/>
  <c r="B528" i="8"/>
  <c r="C528" i="8"/>
  <c r="D532" i="8"/>
  <c r="B532" i="8"/>
  <c r="C532" i="8"/>
  <c r="E532" i="8"/>
  <c r="AX191" i="6"/>
  <c r="BB191" i="6"/>
  <c r="G208" i="12"/>
  <c r="F208" i="12"/>
  <c r="I211" i="12"/>
  <c r="F209" i="12" s="1"/>
  <c r="H208" i="12"/>
  <c r="E318" i="6"/>
  <c r="E321" i="6" s="1"/>
  <c r="D172" i="5"/>
  <c r="H26" i="6"/>
  <c r="F164" i="5"/>
  <c r="G156" i="5"/>
  <c r="F9" i="11"/>
  <c r="F11" i="11" s="1"/>
  <c r="F91" i="6"/>
  <c r="I51" i="6"/>
  <c r="H51" i="6"/>
  <c r="AR190" i="6"/>
  <c r="AV190" i="6"/>
  <c r="AL191" i="6"/>
  <c r="AP191" i="6"/>
  <c r="A38" i="12"/>
  <c r="C318" i="6"/>
  <c r="C382" i="11"/>
  <c r="H257" i="11"/>
  <c r="R121" i="6"/>
  <c r="N121" i="6"/>
  <c r="D526" i="8"/>
  <c r="C526" i="8"/>
  <c r="E526" i="8"/>
  <c r="B526" i="8"/>
  <c r="B533" i="8"/>
  <c r="D533" i="8"/>
  <c r="E533" i="8"/>
  <c r="C533" i="8"/>
  <c r="D534" i="8"/>
  <c r="C534" i="8"/>
  <c r="B534" i="8"/>
  <c r="E534" i="8"/>
  <c r="B531" i="8"/>
  <c r="E531" i="8"/>
  <c r="D531" i="8"/>
  <c r="C531" i="8"/>
  <c r="I107" i="9"/>
  <c r="C145" i="11"/>
  <c r="C146" i="11" s="1"/>
  <c r="AF190" i="6"/>
  <c r="AJ190" i="6"/>
  <c r="E117" i="9"/>
  <c r="E164" i="11"/>
  <c r="D168" i="5"/>
  <c r="D170" i="5"/>
  <c r="F26" i="6"/>
  <c r="I26" i="6"/>
  <c r="H184" i="5"/>
  <c r="M106" i="9" s="1"/>
  <c r="G184" i="5"/>
  <c r="L106" i="9" s="1"/>
  <c r="F184" i="5"/>
  <c r="K106" i="9" s="1"/>
  <c r="S151" i="5"/>
  <c r="AL123" i="6"/>
  <c r="AP123" i="6"/>
  <c r="G116" i="9"/>
  <c r="E51" i="6"/>
  <c r="J79" i="1"/>
  <c r="I93" i="1"/>
  <c r="I94" i="1" s="1"/>
  <c r="A40" i="11"/>
  <c r="D82" i="12" s="1"/>
  <c r="I80" i="14"/>
  <c r="I94" i="14" s="1"/>
  <c r="I95" i="14" s="1"/>
  <c r="B322" i="11"/>
  <c r="B324" i="11" s="1"/>
  <c r="C320" i="11"/>
  <c r="AJ121" i="6"/>
  <c r="AF121" i="6"/>
  <c r="H121" i="6"/>
  <c r="B121" i="6" s="1"/>
  <c r="B252" i="6" s="1"/>
  <c r="L121" i="6"/>
  <c r="F120" i="6"/>
  <c r="F251" i="6" s="1"/>
  <c r="E371" i="11" s="1"/>
  <c r="N190" i="6"/>
  <c r="R190" i="6"/>
  <c r="B527" i="8"/>
  <c r="C527" i="8"/>
  <c r="E527" i="8"/>
  <c r="D527" i="8"/>
  <c r="C524" i="8"/>
  <c r="E524" i="8"/>
  <c r="F537" i="8"/>
  <c r="B524" i="8"/>
  <c r="D524" i="8"/>
  <c r="Z190" i="6"/>
  <c r="AD190" i="6"/>
  <c r="C164" i="12"/>
  <c r="C255" i="11"/>
  <c r="C256" i="11" s="1"/>
  <c r="C257" i="11" s="1"/>
  <c r="C259" i="11" s="1"/>
  <c r="H107" i="9"/>
  <c r="B145" i="11"/>
  <c r="B146" i="11" s="1"/>
  <c r="BJ133" i="6"/>
  <c r="BN133" i="6"/>
  <c r="M250" i="11"/>
  <c r="M255" i="11" s="1"/>
  <c r="M256" i="11" s="1"/>
  <c r="M257" i="11" s="1"/>
  <c r="C380" i="11"/>
  <c r="AX122" i="6"/>
  <c r="BB122" i="6"/>
  <c r="B61" i="12"/>
  <c r="G26" i="6"/>
  <c r="B278" i="11"/>
  <c r="B284" i="11" s="1"/>
  <c r="B285" i="11" s="1"/>
  <c r="AV121" i="6"/>
  <c r="AR121" i="6"/>
  <c r="C394" i="11"/>
  <c r="D318" i="6"/>
  <c r="A43" i="12"/>
  <c r="D43" i="12"/>
  <c r="C43" i="12"/>
  <c r="B43" i="12"/>
  <c r="F51" i="6"/>
  <c r="G51" i="6"/>
  <c r="L250" i="11"/>
  <c r="L255" i="11" s="1"/>
  <c r="L256" i="11" s="1"/>
  <c r="L257" i="11" s="1"/>
  <c r="C379" i="11"/>
  <c r="X190" i="6"/>
  <c r="T190" i="6"/>
  <c r="G139" i="12"/>
  <c r="B139" i="12"/>
  <c r="E139" i="12"/>
  <c r="A139" i="12" s="1"/>
  <c r="F139" i="12"/>
  <c r="T121" i="6"/>
  <c r="X121" i="6"/>
  <c r="B525" i="8"/>
  <c r="D525" i="8"/>
  <c r="E525" i="8"/>
  <c r="C525" i="8"/>
  <c r="E529" i="8"/>
  <c r="D529" i="8"/>
  <c r="B529" i="8"/>
  <c r="C529" i="8"/>
  <c r="D535" i="8"/>
  <c r="C535" i="8"/>
  <c r="B535" i="8"/>
  <c r="E535" i="8"/>
  <c r="B321" i="6" l="1"/>
  <c r="G328" i="6"/>
  <c r="F328" i="6"/>
  <c r="G318" i="6"/>
  <c r="G321" i="6" s="1"/>
  <c r="D258" i="11"/>
  <c r="D259" i="11" s="1"/>
  <c r="E258" i="11" s="1"/>
  <c r="E259" i="11" s="1"/>
  <c r="F258" i="11" s="1"/>
  <c r="F259" i="11" s="1"/>
  <c r="G258" i="11" s="1"/>
  <c r="G259" i="11" s="1"/>
  <c r="H258" i="11" s="1"/>
  <c r="H259" i="11" s="1"/>
  <c r="I258" i="11" s="1"/>
  <c r="I259" i="11" s="1"/>
  <c r="J258" i="11" s="1"/>
  <c r="J259" i="11" s="1"/>
  <c r="K258" i="11" s="1"/>
  <c r="K259" i="11" s="1"/>
  <c r="L258" i="11" s="1"/>
  <c r="L259" i="11" s="1"/>
  <c r="M258" i="11" s="1"/>
  <c r="M259" i="11" s="1"/>
  <c r="N258" i="11" s="1"/>
  <c r="N259" i="11" s="1"/>
  <c r="R191" i="6"/>
  <c r="N191" i="6"/>
  <c r="B372" i="11"/>
  <c r="B21" i="15"/>
  <c r="C192" i="12"/>
  <c r="B198" i="12" s="1"/>
  <c r="A200" i="12" s="1"/>
  <c r="J93" i="1"/>
  <c r="J94" i="1" s="1"/>
  <c r="K79" i="1"/>
  <c r="J80" i="14"/>
  <c r="J94" i="14" s="1"/>
  <c r="J95" i="14" s="1"/>
  <c r="A41" i="11"/>
  <c r="D83" i="12" s="1"/>
  <c r="AP124" i="6"/>
  <c r="AL124" i="6"/>
  <c r="L107" i="9"/>
  <c r="F145" i="11"/>
  <c r="F146" i="11" s="1"/>
  <c r="AF191" i="6"/>
  <c r="AJ191" i="6"/>
  <c r="N122" i="6"/>
  <c r="R122" i="6"/>
  <c r="A78" i="11"/>
  <c r="A32" i="15"/>
  <c r="G10" i="11"/>
  <c r="G9" i="11"/>
  <c r="BT126" i="6"/>
  <c r="BP126" i="6"/>
  <c r="D9" i="11"/>
  <c r="D11" i="11" s="1"/>
  <c r="D91" i="6"/>
  <c r="BD131" i="6"/>
  <c r="BH131" i="6"/>
  <c r="D360" i="11"/>
  <c r="D362" i="11" s="1"/>
  <c r="D296" i="11"/>
  <c r="D321" i="6"/>
  <c r="B62" i="12"/>
  <c r="A66" i="12" s="1"/>
  <c r="T122" i="6"/>
  <c r="X122" i="6"/>
  <c r="A145" i="12"/>
  <c r="T191" i="6"/>
  <c r="X191" i="6"/>
  <c r="AX123" i="6"/>
  <c r="BB123" i="6"/>
  <c r="BN134" i="6"/>
  <c r="BJ134" i="6"/>
  <c r="E537" i="8"/>
  <c r="C210" i="11" s="1"/>
  <c r="C150" i="12" s="1"/>
  <c r="M107" i="9"/>
  <c r="G145" i="11"/>
  <c r="G146" i="11" s="1"/>
  <c r="AL192" i="6"/>
  <c r="AP192" i="6"/>
  <c r="G164" i="5"/>
  <c r="H156" i="5"/>
  <c r="C166" i="5"/>
  <c r="C174" i="5" s="1"/>
  <c r="C328" i="6" s="1"/>
  <c r="C168" i="11" s="1"/>
  <c r="B9" i="11"/>
  <c r="B91" i="6"/>
  <c r="H88" i="6"/>
  <c r="D149" i="11"/>
  <c r="D92" i="12"/>
  <c r="D91" i="12" s="1"/>
  <c r="B164" i="12"/>
  <c r="B183" i="12"/>
  <c r="D537" i="8"/>
  <c r="C209" i="11" s="1"/>
  <c r="C149" i="12" s="1"/>
  <c r="C537" i="8"/>
  <c r="C208" i="11" s="1"/>
  <c r="C148" i="12" s="1"/>
  <c r="AF122" i="6"/>
  <c r="AJ122" i="6"/>
  <c r="T172" i="5"/>
  <c r="T175" i="5" s="1"/>
  <c r="S154" i="5"/>
  <c r="C149" i="11"/>
  <c r="C92" i="12"/>
  <c r="C91" i="12" s="1"/>
  <c r="I184" i="5"/>
  <c r="N106" i="9" s="1"/>
  <c r="K184" i="5"/>
  <c r="P106" i="9" s="1"/>
  <c r="J184" i="5"/>
  <c r="O106" i="9" s="1"/>
  <c r="L191" i="6"/>
  <c r="H191" i="6"/>
  <c r="B191" i="6" s="1"/>
  <c r="F190" i="6"/>
  <c r="AV122" i="6"/>
  <c r="AR122" i="6"/>
  <c r="B149" i="11"/>
  <c r="B92" i="12"/>
  <c r="B296" i="11"/>
  <c r="B301" i="11" s="1"/>
  <c r="B302" i="11" s="1"/>
  <c r="B303" i="11" s="1"/>
  <c r="Z191" i="6"/>
  <c r="AD191" i="6"/>
  <c r="B537" i="8"/>
  <c r="C207" i="11" s="1"/>
  <c r="C147" i="12" s="1"/>
  <c r="F121" i="6"/>
  <c r="F252" i="6" s="1"/>
  <c r="E372" i="11" s="1"/>
  <c r="H122" i="6"/>
  <c r="B122" i="6" s="1"/>
  <c r="B253" i="6" s="1"/>
  <c r="B373" i="11" s="1"/>
  <c r="L122" i="6"/>
  <c r="D320" i="11"/>
  <c r="H116" i="9"/>
  <c r="K107" i="9"/>
  <c r="E145" i="11"/>
  <c r="E146" i="11" s="1"/>
  <c r="H117" i="9"/>
  <c r="F117" i="9"/>
  <c r="G117" i="9"/>
  <c r="C296" i="11"/>
  <c r="C360" i="11"/>
  <c r="C362" i="11" s="1"/>
  <c r="C321" i="6"/>
  <c r="AR191" i="6"/>
  <c r="AV191" i="6"/>
  <c r="G89" i="6"/>
  <c r="G88" i="6"/>
  <c r="BB192" i="6"/>
  <c r="AX192" i="6"/>
  <c r="AD122" i="6"/>
  <c r="Z122" i="6"/>
  <c r="B165" i="12" l="1"/>
  <c r="B15" i="15"/>
  <c r="B305" i="11"/>
  <c r="A111" i="11"/>
  <c r="A34" i="15"/>
  <c r="E320" i="11"/>
  <c r="H123" i="6"/>
  <c r="B123" i="6" s="1"/>
  <c r="B254" i="6" s="1"/>
  <c r="B374" i="11" s="1"/>
  <c r="F122" i="6"/>
  <c r="F253" i="6" s="1"/>
  <c r="E373" i="11" s="1"/>
  <c r="L123" i="6"/>
  <c r="AD192" i="6"/>
  <c r="Z192" i="6"/>
  <c r="B94" i="12"/>
  <c r="B152" i="11"/>
  <c r="B96" i="12" s="1"/>
  <c r="I145" i="11"/>
  <c r="I146" i="11" s="1"/>
  <c r="O107" i="9"/>
  <c r="C152" i="11"/>
  <c r="C96" i="12" s="1"/>
  <c r="C95" i="12" s="1"/>
  <c r="C94" i="12"/>
  <c r="C93" i="12" s="1"/>
  <c r="AJ123" i="6"/>
  <c r="AF123" i="6"/>
  <c r="B11" i="11"/>
  <c r="H9" i="11"/>
  <c r="H11" i="11" s="1"/>
  <c r="D12" i="11" s="1"/>
  <c r="B4" i="12" s="1"/>
  <c r="C4" i="12" s="1"/>
  <c r="AP193" i="6"/>
  <c r="AL193" i="6"/>
  <c r="BB124" i="6"/>
  <c r="AX124" i="6"/>
  <c r="A213" i="11"/>
  <c r="A40" i="15"/>
  <c r="BH132" i="6"/>
  <c r="BD132" i="6"/>
  <c r="R192" i="6"/>
  <c r="N192" i="6"/>
  <c r="G147" i="12"/>
  <c r="B147" i="12"/>
  <c r="E147" i="12"/>
  <c r="A147" i="12" s="1"/>
  <c r="D147" i="12"/>
  <c r="BB193" i="6"/>
  <c r="AX193" i="6"/>
  <c r="AV192" i="6"/>
  <c r="AR192" i="6"/>
  <c r="P107" i="9"/>
  <c r="J145" i="11"/>
  <c r="J146" i="11" s="1"/>
  <c r="D152" i="11"/>
  <c r="D96" i="12" s="1"/>
  <c r="D95" i="12" s="1"/>
  <c r="D94" i="12"/>
  <c r="D93" i="12" s="1"/>
  <c r="C321" i="11"/>
  <c r="C322" i="11" s="1"/>
  <c r="C169" i="11"/>
  <c r="B150" i="12"/>
  <c r="E150" i="12"/>
  <c r="A150" i="12" s="1"/>
  <c r="G150" i="12"/>
  <c r="X123" i="6"/>
  <c r="T123" i="6"/>
  <c r="BT127" i="6"/>
  <c r="BP127" i="6"/>
  <c r="AF192" i="6"/>
  <c r="AJ192" i="6"/>
  <c r="L79" i="1"/>
  <c r="A42" i="11"/>
  <c r="D84" i="12" s="1"/>
  <c r="K80" i="14"/>
  <c r="K94" i="14" s="1"/>
  <c r="K95" i="14" s="1"/>
  <c r="K93" i="1"/>
  <c r="K94" i="1" s="1"/>
  <c r="C154" i="12"/>
  <c r="AD123" i="6"/>
  <c r="Z123" i="6"/>
  <c r="E92" i="12"/>
  <c r="E91" i="12" s="1"/>
  <c r="E149" i="11"/>
  <c r="AR123" i="6"/>
  <c r="AV123" i="6"/>
  <c r="H192" i="6"/>
  <c r="B192" i="6" s="1"/>
  <c r="F191" i="6"/>
  <c r="L192" i="6"/>
  <c r="N107" i="9"/>
  <c r="H145" i="11"/>
  <c r="H146" i="11" s="1"/>
  <c r="E148" i="12"/>
  <c r="A148" i="12" s="1"/>
  <c r="G148" i="12"/>
  <c r="B148" i="12"/>
  <c r="B326" i="6"/>
  <c r="B328" i="6" s="1"/>
  <c r="H91" i="6"/>
  <c r="B93" i="6" s="1"/>
  <c r="H164" i="5"/>
  <c r="I156" i="5"/>
  <c r="D166" i="5" s="1"/>
  <c r="D174" i="5" s="1"/>
  <c r="T192" i="6"/>
  <c r="X192" i="6"/>
  <c r="E88" i="6"/>
  <c r="E89" i="6"/>
  <c r="AL125" i="6"/>
  <c r="AP125" i="6"/>
  <c r="B154" i="12"/>
  <c r="B91" i="12"/>
  <c r="G149" i="12"/>
  <c r="E149" i="12"/>
  <c r="A149" i="12" s="1"/>
  <c r="B149" i="12"/>
  <c r="C88" i="6"/>
  <c r="C89" i="6"/>
  <c r="M184" i="5"/>
  <c r="R106" i="9" s="1"/>
  <c r="N184" i="5"/>
  <c r="S106" i="9" s="1"/>
  <c r="L184" i="5"/>
  <c r="Q106" i="9" s="1"/>
  <c r="G149" i="11"/>
  <c r="G92" i="12"/>
  <c r="G91" i="12" s="1"/>
  <c r="BN135" i="6"/>
  <c r="BJ135" i="6"/>
  <c r="E9" i="11"/>
  <c r="E10" i="11"/>
  <c r="D356" i="11"/>
  <c r="N123" i="6"/>
  <c r="R123" i="6"/>
  <c r="F149" i="11"/>
  <c r="F92" i="12"/>
  <c r="F91" i="12" s="1"/>
  <c r="A49" i="15"/>
  <c r="A340" i="11"/>
  <c r="B106" i="9" l="1"/>
  <c r="B88" i="11" s="1"/>
  <c r="I88" i="6"/>
  <c r="D93" i="6"/>
  <c r="C106" i="9"/>
  <c r="C107" i="9" s="1"/>
  <c r="F152" i="11"/>
  <c r="F96" i="12" s="1"/>
  <c r="F95" i="12" s="1"/>
  <c r="F94" i="12"/>
  <c r="F93" i="12" s="1"/>
  <c r="BN136" i="6"/>
  <c r="BJ136" i="6"/>
  <c r="M145" i="11"/>
  <c r="M146" i="11" s="1"/>
  <c r="S107" i="9"/>
  <c r="A160" i="12"/>
  <c r="B156" i="12"/>
  <c r="A155" i="12"/>
  <c r="H93" i="6"/>
  <c r="I89" i="6"/>
  <c r="F93" i="6"/>
  <c r="AR124" i="6"/>
  <c r="AV124" i="6"/>
  <c r="AJ193" i="6"/>
  <c r="AF193" i="6"/>
  <c r="AR193" i="6"/>
  <c r="AV193" i="6"/>
  <c r="A153" i="12"/>
  <c r="R193" i="6"/>
  <c r="N193" i="6"/>
  <c r="AP194" i="6"/>
  <c r="AL194" i="6"/>
  <c r="AF124" i="6"/>
  <c r="AJ124" i="6"/>
  <c r="I92" i="12"/>
  <c r="I91" i="12" s="1"/>
  <c r="I149" i="11"/>
  <c r="AD193" i="6"/>
  <c r="Z193" i="6"/>
  <c r="R107" i="9"/>
  <c r="L145" i="11"/>
  <c r="L146" i="11" s="1"/>
  <c r="AL126" i="6"/>
  <c r="AP126" i="6"/>
  <c r="I164" i="5"/>
  <c r="J156" i="5"/>
  <c r="L193" i="6"/>
  <c r="H193" i="6"/>
  <c r="B193" i="6" s="1"/>
  <c r="F192" i="6"/>
  <c r="AD124" i="6"/>
  <c r="Z124" i="6"/>
  <c r="T124" i="6"/>
  <c r="X124" i="6"/>
  <c r="B6" i="15"/>
  <c r="B107" i="12"/>
  <c r="C170" i="11"/>
  <c r="I10" i="11"/>
  <c r="B8" i="12" s="1"/>
  <c r="C8" i="12" s="1"/>
  <c r="I9" i="11"/>
  <c r="B9" i="12" s="1"/>
  <c r="C9" i="12" s="1"/>
  <c r="B1" i="12"/>
  <c r="F12" i="11"/>
  <c r="B5" i="12" s="1"/>
  <c r="C5" i="12" s="1"/>
  <c r="B95" i="12"/>
  <c r="L124" i="6"/>
  <c r="F123" i="6"/>
  <c r="F254" i="6" s="1"/>
  <c r="E374" i="11" s="1"/>
  <c r="H124" i="6"/>
  <c r="B124" i="6" s="1"/>
  <c r="B255" i="6" s="1"/>
  <c r="C304" i="11"/>
  <c r="C316" i="11"/>
  <c r="C319" i="11" s="1"/>
  <c r="C324" i="11" s="1"/>
  <c r="G94" i="12"/>
  <c r="G93" i="12" s="1"/>
  <c r="G152" i="11"/>
  <c r="G96" i="12" s="1"/>
  <c r="G95" i="12" s="1"/>
  <c r="E94" i="12"/>
  <c r="E93" i="12" s="1"/>
  <c r="E152" i="11"/>
  <c r="E96" i="12" s="1"/>
  <c r="E95" i="12" s="1"/>
  <c r="C156" i="12"/>
  <c r="F149" i="12" s="1"/>
  <c r="F147" i="12"/>
  <c r="J149" i="11"/>
  <c r="J92" i="12"/>
  <c r="J91" i="12" s="1"/>
  <c r="AX194" i="6"/>
  <c r="BB194" i="6"/>
  <c r="BD133" i="6"/>
  <c r="BH133" i="6"/>
  <c r="BB125" i="6"/>
  <c r="AX125" i="6"/>
  <c r="C9" i="11"/>
  <c r="C10" i="11"/>
  <c r="B12" i="11"/>
  <c r="B3" i="12" s="1"/>
  <c r="B93" i="12"/>
  <c r="R124" i="6"/>
  <c r="N124" i="6"/>
  <c r="Q107" i="9"/>
  <c r="K145" i="11"/>
  <c r="K146" i="11" s="1"/>
  <c r="X193" i="6"/>
  <c r="T193" i="6"/>
  <c r="D328" i="6"/>
  <c r="D168" i="11" s="1"/>
  <c r="D106" i="9"/>
  <c r="D107" i="9" s="1"/>
  <c r="H149" i="11"/>
  <c r="H92" i="12"/>
  <c r="H91" i="12" s="1"/>
  <c r="A43" i="11"/>
  <c r="D85" i="12" s="1"/>
  <c r="L80" i="14"/>
  <c r="L94" i="14" s="1"/>
  <c r="L95" i="14" s="1"/>
  <c r="M79" i="1"/>
  <c r="L93" i="1"/>
  <c r="L94" i="1" s="1"/>
  <c r="BT128" i="6"/>
  <c r="BP128" i="6"/>
  <c r="C165" i="12"/>
  <c r="B107" i="9" l="1"/>
  <c r="C88" i="11"/>
  <c r="C89" i="11" s="1"/>
  <c r="E118" i="11" s="1"/>
  <c r="T125" i="6"/>
  <c r="X125" i="6"/>
  <c r="L92" i="12"/>
  <c r="L91" i="12" s="1"/>
  <c r="L149" i="11"/>
  <c r="I94" i="12"/>
  <c r="I93" i="12" s="1"/>
  <c r="I152" i="11"/>
  <c r="I96" i="12" s="1"/>
  <c r="I95" i="12" s="1"/>
  <c r="A216" i="11"/>
  <c r="A41" i="15"/>
  <c r="AJ194" i="6"/>
  <c r="AF194" i="6"/>
  <c r="C155" i="12"/>
  <c r="F148" i="12" s="1"/>
  <c r="D321" i="11"/>
  <c r="D322" i="11" s="1"/>
  <c r="D169" i="11"/>
  <c r="BD134" i="6"/>
  <c r="BH134" i="6"/>
  <c r="L125" i="6"/>
  <c r="H125" i="6"/>
  <c r="B125" i="6" s="1"/>
  <c r="B256" i="6" s="1"/>
  <c r="B376" i="11" s="1"/>
  <c r="F124" i="6"/>
  <c r="F255" i="6" s="1"/>
  <c r="E375" i="11" s="1"/>
  <c r="B7" i="15"/>
  <c r="B108" i="12"/>
  <c r="E108" i="12" s="1"/>
  <c r="C173" i="11"/>
  <c r="AP127" i="6"/>
  <c r="AL127" i="6"/>
  <c r="AL195" i="6"/>
  <c r="AP195" i="6"/>
  <c r="AR194" i="6"/>
  <c r="AV194" i="6"/>
  <c r="AR125" i="6"/>
  <c r="AV125" i="6"/>
  <c r="BN137" i="6"/>
  <c r="BJ137" i="6"/>
  <c r="AX126" i="6"/>
  <c r="BB126" i="6"/>
  <c r="M93" i="1"/>
  <c r="M94" i="1" s="1"/>
  <c r="M80" i="14"/>
  <c r="A44" i="11"/>
  <c r="D86" i="12" s="1"/>
  <c r="H152" i="11"/>
  <c r="H96" i="12" s="1"/>
  <c r="H95" i="12" s="1"/>
  <c r="H94" i="12"/>
  <c r="X194" i="6"/>
  <c r="T194" i="6"/>
  <c r="N125" i="6"/>
  <c r="R125" i="6"/>
  <c r="J152" i="11"/>
  <c r="J96" i="12" s="1"/>
  <c r="J95" i="12" s="1"/>
  <c r="J94" i="12"/>
  <c r="J93" i="12" s="1"/>
  <c r="A10" i="12"/>
  <c r="L194" i="6"/>
  <c r="H194" i="6"/>
  <c r="B194" i="6" s="1"/>
  <c r="F193" i="6"/>
  <c r="AF125" i="6"/>
  <c r="AJ125" i="6"/>
  <c r="BT129" i="6"/>
  <c r="BP129" i="6"/>
  <c r="K149" i="11"/>
  <c r="K92" i="12"/>
  <c r="K91" i="12" s="1"/>
  <c r="BB195" i="6"/>
  <c r="AX195" i="6"/>
  <c r="B375" i="11"/>
  <c r="AD125" i="6"/>
  <c r="Z125" i="6"/>
  <c r="E166" i="5"/>
  <c r="E174" i="5" s="1"/>
  <c r="J164" i="5"/>
  <c r="AD194" i="6"/>
  <c r="Z194" i="6"/>
  <c r="R194" i="6"/>
  <c r="N194" i="6"/>
  <c r="B161" i="12"/>
  <c r="C161" i="12" s="1"/>
  <c r="M92" i="12"/>
  <c r="M91" i="12" s="1"/>
  <c r="M149" i="11"/>
  <c r="D42" i="12"/>
  <c r="B159" i="12" l="1"/>
  <c r="A161" i="12" s="1"/>
  <c r="A261" i="11" s="1"/>
  <c r="E328" i="6"/>
  <c r="E168" i="11" s="1"/>
  <c r="E106" i="9"/>
  <c r="E107" i="9" s="1"/>
  <c r="BJ138" i="6"/>
  <c r="BN138" i="6"/>
  <c r="AP128" i="6"/>
  <c r="AL128" i="6"/>
  <c r="L152" i="11"/>
  <c r="L96" i="12" s="1"/>
  <c r="L95" i="12" s="1"/>
  <c r="L94" i="12"/>
  <c r="L93" i="12" s="1"/>
  <c r="Z195" i="6"/>
  <c r="AD195" i="6"/>
  <c r="K94" i="12"/>
  <c r="K93" i="12" s="1"/>
  <c r="K152" i="11"/>
  <c r="K96" i="12" s="1"/>
  <c r="K95" i="12" s="1"/>
  <c r="AF126" i="6"/>
  <c r="AJ126" i="6"/>
  <c r="F194" i="6"/>
  <c r="H195" i="6"/>
  <c r="B195" i="6" s="1"/>
  <c r="L195" i="6"/>
  <c r="BB127" i="6"/>
  <c r="AX127" i="6"/>
  <c r="AR126" i="6"/>
  <c r="AV126" i="6"/>
  <c r="AP196" i="6"/>
  <c r="AL196" i="6"/>
  <c r="B10" i="15"/>
  <c r="B109" i="12"/>
  <c r="E109" i="12" s="1"/>
  <c r="C177" i="11"/>
  <c r="A29" i="15"/>
  <c r="A29" i="11"/>
  <c r="X195" i="6"/>
  <c r="T195" i="6"/>
  <c r="N80" i="14"/>
  <c r="O80" i="14" s="1"/>
  <c r="P80" i="14" s="1"/>
  <c r="Q80" i="14" s="1"/>
  <c r="R80" i="14" s="1"/>
  <c r="S80" i="14" s="1"/>
  <c r="T80" i="14" s="1"/>
  <c r="U80" i="14" s="1"/>
  <c r="V80" i="14" s="1"/>
  <c r="W80" i="14" s="1"/>
  <c r="X80" i="14" s="1"/>
  <c r="Y80" i="14" s="1"/>
  <c r="Z80" i="14" s="1"/>
  <c r="AA80" i="14" s="1"/>
  <c r="AB80" i="14" s="1"/>
  <c r="AC80" i="14" s="1"/>
  <c r="AD80" i="14" s="1"/>
  <c r="AE80" i="14" s="1"/>
  <c r="AF80" i="14" s="1"/>
  <c r="AG80" i="14" s="1"/>
  <c r="AH80" i="14" s="1"/>
  <c r="AI80" i="14" s="1"/>
  <c r="AJ80" i="14" s="1"/>
  <c r="AK80" i="14" s="1"/>
  <c r="M94" i="14"/>
  <c r="M95" i="14" s="1"/>
  <c r="H108" i="12"/>
  <c r="J108" i="12"/>
  <c r="F125" i="6"/>
  <c r="F256" i="6" s="1"/>
  <c r="E376" i="11" s="1"/>
  <c r="L126" i="6"/>
  <c r="H126" i="6"/>
  <c r="B126" i="6" s="1"/>
  <c r="B257" i="6" s="1"/>
  <c r="C6" i="15"/>
  <c r="B192" i="11"/>
  <c r="B122" i="12" s="1"/>
  <c r="C107" i="12"/>
  <c r="D170" i="11"/>
  <c r="T126" i="6"/>
  <c r="X126" i="6"/>
  <c r="B125" i="11"/>
  <c r="D125" i="11" s="1"/>
  <c r="B22" i="15"/>
  <c r="B129" i="11"/>
  <c r="D129" i="11" s="1"/>
  <c r="B128" i="11"/>
  <c r="D128" i="11" s="1"/>
  <c r="B123" i="11"/>
  <c r="D123" i="11" s="1"/>
  <c r="B130" i="11"/>
  <c r="D130" i="11" s="1"/>
  <c r="B124" i="11"/>
  <c r="D124" i="11" s="1"/>
  <c r="B126" i="11"/>
  <c r="D126" i="11" s="1"/>
  <c r="B122" i="11"/>
  <c r="D122" i="11" s="1"/>
  <c r="B121" i="11"/>
  <c r="B131" i="11"/>
  <c r="D131" i="11" s="1"/>
  <c r="B127" i="11"/>
  <c r="D127" i="11" s="1"/>
  <c r="B132" i="11"/>
  <c r="D132" i="11" s="1"/>
  <c r="C47" i="12"/>
  <c r="B47" i="12"/>
  <c r="B42" i="12"/>
  <c r="B97" i="12"/>
  <c r="AD126" i="6"/>
  <c r="Z126" i="6"/>
  <c r="M152" i="11"/>
  <c r="M96" i="12" s="1"/>
  <c r="M95" i="12" s="1"/>
  <c r="M94" i="12"/>
  <c r="M93" i="12" s="1"/>
  <c r="R195" i="6"/>
  <c r="N195" i="6"/>
  <c r="BB196" i="6"/>
  <c r="AX196" i="6"/>
  <c r="BP130" i="6"/>
  <c r="BT130" i="6"/>
  <c r="R126" i="6"/>
  <c r="N126" i="6"/>
  <c r="H93" i="12"/>
  <c r="AV195" i="6"/>
  <c r="AR195" i="6"/>
  <c r="BD135" i="6"/>
  <c r="BH135" i="6"/>
  <c r="AJ195" i="6"/>
  <c r="AF195" i="6"/>
  <c r="B99" i="12" l="1"/>
  <c r="B101" i="12"/>
  <c r="A42" i="15"/>
  <c r="BD136" i="6"/>
  <c r="BH136" i="6"/>
  <c r="B102" i="12"/>
  <c r="B103" i="12" s="1"/>
  <c r="BB197" i="6"/>
  <c r="AX197" i="6"/>
  <c r="H127" i="6"/>
  <c r="B127" i="6" s="1"/>
  <c r="B258" i="6" s="1"/>
  <c r="B378" i="11" s="1"/>
  <c r="L127" i="6"/>
  <c r="F126" i="6"/>
  <c r="F257" i="6" s="1"/>
  <c r="E377" i="11" s="1"/>
  <c r="B100" i="12"/>
  <c r="J109" i="12"/>
  <c r="H109" i="12"/>
  <c r="AR127" i="6"/>
  <c r="AV127" i="6"/>
  <c r="H196" i="6"/>
  <c r="B196" i="6" s="1"/>
  <c r="F195" i="6"/>
  <c r="L196" i="6"/>
  <c r="AP129" i="6"/>
  <c r="AL129" i="6"/>
  <c r="E321" i="11"/>
  <c r="E322" i="11" s="1"/>
  <c r="E120" i="9"/>
  <c r="E169" i="11"/>
  <c r="A48" i="12"/>
  <c r="F39" i="12"/>
  <c r="G39" i="12" s="1"/>
  <c r="F41" i="12"/>
  <c r="G41" i="12" s="1"/>
  <c r="F40" i="12"/>
  <c r="G40" i="12" s="1"/>
  <c r="F38" i="12"/>
  <c r="G38" i="12" s="1"/>
  <c r="D122" i="12"/>
  <c r="C122" i="12"/>
  <c r="B123" i="12"/>
  <c r="B125" i="12" s="1"/>
  <c r="BJ139" i="6"/>
  <c r="BN139" i="6"/>
  <c r="B98" i="12"/>
  <c r="C97" i="12" s="1"/>
  <c r="BP131" i="6"/>
  <c r="BT131" i="6"/>
  <c r="X127" i="6"/>
  <c r="T127" i="6"/>
  <c r="AJ196" i="6"/>
  <c r="AF196" i="6"/>
  <c r="AV196" i="6"/>
  <c r="AR196" i="6"/>
  <c r="R127" i="6"/>
  <c r="N127" i="6"/>
  <c r="R196" i="6"/>
  <c r="N196" i="6"/>
  <c r="Z127" i="6"/>
  <c r="AD127" i="6"/>
  <c r="B133" i="11"/>
  <c r="B71" i="12" s="1"/>
  <c r="D121" i="11"/>
  <c r="D133" i="11" s="1"/>
  <c r="B73" i="12" s="1"/>
  <c r="C121" i="11"/>
  <c r="E121" i="11" s="1"/>
  <c r="C7" i="15"/>
  <c r="D173" i="11"/>
  <c r="C108" i="12"/>
  <c r="F108" i="12" s="1"/>
  <c r="B377" i="11"/>
  <c r="T196" i="6"/>
  <c r="X196" i="6"/>
  <c r="C178" i="11"/>
  <c r="C179" i="11" s="1"/>
  <c r="B110" i="12"/>
  <c r="E110" i="12" s="1"/>
  <c r="B11" i="15"/>
  <c r="AP197" i="6"/>
  <c r="AL197" i="6"/>
  <c r="BB128" i="6"/>
  <c r="AX128" i="6"/>
  <c r="AJ127" i="6"/>
  <c r="AF127" i="6"/>
  <c r="Z196" i="6"/>
  <c r="AD196" i="6"/>
  <c r="A99" i="12" l="1"/>
  <c r="A153" i="11" s="1"/>
  <c r="A126" i="12"/>
  <c r="A196" i="11" s="1"/>
  <c r="B13" i="15"/>
  <c r="B20" i="15" s="1"/>
  <c r="C334" i="11"/>
  <c r="B18" i="15"/>
  <c r="B111" i="12"/>
  <c r="B184" i="12"/>
  <c r="C184" i="12" s="1"/>
  <c r="Z128" i="6"/>
  <c r="AD128" i="6"/>
  <c r="Z197" i="6"/>
  <c r="AD197" i="6"/>
  <c r="X197" i="6"/>
  <c r="T197" i="6"/>
  <c r="F77" i="12"/>
  <c r="F75" i="12"/>
  <c r="F81" i="12"/>
  <c r="F80" i="12"/>
  <c r="F76" i="12"/>
  <c r="F78" i="12"/>
  <c r="F86" i="12"/>
  <c r="F84" i="12"/>
  <c r="F85" i="12"/>
  <c r="C73" i="12"/>
  <c r="F79" i="12"/>
  <c r="F82" i="12"/>
  <c r="F83" i="12"/>
  <c r="BB129" i="6"/>
  <c r="AX129" i="6"/>
  <c r="J110" i="12"/>
  <c r="H111" i="12"/>
  <c r="C10" i="15"/>
  <c r="D177" i="11"/>
  <c r="C109" i="12"/>
  <c r="F109" i="12" s="1"/>
  <c r="F88" i="12"/>
  <c r="F87" i="12"/>
  <c r="F89" i="12"/>
  <c r="B76" i="12"/>
  <c r="B75" i="12"/>
  <c r="C74" i="12" s="1"/>
  <c r="D74" i="12" s="1"/>
  <c r="R197" i="6"/>
  <c r="N197" i="6"/>
  <c r="AV197" i="6"/>
  <c r="AR197" i="6"/>
  <c r="T128" i="6"/>
  <c r="X128" i="6"/>
  <c r="BJ140" i="6"/>
  <c r="BN140" i="6"/>
  <c r="H128" i="6"/>
  <c r="B128" i="6" s="1"/>
  <c r="B259" i="6" s="1"/>
  <c r="B379" i="11" s="1"/>
  <c r="L128" i="6"/>
  <c r="F127" i="6"/>
  <c r="F258" i="6" s="1"/>
  <c r="E378" i="11" s="1"/>
  <c r="BB198" i="6"/>
  <c r="AX198" i="6"/>
  <c r="A33" i="15"/>
  <c r="A90" i="11"/>
  <c r="BP132" i="6"/>
  <c r="BT132" i="6"/>
  <c r="AJ128" i="6"/>
  <c r="AF128" i="6"/>
  <c r="AL198" i="6"/>
  <c r="AP198" i="6"/>
  <c r="R128" i="6"/>
  <c r="N128" i="6"/>
  <c r="AJ197" i="6"/>
  <c r="AF197" i="6"/>
  <c r="D107" i="12"/>
  <c r="D6" i="15"/>
  <c r="C192" i="11"/>
  <c r="B130" i="12" s="1"/>
  <c r="E170" i="11"/>
  <c r="AP130" i="6"/>
  <c r="AL130" i="6"/>
  <c r="AR128" i="6"/>
  <c r="AV128" i="6"/>
  <c r="BH137" i="6"/>
  <c r="BD137" i="6"/>
  <c r="C328" i="11"/>
  <c r="C298" i="11" s="1"/>
  <c r="C301" i="11" s="1"/>
  <c r="C302" i="11" s="1"/>
  <c r="C303" i="11" s="1"/>
  <c r="B12" i="15"/>
  <c r="G120" i="9"/>
  <c r="G121" i="9" s="1"/>
  <c r="G122" i="9" s="1"/>
  <c r="G125" i="9" s="1"/>
  <c r="G128" i="9" s="1"/>
  <c r="H120" i="9"/>
  <c r="H121" i="9" s="1"/>
  <c r="H122" i="9" s="1"/>
  <c r="H125" i="9" s="1"/>
  <c r="H128" i="9" s="1"/>
  <c r="F120" i="9"/>
  <c r="F121" i="9" s="1"/>
  <c r="F122" i="9" s="1"/>
  <c r="F125" i="9" s="1"/>
  <c r="F128" i="9" s="1"/>
  <c r="E121" i="9"/>
  <c r="E122" i="9" s="1"/>
  <c r="E125" i="9" s="1"/>
  <c r="E128" i="9" s="1"/>
  <c r="F196" i="6"/>
  <c r="L197" i="6"/>
  <c r="H197" i="6"/>
  <c r="B197" i="6" s="1"/>
  <c r="A36" i="15" l="1"/>
  <c r="A38" i="15"/>
  <c r="B135" i="12"/>
  <c r="B137" i="12"/>
  <c r="B138" i="12" s="1"/>
  <c r="AF198" i="6"/>
  <c r="AJ198" i="6"/>
  <c r="AX199" i="6"/>
  <c r="BB199" i="6"/>
  <c r="BN141" i="6"/>
  <c r="BJ141" i="6"/>
  <c r="AX130" i="6"/>
  <c r="BB130" i="6"/>
  <c r="I79" i="12"/>
  <c r="I75" i="12"/>
  <c r="I61" i="12"/>
  <c r="I80" i="12"/>
  <c r="I69" i="12"/>
  <c r="I73" i="12"/>
  <c r="I85" i="12"/>
  <c r="I58" i="12"/>
  <c r="I68" i="12"/>
  <c r="I53" i="12"/>
  <c r="I57" i="12"/>
  <c r="I82" i="12"/>
  <c r="I59" i="12"/>
  <c r="I64" i="12"/>
  <c r="I81" i="12"/>
  <c r="I50" i="12"/>
  <c r="I51" i="12"/>
  <c r="I84" i="12"/>
  <c r="I60" i="12"/>
  <c r="I66" i="12"/>
  <c r="I56" i="12"/>
  <c r="I65" i="12"/>
  <c r="I71" i="12"/>
  <c r="I63" i="12"/>
  <c r="I54" i="12"/>
  <c r="I77" i="12"/>
  <c r="I78" i="12"/>
  <c r="I55" i="12"/>
  <c r="I74" i="12"/>
  <c r="I62" i="12"/>
  <c r="I52" i="12"/>
  <c r="I83" i="12"/>
  <c r="I76" i="12"/>
  <c r="I67" i="12"/>
  <c r="I70" i="12"/>
  <c r="I72" i="12"/>
  <c r="AD198" i="6"/>
  <c r="Z198" i="6"/>
  <c r="E129" i="9"/>
  <c r="E130" i="9" s="1"/>
  <c r="AR198" i="6"/>
  <c r="AV198" i="6"/>
  <c r="G129" i="9"/>
  <c r="G130" i="9" s="1"/>
  <c r="F129" i="9"/>
  <c r="F130" i="9" s="1"/>
  <c r="BH138" i="6"/>
  <c r="BD138" i="6"/>
  <c r="AF129" i="6"/>
  <c r="AJ129" i="6"/>
  <c r="H129" i="6"/>
  <c r="B129" i="6" s="1"/>
  <c r="B260" i="6" s="1"/>
  <c r="B380" i="11" s="1"/>
  <c r="L129" i="6"/>
  <c r="F128" i="6"/>
  <c r="F259" i="6" s="1"/>
  <c r="E379" i="11" s="1"/>
  <c r="X129" i="6"/>
  <c r="T129" i="6"/>
  <c r="A78" i="12"/>
  <c r="AD129" i="6"/>
  <c r="Z129" i="6"/>
  <c r="D333" i="11"/>
  <c r="C335" i="11"/>
  <c r="B166" i="12"/>
  <c r="C305" i="11"/>
  <c r="C15" i="15"/>
  <c r="AP131" i="6"/>
  <c r="AL131" i="6"/>
  <c r="N129" i="6"/>
  <c r="R129" i="6"/>
  <c r="F197" i="6"/>
  <c r="L198" i="6"/>
  <c r="H198" i="6"/>
  <c r="B198" i="6" s="1"/>
  <c r="H129" i="9"/>
  <c r="H130" i="9" s="1"/>
  <c r="AV129" i="6"/>
  <c r="AR129" i="6"/>
  <c r="D108" i="12"/>
  <c r="G108" i="12" s="1"/>
  <c r="E173" i="11"/>
  <c r="D7" i="15"/>
  <c r="AP199" i="6"/>
  <c r="AL199" i="6"/>
  <c r="BP133" i="6"/>
  <c r="BT133" i="6"/>
  <c r="N198" i="6"/>
  <c r="R198" i="6"/>
  <c r="C11" i="15"/>
  <c r="C110" i="12"/>
  <c r="F110" i="12" s="1"/>
  <c r="D178" i="11"/>
  <c r="D179" i="11" s="1"/>
  <c r="T198" i="6"/>
  <c r="X198" i="6"/>
  <c r="E111" i="12"/>
  <c r="H107" i="12"/>
  <c r="H112" i="12"/>
  <c r="A115" i="12" l="1"/>
  <c r="A37" i="15" s="1"/>
  <c r="B185" i="12"/>
  <c r="C185" i="12" s="1"/>
  <c r="C187" i="12" s="1"/>
  <c r="B194" i="11"/>
  <c r="C111" i="12"/>
  <c r="D334" i="11"/>
  <c r="E333" i="11" s="1"/>
  <c r="C13" i="15"/>
  <c r="C20" i="15" s="1"/>
  <c r="G131" i="9"/>
  <c r="H131" i="9"/>
  <c r="F131" i="9"/>
  <c r="E131" i="9"/>
  <c r="N199" i="6"/>
  <c r="R199" i="6"/>
  <c r="X199" i="6"/>
  <c r="T199" i="6"/>
  <c r="BP134" i="6"/>
  <c r="BT134" i="6"/>
  <c r="AR130" i="6"/>
  <c r="AV130" i="6"/>
  <c r="H199" i="6"/>
  <c r="B199" i="6" s="1"/>
  <c r="L199" i="6"/>
  <c r="F198" i="6"/>
  <c r="C166" i="12"/>
  <c r="T130" i="6"/>
  <c r="X130" i="6"/>
  <c r="AJ130" i="6"/>
  <c r="AF130" i="6"/>
  <c r="AV199" i="6"/>
  <c r="AR199" i="6"/>
  <c r="AJ199" i="6"/>
  <c r="AF199" i="6"/>
  <c r="D328" i="11"/>
  <c r="D298" i="11" s="1"/>
  <c r="D301" i="11" s="1"/>
  <c r="D302" i="11" s="1"/>
  <c r="D303" i="11" s="1"/>
  <c r="C12" i="15"/>
  <c r="N130" i="6"/>
  <c r="R130" i="6"/>
  <c r="AP200" i="6"/>
  <c r="AL200" i="6"/>
  <c r="D10" i="15"/>
  <c r="E177" i="11"/>
  <c r="D109" i="12"/>
  <c r="G109" i="12" s="1"/>
  <c r="AL132" i="6"/>
  <c r="AP132" i="6"/>
  <c r="B19" i="15"/>
  <c r="AD130" i="6"/>
  <c r="Z130" i="6"/>
  <c r="AD199" i="6"/>
  <c r="Z199" i="6"/>
  <c r="BJ142" i="6"/>
  <c r="BN142" i="6"/>
  <c r="A134" i="11"/>
  <c r="A35" i="15"/>
  <c r="F129" i="6"/>
  <c r="F260" i="6" s="1"/>
  <c r="E380" i="11" s="1"/>
  <c r="L130" i="6"/>
  <c r="H130" i="6"/>
  <c r="B130" i="6" s="1"/>
  <c r="B261" i="6" s="1"/>
  <c r="B381" i="11" s="1"/>
  <c r="BB131" i="6"/>
  <c r="AX131" i="6"/>
  <c r="AX200" i="6"/>
  <c r="BB200" i="6"/>
  <c r="D316" i="11"/>
  <c r="D319" i="11" s="1"/>
  <c r="D324" i="11" s="1"/>
  <c r="C18" i="15" s="1"/>
  <c r="D304" i="11"/>
  <c r="BD139" i="6"/>
  <c r="BH139" i="6"/>
  <c r="A132" i="12"/>
  <c r="D335" i="11" l="1"/>
  <c r="C19" i="15" s="1"/>
  <c r="A180" i="11"/>
  <c r="AX132" i="6"/>
  <c r="BB132" i="6"/>
  <c r="AL201" i="6"/>
  <c r="AP201" i="6"/>
  <c r="D305" i="11"/>
  <c r="E316" i="11" s="1"/>
  <c r="E319" i="11" s="1"/>
  <c r="E324" i="11" s="1"/>
  <c r="B167" i="12"/>
  <c r="D15" i="15"/>
  <c r="AV200" i="6"/>
  <c r="AR200" i="6"/>
  <c r="X200" i="6"/>
  <c r="T200" i="6"/>
  <c r="F111" i="12"/>
  <c r="I112" i="12"/>
  <c r="AX201" i="6"/>
  <c r="BB201" i="6"/>
  <c r="AD200" i="6"/>
  <c r="Z200" i="6"/>
  <c r="E178" i="11"/>
  <c r="E179" i="11" s="1"/>
  <c r="D110" i="12"/>
  <c r="G110" i="12" s="1"/>
  <c r="D11" i="15"/>
  <c r="N131" i="6"/>
  <c r="R131" i="6"/>
  <c r="F199" i="6"/>
  <c r="H200" i="6"/>
  <c r="B200" i="6" s="1"/>
  <c r="L200" i="6"/>
  <c r="BT135" i="6"/>
  <c r="BP135" i="6"/>
  <c r="R200" i="6"/>
  <c r="N200" i="6"/>
  <c r="A39" i="15"/>
  <c r="A199" i="11"/>
  <c r="F130" i="6"/>
  <c r="F261" i="6" s="1"/>
  <c r="H131" i="6"/>
  <c r="B131" i="6" s="1"/>
  <c r="B262" i="6" s="1"/>
  <c r="B382" i="11" s="1"/>
  <c r="L131" i="6"/>
  <c r="BN143" i="6"/>
  <c r="BJ143" i="6"/>
  <c r="AL133" i="6"/>
  <c r="AP133" i="6"/>
  <c r="AF200" i="6"/>
  <c r="AJ200" i="6"/>
  <c r="AJ131" i="6"/>
  <c r="AF131" i="6"/>
  <c r="BH140" i="6"/>
  <c r="BD140" i="6"/>
  <c r="AD131" i="6"/>
  <c r="Z131" i="6"/>
  <c r="T131" i="6"/>
  <c r="X131" i="6"/>
  <c r="AR131" i="6"/>
  <c r="AV131" i="6"/>
  <c r="C193" i="12"/>
  <c r="B23" i="15" s="1"/>
  <c r="A188" i="12"/>
  <c r="A308" i="11" l="1"/>
  <c r="A45" i="15"/>
  <c r="AD132" i="6"/>
  <c r="Z132" i="6"/>
  <c r="AL134" i="6"/>
  <c r="AP134" i="6"/>
  <c r="F131" i="6"/>
  <c r="F262" i="6" s="1"/>
  <c r="E382" i="11" s="1"/>
  <c r="H132" i="6"/>
  <c r="B132" i="6" s="1"/>
  <c r="B263" i="6" s="1"/>
  <c r="B383" i="11" s="1"/>
  <c r="L132" i="6"/>
  <c r="BT136" i="6"/>
  <c r="BP136" i="6"/>
  <c r="R132" i="6"/>
  <c r="N132" i="6"/>
  <c r="AX202" i="6"/>
  <c r="BB202" i="6"/>
  <c r="AV201" i="6"/>
  <c r="AR201" i="6"/>
  <c r="AP202" i="6"/>
  <c r="AL202" i="6"/>
  <c r="T132" i="6"/>
  <c r="X132" i="6"/>
  <c r="AF132" i="6"/>
  <c r="AJ132" i="6"/>
  <c r="L201" i="6"/>
  <c r="F200" i="6"/>
  <c r="H201" i="6"/>
  <c r="B201" i="6" s="1"/>
  <c r="D12" i="15"/>
  <c r="E328" i="11"/>
  <c r="AV132" i="6"/>
  <c r="AR132" i="6"/>
  <c r="AF201" i="6"/>
  <c r="AJ201" i="6"/>
  <c r="B317" i="6"/>
  <c r="E381" i="11"/>
  <c r="N201" i="6"/>
  <c r="R201" i="6"/>
  <c r="X201" i="6"/>
  <c r="T201" i="6"/>
  <c r="C167" i="12"/>
  <c r="B168" i="12"/>
  <c r="B169" i="12"/>
  <c r="AX133" i="6"/>
  <c r="BB133" i="6"/>
  <c r="BH141" i="6"/>
  <c r="BD141" i="6"/>
  <c r="BN144" i="6"/>
  <c r="BJ144" i="6"/>
  <c r="D111" i="12"/>
  <c r="E334" i="11"/>
  <c r="E335" i="11" s="1"/>
  <c r="D19" i="15" s="1"/>
  <c r="B186" i="12"/>
  <c r="C186" i="12" s="1"/>
  <c r="C194" i="11"/>
  <c r="D18" i="15"/>
  <c r="D13" i="15"/>
  <c r="D20" i="15" s="1"/>
  <c r="AD201" i="6"/>
  <c r="Z201" i="6"/>
  <c r="G132" i="9"/>
  <c r="H132" i="9"/>
  <c r="E132" i="9"/>
  <c r="F132" i="9"/>
  <c r="G111" i="12" l="1"/>
  <c r="J112" i="12"/>
  <c r="BD142" i="6"/>
  <c r="BH142" i="6"/>
  <c r="B24" i="15"/>
  <c r="C168" i="12"/>
  <c r="D168" i="12" s="1"/>
  <c r="R202" i="6"/>
  <c r="N202" i="6"/>
  <c r="AF202" i="6"/>
  <c r="AJ202" i="6"/>
  <c r="L202" i="6"/>
  <c r="F201" i="6"/>
  <c r="H202" i="6"/>
  <c r="B202" i="6" s="1"/>
  <c r="AV202" i="6"/>
  <c r="AR202" i="6"/>
  <c r="N133" i="6"/>
  <c r="R133" i="6"/>
  <c r="AD202" i="6"/>
  <c r="Z202" i="6"/>
  <c r="AX134" i="6"/>
  <c r="BB134" i="6"/>
  <c r="A171" i="12"/>
  <c r="AF133" i="6"/>
  <c r="AJ133" i="6"/>
  <c r="AX203" i="6"/>
  <c r="BB203" i="6"/>
  <c r="Z133" i="6"/>
  <c r="AD133" i="6"/>
  <c r="BN145" i="6"/>
  <c r="BJ145" i="6"/>
  <c r="AP203" i="6"/>
  <c r="AL203" i="6"/>
  <c r="BT137" i="6"/>
  <c r="BP137" i="6"/>
  <c r="AP135" i="6"/>
  <c r="AL135" i="6"/>
  <c r="B170" i="12"/>
  <c r="C173" i="12" s="1"/>
  <c r="B25" i="15"/>
  <c r="X202" i="6"/>
  <c r="T202" i="6"/>
  <c r="C327" i="11"/>
  <c r="C330" i="11" s="1"/>
  <c r="B359" i="11"/>
  <c r="AV133" i="6"/>
  <c r="AR133" i="6"/>
  <c r="X133" i="6"/>
  <c r="T133" i="6"/>
  <c r="H133" i="6"/>
  <c r="B133" i="6" s="1"/>
  <c r="B264" i="6" s="1"/>
  <c r="B384" i="11" s="1"/>
  <c r="L133" i="6"/>
  <c r="F132" i="6"/>
  <c r="F263" i="6" s="1"/>
  <c r="E383" i="11" s="1"/>
  <c r="A177" i="12" l="1"/>
  <c r="A175" i="12"/>
  <c r="AD134" i="6"/>
  <c r="Z134" i="6"/>
  <c r="AJ134" i="6"/>
  <c r="AF134" i="6"/>
  <c r="BH143" i="6"/>
  <c r="BD143" i="6"/>
  <c r="X134" i="6"/>
  <c r="T134" i="6"/>
  <c r="D192" i="12"/>
  <c r="A201" i="12" s="1"/>
  <c r="D191" i="12"/>
  <c r="A198" i="12" s="1"/>
  <c r="C336" i="11"/>
  <c r="AP136" i="6"/>
  <c r="AL136" i="6"/>
  <c r="AP204" i="6"/>
  <c r="AL204" i="6"/>
  <c r="F202" i="6"/>
  <c r="L203" i="6"/>
  <c r="H203" i="6"/>
  <c r="B203" i="6" s="1"/>
  <c r="R203" i="6"/>
  <c r="N203" i="6"/>
  <c r="A43" i="15"/>
  <c r="A306" i="11"/>
  <c r="AD203" i="6"/>
  <c r="Z203" i="6"/>
  <c r="AR203" i="6"/>
  <c r="AV203" i="6"/>
  <c r="AJ203" i="6"/>
  <c r="AF203" i="6"/>
  <c r="L134" i="6"/>
  <c r="H134" i="6"/>
  <c r="B134" i="6" s="1"/>
  <c r="B265" i="6" s="1"/>
  <c r="B385" i="11" s="1"/>
  <c r="F133" i="6"/>
  <c r="F264" i="6" s="1"/>
  <c r="E384" i="11" s="1"/>
  <c r="BB204" i="6"/>
  <c r="AX204" i="6"/>
  <c r="AV134" i="6"/>
  <c r="AR134" i="6"/>
  <c r="X203" i="6"/>
  <c r="T203" i="6"/>
  <c r="BP138" i="6"/>
  <c r="BT138" i="6"/>
  <c r="BN146" i="6"/>
  <c r="BJ146" i="6"/>
  <c r="AX135" i="6"/>
  <c r="BB135" i="6"/>
  <c r="N134" i="6"/>
  <c r="R134" i="6"/>
  <c r="A179" i="12" l="1"/>
  <c r="A307" i="11" s="1"/>
  <c r="A338" i="11"/>
  <c r="A47" i="15"/>
  <c r="A50" i="15"/>
  <c r="A341" i="11"/>
  <c r="BD144" i="6"/>
  <c r="BH144" i="6"/>
  <c r="AD135" i="6"/>
  <c r="Z135" i="6"/>
  <c r="AV135" i="6"/>
  <c r="AR135" i="6"/>
  <c r="AR204" i="6"/>
  <c r="AV204" i="6"/>
  <c r="AP205" i="6"/>
  <c r="AL205" i="6"/>
  <c r="N135" i="6"/>
  <c r="R135" i="6"/>
  <c r="F134" i="6"/>
  <c r="F265" i="6" s="1"/>
  <c r="E385" i="11" s="1"/>
  <c r="L135" i="6"/>
  <c r="H135" i="6"/>
  <c r="B135" i="6" s="1"/>
  <c r="B266" i="6" s="1"/>
  <c r="B386" i="11" s="1"/>
  <c r="H204" i="6"/>
  <c r="B204" i="6" s="1"/>
  <c r="L204" i="6"/>
  <c r="F203" i="6"/>
  <c r="BJ147" i="6"/>
  <c r="BN147" i="6"/>
  <c r="T204" i="6"/>
  <c r="X204" i="6"/>
  <c r="BB205" i="6"/>
  <c r="AX205" i="6"/>
  <c r="AP137" i="6"/>
  <c r="AL137" i="6"/>
  <c r="AX136" i="6"/>
  <c r="BB136" i="6"/>
  <c r="BT139" i="6"/>
  <c r="BP139" i="6"/>
  <c r="AF204" i="6"/>
  <c r="AJ204" i="6"/>
  <c r="AD204" i="6"/>
  <c r="Z204" i="6"/>
  <c r="R204" i="6"/>
  <c r="N204" i="6"/>
  <c r="X135" i="6"/>
  <c r="T135" i="6"/>
  <c r="AF135" i="6"/>
  <c r="AJ135" i="6"/>
  <c r="A44" i="15" l="1"/>
  <c r="X136" i="6"/>
  <c r="T136" i="6"/>
  <c r="N205" i="6"/>
  <c r="R205" i="6"/>
  <c r="BB206" i="6"/>
  <c r="AX206" i="6"/>
  <c r="X205" i="6"/>
  <c r="T205" i="6"/>
  <c r="F135" i="6"/>
  <c r="F266" i="6" s="1"/>
  <c r="E386" i="11" s="1"/>
  <c r="L136" i="6"/>
  <c r="H136" i="6"/>
  <c r="B136" i="6" s="1"/>
  <c r="B267" i="6" s="1"/>
  <c r="B387" i="11" s="1"/>
  <c r="Z205" i="6"/>
  <c r="AD205" i="6"/>
  <c r="L205" i="6"/>
  <c r="H205" i="6"/>
  <c r="B205" i="6" s="1"/>
  <c r="F204" i="6"/>
  <c r="AP206" i="6"/>
  <c r="AL206" i="6"/>
  <c r="AR136" i="6"/>
  <c r="AV136" i="6"/>
  <c r="Z136" i="6"/>
  <c r="AD136" i="6"/>
  <c r="BT140" i="6"/>
  <c r="BP140" i="6"/>
  <c r="AL138" i="6"/>
  <c r="AP138" i="6"/>
  <c r="AF136" i="6"/>
  <c r="AJ136" i="6"/>
  <c r="AJ205" i="6"/>
  <c r="AF205" i="6"/>
  <c r="AX137" i="6"/>
  <c r="BB137" i="6"/>
  <c r="BJ148" i="6"/>
  <c r="BN148" i="6"/>
  <c r="R136" i="6"/>
  <c r="N136" i="6"/>
  <c r="AV205" i="6"/>
  <c r="AR205" i="6"/>
  <c r="BH145" i="6"/>
  <c r="BD145" i="6"/>
  <c r="AR206" i="6" l="1"/>
  <c r="AV206" i="6"/>
  <c r="AJ206" i="6"/>
  <c r="AF206" i="6"/>
  <c r="BB138" i="6"/>
  <c r="AX138" i="6"/>
  <c r="AJ137" i="6"/>
  <c r="AF137" i="6"/>
  <c r="AR137" i="6"/>
  <c r="AV137" i="6"/>
  <c r="R206" i="6"/>
  <c r="N206" i="6"/>
  <c r="N137" i="6"/>
  <c r="R137" i="6"/>
  <c r="T206" i="6"/>
  <c r="X206" i="6"/>
  <c r="BH146" i="6"/>
  <c r="BD146" i="6"/>
  <c r="BT141" i="6"/>
  <c r="BP141" i="6"/>
  <c r="BJ149" i="6"/>
  <c r="BN149" i="6"/>
  <c r="AL139" i="6"/>
  <c r="AP139" i="6"/>
  <c r="Z137" i="6"/>
  <c r="AD137" i="6"/>
  <c r="L206" i="6"/>
  <c r="H206" i="6"/>
  <c r="B206" i="6" s="1"/>
  <c r="F205" i="6"/>
  <c r="L137" i="6"/>
  <c r="H137" i="6"/>
  <c r="B137" i="6" s="1"/>
  <c r="B268" i="6" s="1"/>
  <c r="B388" i="11" s="1"/>
  <c r="F136" i="6"/>
  <c r="F267" i="6" s="1"/>
  <c r="E387" i="11" s="1"/>
  <c r="AP207" i="6"/>
  <c r="AL207" i="6"/>
  <c r="AD206" i="6"/>
  <c r="Z206" i="6"/>
  <c r="AX207" i="6"/>
  <c r="BB207" i="6"/>
  <c r="X137" i="6"/>
  <c r="T137" i="6"/>
  <c r="AP140" i="6" l="1"/>
  <c r="AL140" i="6"/>
  <c r="X207" i="6"/>
  <c r="T207" i="6"/>
  <c r="T138" i="6"/>
  <c r="X138" i="6"/>
  <c r="N207" i="6"/>
  <c r="R207" i="6"/>
  <c r="AJ138" i="6"/>
  <c r="AF138" i="6"/>
  <c r="AJ207" i="6"/>
  <c r="AF207" i="6"/>
  <c r="Z207" i="6"/>
  <c r="AD207" i="6"/>
  <c r="L207" i="6"/>
  <c r="F206" i="6"/>
  <c r="H207" i="6"/>
  <c r="B207" i="6" s="1"/>
  <c r="L138" i="6"/>
  <c r="F137" i="6"/>
  <c r="F268" i="6" s="1"/>
  <c r="E388" i="11" s="1"/>
  <c r="H138" i="6"/>
  <c r="B138" i="6" s="1"/>
  <c r="B269" i="6" s="1"/>
  <c r="B389" i="11" s="1"/>
  <c r="AR207" i="6"/>
  <c r="AV207" i="6"/>
  <c r="BT142" i="6"/>
  <c r="BP142" i="6"/>
  <c r="AX208" i="6"/>
  <c r="BB208" i="6"/>
  <c r="Z138" i="6"/>
  <c r="AD138" i="6"/>
  <c r="BN150" i="6"/>
  <c r="BJ150" i="6"/>
  <c r="R138" i="6"/>
  <c r="N138" i="6"/>
  <c r="AR138" i="6"/>
  <c r="AV138" i="6"/>
  <c r="AL208" i="6"/>
  <c r="AP208" i="6"/>
  <c r="BH147" i="6"/>
  <c r="BD147" i="6"/>
  <c r="BB139" i="6"/>
  <c r="AX139" i="6"/>
  <c r="R208" i="6" l="1"/>
  <c r="N208" i="6"/>
  <c r="Z139" i="6"/>
  <c r="AD139" i="6"/>
  <c r="N139" i="6"/>
  <c r="R139" i="6"/>
  <c r="BT143" i="6"/>
  <c r="BP143" i="6"/>
  <c r="F207" i="6"/>
  <c r="L208" i="6"/>
  <c r="H208" i="6"/>
  <c r="B208" i="6" s="1"/>
  <c r="AF208" i="6"/>
  <c r="AJ208" i="6"/>
  <c r="T208" i="6"/>
  <c r="X208" i="6"/>
  <c r="AV139" i="6"/>
  <c r="AR139" i="6"/>
  <c r="BB209" i="6"/>
  <c r="AX209" i="6"/>
  <c r="AV208" i="6"/>
  <c r="AR208" i="6"/>
  <c r="F138" i="6"/>
  <c r="F269" i="6" s="1"/>
  <c r="E389" i="11" s="1"/>
  <c r="H139" i="6"/>
  <c r="B139" i="6" s="1"/>
  <c r="B270" i="6" s="1"/>
  <c r="B390" i="11" s="1"/>
  <c r="L139" i="6"/>
  <c r="Z208" i="6"/>
  <c r="AD208" i="6"/>
  <c r="X139" i="6"/>
  <c r="T139" i="6"/>
  <c r="AL209" i="6"/>
  <c r="AP209" i="6"/>
  <c r="AX140" i="6"/>
  <c r="BB140" i="6"/>
  <c r="BD148" i="6"/>
  <c r="BH148" i="6"/>
  <c r="BN151" i="6"/>
  <c r="BJ151" i="6"/>
  <c r="AJ139" i="6"/>
  <c r="AF139" i="6"/>
  <c r="AL141" i="6"/>
  <c r="AP141" i="6"/>
  <c r="AL142" i="6" l="1"/>
  <c r="AP142" i="6"/>
  <c r="AX141" i="6"/>
  <c r="BB141" i="6"/>
  <c r="L140" i="6"/>
  <c r="F139" i="6"/>
  <c r="F270" i="6" s="1"/>
  <c r="E390" i="11" s="1"/>
  <c r="H140" i="6"/>
  <c r="B140" i="6" s="1"/>
  <c r="B271" i="6" s="1"/>
  <c r="B391" i="11" s="1"/>
  <c r="AR209" i="6"/>
  <c r="AV209" i="6"/>
  <c r="AV140" i="6"/>
  <c r="AR140" i="6"/>
  <c r="Z140" i="6"/>
  <c r="AD140" i="6"/>
  <c r="X209" i="6"/>
  <c r="T209" i="6"/>
  <c r="BT144" i="6"/>
  <c r="BP144" i="6"/>
  <c r="BN152" i="6"/>
  <c r="BJ152" i="6"/>
  <c r="T140" i="6"/>
  <c r="X140" i="6"/>
  <c r="BD149" i="6"/>
  <c r="BH149" i="6"/>
  <c r="AL210" i="6"/>
  <c r="AP210" i="6"/>
  <c r="AD209" i="6"/>
  <c r="Z209" i="6"/>
  <c r="BB210" i="6"/>
  <c r="AX210" i="6"/>
  <c r="F208" i="6"/>
  <c r="H209" i="6"/>
  <c r="B209" i="6" s="1"/>
  <c r="L209" i="6"/>
  <c r="N140" i="6"/>
  <c r="R140" i="6"/>
  <c r="AJ140" i="6"/>
  <c r="AF140" i="6"/>
  <c r="AJ209" i="6"/>
  <c r="AF209" i="6"/>
  <c r="R209" i="6"/>
  <c r="N209" i="6"/>
  <c r="N210" i="6" l="1"/>
  <c r="R210" i="6"/>
  <c r="AD210" i="6"/>
  <c r="Z210" i="6"/>
  <c r="BJ153" i="6"/>
  <c r="BN153" i="6"/>
  <c r="AL211" i="6"/>
  <c r="AP211" i="6"/>
  <c r="L210" i="6"/>
  <c r="H210" i="6"/>
  <c r="B210" i="6" s="1"/>
  <c r="F209" i="6"/>
  <c r="AX211" i="6"/>
  <c r="BB211" i="6"/>
  <c r="BT145" i="6"/>
  <c r="BP145" i="6"/>
  <c r="AX142" i="6"/>
  <c r="BB142" i="6"/>
  <c r="AF141" i="6"/>
  <c r="AJ141" i="6"/>
  <c r="BH150" i="6"/>
  <c r="BD150" i="6"/>
  <c r="R141" i="6"/>
  <c r="N141" i="6"/>
  <c r="T210" i="6"/>
  <c r="X210" i="6"/>
  <c r="AR141" i="6"/>
  <c r="AV141" i="6"/>
  <c r="AL143" i="6"/>
  <c r="AP143" i="6"/>
  <c r="AF210" i="6"/>
  <c r="AJ210" i="6"/>
  <c r="X141" i="6"/>
  <c r="T141" i="6"/>
  <c r="Z141" i="6"/>
  <c r="AD141" i="6"/>
  <c r="AV210" i="6"/>
  <c r="AR210" i="6"/>
  <c r="F140" i="6"/>
  <c r="F271" i="6" s="1"/>
  <c r="E391" i="11" s="1"/>
  <c r="L141" i="6"/>
  <c r="H141" i="6"/>
  <c r="B141" i="6" s="1"/>
  <c r="B272" i="6" s="1"/>
  <c r="B392" i="11" s="1"/>
  <c r="AV211" i="6" l="1"/>
  <c r="AR211" i="6"/>
  <c r="X142" i="6"/>
  <c r="T142" i="6"/>
  <c r="BH151" i="6"/>
  <c r="BD151" i="6"/>
  <c r="AL212" i="6"/>
  <c r="AP212" i="6"/>
  <c r="Z142" i="6"/>
  <c r="AD142" i="6"/>
  <c r="AR142" i="6"/>
  <c r="AV142" i="6"/>
  <c r="AJ142" i="6"/>
  <c r="AF142" i="6"/>
  <c r="Z211" i="6"/>
  <c r="AD211" i="6"/>
  <c r="BT146" i="6"/>
  <c r="BP146" i="6"/>
  <c r="BJ154" i="6"/>
  <c r="BN154" i="6"/>
  <c r="N211" i="6"/>
  <c r="R211" i="6"/>
  <c r="L142" i="6"/>
  <c r="H142" i="6"/>
  <c r="B142" i="6" s="1"/>
  <c r="B273" i="6" s="1"/>
  <c r="B393" i="11" s="1"/>
  <c r="F141" i="6"/>
  <c r="F272" i="6" s="1"/>
  <c r="E392" i="11" s="1"/>
  <c r="AJ211" i="6"/>
  <c r="AF211" i="6"/>
  <c r="R142" i="6"/>
  <c r="N142" i="6"/>
  <c r="AP144" i="6"/>
  <c r="AL144" i="6"/>
  <c r="X211" i="6"/>
  <c r="T211" i="6"/>
  <c r="BB143" i="6"/>
  <c r="AX143" i="6"/>
  <c r="AX212" i="6"/>
  <c r="BB212" i="6"/>
  <c r="F210" i="6"/>
  <c r="H211" i="6"/>
  <c r="B211" i="6" s="1"/>
  <c r="L211" i="6"/>
  <c r="BN155" i="6" l="1"/>
  <c r="BJ155" i="6"/>
  <c r="Z212" i="6"/>
  <c r="AD212" i="6"/>
  <c r="AV143" i="6"/>
  <c r="AR143" i="6"/>
  <c r="AP213" i="6"/>
  <c r="AL213" i="6"/>
  <c r="F211" i="6"/>
  <c r="H212" i="6"/>
  <c r="B212" i="6" s="1"/>
  <c r="L212" i="6"/>
  <c r="X212" i="6"/>
  <c r="T212" i="6"/>
  <c r="H143" i="6"/>
  <c r="B143" i="6" s="1"/>
  <c r="B274" i="6" s="1"/>
  <c r="B394" i="11" s="1"/>
  <c r="F142" i="6"/>
  <c r="F273" i="6" s="1"/>
  <c r="L143" i="6"/>
  <c r="X143" i="6"/>
  <c r="T143" i="6"/>
  <c r="N143" i="6"/>
  <c r="R143" i="6"/>
  <c r="AX144" i="6"/>
  <c r="BB144" i="6"/>
  <c r="AL145" i="6"/>
  <c r="AP145" i="6"/>
  <c r="AJ212" i="6"/>
  <c r="AF212" i="6"/>
  <c r="R212" i="6"/>
  <c r="N212" i="6"/>
  <c r="Z143" i="6"/>
  <c r="AD143" i="6"/>
  <c r="BB213" i="6"/>
  <c r="AX213" i="6"/>
  <c r="BT147" i="6"/>
  <c r="BP147" i="6"/>
  <c r="AJ143" i="6"/>
  <c r="AF143" i="6"/>
  <c r="BD152" i="6"/>
  <c r="BH152" i="6"/>
  <c r="AV212" i="6"/>
  <c r="AR212" i="6"/>
  <c r="BH153" i="6" l="1"/>
  <c r="BD153" i="6"/>
  <c r="BT148" i="6"/>
  <c r="BP148" i="6"/>
  <c r="AL146" i="6"/>
  <c r="AP146" i="6"/>
  <c r="R144" i="6"/>
  <c r="N144" i="6"/>
  <c r="F143" i="6"/>
  <c r="F274" i="6" s="1"/>
  <c r="E394" i="11" s="1"/>
  <c r="H144" i="6"/>
  <c r="B144" i="6" s="1"/>
  <c r="B275" i="6" s="1"/>
  <c r="B395" i="11" s="1"/>
  <c r="L144" i="6"/>
  <c r="T213" i="6"/>
  <c r="X213" i="6"/>
  <c r="AD213" i="6"/>
  <c r="Z213" i="6"/>
  <c r="AX145" i="6"/>
  <c r="BB145" i="6"/>
  <c r="AF213" i="6"/>
  <c r="AJ213" i="6"/>
  <c r="AV213" i="6"/>
  <c r="AR213" i="6"/>
  <c r="AF144" i="6"/>
  <c r="AJ144" i="6"/>
  <c r="AX214" i="6"/>
  <c r="BB214" i="6"/>
  <c r="R213" i="6"/>
  <c r="N213" i="6"/>
  <c r="E393" i="11"/>
  <c r="C317" i="6"/>
  <c r="L213" i="6"/>
  <c r="F212" i="6"/>
  <c r="H213" i="6"/>
  <c r="B213" i="6" s="1"/>
  <c r="AL214" i="6"/>
  <c r="AP214" i="6"/>
  <c r="Z144" i="6"/>
  <c r="AD144" i="6"/>
  <c r="X144" i="6"/>
  <c r="T144" i="6"/>
  <c r="AR144" i="6"/>
  <c r="AV144" i="6"/>
  <c r="BJ156" i="6"/>
  <c r="BN156" i="6"/>
  <c r="AP215" i="6" l="1"/>
  <c r="AL215" i="6"/>
  <c r="BB215" i="6"/>
  <c r="AX215" i="6"/>
  <c r="AR145" i="6"/>
  <c r="AV145" i="6"/>
  <c r="AR214" i="6"/>
  <c r="AV214" i="6"/>
  <c r="N214" i="6"/>
  <c r="R214" i="6"/>
  <c r="T145" i="6"/>
  <c r="X145" i="6"/>
  <c r="C359" i="11"/>
  <c r="D327" i="11"/>
  <c r="D330" i="11" s="1"/>
  <c r="AD145" i="6"/>
  <c r="Z145" i="6"/>
  <c r="AF145" i="6"/>
  <c r="AJ145" i="6"/>
  <c r="AJ214" i="6"/>
  <c r="AF214" i="6"/>
  <c r="L145" i="6"/>
  <c r="H145" i="6"/>
  <c r="B145" i="6" s="1"/>
  <c r="B276" i="6" s="1"/>
  <c r="B396" i="11" s="1"/>
  <c r="F144" i="6"/>
  <c r="F275" i="6" s="1"/>
  <c r="E395" i="11" s="1"/>
  <c r="R145" i="6"/>
  <c r="N145" i="6"/>
  <c r="BP149" i="6"/>
  <c r="BT149" i="6"/>
  <c r="H214" i="6"/>
  <c r="B214" i="6" s="1"/>
  <c r="L214" i="6"/>
  <c r="F213" i="6"/>
  <c r="AD214" i="6"/>
  <c r="Z214" i="6"/>
  <c r="AL147" i="6"/>
  <c r="AP147" i="6"/>
  <c r="BN157" i="6"/>
  <c r="BJ157" i="6"/>
  <c r="AX146" i="6"/>
  <c r="BB146" i="6"/>
  <c r="X214" i="6"/>
  <c r="T214" i="6"/>
  <c r="BD154" i="6"/>
  <c r="BH154" i="6"/>
  <c r="BB147" i="6" l="1"/>
  <c r="AX147" i="6"/>
  <c r="R146" i="6"/>
  <c r="N146" i="6"/>
  <c r="T146" i="6"/>
  <c r="X146" i="6"/>
  <c r="AV215" i="6"/>
  <c r="AR215" i="6"/>
  <c r="X215" i="6"/>
  <c r="T215" i="6"/>
  <c r="BJ158" i="6"/>
  <c r="BN158" i="6"/>
  <c r="AD215" i="6"/>
  <c r="Z215" i="6"/>
  <c r="BT150" i="6"/>
  <c r="BP150" i="6"/>
  <c r="AF215" i="6"/>
  <c r="AJ215" i="6"/>
  <c r="Z146" i="6"/>
  <c r="AD146" i="6"/>
  <c r="AX216" i="6"/>
  <c r="BB216" i="6"/>
  <c r="AJ146" i="6"/>
  <c r="AF146" i="6"/>
  <c r="E192" i="12"/>
  <c r="E191" i="12"/>
  <c r="D336" i="11"/>
  <c r="N215" i="6"/>
  <c r="R215" i="6"/>
  <c r="AR146" i="6"/>
  <c r="AV146" i="6"/>
  <c r="BH155" i="6"/>
  <c r="BD155" i="6"/>
  <c r="AL148" i="6"/>
  <c r="AP148" i="6"/>
  <c r="F214" i="6"/>
  <c r="L215" i="6"/>
  <c r="H215" i="6"/>
  <c r="B215" i="6" s="1"/>
  <c r="H146" i="6"/>
  <c r="B146" i="6" s="1"/>
  <c r="B277" i="6" s="1"/>
  <c r="B397" i="11" s="1"/>
  <c r="L146" i="6"/>
  <c r="F145" i="6"/>
  <c r="F276" i="6" s="1"/>
  <c r="E396" i="11" s="1"/>
  <c r="AP216" i="6"/>
  <c r="AL216" i="6"/>
  <c r="F146" i="6" l="1"/>
  <c r="F277" i="6" s="1"/>
  <c r="E397" i="11" s="1"/>
  <c r="H147" i="6"/>
  <c r="B147" i="6" s="1"/>
  <c r="B278" i="6" s="1"/>
  <c r="B398" i="11" s="1"/>
  <c r="L147" i="6"/>
  <c r="BD156" i="6"/>
  <c r="BH156" i="6"/>
  <c r="Z147" i="6"/>
  <c r="AD147" i="6"/>
  <c r="BJ159" i="6"/>
  <c r="BN159" i="6"/>
  <c r="AL149" i="6"/>
  <c r="AP149" i="6"/>
  <c r="AR147" i="6"/>
  <c r="AV147" i="6"/>
  <c r="AF147" i="6"/>
  <c r="AJ147" i="6"/>
  <c r="BP151" i="6"/>
  <c r="BT151" i="6"/>
  <c r="AV216" i="6"/>
  <c r="AR216" i="6"/>
  <c r="N147" i="6"/>
  <c r="R147" i="6"/>
  <c r="AL217" i="6"/>
  <c r="AP217" i="6"/>
  <c r="BB217" i="6"/>
  <c r="AX217" i="6"/>
  <c r="AJ216" i="6"/>
  <c r="AF216" i="6"/>
  <c r="T147" i="6"/>
  <c r="X147" i="6"/>
  <c r="F215" i="6"/>
  <c r="H216" i="6"/>
  <c r="B216" i="6" s="1"/>
  <c r="L216" i="6"/>
  <c r="R216" i="6"/>
  <c r="N216" i="6"/>
  <c r="AD216" i="6"/>
  <c r="Z216" i="6"/>
  <c r="X216" i="6"/>
  <c r="T216" i="6"/>
  <c r="AX148" i="6"/>
  <c r="BB148" i="6"/>
  <c r="AX149" i="6" l="1"/>
  <c r="BB149" i="6"/>
  <c r="H217" i="6"/>
  <c r="B217" i="6" s="1"/>
  <c r="L217" i="6"/>
  <c r="F216" i="6"/>
  <c r="AX218" i="6"/>
  <c r="BB218" i="6"/>
  <c r="Z217" i="6"/>
  <c r="AD217" i="6"/>
  <c r="AL218" i="6"/>
  <c r="AP218" i="6"/>
  <c r="AF148" i="6"/>
  <c r="AJ148" i="6"/>
  <c r="AP150" i="6"/>
  <c r="AL150" i="6"/>
  <c r="AD148" i="6"/>
  <c r="Z148" i="6"/>
  <c r="L148" i="6"/>
  <c r="F147" i="6"/>
  <c r="F278" i="6" s="1"/>
  <c r="E398" i="11" s="1"/>
  <c r="H148" i="6"/>
  <c r="B148" i="6" s="1"/>
  <c r="B279" i="6" s="1"/>
  <c r="B399" i="11" s="1"/>
  <c r="AJ217" i="6"/>
  <c r="AF217" i="6"/>
  <c r="AV217" i="6"/>
  <c r="AR217" i="6"/>
  <c r="T217" i="6"/>
  <c r="X217" i="6"/>
  <c r="R217" i="6"/>
  <c r="N217" i="6"/>
  <c r="T148" i="6"/>
  <c r="X148" i="6"/>
  <c r="R148" i="6"/>
  <c r="N148" i="6"/>
  <c r="BP152" i="6"/>
  <c r="BT152" i="6"/>
  <c r="AR148" i="6"/>
  <c r="AV148" i="6"/>
  <c r="BJ160" i="6"/>
  <c r="BN160" i="6"/>
  <c r="BH157" i="6"/>
  <c r="BD157" i="6"/>
  <c r="AD149" i="6" l="1"/>
  <c r="Z149" i="6"/>
  <c r="F217" i="6"/>
  <c r="H218" i="6"/>
  <c r="B218" i="6" s="1"/>
  <c r="L218" i="6"/>
  <c r="AP219" i="6"/>
  <c r="AL219" i="6"/>
  <c r="BB219" i="6"/>
  <c r="AX219" i="6"/>
  <c r="AV149" i="6"/>
  <c r="AR149" i="6"/>
  <c r="N218" i="6"/>
  <c r="R218" i="6"/>
  <c r="AV218" i="6"/>
  <c r="AR218" i="6"/>
  <c r="BN161" i="6"/>
  <c r="BJ161" i="6"/>
  <c r="BT153" i="6"/>
  <c r="BP153" i="6"/>
  <c r="X149" i="6"/>
  <c r="T149" i="6"/>
  <c r="X218" i="6"/>
  <c r="T218" i="6"/>
  <c r="F148" i="6"/>
  <c r="F279" i="6" s="1"/>
  <c r="E399" i="11" s="1"/>
  <c r="H149" i="6"/>
  <c r="B149" i="6" s="1"/>
  <c r="B280" i="6" s="1"/>
  <c r="B400" i="11" s="1"/>
  <c r="L149" i="6"/>
  <c r="AL151" i="6"/>
  <c r="AP151" i="6"/>
  <c r="BB150" i="6"/>
  <c r="AX150" i="6"/>
  <c r="BD158" i="6"/>
  <c r="BH158" i="6"/>
  <c r="N149" i="6"/>
  <c r="R149" i="6"/>
  <c r="AF218" i="6"/>
  <c r="AJ218" i="6"/>
  <c r="AF149" i="6"/>
  <c r="AJ149" i="6"/>
  <c r="AD218" i="6"/>
  <c r="Z218" i="6"/>
  <c r="AF219" i="6" l="1"/>
  <c r="AJ219" i="6"/>
  <c r="BD159" i="6"/>
  <c r="BH159" i="6"/>
  <c r="AL152" i="6"/>
  <c r="AP152" i="6"/>
  <c r="X150" i="6"/>
  <c r="T150" i="6"/>
  <c r="BN162" i="6"/>
  <c r="BJ162" i="6"/>
  <c r="BB220" i="6"/>
  <c r="AX220" i="6"/>
  <c r="N150" i="6"/>
  <c r="R150" i="6"/>
  <c r="Z219" i="6"/>
  <c r="AD219" i="6"/>
  <c r="AF150" i="6"/>
  <c r="AJ150" i="6"/>
  <c r="H150" i="6"/>
  <c r="B150" i="6" s="1"/>
  <c r="B281" i="6" s="1"/>
  <c r="B401" i="11" s="1"/>
  <c r="F149" i="6"/>
  <c r="F280" i="6" s="1"/>
  <c r="E400" i="11" s="1"/>
  <c r="L150" i="6"/>
  <c r="X219" i="6"/>
  <c r="T219" i="6"/>
  <c r="BP154" i="6"/>
  <c r="BT154" i="6"/>
  <c r="AR219" i="6"/>
  <c r="AV219" i="6"/>
  <c r="AV150" i="6"/>
  <c r="AR150" i="6"/>
  <c r="AP220" i="6"/>
  <c r="AL220" i="6"/>
  <c r="BB151" i="6"/>
  <c r="AX151" i="6"/>
  <c r="N219" i="6"/>
  <c r="R219" i="6"/>
  <c r="L219" i="6"/>
  <c r="F218" i="6"/>
  <c r="H219" i="6"/>
  <c r="B219" i="6" s="1"/>
  <c r="AD150" i="6"/>
  <c r="Z150" i="6"/>
  <c r="Z220" i="6" l="1"/>
  <c r="AD220" i="6"/>
  <c r="BH160" i="6"/>
  <c r="BD160" i="6"/>
  <c r="AX152" i="6"/>
  <c r="BB152" i="6"/>
  <c r="AX221" i="6"/>
  <c r="BB221" i="6"/>
  <c r="X151" i="6"/>
  <c r="T151" i="6"/>
  <c r="AV151" i="6"/>
  <c r="AR151" i="6"/>
  <c r="N220" i="6"/>
  <c r="R220" i="6"/>
  <c r="AL221" i="6"/>
  <c r="AP221" i="6"/>
  <c r="T220" i="6"/>
  <c r="X220" i="6"/>
  <c r="AJ151" i="6"/>
  <c r="AF151" i="6"/>
  <c r="R151" i="6"/>
  <c r="N151" i="6"/>
  <c r="AP153" i="6"/>
  <c r="AL153" i="6"/>
  <c r="AF220" i="6"/>
  <c r="AJ220" i="6"/>
  <c r="H220" i="6"/>
  <c r="B220" i="6" s="1"/>
  <c r="L220" i="6"/>
  <c r="F219" i="6"/>
  <c r="AD151" i="6"/>
  <c r="Z151" i="6"/>
  <c r="AV220" i="6"/>
  <c r="AR220" i="6"/>
  <c r="BT155" i="6"/>
  <c r="BP155" i="6"/>
  <c r="F150" i="6"/>
  <c r="F281" i="6" s="1"/>
  <c r="E401" i="11" s="1"/>
  <c r="H151" i="6"/>
  <c r="B151" i="6" s="1"/>
  <c r="B282" i="6" s="1"/>
  <c r="B402" i="11" s="1"/>
  <c r="L151" i="6"/>
  <c r="BJ163" i="6"/>
  <c r="BN163" i="6"/>
  <c r="AR221" i="6" l="1"/>
  <c r="AV221" i="6"/>
  <c r="L221" i="6"/>
  <c r="F220" i="6"/>
  <c r="H221" i="6"/>
  <c r="B221" i="6" s="1"/>
  <c r="AP222" i="6"/>
  <c r="AL222" i="6"/>
  <c r="AX222" i="6"/>
  <c r="BB222" i="6"/>
  <c r="BJ164" i="6"/>
  <c r="BN164" i="6"/>
  <c r="AL154" i="6"/>
  <c r="AP154" i="6"/>
  <c r="AJ152" i="6"/>
  <c r="AF152" i="6"/>
  <c r="AR152" i="6"/>
  <c r="AV152" i="6"/>
  <c r="BH161" i="6"/>
  <c r="BD161" i="6"/>
  <c r="H152" i="6"/>
  <c r="B152" i="6" s="1"/>
  <c r="B283" i="6" s="1"/>
  <c r="B403" i="11" s="1"/>
  <c r="F151" i="6"/>
  <c r="F282" i="6" s="1"/>
  <c r="E402" i="11" s="1"/>
  <c r="L152" i="6"/>
  <c r="BP156" i="6"/>
  <c r="BT156" i="6"/>
  <c r="AD152" i="6"/>
  <c r="Z152" i="6"/>
  <c r="AJ221" i="6"/>
  <c r="AF221" i="6"/>
  <c r="X221" i="6"/>
  <c r="T221" i="6"/>
  <c r="R221" i="6"/>
  <c r="N221" i="6"/>
  <c r="AX153" i="6"/>
  <c r="BB153" i="6"/>
  <c r="AD221" i="6"/>
  <c r="Z221" i="6"/>
  <c r="N152" i="6"/>
  <c r="R152" i="6"/>
  <c r="X152" i="6"/>
  <c r="T152" i="6"/>
  <c r="Z222" i="6" l="1"/>
  <c r="AD222" i="6"/>
  <c r="AF222" i="6"/>
  <c r="AJ222" i="6"/>
  <c r="BN165" i="6"/>
  <c r="BJ165" i="6"/>
  <c r="F221" i="6"/>
  <c r="L222" i="6"/>
  <c r="H222" i="6"/>
  <c r="B222" i="6" s="1"/>
  <c r="T153" i="6"/>
  <c r="X153" i="6"/>
  <c r="R153" i="6"/>
  <c r="N153" i="6"/>
  <c r="BD162" i="6"/>
  <c r="BH162" i="6"/>
  <c r="AJ153" i="6"/>
  <c r="AF153" i="6"/>
  <c r="AL223" i="6"/>
  <c r="AP223" i="6"/>
  <c r="AR222" i="6"/>
  <c r="AV222" i="6"/>
  <c r="BP157" i="6"/>
  <c r="BT157" i="6"/>
  <c r="R222" i="6"/>
  <c r="N222" i="6"/>
  <c r="AX154" i="6"/>
  <c r="BB154" i="6"/>
  <c r="H153" i="6"/>
  <c r="B153" i="6" s="1"/>
  <c r="B284" i="6" s="1"/>
  <c r="B404" i="11" s="1"/>
  <c r="F152" i="6"/>
  <c r="F283" i="6" s="1"/>
  <c r="E403" i="11" s="1"/>
  <c r="L153" i="6"/>
  <c r="T222" i="6"/>
  <c r="X222" i="6"/>
  <c r="Z153" i="6"/>
  <c r="AD153" i="6"/>
  <c r="AR153" i="6"/>
  <c r="AV153" i="6"/>
  <c r="AL155" i="6"/>
  <c r="AP155" i="6"/>
  <c r="AX223" i="6"/>
  <c r="BB223" i="6"/>
  <c r="N223" i="6" l="1"/>
  <c r="R223" i="6"/>
  <c r="AJ154" i="6"/>
  <c r="AF154" i="6"/>
  <c r="N154" i="6"/>
  <c r="R154" i="6"/>
  <c r="H223" i="6"/>
  <c r="B223" i="6" s="1"/>
  <c r="L223" i="6"/>
  <c r="F222" i="6"/>
  <c r="AF223" i="6"/>
  <c r="AJ223" i="6"/>
  <c r="T223" i="6"/>
  <c r="X223" i="6"/>
  <c r="BB155" i="6"/>
  <c r="AX155" i="6"/>
  <c r="BP158" i="6"/>
  <c r="BT158" i="6"/>
  <c r="AP224" i="6"/>
  <c r="AL224" i="6"/>
  <c r="BH163" i="6"/>
  <c r="BD163" i="6"/>
  <c r="X154" i="6"/>
  <c r="T154" i="6"/>
  <c r="AR154" i="6"/>
  <c r="AV154" i="6"/>
  <c r="AP156" i="6"/>
  <c r="AL156" i="6"/>
  <c r="Z154" i="6"/>
  <c r="AD154" i="6"/>
  <c r="H154" i="6"/>
  <c r="B154" i="6" s="1"/>
  <c r="B285" i="6" s="1"/>
  <c r="B405" i="11" s="1"/>
  <c r="F153" i="6"/>
  <c r="F284" i="6" s="1"/>
  <c r="E404" i="11" s="1"/>
  <c r="L154" i="6"/>
  <c r="AD223" i="6"/>
  <c r="Z223" i="6"/>
  <c r="AX224" i="6"/>
  <c r="BB224" i="6"/>
  <c r="AV223" i="6"/>
  <c r="AR223" i="6"/>
  <c r="BN166" i="6"/>
  <c r="BJ166" i="6"/>
  <c r="BN167" i="6" l="1"/>
  <c r="BJ167" i="6"/>
  <c r="BB225" i="6"/>
  <c r="AX225" i="6"/>
  <c r="F154" i="6"/>
  <c r="F285" i="6" s="1"/>
  <c r="H155" i="6"/>
  <c r="B155" i="6" s="1"/>
  <c r="B286" i="6" s="1"/>
  <c r="L155" i="6"/>
  <c r="BD164" i="6"/>
  <c r="BH164" i="6"/>
  <c r="L224" i="6"/>
  <c r="F223" i="6"/>
  <c r="H224" i="6"/>
  <c r="B224" i="6" s="1"/>
  <c r="AJ155" i="6"/>
  <c r="AF155" i="6"/>
  <c r="X155" i="6"/>
  <c r="T155" i="6"/>
  <c r="AX156" i="6"/>
  <c r="BB156" i="6"/>
  <c r="R155" i="6"/>
  <c r="N155" i="6"/>
  <c r="R224" i="6"/>
  <c r="N224" i="6"/>
  <c r="AJ224" i="6"/>
  <c r="AF224" i="6"/>
  <c r="AP157" i="6"/>
  <c r="AL157" i="6"/>
  <c r="AL225" i="6"/>
  <c r="AP225" i="6"/>
  <c r="AV224" i="6"/>
  <c r="AR224" i="6"/>
  <c r="Z224" i="6"/>
  <c r="AD224" i="6"/>
  <c r="AD155" i="6"/>
  <c r="Z155" i="6"/>
  <c r="AV155" i="6"/>
  <c r="AR155" i="6"/>
  <c r="BP159" i="6"/>
  <c r="BT159" i="6"/>
  <c r="T224" i="6"/>
  <c r="X224" i="6"/>
  <c r="X225" i="6" l="1"/>
  <c r="T225" i="6"/>
  <c r="AL226" i="6"/>
  <c r="AP226" i="6"/>
  <c r="AF225" i="6"/>
  <c r="AJ225" i="6"/>
  <c r="R156" i="6"/>
  <c r="N156" i="6"/>
  <c r="X156" i="6"/>
  <c r="T156" i="6"/>
  <c r="L156" i="6"/>
  <c r="F155" i="6"/>
  <c r="F286" i="6" s="1"/>
  <c r="H156" i="6"/>
  <c r="B156" i="6" s="1"/>
  <c r="B287" i="6" s="1"/>
  <c r="AX226" i="6"/>
  <c r="BB226" i="6"/>
  <c r="AD225" i="6"/>
  <c r="Z225" i="6"/>
  <c r="BT160" i="6"/>
  <c r="BP160" i="6"/>
  <c r="BB157" i="6"/>
  <c r="AX157" i="6"/>
  <c r="L225" i="6"/>
  <c r="F224" i="6"/>
  <c r="H225" i="6"/>
  <c r="B225" i="6" s="1"/>
  <c r="AV156" i="6"/>
  <c r="AR156" i="6"/>
  <c r="Z156" i="6"/>
  <c r="AD156" i="6"/>
  <c r="AV225" i="6"/>
  <c r="AR225" i="6"/>
  <c r="AP158" i="6"/>
  <c r="AL158" i="6"/>
  <c r="R225" i="6"/>
  <c r="N225" i="6"/>
  <c r="AF156" i="6"/>
  <c r="AJ156" i="6"/>
  <c r="BH165" i="6"/>
  <c r="BD165" i="6"/>
  <c r="E405" i="11"/>
  <c r="D317" i="6"/>
  <c r="BN168" i="6"/>
  <c r="BJ168" i="6"/>
  <c r="AF157" i="6" l="1"/>
  <c r="AJ157" i="6"/>
  <c r="AX158" i="6"/>
  <c r="BB158" i="6"/>
  <c r="AD226" i="6"/>
  <c r="Z226" i="6"/>
  <c r="AP227" i="6"/>
  <c r="AL227" i="6"/>
  <c r="D359" i="11"/>
  <c r="E327" i="11"/>
  <c r="E330" i="11" s="1"/>
  <c r="AL159" i="6"/>
  <c r="AP159" i="6"/>
  <c r="BB227" i="6"/>
  <c r="AX227" i="6"/>
  <c r="H157" i="6"/>
  <c r="B157" i="6" s="1"/>
  <c r="B288" i="6" s="1"/>
  <c r="F156" i="6"/>
  <c r="F287" i="6" s="1"/>
  <c r="L157" i="6"/>
  <c r="R157" i="6"/>
  <c r="N157" i="6"/>
  <c r="F225" i="6"/>
  <c r="H226" i="6"/>
  <c r="B226" i="6" s="1"/>
  <c r="L226" i="6"/>
  <c r="BT161" i="6"/>
  <c r="BP161" i="6"/>
  <c r="AJ226" i="6"/>
  <c r="AF226" i="6"/>
  <c r="Z157" i="6"/>
  <c r="AD157" i="6"/>
  <c r="BJ169" i="6"/>
  <c r="BN169" i="6"/>
  <c r="BD166" i="6"/>
  <c r="BH166" i="6"/>
  <c r="N226" i="6"/>
  <c r="R226" i="6"/>
  <c r="AV226" i="6"/>
  <c r="AR226" i="6"/>
  <c r="AR157" i="6"/>
  <c r="AV157" i="6"/>
  <c r="T157" i="6"/>
  <c r="X157" i="6"/>
  <c r="X226" i="6"/>
  <c r="T226" i="6"/>
  <c r="BH167" i="6" l="1"/>
  <c r="BD167" i="6"/>
  <c r="AD158" i="6"/>
  <c r="Z158" i="6"/>
  <c r="AP160" i="6"/>
  <c r="AL160" i="6"/>
  <c r="AX159" i="6"/>
  <c r="BB159" i="6"/>
  <c r="AR227" i="6"/>
  <c r="AV227" i="6"/>
  <c r="BT162" i="6"/>
  <c r="BP162" i="6"/>
  <c r="AL228" i="6"/>
  <c r="AP228" i="6"/>
  <c r="T158" i="6"/>
  <c r="X158" i="6"/>
  <c r="AV158" i="6"/>
  <c r="AR158" i="6"/>
  <c r="N227" i="6"/>
  <c r="R227" i="6"/>
  <c r="BN170" i="6"/>
  <c r="BJ170" i="6"/>
  <c r="L227" i="6"/>
  <c r="F226" i="6"/>
  <c r="H227" i="6"/>
  <c r="B227" i="6" s="1"/>
  <c r="R158" i="6"/>
  <c r="N158" i="6"/>
  <c r="F192" i="12"/>
  <c r="F191" i="12"/>
  <c r="E336" i="11"/>
  <c r="AF158" i="6"/>
  <c r="AJ158" i="6"/>
  <c r="X227" i="6"/>
  <c r="T227" i="6"/>
  <c r="AF227" i="6"/>
  <c r="AJ227" i="6"/>
  <c r="H158" i="6"/>
  <c r="B158" i="6" s="1"/>
  <c r="B289" i="6" s="1"/>
  <c r="L158" i="6"/>
  <c r="F157" i="6"/>
  <c r="F288" i="6" s="1"/>
  <c r="BB228" i="6"/>
  <c r="AX228" i="6"/>
  <c r="Z227" i="6"/>
  <c r="AD227" i="6"/>
  <c r="BB229" i="6" l="1"/>
  <c r="AX229" i="6"/>
  <c r="N228" i="6"/>
  <c r="R228" i="6"/>
  <c r="AD228" i="6"/>
  <c r="Z228" i="6"/>
  <c r="BT163" i="6"/>
  <c r="BP163" i="6"/>
  <c r="N159" i="6"/>
  <c r="R159" i="6"/>
  <c r="AL229" i="6"/>
  <c r="AP229" i="6"/>
  <c r="AR228" i="6"/>
  <c r="AV228" i="6"/>
  <c r="AJ228" i="6"/>
  <c r="AF228" i="6"/>
  <c r="AJ159" i="6"/>
  <c r="AF159" i="6"/>
  <c r="T159" i="6"/>
  <c r="X159" i="6"/>
  <c r="AX160" i="6"/>
  <c r="BB160" i="6"/>
  <c r="F227" i="6"/>
  <c r="L228" i="6"/>
  <c r="H228" i="6"/>
  <c r="B228" i="6" s="1"/>
  <c r="Z159" i="6"/>
  <c r="AD159" i="6"/>
  <c r="L159" i="6"/>
  <c r="F158" i="6"/>
  <c r="F289" i="6" s="1"/>
  <c r="H159" i="6"/>
  <c r="B159" i="6" s="1"/>
  <c r="B290" i="6" s="1"/>
  <c r="X228" i="6"/>
  <c r="T228" i="6"/>
  <c r="BN171" i="6"/>
  <c r="BJ171" i="6"/>
  <c r="AV159" i="6"/>
  <c r="AR159" i="6"/>
  <c r="AP161" i="6"/>
  <c r="AL161" i="6"/>
  <c r="BH168" i="6"/>
  <c r="BD168" i="6"/>
  <c r="AL162" i="6" l="1"/>
  <c r="AP162" i="6"/>
  <c r="AJ160" i="6"/>
  <c r="AF160" i="6"/>
  <c r="Z229" i="6"/>
  <c r="AD229" i="6"/>
  <c r="BB230" i="6"/>
  <c r="AX230" i="6"/>
  <c r="L160" i="6"/>
  <c r="F159" i="6"/>
  <c r="F290" i="6" s="1"/>
  <c r="H160" i="6"/>
  <c r="B160" i="6" s="1"/>
  <c r="B291" i="6" s="1"/>
  <c r="L229" i="6"/>
  <c r="F228" i="6"/>
  <c r="H229" i="6"/>
  <c r="B229" i="6" s="1"/>
  <c r="X160" i="6"/>
  <c r="T160" i="6"/>
  <c r="AL230" i="6"/>
  <c r="AP230" i="6"/>
  <c r="R229" i="6"/>
  <c r="N229" i="6"/>
  <c r="BD169" i="6"/>
  <c r="BH169" i="6"/>
  <c r="AR160" i="6"/>
  <c r="AV160" i="6"/>
  <c r="T229" i="6"/>
  <c r="X229" i="6"/>
  <c r="AD160" i="6"/>
  <c r="Z160" i="6"/>
  <c r="AJ229" i="6"/>
  <c r="AF229" i="6"/>
  <c r="BP164" i="6"/>
  <c r="BT164" i="6"/>
  <c r="BB161" i="6"/>
  <c r="AX161" i="6"/>
  <c r="AR229" i="6"/>
  <c r="AV229" i="6"/>
  <c r="N160" i="6"/>
  <c r="R160" i="6"/>
  <c r="BN172" i="6"/>
  <c r="BJ172" i="6"/>
  <c r="BP165" i="6" l="1"/>
  <c r="BT165" i="6"/>
  <c r="L230" i="6"/>
  <c r="H230" i="6"/>
  <c r="B230" i="6" s="1"/>
  <c r="F229" i="6"/>
  <c r="BN173" i="6"/>
  <c r="BJ173" i="6"/>
  <c r="AD161" i="6"/>
  <c r="Z161" i="6"/>
  <c r="R230" i="6"/>
  <c r="N230" i="6"/>
  <c r="T161" i="6"/>
  <c r="X161" i="6"/>
  <c r="AX231" i="6"/>
  <c r="BB231" i="6"/>
  <c r="AJ161" i="6"/>
  <c r="AF161" i="6"/>
  <c r="N161" i="6"/>
  <c r="R161" i="6"/>
  <c r="X230" i="6"/>
  <c r="T230" i="6"/>
  <c r="AP231" i="6"/>
  <c r="AL231" i="6"/>
  <c r="AD230" i="6"/>
  <c r="Z230" i="6"/>
  <c r="AL163" i="6"/>
  <c r="AP163" i="6"/>
  <c r="AR230" i="6"/>
  <c r="AV230" i="6"/>
  <c r="AR161" i="6"/>
  <c r="AV161" i="6"/>
  <c r="BD170" i="6"/>
  <c r="BH170" i="6"/>
  <c r="AX162" i="6"/>
  <c r="BB162" i="6"/>
  <c r="AJ230" i="6"/>
  <c r="AF230" i="6"/>
  <c r="L161" i="6"/>
  <c r="F160" i="6"/>
  <c r="F291" i="6" s="1"/>
  <c r="H161" i="6"/>
  <c r="B161" i="6" s="1"/>
  <c r="B292" i="6" s="1"/>
  <c r="AR231" i="6" l="1"/>
  <c r="AV231" i="6"/>
  <c r="Z231" i="6"/>
  <c r="AD231" i="6"/>
  <c r="F230" i="6"/>
  <c r="L231" i="6"/>
  <c r="H231" i="6"/>
  <c r="B231" i="6" s="1"/>
  <c r="BH171" i="6"/>
  <c r="BD171" i="6"/>
  <c r="T162" i="6"/>
  <c r="X162" i="6"/>
  <c r="AJ231" i="6"/>
  <c r="AF231" i="6"/>
  <c r="X231" i="6"/>
  <c r="T231" i="6"/>
  <c r="AJ162" i="6"/>
  <c r="AF162" i="6"/>
  <c r="Z162" i="6"/>
  <c r="AD162" i="6"/>
  <c r="AX163" i="6"/>
  <c r="BB163" i="6"/>
  <c r="AV162" i="6"/>
  <c r="AR162" i="6"/>
  <c r="AP164" i="6"/>
  <c r="AL164" i="6"/>
  <c r="N162" i="6"/>
  <c r="R162" i="6"/>
  <c r="AX232" i="6"/>
  <c r="BB232" i="6"/>
  <c r="F161" i="6"/>
  <c r="F292" i="6" s="1"/>
  <c r="L162" i="6"/>
  <c r="H162" i="6"/>
  <c r="B162" i="6" s="1"/>
  <c r="B293" i="6" s="1"/>
  <c r="AP232" i="6"/>
  <c r="AL232" i="6"/>
  <c r="R231" i="6"/>
  <c r="N231" i="6"/>
  <c r="BN174" i="6"/>
  <c r="BJ174" i="6"/>
  <c r="BP166" i="6"/>
  <c r="BT166" i="6"/>
  <c r="BP167" i="6" l="1"/>
  <c r="BT167" i="6"/>
  <c r="AF163" i="6"/>
  <c r="AJ163" i="6"/>
  <c r="BH172" i="6"/>
  <c r="BD172" i="6"/>
  <c r="Z232" i="6"/>
  <c r="AD232" i="6"/>
  <c r="R232" i="6"/>
  <c r="N232" i="6"/>
  <c r="F162" i="6"/>
  <c r="F293" i="6" s="1"/>
  <c r="L163" i="6"/>
  <c r="H163" i="6"/>
  <c r="B163" i="6" s="1"/>
  <c r="B294" i="6" s="1"/>
  <c r="N163" i="6"/>
  <c r="R163" i="6"/>
  <c r="AD163" i="6"/>
  <c r="Z163" i="6"/>
  <c r="X163" i="6"/>
  <c r="T163" i="6"/>
  <c r="AR163" i="6"/>
  <c r="AV163" i="6"/>
  <c r="X232" i="6"/>
  <c r="T232" i="6"/>
  <c r="F231" i="6"/>
  <c r="H232" i="6"/>
  <c r="B232" i="6" s="1"/>
  <c r="L232" i="6"/>
  <c r="AV232" i="6"/>
  <c r="AR232" i="6"/>
  <c r="AP165" i="6"/>
  <c r="AL165" i="6"/>
  <c r="AJ232" i="6"/>
  <c r="AF232" i="6"/>
  <c r="BN175" i="6"/>
  <c r="BJ175" i="6"/>
  <c r="AP233" i="6"/>
  <c r="AL233" i="6"/>
  <c r="AX233" i="6"/>
  <c r="BB233" i="6"/>
  <c r="BB164" i="6"/>
  <c r="AX164" i="6"/>
  <c r="BN176" i="6" l="1"/>
  <c r="BJ176" i="6"/>
  <c r="AD164" i="6"/>
  <c r="Z164" i="6"/>
  <c r="AD233" i="6"/>
  <c r="Z233" i="6"/>
  <c r="AX165" i="6"/>
  <c r="BB165" i="6"/>
  <c r="AF233" i="6"/>
  <c r="AJ233" i="6"/>
  <c r="N164" i="6"/>
  <c r="R164" i="6"/>
  <c r="AP166" i="6"/>
  <c r="AL166" i="6"/>
  <c r="F163" i="6"/>
  <c r="F294" i="6" s="1"/>
  <c r="H164" i="6"/>
  <c r="B164" i="6" s="1"/>
  <c r="B295" i="6" s="1"/>
  <c r="L164" i="6"/>
  <c r="AF164" i="6"/>
  <c r="AJ164" i="6"/>
  <c r="AL234" i="6"/>
  <c r="AP234" i="6"/>
  <c r="AV233" i="6"/>
  <c r="AR233" i="6"/>
  <c r="AX234" i="6"/>
  <c r="BB234" i="6"/>
  <c r="L233" i="6"/>
  <c r="H233" i="6"/>
  <c r="B233" i="6" s="1"/>
  <c r="F232" i="6"/>
  <c r="T233" i="6"/>
  <c r="X233" i="6"/>
  <c r="T164" i="6"/>
  <c r="X164" i="6"/>
  <c r="BT168" i="6"/>
  <c r="BP168" i="6"/>
  <c r="AR164" i="6"/>
  <c r="AV164" i="6"/>
  <c r="N233" i="6"/>
  <c r="R233" i="6"/>
  <c r="BH173" i="6"/>
  <c r="BD173" i="6"/>
  <c r="AV165" i="6" l="1"/>
  <c r="AR165" i="6"/>
  <c r="X165" i="6"/>
  <c r="T165" i="6"/>
  <c r="N165" i="6"/>
  <c r="R165" i="6"/>
  <c r="BD174" i="6"/>
  <c r="BH174" i="6"/>
  <c r="AJ165" i="6"/>
  <c r="AF165" i="6"/>
  <c r="AD165" i="6"/>
  <c r="Z165" i="6"/>
  <c r="R234" i="6"/>
  <c r="N234" i="6"/>
  <c r="H234" i="6"/>
  <c r="B234" i="6" s="1"/>
  <c r="L234" i="6"/>
  <c r="F233" i="6"/>
  <c r="AX166" i="6"/>
  <c r="BB166" i="6"/>
  <c r="T234" i="6"/>
  <c r="X234" i="6"/>
  <c r="AR234" i="6"/>
  <c r="AV234" i="6"/>
  <c r="AJ234" i="6"/>
  <c r="AF234" i="6"/>
  <c r="BT169" i="6"/>
  <c r="BP169" i="6"/>
  <c r="BB235" i="6"/>
  <c r="AX235" i="6"/>
  <c r="AP235" i="6"/>
  <c r="AL235" i="6"/>
  <c r="F164" i="6"/>
  <c r="F295" i="6" s="1"/>
  <c r="H165" i="6"/>
  <c r="B165" i="6" s="1"/>
  <c r="B296" i="6" s="1"/>
  <c r="L165" i="6"/>
  <c r="AL167" i="6"/>
  <c r="AP167" i="6"/>
  <c r="Z234" i="6"/>
  <c r="AD234" i="6"/>
  <c r="BJ177" i="6"/>
  <c r="BN177" i="6"/>
  <c r="BD175" i="6" l="1"/>
  <c r="BH175" i="6"/>
  <c r="AR235" i="6"/>
  <c r="AV235" i="6"/>
  <c r="Z166" i="6"/>
  <c r="AD166" i="6"/>
  <c r="T166" i="6"/>
  <c r="X166" i="6"/>
  <c r="AP168" i="6"/>
  <c r="AL168" i="6"/>
  <c r="AJ235" i="6"/>
  <c r="AF235" i="6"/>
  <c r="BB167" i="6"/>
  <c r="AX167" i="6"/>
  <c r="AD235" i="6"/>
  <c r="Z235" i="6"/>
  <c r="F165" i="6"/>
  <c r="F296" i="6" s="1"/>
  <c r="L166" i="6"/>
  <c r="H166" i="6"/>
  <c r="B166" i="6" s="1"/>
  <c r="B297" i="6" s="1"/>
  <c r="AL236" i="6"/>
  <c r="AP236" i="6"/>
  <c r="BP170" i="6"/>
  <c r="BT170" i="6"/>
  <c r="R166" i="6"/>
  <c r="N166" i="6"/>
  <c r="BJ178" i="6"/>
  <c r="BN178" i="6"/>
  <c r="AX236" i="6"/>
  <c r="BB236" i="6"/>
  <c r="L235" i="6"/>
  <c r="H235" i="6"/>
  <c r="B235" i="6" s="1"/>
  <c r="F234" i="6"/>
  <c r="X235" i="6"/>
  <c r="T235" i="6"/>
  <c r="R235" i="6"/>
  <c r="N235" i="6"/>
  <c r="AJ166" i="6"/>
  <c r="AF166" i="6"/>
  <c r="AR166" i="6"/>
  <c r="AV166" i="6"/>
  <c r="AR167" i="6" l="1"/>
  <c r="AV167" i="6"/>
  <c r="BT171" i="6"/>
  <c r="BP171" i="6"/>
  <c r="Z236" i="6"/>
  <c r="AD236" i="6"/>
  <c r="AF236" i="6"/>
  <c r="AJ236" i="6"/>
  <c r="R167" i="6"/>
  <c r="N167" i="6"/>
  <c r="X167" i="6"/>
  <c r="T167" i="6"/>
  <c r="Z167" i="6"/>
  <c r="AD167" i="6"/>
  <c r="BD176" i="6"/>
  <c r="BH176" i="6"/>
  <c r="AR236" i="6"/>
  <c r="AV236" i="6"/>
  <c r="N236" i="6"/>
  <c r="R236" i="6"/>
  <c r="L236" i="6"/>
  <c r="F235" i="6"/>
  <c r="H236" i="6"/>
  <c r="B236" i="6" s="1"/>
  <c r="H167" i="6"/>
  <c r="B167" i="6" s="1"/>
  <c r="B298" i="6" s="1"/>
  <c r="F166" i="6"/>
  <c r="F297" i="6" s="1"/>
  <c r="E317" i="6" s="1"/>
  <c r="L167" i="6"/>
  <c r="AJ167" i="6"/>
  <c r="AF167" i="6"/>
  <c r="X236" i="6"/>
  <c r="T236" i="6"/>
  <c r="AX237" i="6"/>
  <c r="BB237" i="6"/>
  <c r="AL237" i="6"/>
  <c r="AP237" i="6"/>
  <c r="BB168" i="6"/>
  <c r="AX168" i="6"/>
  <c r="AL169" i="6"/>
  <c r="AP169" i="6"/>
  <c r="AX238" i="6" l="1"/>
  <c r="BB238" i="6"/>
  <c r="BD177" i="6"/>
  <c r="BH177" i="6"/>
  <c r="X168" i="6"/>
  <c r="T168" i="6"/>
  <c r="BP172" i="6"/>
  <c r="BT172" i="6"/>
  <c r="AL170" i="6"/>
  <c r="AP170" i="6"/>
  <c r="AL238" i="6"/>
  <c r="AP238" i="6"/>
  <c r="L168" i="6"/>
  <c r="H168" i="6"/>
  <c r="B168" i="6" s="1"/>
  <c r="B299" i="6" s="1"/>
  <c r="F167" i="6"/>
  <c r="F298" i="6" s="1"/>
  <c r="AV237" i="6"/>
  <c r="AR237" i="6"/>
  <c r="AD168" i="6"/>
  <c r="Z168" i="6"/>
  <c r="AD237" i="6"/>
  <c r="Z237" i="6"/>
  <c r="AR168" i="6"/>
  <c r="AV168" i="6"/>
  <c r="N237" i="6"/>
  <c r="R237" i="6"/>
  <c r="AF237" i="6"/>
  <c r="AJ237" i="6"/>
  <c r="AX169" i="6"/>
  <c r="BB169" i="6"/>
  <c r="AF168" i="6"/>
  <c r="AJ168" i="6"/>
  <c r="T237" i="6"/>
  <c r="X237" i="6"/>
  <c r="L237" i="6"/>
  <c r="F236" i="6"/>
  <c r="H237" i="6"/>
  <c r="B237" i="6" s="1"/>
  <c r="N168" i="6"/>
  <c r="R168" i="6"/>
  <c r="AV238" i="6" l="1"/>
  <c r="AR238" i="6"/>
  <c r="BP173" i="6"/>
  <c r="BT173" i="6"/>
  <c r="AF169" i="6"/>
  <c r="AJ169" i="6"/>
  <c r="AD238" i="6"/>
  <c r="Z238" i="6"/>
  <c r="BD178" i="6"/>
  <c r="BH178" i="6"/>
  <c r="AJ238" i="6"/>
  <c r="AF238" i="6"/>
  <c r="N169" i="6"/>
  <c r="R169" i="6"/>
  <c r="Z169" i="6"/>
  <c r="AD169" i="6"/>
  <c r="AL171" i="6"/>
  <c r="AP171" i="6"/>
  <c r="AX239" i="6"/>
  <c r="BB239" i="6"/>
  <c r="AP239" i="6"/>
  <c r="AL239" i="6"/>
  <c r="AV169" i="6"/>
  <c r="AR169" i="6"/>
  <c r="L238" i="6"/>
  <c r="H238" i="6"/>
  <c r="B238" i="6" s="1"/>
  <c r="F237" i="6"/>
  <c r="T238" i="6"/>
  <c r="X238" i="6"/>
  <c r="AX170" i="6"/>
  <c r="BB170" i="6"/>
  <c r="R238" i="6"/>
  <c r="N238" i="6"/>
  <c r="H169" i="6"/>
  <c r="B169" i="6" s="1"/>
  <c r="B300" i="6" s="1"/>
  <c r="L169" i="6"/>
  <c r="F168" i="6"/>
  <c r="F299" i="6" s="1"/>
  <c r="T169" i="6"/>
  <c r="X169" i="6"/>
  <c r="N239" i="6" l="1"/>
  <c r="R239" i="6"/>
  <c r="AD170" i="6"/>
  <c r="Z170" i="6"/>
  <c r="F169" i="6"/>
  <c r="F300" i="6" s="1"/>
  <c r="L170" i="6"/>
  <c r="H170" i="6"/>
  <c r="B170" i="6" s="1"/>
  <c r="B301" i="6" s="1"/>
  <c r="AX171" i="6"/>
  <c r="BB171" i="6"/>
  <c r="AR170" i="6"/>
  <c r="AV170" i="6"/>
  <c r="AF239" i="6"/>
  <c r="AJ239" i="6"/>
  <c r="AD239" i="6"/>
  <c r="Z239" i="6"/>
  <c r="BB240" i="6"/>
  <c r="AX240" i="6"/>
  <c r="BT174" i="6"/>
  <c r="BP174" i="6"/>
  <c r="T170" i="6"/>
  <c r="X170" i="6"/>
  <c r="AP172" i="6"/>
  <c r="AL172" i="6"/>
  <c r="N170" i="6"/>
  <c r="R170" i="6"/>
  <c r="AJ170" i="6"/>
  <c r="AF170" i="6"/>
  <c r="T239" i="6"/>
  <c r="X239" i="6"/>
  <c r="H239" i="6"/>
  <c r="B239" i="6" s="1"/>
  <c r="L239" i="6"/>
  <c r="F238" i="6"/>
  <c r="AL240" i="6"/>
  <c r="AP240" i="6"/>
  <c r="AR239" i="6"/>
  <c r="AV239" i="6"/>
  <c r="AV240" i="6" l="1"/>
  <c r="AR240" i="6"/>
  <c r="AJ171" i="6"/>
  <c r="AF171" i="6"/>
  <c r="AP173" i="6"/>
  <c r="AL173" i="6"/>
  <c r="BT175" i="6"/>
  <c r="BP175" i="6"/>
  <c r="AD240" i="6"/>
  <c r="Z240" i="6"/>
  <c r="L171" i="6"/>
  <c r="H171" i="6"/>
  <c r="B171" i="6" s="1"/>
  <c r="B302" i="6" s="1"/>
  <c r="F170" i="6"/>
  <c r="F301" i="6" s="1"/>
  <c r="R240" i="6"/>
  <c r="N240" i="6"/>
  <c r="BB241" i="6"/>
  <c r="AX241" i="6"/>
  <c r="L240" i="6"/>
  <c r="F239" i="6"/>
  <c r="H240" i="6"/>
  <c r="B240" i="6" s="1"/>
  <c r="AV171" i="6"/>
  <c r="AR171" i="6"/>
  <c r="Z171" i="6"/>
  <c r="AD171" i="6"/>
  <c r="AP241" i="6"/>
  <c r="AL241" i="6"/>
  <c r="T240" i="6"/>
  <c r="X240" i="6"/>
  <c r="N171" i="6"/>
  <c r="R171" i="6"/>
  <c r="T171" i="6"/>
  <c r="X171" i="6"/>
  <c r="AJ240" i="6"/>
  <c r="AF240" i="6"/>
  <c r="AX172" i="6"/>
  <c r="BB172" i="6"/>
  <c r="AX173" i="6" l="1"/>
  <c r="BB173" i="6"/>
  <c r="H172" i="6"/>
  <c r="B172" i="6" s="1"/>
  <c r="B303" i="6" s="1"/>
  <c r="L172" i="6"/>
  <c r="F171" i="6"/>
  <c r="F302" i="6" s="1"/>
  <c r="AF172" i="6"/>
  <c r="AJ172" i="6"/>
  <c r="BT176" i="6"/>
  <c r="BP176" i="6"/>
  <c r="N172" i="6"/>
  <c r="R172" i="6"/>
  <c r="L241" i="6"/>
  <c r="F240" i="6"/>
  <c r="H241" i="6"/>
  <c r="B241" i="6" s="1"/>
  <c r="N241" i="6"/>
  <c r="R241" i="6"/>
  <c r="X172" i="6"/>
  <c r="T172" i="6"/>
  <c r="X241" i="6"/>
  <c r="T241" i="6"/>
  <c r="Z172" i="6"/>
  <c r="AD172" i="6"/>
  <c r="BB242" i="6"/>
  <c r="AX242" i="6"/>
  <c r="AF241" i="6"/>
  <c r="AJ241" i="6"/>
  <c r="AL242" i="6"/>
  <c r="AP242" i="6"/>
  <c r="AV172" i="6"/>
  <c r="AR172" i="6"/>
  <c r="Z241" i="6"/>
  <c r="AD241" i="6"/>
  <c r="AL174" i="6"/>
  <c r="AP174" i="6"/>
  <c r="AR241" i="6"/>
  <c r="AV241" i="6"/>
  <c r="AL243" i="6" l="1"/>
  <c r="AP243" i="6"/>
  <c r="N242" i="6"/>
  <c r="R242" i="6"/>
  <c r="H173" i="6"/>
  <c r="B173" i="6" s="1"/>
  <c r="B304" i="6" s="1"/>
  <c r="L173" i="6"/>
  <c r="F172" i="6"/>
  <c r="F303" i="6" s="1"/>
  <c r="AX243" i="6"/>
  <c r="BB243" i="6"/>
  <c r="AJ173" i="6"/>
  <c r="AF173" i="6"/>
  <c r="AV242" i="6"/>
  <c r="AR242" i="6"/>
  <c r="F241" i="6"/>
  <c r="L242" i="6"/>
  <c r="H242" i="6"/>
  <c r="B242" i="6" s="1"/>
  <c r="X242" i="6"/>
  <c r="T242" i="6"/>
  <c r="AP175" i="6"/>
  <c r="AL175" i="6"/>
  <c r="AJ242" i="6"/>
  <c r="AF242" i="6"/>
  <c r="AD173" i="6"/>
  <c r="Z173" i="6"/>
  <c r="AX174" i="6"/>
  <c r="BB174" i="6"/>
  <c r="AD242" i="6"/>
  <c r="Z242" i="6"/>
  <c r="BP177" i="6"/>
  <c r="BT177" i="6"/>
  <c r="N173" i="6"/>
  <c r="R173" i="6"/>
  <c r="AV173" i="6"/>
  <c r="AR173" i="6"/>
  <c r="X173" i="6"/>
  <c r="T173" i="6"/>
  <c r="Z243" i="6" l="1"/>
  <c r="AD243" i="6"/>
  <c r="AD174" i="6"/>
  <c r="Z174" i="6"/>
  <c r="AL176" i="6"/>
  <c r="AP176" i="6"/>
  <c r="H243" i="6"/>
  <c r="B243" i="6" s="1"/>
  <c r="F242" i="6"/>
  <c r="L243" i="6"/>
  <c r="N174" i="6"/>
  <c r="R174" i="6"/>
  <c r="AV243" i="6"/>
  <c r="AR243" i="6"/>
  <c r="X174" i="6"/>
  <c r="T174" i="6"/>
  <c r="BB175" i="6"/>
  <c r="AX175" i="6"/>
  <c r="AJ174" i="6"/>
  <c r="AF174" i="6"/>
  <c r="L174" i="6"/>
  <c r="H174" i="6"/>
  <c r="B174" i="6" s="1"/>
  <c r="B305" i="6" s="1"/>
  <c r="F173" i="6"/>
  <c r="F304" i="6" s="1"/>
  <c r="AP244" i="6"/>
  <c r="AL244" i="6"/>
  <c r="R243" i="6"/>
  <c r="N243" i="6"/>
  <c r="BT178" i="6"/>
  <c r="BP178" i="6"/>
  <c r="AV174" i="6"/>
  <c r="AR174" i="6"/>
  <c r="AJ243" i="6"/>
  <c r="AF243" i="6"/>
  <c r="T243" i="6"/>
  <c r="X243" i="6"/>
  <c r="AX244" i="6"/>
  <c r="BB244" i="6"/>
  <c r="BB245" i="6" l="1"/>
  <c r="AX245" i="6"/>
  <c r="BB176" i="6"/>
  <c r="AX176" i="6"/>
  <c r="AP245" i="6"/>
  <c r="AL245" i="6"/>
  <c r="N175" i="6"/>
  <c r="R175" i="6"/>
  <c r="Z175" i="6"/>
  <c r="AD175" i="6"/>
  <c r="H175" i="6"/>
  <c r="B175" i="6" s="1"/>
  <c r="B306" i="6" s="1"/>
  <c r="L175" i="6"/>
  <c r="F174" i="6"/>
  <c r="F305" i="6" s="1"/>
  <c r="AR244" i="6"/>
  <c r="AV244" i="6"/>
  <c r="AF175" i="6"/>
  <c r="AJ175" i="6"/>
  <c r="X175" i="6"/>
  <c r="T175" i="6"/>
  <c r="AP177" i="6"/>
  <c r="AL177" i="6"/>
  <c r="AD244" i="6"/>
  <c r="Z244" i="6"/>
  <c r="AJ244" i="6"/>
  <c r="AF244" i="6"/>
  <c r="T244" i="6"/>
  <c r="X244" i="6"/>
  <c r="AV175" i="6"/>
  <c r="AR175" i="6"/>
  <c r="R244" i="6"/>
  <c r="N244" i="6"/>
  <c r="L244" i="6"/>
  <c r="F243" i="6"/>
  <c r="H244" i="6"/>
  <c r="B244" i="6" s="1"/>
  <c r="H245" i="6" l="1"/>
  <c r="B245" i="6" s="1"/>
  <c r="L245" i="6"/>
  <c r="F245" i="6" s="1"/>
  <c r="F244" i="6"/>
  <c r="AL178" i="6"/>
  <c r="AP178" i="6"/>
  <c r="R176" i="6"/>
  <c r="N176" i="6"/>
  <c r="AR245" i="6"/>
  <c r="AV245" i="6"/>
  <c r="BB177" i="6"/>
  <c r="AX177" i="6"/>
  <c r="AR176" i="6"/>
  <c r="AV176" i="6"/>
  <c r="Z245" i="6"/>
  <c r="AD245" i="6"/>
  <c r="T176" i="6"/>
  <c r="X176" i="6"/>
  <c r="AD176" i="6"/>
  <c r="Z176" i="6"/>
  <c r="AJ245" i="6"/>
  <c r="AF245" i="6"/>
  <c r="H176" i="6"/>
  <c r="B176" i="6" s="1"/>
  <c r="B307" i="6" s="1"/>
  <c r="L176" i="6"/>
  <c r="F175" i="6"/>
  <c r="F306" i="6" s="1"/>
  <c r="X245" i="6"/>
  <c r="T245" i="6"/>
  <c r="N245" i="6"/>
  <c r="R245" i="6"/>
  <c r="AJ176" i="6"/>
  <c r="AF176" i="6"/>
  <c r="H177" i="6" l="1"/>
  <c r="B177" i="6" s="1"/>
  <c r="B308" i="6" s="1"/>
  <c r="L177" i="6"/>
  <c r="F176" i="6"/>
  <c r="F307" i="6" s="1"/>
  <c r="Z177" i="6"/>
  <c r="AD177" i="6"/>
  <c r="AX178" i="6"/>
  <c r="BB178" i="6"/>
  <c r="R177" i="6"/>
  <c r="N177" i="6"/>
  <c r="AF177" i="6"/>
  <c r="AJ177" i="6"/>
  <c r="X177" i="6"/>
  <c r="T177" i="6"/>
  <c r="AV177" i="6"/>
  <c r="AR177" i="6"/>
  <c r="X178" i="6" l="1"/>
  <c r="T178" i="6"/>
  <c r="AF178" i="6"/>
  <c r="AJ178" i="6"/>
  <c r="AV178" i="6"/>
  <c r="AR178" i="6"/>
  <c r="H178" i="6"/>
  <c r="B178" i="6" s="1"/>
  <c r="B309" i="6" s="1"/>
  <c r="B331" i="6" s="1"/>
  <c r="F177" i="6"/>
  <c r="F308" i="6" s="1"/>
  <c r="L178" i="6"/>
  <c r="F178" i="6" s="1"/>
  <c r="F309" i="6" s="1"/>
  <c r="F317" i="6" s="1"/>
  <c r="N178" i="6"/>
  <c r="R178" i="6"/>
  <c r="AD178" i="6"/>
  <c r="Z178" i="6"/>
</calcChain>
</file>

<file path=xl/comments1.xml><?xml version="1.0" encoding="utf-8"?>
<comments xmlns="http://schemas.openxmlformats.org/spreadsheetml/2006/main">
  <authors>
    <author>Julio Cesar Barragan R</author>
  </authors>
  <commentList>
    <comment ref="A1" authorId="0" shapeId="0">
      <text>
        <r>
          <rPr>
            <b/>
            <sz val="18"/>
            <color indexed="12"/>
            <rFont val="Arial"/>
            <family val="2"/>
          </rPr>
          <t>BIENVENIDO AL PLAN FINANCIERO DE BOGOTA EMPRENDE:</t>
        </r>
        <r>
          <rPr>
            <b/>
            <sz val="12"/>
            <color indexed="12"/>
            <rFont val="Arial"/>
            <family val="2"/>
          </rPr>
          <t xml:space="preserve"> </t>
        </r>
        <r>
          <rPr>
            <sz val="12"/>
            <color indexed="12"/>
            <rFont val="Arial"/>
            <family val="2"/>
          </rPr>
          <t xml:space="preserve">
</t>
        </r>
        <r>
          <rPr>
            <sz val="14"/>
            <color indexed="10"/>
            <rFont val="Arial"/>
            <family val="2"/>
          </rPr>
          <t xml:space="preserve">Este archivo tiene macros y son necesarias para su operación. 
</t>
        </r>
        <r>
          <rPr>
            <sz val="12"/>
            <color indexed="12"/>
            <rFont val="Arial"/>
            <family val="2"/>
          </rPr>
          <t>Para iniciar, con el Mouse,  haz clic en cualquier parte de la imagen de Bogota Emprende</t>
        </r>
        <r>
          <rPr>
            <sz val="14"/>
            <color indexed="10"/>
            <rFont val="Arial"/>
            <family val="2"/>
          </rPr>
          <t xml:space="preserve">
</t>
        </r>
        <r>
          <rPr>
            <sz val="14"/>
            <color indexed="12"/>
            <rFont val="Arial"/>
            <family val="2"/>
          </rPr>
          <t xml:space="preserve">
</t>
        </r>
        <r>
          <rPr>
            <sz val="12"/>
            <color indexed="12"/>
            <rFont val="Arial"/>
            <family val="2"/>
          </rPr>
          <t>Las macros en este programa son seguras, y estas están libres de virus, la única forma en que opera el programa es a través de ellas. Por esta razón es indispensable que las habilites.</t>
        </r>
        <r>
          <rPr>
            <sz val="14"/>
            <color indexed="10"/>
            <rFont val="Arial"/>
            <family val="2"/>
          </rPr>
          <t xml:space="preserve"> 
</t>
        </r>
        <r>
          <rPr>
            <sz val="12"/>
            <color indexed="12"/>
            <rFont val="Arial"/>
            <family val="2"/>
          </rPr>
          <t>Si al abrir el programa no aparece la advertencia de seguridad, es necesario que las habilites.
Para habilitarlas,</t>
        </r>
        <r>
          <rPr>
            <sz val="14"/>
            <color indexed="10"/>
            <rFont val="Arial"/>
            <family val="2"/>
          </rPr>
          <t xml:space="preserve"> </t>
        </r>
        <r>
          <rPr>
            <sz val="12"/>
            <color indexed="12"/>
            <rFont val="Arial"/>
            <family val="2"/>
          </rPr>
          <t xml:space="preserve">En la barra de menús, haz clic sobre </t>
        </r>
        <r>
          <rPr>
            <b/>
            <sz val="12"/>
            <color indexed="12"/>
            <rFont val="Arial"/>
            <family val="2"/>
          </rPr>
          <t>Herramientas</t>
        </r>
        <r>
          <rPr>
            <sz val="12"/>
            <color indexed="12"/>
            <rFont val="Arial"/>
            <family val="2"/>
          </rPr>
          <t xml:space="preserve">, selecciona </t>
        </r>
        <r>
          <rPr>
            <b/>
            <sz val="12"/>
            <color indexed="12"/>
            <rFont val="Arial"/>
            <family val="2"/>
          </rPr>
          <t>Macros</t>
        </r>
        <r>
          <rPr>
            <sz val="12"/>
            <color indexed="12"/>
            <rFont val="Arial"/>
            <family val="2"/>
          </rPr>
          <t xml:space="preserve"> y elije </t>
        </r>
        <r>
          <rPr>
            <b/>
            <sz val="12"/>
            <color indexed="12"/>
            <rFont val="Arial"/>
            <family val="2"/>
          </rPr>
          <t>Seguridad</t>
        </r>
        <r>
          <rPr>
            <sz val="12"/>
            <color indexed="12"/>
            <rFont val="Arial"/>
            <family val="2"/>
          </rPr>
          <t xml:space="preserve">,
opta la opción </t>
        </r>
        <r>
          <rPr>
            <b/>
            <sz val="12"/>
            <color indexed="12"/>
            <rFont val="Arial"/>
            <family val="2"/>
          </rPr>
          <t>Medio</t>
        </r>
        <r>
          <rPr>
            <sz val="12"/>
            <color indexed="12"/>
            <rFont val="Arial"/>
            <family val="2"/>
          </rPr>
          <t xml:space="preserve">, una vez realizada la elección,  acepta. 
En </t>
        </r>
        <r>
          <rPr>
            <b/>
            <sz val="12"/>
            <color indexed="10"/>
            <rFont val="Arial"/>
            <family val="2"/>
          </rPr>
          <t>Excel 2003</t>
        </r>
        <r>
          <rPr>
            <sz val="12"/>
            <color indexed="12"/>
            <rFont val="Arial"/>
            <family val="2"/>
          </rPr>
          <t xml:space="preserve"> y versiones anteriores es necesario que salgas del programa y lo vuelvas a abrir. 
Si estas empleando </t>
        </r>
        <r>
          <rPr>
            <b/>
            <sz val="12"/>
            <color indexed="10"/>
            <rFont val="Arial"/>
            <family val="2"/>
          </rPr>
          <t>Excel 2007</t>
        </r>
        <r>
          <rPr>
            <sz val="12"/>
            <color indexed="12"/>
            <rFont val="Arial"/>
            <family val="2"/>
          </rPr>
          <t xml:space="preserve"> simplemente clipea en habilitar contenido en la advertencia que aparece inmediatamente abres el programa. 
</t>
        </r>
        <r>
          <rPr>
            <b/>
            <sz val="12"/>
            <color indexed="10"/>
            <rFont val="Arial"/>
            <family val="2"/>
          </rPr>
          <t>ADVERTENCIA:</t>
        </r>
        <r>
          <rPr>
            <b/>
            <sz val="12"/>
            <color indexed="17"/>
            <rFont val="Arial"/>
            <family val="2"/>
          </rPr>
          <t xml:space="preserve"> Este programa esta hecho en MS OFICCE para Windows, si usted es usuario de MACINTOSH (MAC) es necesario que su computador tenga instalada la </t>
        </r>
        <r>
          <rPr>
            <b/>
            <u/>
            <sz val="12"/>
            <color indexed="17"/>
            <rFont val="Arial"/>
            <family val="2"/>
          </rPr>
          <t>versión original de OFFICE 2004 para MAC,</t>
        </r>
        <r>
          <rPr>
            <b/>
            <sz val="12"/>
            <color indexed="17"/>
            <rFont val="Arial"/>
            <family val="2"/>
          </rPr>
          <t xml:space="preserve"> u  </t>
        </r>
        <r>
          <rPr>
            <b/>
            <u/>
            <sz val="12"/>
            <color indexed="17"/>
            <rFont val="Arial"/>
            <family val="2"/>
          </rPr>
          <t>OFFICE 2008 para MAC</t>
        </r>
        <r>
          <rPr>
            <b/>
            <sz val="12"/>
            <color indexed="17"/>
            <rFont val="Arial"/>
            <family val="2"/>
          </rPr>
          <t xml:space="preserve"> y su sistema tenga un procesador  MAC OS X V10.4.9 o posterior.</t>
        </r>
        <r>
          <rPr>
            <sz val="12"/>
            <color indexed="12"/>
            <rFont val="Arial"/>
            <family val="2"/>
          </rPr>
          <t xml:space="preserve">
Al abrir el programa, en el centro de la pantalla aparecerá la advertencia de seguridad. Recuerda que los botones en ocasiones cambian de sitio, se sugiere leas antes de presionar. 
La introducción de datos se realiza exclusivamente a través de los formularios, que a medida que se avanza, van apareciendo en la pantalla bloqueando la posible introducción de datos directamente.
 No olvides que debes guardar el programa en tu disco duro, puedes guardarlo con el nombre de empresa o del proyecto. 
</t>
        </r>
      </text>
    </comment>
  </commentList>
</comments>
</file>

<file path=xl/comments2.xml><?xml version="1.0" encoding="utf-8"?>
<comments xmlns="http://schemas.openxmlformats.org/spreadsheetml/2006/main">
  <authors>
    <author>Julio Cesar Barragan R</author>
  </authors>
  <commentList>
    <comment ref="A96" authorId="0" shapeId="0">
      <text>
        <r>
          <rPr>
            <b/>
            <sz val="10"/>
            <color indexed="10"/>
            <rFont val="Arial"/>
            <family val="2"/>
          </rPr>
          <t>CONCEPTUALIZACION:</t>
        </r>
        <r>
          <rPr>
            <sz val="9"/>
            <color indexed="81"/>
            <rFont val="Arial"/>
            <family val="2"/>
          </rPr>
          <t xml:space="preserve">
</t>
        </r>
        <r>
          <rPr>
            <sz val="9"/>
            <color indexed="12"/>
            <rFont val="Arial"/>
            <family val="2"/>
          </rPr>
          <t xml:space="preserve"> EL MARGEN DE CONTRIBUCION ES LA DIFERENCIA ENTRE EL PRECIO DE VENTA Y LOS COSTOS Y GASTOS VARIABLES.
ESTA DIFERENCIA CONTRIBUYE A CUBRIR LOS COSTOS Y GASTOS FIJOS DE LA EMPRESA, UNA VEZ SE PAGUEN ESTOS, SE GENERA LA UTILIDAD.  
EL OBJETIVO DE SU CALCULO ES LA DETERMINACION DEL PUNTO DE EQUILIBRIO.</t>
        </r>
        <r>
          <rPr>
            <sz val="8"/>
            <color indexed="81"/>
            <rFont val="Tahoma"/>
            <family val="2"/>
          </rPr>
          <t xml:space="preserve">
 </t>
        </r>
      </text>
    </comment>
    <comment ref="E96" authorId="0" shapeId="0">
      <text>
        <r>
          <rPr>
            <b/>
            <sz val="10"/>
            <color indexed="10"/>
            <rFont val="Arial"/>
            <family val="2"/>
          </rPr>
          <t>CONCEPTUALIZACION:</t>
        </r>
        <r>
          <rPr>
            <sz val="9"/>
            <color indexed="81"/>
            <rFont val="Arial"/>
            <family val="2"/>
          </rPr>
          <t xml:space="preserve">
</t>
        </r>
        <r>
          <rPr>
            <sz val="9"/>
            <color indexed="12"/>
            <rFont val="Arial"/>
            <family val="2"/>
          </rPr>
          <t xml:space="preserve">LOS PASOS PARA CALCULAR EL MARGEN DE CONTRIBUCIÓN SON LOS SIGUIENTES:
1. SE TOMA EL PRECIO DE VENTA DE CADA PRODUCTO.
2. SE SUMAN LOS COSTOS Y GASTOS VARIABLES.
3. SE HALLA LA DIFERENCIA ENTRE ELLOS (P.V. - C.V. = M/C)
4. SE HALLA EL MARGEN DE CONTRIBUCIÓN EN PORCENTAJE (M/C ÷ P.V.)
5. SE DETERMINA LA PARTICIPACIÓN EN LAS VENTAS DE CADA PRODUCTO CON RESPECTO AL TOTAL DEL PRIMER AÑO
6 SE REALIZA UN PROMEDIO PONDERADO DE AL MULTIPLICAR LA PARTICIPACIÓN EN VENTAS POR EL MARGEN DE CADA PRODUCTO. (M/C% X PERT. VTAS)
7. SE SUMAN LOS PORCENTAJES OBTENIDOS. ESTA SUMATORIA ES EL MARGEN DE CONTRIBUCIÓN DE LA EMPRESA. </t>
        </r>
        <r>
          <rPr>
            <sz val="8"/>
            <color indexed="81"/>
            <rFont val="Tahoma"/>
            <family val="2"/>
          </rPr>
          <t xml:space="preserve">
 </t>
        </r>
      </text>
    </comment>
    <comment ref="A146" authorId="0" shapeId="0">
      <text>
        <r>
          <rPr>
            <b/>
            <sz val="9"/>
            <color indexed="10"/>
            <rFont val="Tahoma"/>
            <family val="2"/>
          </rPr>
          <t xml:space="preserve">CONCEPTUALIZACION: </t>
        </r>
        <r>
          <rPr>
            <sz val="9"/>
            <color indexed="81"/>
            <rFont val="Tahoma"/>
            <family val="2"/>
          </rPr>
          <t xml:space="preserve">
</t>
        </r>
        <r>
          <rPr>
            <sz val="9"/>
            <color indexed="12"/>
            <rFont val="Tahoma"/>
            <family val="2"/>
          </rPr>
          <t xml:space="preserve">LA UTILIDAD BRUTA SE REFIERE A LA DIFERENCIA ENTRE LOS INGRESOS OPERATIVOS MENOS LOS EGRESOS DE LA ACTIVIDAD ECONOMICA ESPECIFICA, LOS CUALES SON EXTRICTAMENTE NECESARIOS PARA QUE OPERE LA ORGANIZACION. </t>
        </r>
      </text>
    </comment>
    <comment ref="A149" authorId="0" shapeId="0">
      <text>
        <r>
          <rPr>
            <b/>
            <sz val="9"/>
            <color indexed="10"/>
            <rFont val="Tahoma"/>
            <family val="2"/>
          </rPr>
          <t xml:space="preserve">CONCEPTUALIZACION: </t>
        </r>
        <r>
          <rPr>
            <sz val="9"/>
            <color indexed="81"/>
            <rFont val="Tahoma"/>
            <family val="2"/>
          </rPr>
          <t xml:space="preserve">
</t>
        </r>
        <r>
          <rPr>
            <sz val="9"/>
            <color indexed="12"/>
            <rFont val="Tahoma"/>
            <family val="2"/>
          </rPr>
          <t>LA UTILIDADOPERACIONAL ES EL EXCEDENTE DE LA OPERACION DE LA EMPRESA, AQUI YA SE HAN TENIDO EN CUENTA LOS GASTOS DE ADMINISTRACION Y VENTAS DE LA EMPRESA.</t>
        </r>
      </text>
    </comment>
    <comment ref="A152" authorId="0" shapeId="0">
      <text>
        <r>
          <rPr>
            <b/>
            <sz val="9"/>
            <color indexed="10"/>
            <rFont val="Tahoma"/>
            <family val="2"/>
          </rPr>
          <t xml:space="preserve">CONCEPTUALIZACION: </t>
        </r>
        <r>
          <rPr>
            <sz val="9"/>
            <color indexed="81"/>
            <rFont val="Tahoma"/>
            <family val="2"/>
          </rPr>
          <t xml:space="preserve">
</t>
        </r>
        <r>
          <rPr>
            <sz val="9"/>
            <color indexed="12"/>
            <rFont val="Tahoma"/>
            <family val="2"/>
          </rPr>
          <t>A</t>
        </r>
        <r>
          <rPr>
            <sz val="9"/>
            <color indexed="81"/>
            <rFont val="Tahoma"/>
            <family val="2"/>
          </rPr>
          <t xml:space="preserve"> </t>
        </r>
        <r>
          <rPr>
            <sz val="9"/>
            <color indexed="12"/>
            <rFont val="Tahoma"/>
            <family val="2"/>
          </rPr>
          <t xml:space="preserve">LA UTILIDAD ANTES DE IMPUESTOS SE LE DESCUENTAN  LOS EGRESOS QUE NO SON RELEVANTES A LA ACTIVIDAD ECONOMICA,  LOS COSTOS FINACIEROS O INTERESES DE LOS CREDITOS, OTROS EGRESOS COMO PERDIDAS EVENTUALES COMO ROBOS, ACCIDENTES O PERDIDAS MATERIALES NO PRESUPUESTADAS.
LOS GASTOS PREOPERATIVOS SON DESCONTADOS DE LA UTILIDAD OPERACIONAL, AMORTIZANDOLOS MENSUALMENTE. 
NO SE CALCULAN IMPUESTOS YA QUE AQUI SE CONSIDERAN LOS IMPUESTOS DE RENTA Y SU VALORIZACION SE HACE ANUALMENTE. </t>
        </r>
      </text>
    </comment>
    <comment ref="A169" authorId="0" shapeId="0">
      <text>
        <r>
          <rPr>
            <b/>
            <sz val="10"/>
            <color indexed="10"/>
            <rFont val="Tahoma"/>
            <family val="2"/>
          </rPr>
          <t xml:space="preserve">CONCEPTUALIZACION: </t>
        </r>
        <r>
          <rPr>
            <b/>
            <sz val="8"/>
            <color indexed="81"/>
            <rFont val="Tahoma"/>
            <family val="2"/>
          </rPr>
          <t xml:space="preserve">
</t>
        </r>
        <r>
          <rPr>
            <sz val="9"/>
            <color indexed="12"/>
            <rFont val="Tahoma"/>
            <family val="2"/>
          </rPr>
          <t xml:space="preserve">EL COSTO DE VENTAS O COSTO DE MERCANCIA VENDIDA, HACE REFERENCIA A LA SUMA DE COSTOS VARIABLES (MANO DE OBRA DIRECTA, MATERIAS PRIMAS, INSUMOS Y MERCANCIA) Y LOS COSTOS FIJOS DE OPERACIÓN DE LA EMPRESA. </t>
        </r>
      </text>
    </comment>
    <comment ref="A170" authorId="0" shapeId="0">
      <text>
        <r>
          <rPr>
            <b/>
            <sz val="9"/>
            <color indexed="10"/>
            <rFont val="Tahoma"/>
            <family val="2"/>
          </rPr>
          <t xml:space="preserve">CONCEPTUALIZACION: </t>
        </r>
        <r>
          <rPr>
            <sz val="9"/>
            <color indexed="81"/>
            <rFont val="Tahoma"/>
            <family val="2"/>
          </rPr>
          <t xml:space="preserve">
</t>
        </r>
        <r>
          <rPr>
            <sz val="9"/>
            <color indexed="12"/>
            <rFont val="Tahoma"/>
            <family val="2"/>
          </rPr>
          <t xml:space="preserve">LA UTILIDAD BRUTA SE REFIERE A LA DIFERENCIA DE LOS INGRESOS OPERATIVOS MENOS LOS EGRESOS DE LA ACTIVIDAD ECONOMICA ESPECIFICA, LOS CUALES SON EXTRICTAMENTE NECESARIOS PARA QUE OPERE LA ORGANIZACION. </t>
        </r>
      </text>
    </comment>
    <comment ref="A173" authorId="0" shapeId="0">
      <text>
        <r>
          <rPr>
            <b/>
            <sz val="9"/>
            <color indexed="10"/>
            <rFont val="Tahoma"/>
            <family val="2"/>
          </rPr>
          <t xml:space="preserve">CONCEPTUALIZACION: </t>
        </r>
        <r>
          <rPr>
            <sz val="9"/>
            <color indexed="81"/>
            <rFont val="Tahoma"/>
            <family val="2"/>
          </rPr>
          <t xml:space="preserve">
</t>
        </r>
        <r>
          <rPr>
            <sz val="9"/>
            <color indexed="12"/>
            <rFont val="Tahoma"/>
            <family val="2"/>
          </rPr>
          <t>LA UTILIDADOPERACIONAL ES EL EXCEDENTE DE LA OPERACION DE LA EMPRESA, AQUI YA SE HAN TENIDO EN CUENTA LOS GASTOS DE ADMINISTRACION Y VENTAS DE LA EMPRESA.</t>
        </r>
      </text>
    </comment>
    <comment ref="A177" authorId="0" shapeId="0">
      <text>
        <r>
          <rPr>
            <b/>
            <sz val="9"/>
            <color indexed="10"/>
            <rFont val="Tahoma"/>
            <family val="2"/>
          </rPr>
          <t xml:space="preserve">CONCEPTUALIZACION: </t>
        </r>
        <r>
          <rPr>
            <sz val="9"/>
            <color indexed="81"/>
            <rFont val="Tahoma"/>
            <family val="2"/>
          </rPr>
          <t xml:space="preserve">
A </t>
        </r>
        <r>
          <rPr>
            <sz val="9"/>
            <color indexed="12"/>
            <rFont val="Tahoma"/>
            <family val="2"/>
          </rPr>
          <t xml:space="preserve">LA UTILIDAD ANTES DE IMPUESTOS SE LE DESCUENTAN  LOS EGRESOS QUE NO SON RELEVANTES A LA ACTIVIDAD ECONOMICA, COMO SON LOS COSTOS FINACIEROS O INTERESES DE LOS CREDITOS, OTROS EGRESOS COMO PERDIDAS EVENTUALES COMO ROBOS, ACCIDENTES O PERDIDAS MATERIALES NO PRESUPUESTADAS.
LOS GASTOS PREOPERATIVOS SON DESCONTADOS DE LA UTILIDAD OPERACIONAL YA QUE ESTOS AL REALIZARSE AL COMIENZO DE LA EMPRESA, HAY ALGUNOS QUE SON INVERSION INTANGIBLE Y SE DEBEN RECUPERAR, AMORTIZANDOLOS EN UN DETERMINADO NUMERO DE AÑOS. </t>
        </r>
      </text>
    </comment>
    <comment ref="B178" authorId="0" shapeId="0">
      <text>
        <r>
          <rPr>
            <b/>
            <sz val="9"/>
            <color indexed="10"/>
            <rFont val="Tahoma"/>
            <family val="2"/>
          </rPr>
          <t xml:space="preserve">CONCEPTUALIZACION: </t>
        </r>
        <r>
          <rPr>
            <sz val="9"/>
            <color indexed="81"/>
            <rFont val="Tahoma"/>
            <family val="2"/>
          </rPr>
          <t xml:space="preserve">
</t>
        </r>
        <r>
          <rPr>
            <sz val="9"/>
            <color indexed="12"/>
            <rFont val="Tahoma"/>
            <family val="2"/>
          </rPr>
          <t xml:space="preserve">LOS IMPUESTOS O PROVISION PARA IMPUESTOS SE EFECTUA A TODAS LAS EMPRESAS YA QUE ES DEBER DE LOS EMPRESARIOS PRESUPUESTAR LA TRIBUTACION DE SU EMPRESA, EL VALOR APLICADO ES EL 35% DE LA UTILIDAD ANTES DE IMPUESTOS.  </t>
        </r>
      </text>
    </comment>
    <comment ref="A179" authorId="0" shapeId="0">
      <text>
        <r>
          <rPr>
            <b/>
            <sz val="9"/>
            <color indexed="10"/>
            <rFont val="Tahoma"/>
            <family val="2"/>
          </rPr>
          <t xml:space="preserve">CONCEPTUALIZACION: </t>
        </r>
        <r>
          <rPr>
            <sz val="9"/>
            <color indexed="81"/>
            <rFont val="Tahoma"/>
            <family val="2"/>
          </rPr>
          <t xml:space="preserve">
</t>
        </r>
        <r>
          <rPr>
            <sz val="9"/>
            <color indexed="12"/>
            <rFont val="Tahoma"/>
            <family val="2"/>
          </rPr>
          <t xml:space="preserve">LA UTILIDAD NETA ES EL EXCEDENTE QUE EL GRUPO DE ACCIONISTAS PUEDE DISPONER PARA LA AMPLIACION DE SU CAPITAL PERSONAL O LA REINVERSION EN LA EMPRESA PARA SU CRECIMIENTO. </t>
        </r>
      </text>
    </comment>
  </commentList>
</comments>
</file>

<file path=xl/sharedStrings.xml><?xml version="1.0" encoding="utf-8"?>
<sst xmlns="http://schemas.openxmlformats.org/spreadsheetml/2006/main" count="4923" uniqueCount="909">
  <si>
    <t xml:space="preserve">. SE CONTABILIZAN </t>
  </si>
  <si>
    <t xml:space="preserve">PARA DEPRECIACION </t>
  </si>
  <si>
    <t>Inversión</t>
  </si>
  <si>
    <t>Proyección de ventas</t>
  </si>
  <si>
    <t>Comunicación</t>
  </si>
  <si>
    <t>Depreciación</t>
  </si>
  <si>
    <t>Condiciones comerciales de los créditos</t>
  </si>
  <si>
    <t>GERENTE</t>
  </si>
  <si>
    <t>secretaria</t>
  </si>
  <si>
    <t>VERIFICACION DE DATOS INTRODUCIDOS (NO MODIFICABLE)</t>
  </si>
  <si>
    <t>REGIMEN</t>
  </si>
  <si>
    <t>ICA</t>
  </si>
  <si>
    <t>4X1000</t>
  </si>
  <si>
    <t xml:space="preserve">RESUMEN </t>
  </si>
  <si>
    <t>COSTO UNITARIO MANO DE OBRA</t>
  </si>
  <si>
    <t>ACTIVIDAD ECONOMICA</t>
  </si>
  <si>
    <t>ENE</t>
  </si>
  <si>
    <t>FEB</t>
  </si>
  <si>
    <t>MAR</t>
  </si>
  <si>
    <t>ABR</t>
  </si>
  <si>
    <t>MAY</t>
  </si>
  <si>
    <t>JUN</t>
  </si>
  <si>
    <t>JUL</t>
  </si>
  <si>
    <t>SEP</t>
  </si>
  <si>
    <t>OCT</t>
  </si>
  <si>
    <t>NOV</t>
  </si>
  <si>
    <t>DIC</t>
  </si>
  <si>
    <t xml:space="preserve"> 3.1. VENTAS EN UNIDADES</t>
  </si>
  <si>
    <t>Condiciones comerciales para los créditos:
Las condiciones comerciales de los créditos se refieren a los parámetros fijados por las entidades financieras para otorgar los préstamos a los emprendedores. Puede acontecer que los créditos tengan diferentes condiciones dependiendo del uso que se le va otorgar, por tal motivo se fijan los dos posibles empleos dentro de la empresa. La investigación realizada debe suministrar esta información
Paso 1     Digita la tasa teniendo en cuenta emplear coma si hay valores decimales, digita el plazo en meses  y por ultimo digita los meses de plazo de gracia (periodo en el cual las cuotas mensuales no tienen abono a capital y por tal motivo son mas bajas dando de esta forma un alivio al empresario). Si no se han considerado digita 0 (cero)
Paso 2 Acepta. 
Paso 3.  Califique la información.</t>
  </si>
  <si>
    <t>Tasa de interés de oportunidad. 
Los flujos de fondos son valores futuros que el proyecto arrojara si se cumplieran todos los supuestos, para realizar un calculo eficiente estos se deben descontar a una tasa real para el inversionista a la que se denomina (T.I.O.) como para cada inversionista este valor es diferente y refleja el riesgo que esté esta corriendo, la denominare MI T.I.O., (mi tasa de oportunidad y mi premio al riesgo)
Paso 1.  Digite la tasa de interés de oportunidad. (Obligatorio)
Paso 2. Acepte.
Paso 3. Califique la información.
VAYA A CONCEPTOS PARA AMPLIAR LA INFORMACIÓN.</t>
  </si>
  <si>
    <t xml:space="preserve">inversión total </t>
  </si>
  <si>
    <t>año 1</t>
  </si>
  <si>
    <t>año 2</t>
  </si>
  <si>
    <t>año 3</t>
  </si>
  <si>
    <t>activos fijos</t>
  </si>
  <si>
    <t>Recuperación de la inversión</t>
  </si>
  <si>
    <t>Punto de equilibrio anual</t>
  </si>
  <si>
    <t>TASA DE INTERES DE OPORTUNIDAD</t>
  </si>
  <si>
    <t>Rendimiento sobre la inversión</t>
  </si>
  <si>
    <t>Rendimiento sobre el patrimonio</t>
  </si>
  <si>
    <t>Rentabilidad sobre los ingresos</t>
  </si>
  <si>
    <t xml:space="preserve">Nivel de endeudamiento inicial </t>
  </si>
  <si>
    <t xml:space="preserve">Tenga en cuenta las siguientes instrucciones:
- PARA EL MANEJO ADECUADO DE LA HERRAMIENTA ES FUNDAMENTAL E IMPRESCINDIBLE QUE LEAS ATENTAMENTE LAS INSTRUCCIONES EN CADA UNO DE LOS FORMULARIOS Y EN LOS TEXTOS QUE APARECERÁN EN ALGUNOS FORMULARIOS EN EL CENTRO DE LA PANTALLA
- Es conveniente que guarde la información periódicamente, a través del guardar, presente en este formulario.  
- Esta herramienta está diseñada para incorporar los datos numéricos de la investigación realizada para su Plan de Empresa en Línea. Por lo tanto es determinante que cuente con toda la información requerida para poder digitarla, de lo contrario la herramienta no tendrá una aplicación eficiente en la estructuración de tu plan de empresa.
- La información se inserta solamente a través de los formularios. 
- Una vez introduzcas la información en los respectivos formularios, se requiere calificar dicha información que consiste en si la información está completa o se debe revisar posteriormente. Escoja la opción de acuerdo al avance que tenga en la introducción de los datos.
- Se recomienda no intentar desproteger las respectivas hojas de calculo, la herramienta está debidamente protegida para conservar la integridad de la formulación y por ende la calidad de los resultados. 
</t>
  </si>
  <si>
    <t>salarios</t>
  </si>
  <si>
    <r>
      <t xml:space="preserve">Los flujos de fondos son valores futuros que el proyecto arrojaria si se cumplieran todos los supuestos, para realizar un calculo eficiente estos se deben descontar a una tasa real para el inversionista a la que se denomina (T.I.O.) como para cada inversionista este valor es diferente y refleja el riesgo que esté esta corriendo, la denominare MI T.I.O., (mi tasa de oportunidad y mi premio al riesgo).
Para calcularla se deben tener en cuanta las fuentes de los fondos. 
Generalmente se dice que los recursos de los inversionistas son más costosos que los recursos de crédito. Y es así, ya que los fondos aportados por el inversionista deben rendir más que lo que se paga por créditos.
Para determinar el valor de la T.I.O. se deben tener en cuenta los siguientes elementos.
a. Establecer el monto total de la inversión.
b. Distribuir la inversión entre aporte y créditos
c. Determinar la tasa a la cual se reciben los créditos
d. Estimar cual es la renta que la inversión propia, debe aportar como premio al riesgo. 
</t>
    </r>
    <r>
      <rPr>
        <b/>
        <sz val="10"/>
        <rFont val="Arial"/>
        <family val="2"/>
      </rPr>
      <t>Ejemplo:</t>
    </r>
    <r>
      <rPr>
        <sz val="10"/>
        <rFont val="Arial"/>
        <family val="2"/>
      </rPr>
      <t xml:space="preserve">
 Se requiere  una inversión de 70 millones para la puesta en marcha de una empresa. 
 Los emprendedores establecen que su aporte será de 40 MM y se solicita un crédito de 30 MM.
 El crédito solicitado tiene una tasa del 18% N.A.
 Se desea un premio al riesgo de 20% (Como inversionista se podrían esperar tasas superiores al 20% o duplicar el capital en un año, pero se debe ser consonante con el mercado financiero, evaluando depósitos a término fijo,  fondos de inversión, o ahorros en monedas extranjeras los cuales tienen riesgos moderados.)
Así: los 40 Millones corresponden a 57% de la inversión y esta debe rentar el 20%
Los 30 Millones corresponden al 43% y deben absorber como mínimo los intereses.
Se multiplican los porcentajes correspondientes y luego se suman. 
Aportes    57% X 20% = 11.40%
Crédito  43% X 18% =  7.74%
Tasa atractiva de descuento = 19.14% esta es la T.I.O. con la que se deben evaluar los flujos de caja. 
 Así los fondos son traídos a valor presente disminuyendo el 19.14% anual. 
</t>
    </r>
  </si>
  <si>
    <t>PROYECTO:</t>
  </si>
  <si>
    <t>=</t>
  </si>
  <si>
    <t>RECURSOS PROPIOS</t>
  </si>
  <si>
    <t>CREDITO</t>
  </si>
  <si>
    <t>TOTAL</t>
  </si>
  <si>
    <t>DISTRIBUCION INVERSION</t>
  </si>
  <si>
    <t>VENTAS</t>
  </si>
  <si>
    <t>PUNTO DE EQUILIBRIO</t>
  </si>
  <si>
    <t>TIEMPO</t>
  </si>
  <si>
    <t>CARTERA</t>
  </si>
  <si>
    <t>PROVEEDORES</t>
  </si>
  <si>
    <t>VENTAS TOTALES ANUALES:</t>
  </si>
  <si>
    <t>120 DIAS</t>
  </si>
  <si>
    <t>150 DIAS</t>
  </si>
  <si>
    <t>TIPO DE COSTO</t>
  </si>
  <si>
    <t>ANUAL</t>
  </si>
  <si>
    <t>CREDITOS</t>
  </si>
  <si>
    <t>PERIODO</t>
  </si>
  <si>
    <t>$</t>
  </si>
  <si>
    <t>%</t>
  </si>
  <si>
    <t>PROM.MES</t>
  </si>
  <si>
    <t>MES 10</t>
  </si>
  <si>
    <t>AÑO 4</t>
  </si>
  <si>
    <t>AÑO 5</t>
  </si>
  <si>
    <t>VENTAS TOTALES POR PRODUCTO</t>
  </si>
  <si>
    <t>EN PESOS</t>
  </si>
  <si>
    <t>EN UNIDADES</t>
  </si>
  <si>
    <t>VENTAS AÑO</t>
  </si>
  <si>
    <t xml:space="preserve">AÑO 1 </t>
  </si>
  <si>
    <t xml:space="preserve">AÑO 2 </t>
  </si>
  <si>
    <t>PATRIMONIO</t>
  </si>
  <si>
    <t xml:space="preserve">   - COSTO DE VENTAS</t>
  </si>
  <si>
    <t>UTILIDAD BRUTA</t>
  </si>
  <si>
    <t xml:space="preserve">   - GASTOS ADMON.</t>
  </si>
  <si>
    <t xml:space="preserve">   - GASTOS DE VENTAS</t>
  </si>
  <si>
    <t>UTILIDAD OPERACIONAL</t>
  </si>
  <si>
    <t xml:space="preserve">   - OTROS EGRESOS</t>
  </si>
  <si>
    <t xml:space="preserve">   - PREOPERATIVOS</t>
  </si>
  <si>
    <t>UTILIDAD A. DE IMP.</t>
  </si>
  <si>
    <t>FLUJO DE FONDOS ANUAL</t>
  </si>
  <si>
    <t>INGRESOS OPERATIVOS</t>
  </si>
  <si>
    <t xml:space="preserve">   VENTAS DE CONTADO</t>
  </si>
  <si>
    <t xml:space="preserve">   VENTAS A 30 DIAS</t>
  </si>
  <si>
    <t xml:space="preserve">   VENTAS A 60 DIAS</t>
  </si>
  <si>
    <t xml:space="preserve">   VENTAS A 90 DIAS</t>
  </si>
  <si>
    <t xml:space="preserve">   VENTAS A 120 DIAS</t>
  </si>
  <si>
    <t xml:space="preserve">   VENTAS A 150 DIAS</t>
  </si>
  <si>
    <t>TOTAL INGRESOS OPERATIVOS</t>
  </si>
  <si>
    <t>EGRESOS OPERATIVOS</t>
  </si>
  <si>
    <t xml:space="preserve">   MATERIA PRIMA</t>
  </si>
  <si>
    <t xml:space="preserve">   GASTOS DE VENTA</t>
  </si>
  <si>
    <t xml:space="preserve">   OTROS COSTOS DE PRODUCCION</t>
  </si>
  <si>
    <t xml:space="preserve">   GASTOS ADMINISTRATIVOS</t>
  </si>
  <si>
    <t>TOTAL EGRESOS OPERATIVOS</t>
  </si>
  <si>
    <t>FLUJO NETO OPERATIVO</t>
  </si>
  <si>
    <t>INGRESOS NO OPERATIVOS</t>
  </si>
  <si>
    <t xml:space="preserve">  APORTES</t>
  </si>
  <si>
    <t xml:space="preserve">    ACTIVOS FIJOS</t>
  </si>
  <si>
    <t xml:space="preserve">    CAPITAL DE TRABAJO</t>
  </si>
  <si>
    <t xml:space="preserve">  FINANCIACION</t>
  </si>
  <si>
    <t>TOTAL INGRESOS NO OPERATIVOS</t>
  </si>
  <si>
    <t>EGRESOS NO OPERATIVOS</t>
  </si>
  <si>
    <t xml:space="preserve">    GASTOS PREOPERATIVOS</t>
  </si>
  <si>
    <t xml:space="preserve">    AMORTIZACIONES</t>
  </si>
  <si>
    <t xml:space="preserve">    GASTOS FINANCIEROS</t>
  </si>
  <si>
    <t xml:space="preserve">    IMPUESTOS</t>
  </si>
  <si>
    <t xml:space="preserve">    ACTIVOS DIFERIDOS</t>
  </si>
  <si>
    <t xml:space="preserve">    COMPRA DE ACTIVOS FIJOS</t>
  </si>
  <si>
    <t>FLUJO NETO NO OPERATIVO</t>
  </si>
  <si>
    <t>FLUJO NETO</t>
  </si>
  <si>
    <t xml:space="preserve">  + SALDO INICIAL</t>
  </si>
  <si>
    <t>SALDO FINAL ACUMULADO</t>
  </si>
  <si>
    <t>FLUJO DE FONDOS MENSUAL</t>
  </si>
  <si>
    <t>(CONTINUACION)</t>
  </si>
  <si>
    <t>PREOPER.</t>
  </si>
  <si>
    <t>TOTAL EGRESOS NO OPERATIVOS</t>
  </si>
  <si>
    <t>TOTAL APORTES EN ACTIVOS FIJOS</t>
  </si>
  <si>
    <t>TOTAL APORTES</t>
  </si>
  <si>
    <t>2. INVERSION CON RECURSOS DE UN CREDITO</t>
  </si>
  <si>
    <t>TOTAL ACTIVOS FIJOS CON CREDITO</t>
  </si>
  <si>
    <t>CONDICIONES DE LA FINANCIACION</t>
  </si>
  <si>
    <t>ACT.FIJOS</t>
  </si>
  <si>
    <t>CAP.TRABAJO</t>
  </si>
  <si>
    <t>LINEA:</t>
  </si>
  <si>
    <t>MONTO: (cuota fija)</t>
  </si>
  <si>
    <t xml:space="preserve">       (cuota variable)</t>
  </si>
  <si>
    <t>PLAZO:</t>
  </si>
  <si>
    <t>INTERES T.A.</t>
  </si>
  <si>
    <t>INTERES EFECTIVO:</t>
  </si>
  <si>
    <t>INTERES MES VENCIDO:</t>
  </si>
  <si>
    <t>RESUMEN DE LA FINANCIACION</t>
  </si>
  <si>
    <t>SALDO</t>
  </si>
  <si>
    <t>AMORTIZACION</t>
  </si>
  <si>
    <t>INTERES</t>
  </si>
  <si>
    <t>TOTAL PAGO DEUDA</t>
  </si>
  <si>
    <t>TABLA RESUMEN DE PAGOS DE LA FINANCIACION</t>
  </si>
  <si>
    <t>CUOTA</t>
  </si>
  <si>
    <t>SEGURO</t>
  </si>
  <si>
    <t>1. GASTOS ADMINISTRATIVOS</t>
  </si>
  <si>
    <t>GASTO MENSUAL</t>
  </si>
  <si>
    <t>TIPO DE EMPLEADO</t>
  </si>
  <si>
    <t>MES</t>
  </si>
  <si>
    <t>SUBTOTAL</t>
  </si>
  <si>
    <t>COSTOS DE PRODUCCION</t>
  </si>
  <si>
    <t>COSTO MENSUAL</t>
  </si>
  <si>
    <t>GASTOS PREOPERATIVOS</t>
  </si>
  <si>
    <t>GASTOS TOTALES</t>
  </si>
  <si>
    <t xml:space="preserve">TOTAL </t>
  </si>
  <si>
    <t xml:space="preserve">  INV. INICIAL</t>
  </si>
  <si>
    <t xml:space="preserve">  + COMPRAS</t>
  </si>
  <si>
    <t xml:space="preserve">  - INVENTARIO FINAL</t>
  </si>
  <si>
    <t>COSTO DE VENTAS</t>
  </si>
  <si>
    <t>GASTOS ADMINISTRATIVOS</t>
  </si>
  <si>
    <t>GASTOS DE VENTAS</t>
  </si>
  <si>
    <t>IMPUESTOS</t>
  </si>
  <si>
    <t>UTILIDAD NETA</t>
  </si>
  <si>
    <t>AÑO 2 VS. 1</t>
  </si>
  <si>
    <t>AÑO 3 VS. 2</t>
  </si>
  <si>
    <t>BALANCE GENERAL PROYECTADO</t>
  </si>
  <si>
    <t>ACTIVO</t>
  </si>
  <si>
    <t xml:space="preserve">  CAJA</t>
  </si>
  <si>
    <t xml:space="preserve">  CUENTAS POR COBRAR</t>
  </si>
  <si>
    <t xml:space="preserve">  INVENTARIOS</t>
  </si>
  <si>
    <t>TOTAL ACTIVO CORRIENTE</t>
  </si>
  <si>
    <t xml:space="preserve">  ACTIVOS SIN DEPRECIACION</t>
  </si>
  <si>
    <t xml:space="preserve">  DEPRECIACION</t>
  </si>
  <si>
    <t>TOTAL ACTIVO FIJO NETO</t>
  </si>
  <si>
    <t>OTROS ACTIVOS</t>
  </si>
  <si>
    <t>TOTAL ACTIVOS</t>
  </si>
  <si>
    <t>PASIVO</t>
  </si>
  <si>
    <t xml:space="preserve">  CUENTAS POR PAGAR</t>
  </si>
  <si>
    <t xml:space="preserve">  PRESTAMOS</t>
  </si>
  <si>
    <t xml:space="preserve">  IMPUESTOS POR PAGAR</t>
  </si>
  <si>
    <t xml:space="preserve">  PRESTACIONES SOCIALES</t>
  </si>
  <si>
    <t>TOTAL PASIVO</t>
  </si>
  <si>
    <t xml:space="preserve">  CAPITAL</t>
  </si>
  <si>
    <t xml:space="preserve">  UTILIDADES RETENIDAS</t>
  </si>
  <si>
    <t xml:space="preserve">  UTILIDADES DEL EJERCICIO</t>
  </si>
  <si>
    <t>TOTAL PATRIMONIO</t>
  </si>
  <si>
    <t>TOTAL PASIVO Y PATRIMONIO</t>
  </si>
  <si>
    <t>VENTAS ANUALES EN UNIDADES</t>
  </si>
  <si>
    <t>ANO 4</t>
  </si>
  <si>
    <t>ANO 5</t>
  </si>
  <si>
    <t>VENTAS MENSUALES EN PESOS</t>
  </si>
  <si>
    <t>VENTAS ANUALES EN PESOS</t>
  </si>
  <si>
    <t>PORCENTAJE DE LAS VENTAS MENSUALES CON RELACION AL ANO 1</t>
  </si>
  <si>
    <t>MES  10</t>
  </si>
  <si>
    <t>DISCRIMINACION DE LAS VENTAS A CREDITO</t>
  </si>
  <si>
    <t xml:space="preserve">  CONTADO:</t>
  </si>
  <si>
    <t xml:space="preserve">  30 DIAS:</t>
  </si>
  <si>
    <t xml:space="preserve"> 60 DIAS:</t>
  </si>
  <si>
    <t xml:space="preserve"> 90 DIAS:</t>
  </si>
  <si>
    <t xml:space="preserve"> 120 DIAS:</t>
  </si>
  <si>
    <t xml:space="preserve"> 150 DIAS:</t>
  </si>
  <si>
    <t>INGRESOS NETOS EN PESOS POR MES Y ANO  POR PRODUCTO</t>
  </si>
  <si>
    <t>INGRESOS NETOS EN PESOS</t>
  </si>
  <si>
    <t>CUENTAS POR COBRAR POR ANO POR PRODUCTO</t>
  </si>
  <si>
    <t xml:space="preserve">   TOTAL</t>
  </si>
  <si>
    <t xml:space="preserve">  TOTAL</t>
  </si>
  <si>
    <t>GASTOS MENSUALES DE VENTA</t>
  </si>
  <si>
    <t>COMISIONES:</t>
  </si>
  <si>
    <t>FLETES Y GTOS.:</t>
  </si>
  <si>
    <t>TOTAL:</t>
  </si>
  <si>
    <t>GASTOS ANUALES DE VENTA</t>
  </si>
  <si>
    <t>COMPORTAMIENTO DE CARTERA</t>
  </si>
  <si>
    <t>INVERSION EN EL PROYECTO</t>
  </si>
  <si>
    <t>1. INVERSION CON RECURSOS PROPIOS</t>
  </si>
  <si>
    <t>DEPRECIACION</t>
  </si>
  <si>
    <t>DEPRECIACION ANUAL</t>
  </si>
  <si>
    <t>plazo</t>
  </si>
  <si>
    <t>tasa</t>
  </si>
  <si>
    <t>tipo</t>
  </si>
  <si>
    <t>4. RESUMEN DE INVERSION Y FINANCIACION</t>
  </si>
  <si>
    <t>5. FINANCIACION</t>
  </si>
  <si>
    <t>5.1. CONDICIONES DE LA FINANCIACION</t>
  </si>
  <si>
    <t>INTERES N.A.</t>
  </si>
  <si>
    <t>FORMA DE LIQUIDAR</t>
  </si>
  <si>
    <t>TABLA DE PAGOS ACTIVO FIJO</t>
  </si>
  <si>
    <t>CUOTAS DE PAGO FIJA / AMORTIZACION VARIABLE</t>
  </si>
  <si>
    <t>PLAZO</t>
  </si>
  <si>
    <t>TABLA DE PAGOS CAPITAL DE TRABAJO</t>
  </si>
  <si>
    <t>TABLA RESUMEN DE PAGOS DE CREDITOS</t>
  </si>
  <si>
    <t>INT + SEG.</t>
  </si>
  <si>
    <t>RESUMEN DE LA  FINANCIACION</t>
  </si>
  <si>
    <t>CALCULO DE LA DEPRECIACION</t>
  </si>
  <si>
    <t>MONTO DEPRECIABLE</t>
  </si>
  <si>
    <t>FACTOR DE DEPRECIACION</t>
  </si>
  <si>
    <t>CUOTA MAXIMA:</t>
  </si>
  <si>
    <t>INCREMENTO ANUAL DE COSTOS:</t>
  </si>
  <si>
    <t>PRESUPUESTO DE PRODUCCION</t>
  </si>
  <si>
    <t>PRODUCCION EN UNIDADES</t>
  </si>
  <si>
    <t>COSTO UNITARIO DE MATERIA PRIMA POR PRODUCTO</t>
  </si>
  <si>
    <t>MATERIA PRIMA</t>
  </si>
  <si>
    <t>PONDERACION</t>
  </si>
  <si>
    <t>COSTO TOTAL UNITARIO</t>
  </si>
  <si>
    <t>COMPRAS MENSUALES</t>
  </si>
  <si>
    <t>TOTAL COMPRAS</t>
  </si>
  <si>
    <t>PAGOS MENSUALES</t>
  </si>
  <si>
    <t xml:space="preserve">TOTAL PAGOS </t>
  </si>
  <si>
    <t>CUENTAS POR PAGAR</t>
  </si>
  <si>
    <t>TOTAL CUENTAS POR PAGAR</t>
  </si>
  <si>
    <t>MANO DE OBRA VARIABLE</t>
  </si>
  <si>
    <t>TOTAL MANO DE OBRA VARIABLE</t>
  </si>
  <si>
    <t>COMPORTAMIENTO DE LOS PAGOS</t>
  </si>
  <si>
    <t>30</t>
  </si>
  <si>
    <t>60</t>
  </si>
  <si>
    <t>90</t>
  </si>
  <si>
    <t>%de compras</t>
  </si>
  <si>
    <t>INCREMENTO ANUAL EN COSTOS:</t>
  </si>
  <si>
    <t xml:space="preserve">  SUBTOTAL SALARIOS</t>
  </si>
  <si>
    <t>TOTAL SALARIOS</t>
  </si>
  <si>
    <t>TOTAL GTOS.ADMON.</t>
  </si>
  <si>
    <t>2. COSTOS DE PRODUCCION</t>
  </si>
  <si>
    <t>MANO DE OBRA  DIRECTA E INDIRECTA</t>
  </si>
  <si>
    <t>PAGOS DE SALARIOS</t>
  </si>
  <si>
    <t>TOTAL COSTOS FIJOS</t>
  </si>
  <si>
    <t>MANO DE OBRA</t>
  </si>
  <si>
    <t>PLAN DE MERCADOS</t>
  </si>
  <si>
    <t>CLASIFICAR COMO</t>
  </si>
  <si>
    <t>COSTO TOTAL</t>
  </si>
  <si>
    <t>FUENTE DE RECURSOS</t>
  </si>
  <si>
    <t>ADQUIRIDOS EN EL:</t>
  </si>
  <si>
    <t>INFORMACION  DE COSTOS VARIABLES</t>
  </si>
  <si>
    <t>INFORMACION DE VENTAS</t>
  </si>
  <si>
    <t>INFORMACION DE INVERSION Y FINANCIACION</t>
  </si>
  <si>
    <t>INFORMACION DE GASTOS Y COSTOS FIJOS</t>
  </si>
  <si>
    <t>credito</t>
  </si>
  <si>
    <t>MARGEN DE CONTRIBUCION</t>
  </si>
  <si>
    <t xml:space="preserve">RESULTADOS DEL ANALISIS </t>
  </si>
  <si>
    <t xml:space="preserve">. SE APORTA EL </t>
  </si>
  <si>
    <t xml:space="preserve"> CON RECURSOS PROPIOS</t>
  </si>
  <si>
    <t xml:space="preserve"> EL</t>
  </si>
  <si>
    <t xml:space="preserve"> PARA CAPITAL DE TRABAJO EL </t>
  </si>
  <si>
    <t>Total general</t>
  </si>
  <si>
    <t xml:space="preserve">SOCIOS:  </t>
  </si>
  <si>
    <t xml:space="preserve">PROYECTO:  </t>
  </si>
  <si>
    <t>VENTAS  AÑO 1</t>
  </si>
  <si>
    <t>RESUMEN DE INVERSION Y FINANCIACION</t>
  </si>
  <si>
    <t xml:space="preserve"> MILLONES DE PESOS. </t>
  </si>
  <si>
    <t xml:space="preserve">LAS VENTAS INICIAN EN EL MES </t>
  </si>
  <si>
    <t xml:space="preserve"> DEL </t>
  </si>
  <si>
    <t xml:space="preserve">. EN EL PRIMER AÑO SE ESPERA VENDER </t>
  </si>
  <si>
    <t xml:space="preserve"> POR VALOR DE </t>
  </si>
  <si>
    <t>CRECIMIENTO ANUAL</t>
  </si>
  <si>
    <t xml:space="preserve">EN EL SEGUNDO AÑO SE PRESUPUESTA INCREMENTAN LAS VENTAS EN UN </t>
  </si>
  <si>
    <t xml:space="preserve">PARA EL TERCER AÑO SE ESPERA TENER VENTAS POR </t>
  </si>
  <si>
    <t xml:space="preserve">CORRESPONDIENTE A UN CRECIMIENTO DEL </t>
  </si>
  <si>
    <t xml:space="preserve">% </t>
  </si>
  <si>
    <t xml:space="preserve">TENIENDO VENTAS PROMEDIO MENSUALES DE </t>
  </si>
  <si>
    <t xml:space="preserve"> CON RESPECTO AL AÑO ANTERIOR</t>
  </si>
  <si>
    <t xml:space="preserve">CON UN </t>
  </si>
  <si>
    <t xml:space="preserve"> DE LA VENTA TOTAL. </t>
  </si>
  <si>
    <t xml:space="preserve">EL PRODUCTO DE MAYOR VENTA EN EL AÑO 1 ES </t>
  </si>
  <si>
    <t xml:space="preserve"> EL CUAL PARTICIPA CON UN </t>
  </si>
  <si>
    <t>COMPOSICION DE LOS COSTOS FIJOS</t>
  </si>
  <si>
    <t xml:space="preserve">VENTAS PROYECTADAS AÑOS 2 Y 3 </t>
  </si>
  <si>
    <t xml:space="preserve">LOS COSTOS Y GASTOS FIJOS DEL PRIMER AÑO, ASCIENDEN A </t>
  </si>
  <si>
    <t>M.O. VARIABLE</t>
  </si>
  <si>
    <t>GASTOS DE VENTA</t>
  </si>
  <si>
    <t>TOTAL COSTOS VARIABLES</t>
  </si>
  <si>
    <r>
      <t>CONTRIBUCION</t>
    </r>
    <r>
      <rPr>
        <b/>
        <sz val="12"/>
        <color indexed="12"/>
        <rFont val="Arial"/>
        <family val="2"/>
      </rPr>
      <t xml:space="preserve"> A VENTAS</t>
    </r>
  </si>
  <si>
    <t>TOTAL VENTAS ANUALES</t>
  </si>
  <si>
    <t>VENTAS ANUALES</t>
  </si>
  <si>
    <t>UNIDADES ANUALES</t>
  </si>
  <si>
    <t>UNIDADES  MENSUALES</t>
  </si>
  <si>
    <t>VENTAS MENSUALES</t>
  </si>
  <si>
    <t xml:space="preserve"> CENTAVOS PARA CUBRIR LOS COSTOS Y GASTOS FIJOS DE LA EMPRESA Y GENERAR UTILIDAD. </t>
  </si>
  <si>
    <t xml:space="preserve">, </t>
  </si>
  <si>
    <t xml:space="preserve">EL MARGEN DE CONTRIBUCIÓN DE LA EMPRESA ES </t>
  </si>
  <si>
    <t xml:space="preserve"> ES EL PRODUCTO DE MENOR MARGEN DE CONTRIBUCIÓN.  </t>
  </si>
  <si>
    <t xml:space="preserve">EL PRODUCTO CON MAYOR MARGEN DE CONTRIBUCIÓN ES </t>
  </si>
  <si>
    <t xml:space="preserve">LO CUAL SE INTERPRETA ASÍ: POR CADA PESO QUE VENDA LA EMPRESA SE OBTIENEN </t>
  </si>
  <si>
    <t xml:space="preserve">SE REQUIEREN VENTAS MENSUALES PROMEDIO DE </t>
  </si>
  <si>
    <t xml:space="preserve"> ALCANZA EL PUNTO DE EQUILIBRIO.</t>
  </si>
  <si>
    <t xml:space="preserve"> AL AÑO PARA NO PERDER NI GANAR DINERO. </t>
  </si>
  <si>
    <t xml:space="preserve">AL ANALIZAR LAS PROYECCIONES DE VENTAS SE DETERMINA QUE LA EMPRESA, </t>
  </si>
  <si>
    <t>EN EL PRIMER AÑO,</t>
  </si>
  <si>
    <t>EN EL SEGUNDO AÑO,</t>
  </si>
  <si>
    <t>EN EL TERCER AÑO,</t>
  </si>
  <si>
    <t>VENTAS PROYECTADAS</t>
  </si>
  <si>
    <t xml:space="preserve"> = COSTO INVENTARIO UTILIZADO</t>
  </si>
  <si>
    <t>TOTAL COSTO DE VENTAS</t>
  </si>
  <si>
    <t xml:space="preserve">    - GASTOS FINANCIEROS</t>
  </si>
  <si>
    <t xml:space="preserve">    - GASTOS PREOPERATIVOS</t>
  </si>
  <si>
    <t xml:space="preserve">    - OTROS EGRESOS</t>
  </si>
  <si>
    <t xml:space="preserve">  + MANO DE OBRA FIJA</t>
  </si>
  <si>
    <t xml:space="preserve">  + MANO DE OBRA VARIABLE</t>
  </si>
  <si>
    <t xml:space="preserve">  + COSTOS FIJOS DE PRODUCCION</t>
  </si>
  <si>
    <t xml:space="preserve">  + DEPRECIACION Y DIFERIDOS</t>
  </si>
  <si>
    <t>UTILIDAD BRUTA (Ventas - costo de ventas)</t>
  </si>
  <si>
    <t>UTILIDAD OPERACIONAL (utilidad bruta- G.F.)</t>
  </si>
  <si>
    <t>ESTADOS DE RESULTADOS PROYECTADO ANUAL</t>
  </si>
  <si>
    <t>ESTADO DE PERDIDAS Y GANANCIAS MENSUAL (PRIMER AÑO)</t>
  </si>
  <si>
    <t>AÑO1</t>
  </si>
  <si>
    <t>AÑO2</t>
  </si>
  <si>
    <t>AÑO3</t>
  </si>
  <si>
    <t xml:space="preserve">EL ESTADO DE PERDIDAS Y GANANCIAS PROYECTADO PARA EL PRIMER AÑO, MUESTRA QUE </t>
  </si>
  <si>
    <t>ES INSUFICIENTE PARA CUBRIR EL COSTO DE OPERACIÓN</t>
  </si>
  <si>
    <t xml:space="preserve">LAS METAS DE VENTAS </t>
  </si>
  <si>
    <t>ES INSUFICIENTE PARA CUBRIR EL COSTO DE ESTAS;</t>
  </si>
  <si>
    <t xml:space="preserve">LA RENTABILIDAD SOBRE VENTAS DEL PROYECTO ES DE </t>
  </si>
  <si>
    <t>% MENSUAL</t>
  </si>
  <si>
    <t xml:space="preserve"> POR LO TANTO LAS PERDIDAS DEL PROYECTO SE DEBEN A VENTAS MUY BAJAS LAS CUALES  DEBEN SER REVISAR CON DETENIMIENTO. </t>
  </si>
  <si>
    <t xml:space="preserve"> POR LO TANTO LAS PERDIDAS DEL PROYECTO PUEDEN ESTAR GENERADAS EN LOS ALTOS COSTOS FIJOS QUE SE PRESUPUESTA PARA LA ACTIVIDAD DE LA EMPRESA. </t>
  </si>
  <si>
    <t xml:space="preserve">ES INSUFICIENTE PARA CUBRIR EL COSTO TOTAL </t>
  </si>
  <si>
    <t xml:space="preserve"> SON SUFICIENTES PARA CUBRIR LOS COSTOS Y GASTOS TOTALES. </t>
  </si>
  <si>
    <t xml:space="preserve">EL ESTADO DE RESULTADOS EN EL PRIMER AÑO, MUESTRA UNA </t>
  </si>
  <si>
    <t xml:space="preserve"> MILLONES DE PESOS</t>
  </si>
  <si>
    <t xml:space="preserve"> POR </t>
  </si>
  <si>
    <t xml:space="preserve">% ANUAL. </t>
  </si>
  <si>
    <t>SUGERIR</t>
  </si>
  <si>
    <t>INSINUAR</t>
  </si>
  <si>
    <t>ACONSEJA</t>
  </si>
  <si>
    <t>PROPONE</t>
  </si>
  <si>
    <t xml:space="preserve">. LA RENTABILIDAD OPERACIONAL ES DEL </t>
  </si>
  <si>
    <t xml:space="preserve">. LA RENTABILIDAD BRUTA ES DEL </t>
  </si>
  <si>
    <t xml:space="preserve">. LA RENTABILIDAD SOBRE VENTAS ES DE </t>
  </si>
  <si>
    <t>CAMBIOS PORCENTUALES DEL PRIMER AÑO</t>
  </si>
  <si>
    <t xml:space="preserve">PARA EL SEGUNDO AÑO LAS VENTAS </t>
  </si>
  <si>
    <t xml:space="preserve">Y LOS COSTOS DE VENTAS </t>
  </si>
  <si>
    <t xml:space="preserve">TENIENDO EN CUENTA LA ESTRUCTURA DE COSTOS Y GASTOS FIJOS Y EL MARGEN DE CONTRIBUCIÓN DE LA EMPRESA, SE LLEGA  A LA CONCLUSIÓN QUE LA ORGANIZACIÓN REQUIERE VENDER </t>
  </si>
  <si>
    <t xml:space="preserve">POR LO TANTO LAS PERDIDAS ESTÁN RELACIONADAS CON EL ALTO COSTO FINANCIERO PRESUPUESTADO Y/O LA RECUPERACIÓN EN MUY CORTO PLAZO DE LOS GASTOS PREOPERATIVOS. </t>
  </si>
  <si>
    <t xml:space="preserve">LA INVERSIÓN TOTAL PARA A LA REALIZACIÓN DEL PROYECTO ES DE  </t>
  </si>
  <si>
    <t xml:space="preserve">. SE ESPERA CONSEGUIR CRÉDITOS POR EL </t>
  </si>
  <si>
    <t xml:space="preserve">, Y SE OBTENDRÍAN RECURSOS DE DONACIONES O SUBVENCIONES POR EL </t>
  </si>
  <si>
    <t xml:space="preserve">. DE LA INVERSIÓN SE DESTINA </t>
  </si>
  <si>
    <t xml:space="preserve">SE CONFÍA TENER LA MAYOR VENTA EN EL MES </t>
  </si>
  <si>
    <t xml:space="preserve"> DE LA PROYECCIÓN,</t>
  </si>
  <si>
    <t xml:space="preserve">. EL PRODUCTO DE MENOR PARTICIPACIÓN EN EL PORTAFOLIO ES </t>
  </si>
  <si>
    <t xml:space="preserve">PARA HALLAR EL PUNTO DE EQUILIBRIO SE DEBE DIVIDIR LA SUMATORIA DE LOS COSTOS Y GASTOS FIJOS ENTRE EL MARGEN DE CONTRIBUCIÓN. </t>
  </si>
  <si>
    <t>ES CONVENIENTE REVISAR LAS CIFRAS YA QUE LOS COSTOS DIRECTOS DESCIENDEN EN GRAN MEDIDA CON RESPECTO AL CRECIMIENTO EN VENTAS.</t>
  </si>
  <si>
    <t>LA EMPRESA DENOTA EFICIENCIA OPERATIVA MUY BAJA</t>
  </si>
  <si>
    <t>LA EMPRESA DENOTA EFICIENCIA OPERATIVA ALTA</t>
  </si>
  <si>
    <t>SE HACE IMPRESCINDIBLE VERIFICAR LOS COSTOS DIRECTOS YA QUE ESTOS SE INCREMENTA POR ENCIMA DEL INCREMENTO EN VENTAS</t>
  </si>
  <si>
    <t xml:space="preserve"> LOS GASTOS ADMINISTRATIVOS </t>
  </si>
  <si>
    <t xml:space="preserve">La Depreciación como Costo y Gasto Fijo
El objeto de realizar la depreciación es el de lograr la recuperación de la inversión fija realizada. Este costo se denomina virtual ya que el dinero que periódicamente se contabiliza como costo  (o gasto) realmente no sale de la empresa sino que va a aumentar el capital de trabajo, tributariamente es beneficioso para la empresa porque al ser un egreso, disminuye la utilidad sobre la que se genera el impuesto de renta.
Hay varios métodos para determinar la depreciación. Uno de los más comunes es el sistema de línea recta, que consiste en tomar el costo del activo fijo y dividirlo por la vida útil. La vida útil es un parámetro tributario que no se puede modificar. Estos parámetros son los siguientes: 
CLASIFICACIÓN DEL ACTIVO FIJO DEPRECIADOS  EN
Terrenos                                                 No se deprecian
Edificios                                                       20 años
Vehículos                                                       5 años
Equipos                                                          5 años
Maquinas                                                       10 años
Muebles y Enseres                                         10 años
Computadores                                                3 años
Herramientas                                                  1 año
Por ejemplo, un vehiculo que tenga un costo de $25.000.000, al aplicarle la depreciación se recuperarían $5.000.000 anuales o lo que es lo mismo se presupuestaria recuperar  $417.000 mensuales.
                                       DLR  =   costo de adquisicion / vida util 
Este costo se involucra en los presupuestos de costos y gastos de la empresa. 
</t>
  </si>
  <si>
    <t>3. INVERSION DE subvenciones o donaciones</t>
  </si>
  <si>
    <t>TOTAL ACTIVOS FIJOS CON APORTE DE subvenciones o donaciones</t>
  </si>
  <si>
    <t>TOTAL APORTES subvenciones o donaciones</t>
  </si>
  <si>
    <t>Q</t>
  </si>
  <si>
    <t>AÑO 3  semestre 2</t>
  </si>
  <si>
    <t>CALCULO DE LA INVERSION</t>
  </si>
  <si>
    <t>aportes</t>
  </si>
  <si>
    <t>Inicio del proyecto</t>
  </si>
  <si>
    <t>AÑO 1  trimestre 2</t>
  </si>
  <si>
    <t>AÑO 1  trimestre 3</t>
  </si>
  <si>
    <t>AÑO 1  trimestre 4</t>
  </si>
  <si>
    <t>AÑO 2  semestre 1</t>
  </si>
  <si>
    <t>AÑO 2  semestre 2</t>
  </si>
  <si>
    <t>AÑO 3  semestre 1</t>
  </si>
  <si>
    <t>total</t>
  </si>
  <si>
    <t>TOTAL AÑO 1</t>
  </si>
  <si>
    <t>TOTAL AÑO 2</t>
  </si>
  <si>
    <t>TOTAL AÑO 3</t>
  </si>
  <si>
    <t>No reembolsables y donaciones</t>
  </si>
  <si>
    <t>totales</t>
  </si>
  <si>
    <t>reposicion</t>
  </si>
  <si>
    <t>año 2 semestre 1</t>
  </si>
  <si>
    <t>AÑO 2  Semestre 2</t>
  </si>
  <si>
    <t>depreciacion</t>
  </si>
  <si>
    <t>total Inversion con reposicion</t>
  </si>
  <si>
    <t>momento 0</t>
  </si>
  <si>
    <t>total depreciacion periodo</t>
  </si>
  <si>
    <t>total depreciacion año</t>
  </si>
  <si>
    <t>0-12</t>
  </si>
  <si>
    <t>APORTES</t>
  </si>
  <si>
    <t>CRÉDITO</t>
  </si>
  <si>
    <t>OTRAS FUENTES</t>
  </si>
  <si>
    <t>IPP</t>
  </si>
  <si>
    <t>NO REEMBOLSABLES</t>
  </si>
  <si>
    <t>DONACIONES</t>
  </si>
  <si>
    <t>año 3 semestre 1</t>
  </si>
  <si>
    <t>año 3 semestre 2</t>
  </si>
  <si>
    <t>AÑO 1  Trimestre 2</t>
  </si>
  <si>
    <t>recuros de socios</t>
  </si>
  <si>
    <t>no reembolsables</t>
  </si>
  <si>
    <t>CW</t>
  </si>
  <si>
    <t>No reembolsables</t>
  </si>
  <si>
    <t>NO REEMBOLSABLES Y DONACIONES</t>
  </si>
  <si>
    <t>INICIAL</t>
  </si>
  <si>
    <t xml:space="preserve"> Y PARA ACTIVOS FIJOS EL </t>
  </si>
  <si>
    <t xml:space="preserve">   MANO DE OBRA VARIABLE</t>
  </si>
  <si>
    <t xml:space="preserve">   MANO DE OBRA DIRECTA FIJA</t>
  </si>
  <si>
    <t>Precios de venta</t>
  </si>
  <si>
    <t>Costo unitario</t>
  </si>
  <si>
    <t>SE CONSIDERA MUY ALTA, SE SUGIERE REVISAR LOS COSTOS VARIABLES Y LOS COSTOS FIJOS DE OPERACION</t>
  </si>
  <si>
    <t>SE CONSIDERA ESTA DENTRO DE LOS PARAMETROS DE LA INDUSTRIA</t>
  </si>
  <si>
    <t xml:space="preserve">LOS DATOS NO CONCUERDAN POR FAVOR REVISAR LA INFORMACION </t>
  </si>
  <si>
    <t xml:space="preserve">SE ESTABLECE QUE ESTA MUY BAJA ES CONVENIENTE REVISAR LOS COSTOS DIRECTOS DE OPERACIÓN </t>
  </si>
  <si>
    <t>SE CONSIDERA MUY ALTA, SE SUGIERE REVISAR LOS GASTOS ADMINISTRATIVOS Y DE VENTAS</t>
  </si>
  <si>
    <t xml:space="preserve">%. </t>
  </si>
  <si>
    <t>LA EMPRESA VENDE</t>
  </si>
  <si>
    <t>LA EMPRESA COMPRA</t>
  </si>
  <si>
    <t xml:space="preserve">EL PROYECTO PRESENTA SU </t>
  </si>
  <si>
    <t>. EL CUAL SE RECOMIENDA SE AJUSTE DESDE LA INVERSIÓN INICIAL.</t>
  </si>
  <si>
    <t xml:space="preserve"> EN EL MES </t>
  </si>
  <si>
    <t xml:space="preserve">CON ESTE VALOR EL PROYECTO </t>
  </si>
  <si>
    <t xml:space="preserve">, ES NECESARIO QUE SE DESCUENTE DEL VALOR DE LOS INVENTARIOS, EN CASO DE SER REQUERIDOS. </t>
  </si>
  <si>
    <t xml:space="preserve">DETERMINACION DE LA VIABILIDAD FINANCIERA DEL PROYECTO: </t>
  </si>
  <si>
    <t xml:space="preserve">EL PROYECTO POSEE UNA INVERSIÓN DE </t>
  </si>
  <si>
    <t xml:space="preserve">PROMEDIO ANUAL. </t>
  </si>
  <si>
    <t>SE CONSIDERA MUY BAJA, POR LO QUE SE SUGIERE REVISAR LAS PROYECCIONES DE VENTA</t>
  </si>
  <si>
    <t xml:space="preserve">. AL PRIMER AÑO DE OPERACIÓN ARROJA UN FLUJO DE EFECTIVO DE </t>
  </si>
  <si>
    <t xml:space="preserve"> MM </t>
  </si>
  <si>
    <t xml:space="preserve"> MILLONES, </t>
  </si>
  <si>
    <t xml:space="preserve">PARA EL SEGUNDO AÑO, EL VALOR ES DE </t>
  </si>
  <si>
    <t xml:space="preserve">Y PARA EL TERCERO DE </t>
  </si>
  <si>
    <t xml:space="preserve"> MM. </t>
  </si>
  <si>
    <t xml:space="preserve">. SE INTERPRETA COMO: EL PROYECTO ARROJA UNA RENTABILIDAD DEL </t>
  </si>
  <si>
    <t xml:space="preserve">EL SEGUNDO INDICADOR ES EL VALOR PRESENTE NETO, PARA SU CALCULO ES NECESARIO LA TASA DE DESCUENTO O TASA DE INTERES DE OPORTUNIDAD QUE SE SOLICITO EN LA ENTRADA DE DATOS, (OTROS PARAMETROS), DONDE USTED DIGITO EL </t>
  </si>
  <si>
    <t xml:space="preserve">. SE INTERPRETA COMO: EL PROYECTO ARROJA </t>
  </si>
  <si>
    <t xml:space="preserve">, EL VALOR ARROJADO DEL CALCULO ES </t>
  </si>
  <si>
    <t xml:space="preserve"> MILLONES</t>
  </si>
  <si>
    <t xml:space="preserve"> ANUAL</t>
  </si>
  <si>
    <t xml:space="preserve"> ADICIONALES AL INVERTIR LOS RECURSOS EN ESTE PROYECTO QUE EN UNO QUE RENTE, EL </t>
  </si>
  <si>
    <t xml:space="preserve"> , ES INDIFERENTE INVERTIR LOS RECURSOS EN ESTE PROYECTO O EN CUALQUIERA QUE RENTE EL </t>
  </si>
  <si>
    <t xml:space="preserve"> MENOS AL INVERTIR LOS RECURSOS EN ESTE PROYECTO QUE EN UNO QUE RENTE EL </t>
  </si>
  <si>
    <t xml:space="preserve">LA INVERSIÓN ES DE </t>
  </si>
  <si>
    <t xml:space="preserve">LA DIFERENCIA ES </t>
  </si>
  <si>
    <t xml:space="preserve">SE CALCULA CON EL ESTADO DE RESULTADOS SUMANDO LAS UTILIDADES Y RESTANDO LA INVERSIÓN HASTA OBTENER CERO. </t>
  </si>
  <si>
    <t xml:space="preserve">. LA UTILIDAD DEL PRIMER PERIODO ES DE </t>
  </si>
  <si>
    <t xml:space="preserve">Conceptos básicos: </t>
  </si>
  <si>
    <t>Administración</t>
  </si>
  <si>
    <t xml:space="preserve">En la estipulación de precios es algo en que el empresario no invierte mucho tiempo. Las decisiones respecto a los precios se toman basadas en la competencia o mediante el uso de una fórmula constante de aumento del valor original que se usa en forma rutinaria. 
No obstante es importante que se tengan en cuenta los siguientes aspectos. 
Costo: se hace el análisis de costos, haciendo un desglose de los costos directos de todos los componentes, materiales, trabajo, costos de operación y de administración
Percepción de los Clientes: se refiere a la percepción de valor de los productos y/o servicios que pueden tener sus clientes, con respecto a la necesidad cubierta
Competidores: es necesario que analice la competencia dentro del contexto global de la operación de su negocio y el ambiente en el cual estará operando.
</t>
  </si>
  <si>
    <t xml:space="preserve">“Los clientes compran con sus pasos y sus pesos”, de modo que no solo hay que llegar hasta donde está el cliente sino permitirle encontrarnos; no es solo el flujo del producto hacia el mercado sino del mercado hacia el producto (de ahí pueden resultar otras estrategias de ampliación y diversificación).
“Aquí y ya”. El mercadeo de hoy no da espera, no solo debe estar todo al alcance de la mano sino que el empresario debe tener una rápida capacidad de respuesta.  No solo deben fluir los productos, además las experiencias de compra deben ser placenteras y llenas de valores; entonces deben ser fáciles de llevar, de abrir, de encontrar, de pagar, de usar, de recordar, etc. y también de reclamar.
En el conocimiento popular dicen que “Si va a cazar un ratón debe ponerle la trampa por los caminos donde suele pasar”; como emprendedor, usted debe saber donde están sus clientes, y debe permitirle a la gente que lo encuentren fácilmente. 
</t>
  </si>
  <si>
    <t xml:space="preserve">Estas políticas de comunicación son los “cinco sentidos” del negocio, la comunicación entra por los sentidos de modo que la “envoltura” de percepción es tan importante como la respuesta a la satisfacción de la necesidad que ofrece el producto.
El mercadeo es una batalla de percepciones, en donde el campo de batalla no es el producto sino la mente del cliente; el cliente compra lo que él cree que es mejor. Esto es conocido como argumentos únicos de venta. Por ejemplo, la estrategia más conveniente para una empresa nueva es una comunicación “boca a boca” (recomendaciones de otros consumidores). 
Las políticas de comunicación buscan ordenar el campo de batalla competitivo para que los clientes vean los argumentos y los beneficios antes que el producto. 
El verdadero “departamento de control de calidad” de una empresa es el cliente, él es quien realmente usa y compara lo que compró. Esos son los argumentos válidos para establecer políticas de comunicación.
</t>
  </si>
  <si>
    <t>Los recursos requeridos para la cumplir con la proyección de ventas están sujetos a varios aspectos, el primero de ellos es la capacidad instalada de producción y comercialización de los productos/servicios, es por esta razón que se requiere del tiempo empleado en producir y vender una unidad de producción*. 
*UNIDAD DE PRODUCCION: se refiere a la cantidad mínima de producto/servicio que se produce, o se vende. así por ejemplo en la confección, se establece como una unidad de producción la serie o tallaje, en la panadería, un moje de X libras, en la zapatería una docena y en los servicios una unidad. 
La inversion se distribuye en tres partes importantes</t>
  </si>
  <si>
    <t xml:space="preserve">Costeo variable unitario
Uno de los aspectos básicos del conocimiento que debe poseer el emprendedor con respecto al proceso es la composición del producto o servicio. En él debe involucrar las materias primas, insumos y mercancías adquiridas que se verán comprometidas, ya sea en la transformación a nuevos
Nota: Materias primas son todos los elementos que se involucran, adicionan y para algunos productos se transforman para generar un nuevo producto. 
Insumos. Son elementos necesarios en la transformación del producto o la prestación de un servicio pero no quedan dentro del producto. 
Mercancía: son elementos adquiridos para su comercialización sin ningún tipo de cambio. 
 Así por ejemplo. En la fabricación de muebles se emplean maderas, tornillos, puntillas, pegamentos, como materias primas. Se emplea lija y lubricantes para las maquinas y estos son insumos. El fabricante vende al comercializador, que no le hace ningún tipo de transformación para venderlo al consumidor final, el mueble se convierte en mercancía. 
En los servicios el mayor costo es la mano de obra del operario que desarrolla el servicio y los elementos empleados en el proceso servuctivo generalmente son insumos. 
Al costeo unitario se le denomina explosión de productos, lo que quiere decir que el producto se reduce en fracciones de cada uno de sus componentes; determinando: la materia prima, la unidad de compra de ese componente, la cantidad empleada, se establece el costo de adquisición. La multiplicación de la cantidad por el costo es el valor total del insumo empleado. 
La sumatoria de los costos es el costo variable unitario. 
Si se emplean insumos estos deben involucrarse dentro del costeo siempre y cuando se pueda determinar por una unidad. 
La mano de obra pagada por actividad o destajo también hace parte del costo variable unitario, así como las comisiones por venta. Los impuestos directos a las ventas, como el ICA y el 4X1000 
1. Producto o servicio a costear: Descripción y nombre del producto, se puede agregar la referencia para su diferenciación perfecta.
2. Materia prima o insumo: Se refiere al nombre de la materia prima como generalmente se le conoce, o a los insumos empleados en el proceso de elaboración del bien o el servicio.
3. Costo de la unidad: Describe al costo de la unidad mínima de compra.
4. Cantidad utilizada: Cantidad empleada de la unidad de costo que va involucrada en el proceso.
5. Condiciones comerciales: se refiere a la forma al plazo que se tiene para poder pagar la materia prima. 
Esta realmente es la receta del producto. Si hay elementos tecnológicos únicos y que no se desea expresar, se puede utilizar referentes como elemento X con su unidad de compra, costo de la unidad y cantidad dentro del producto terminado.
Para el caso de comercialización se emplea una tabla más sencilla en donde se describe el bien, su precio de compra y su precio de venta:
Producto                Precio de compra                          Precio de venta
</t>
  </si>
  <si>
    <t>Tasa de Interés de Oportunidad</t>
  </si>
  <si>
    <t xml:space="preserve"> pesos de activo líquido  corriente para cubrirlo.   Se considera que una razón corriente ideal es superior a  2.5  a 1, es decir, que por cada peso que se adeuda en el corto plazo se tienen dos y medio pesos como respaldo. </t>
  </si>
  <si>
    <t xml:space="preserve">al terminar el primer año, para el proyecto se concluye que por cada peso de pasivo corriente que debe, la empresa tiene </t>
  </si>
  <si>
    <t xml:space="preserve">el segundo indicador  ayuda a determinar la capacidad que tiene la empresa para cubrir sus obligaciones con terceros a corto y largo plazo. se le denomina nivel de endeudamiento. Es importante conocer la discriminación del pasivo total. Una empresa puede tener un endeudamiento alto, pero si la mayor parte de éste es a largo plazo ella no  tendrá las dificultades que ha de suponer un indicador alto. </t>
  </si>
  <si>
    <t xml:space="preserve"> de los activos están respaldados  con recursos de los acreedores, Se considera que un nivel de endeudamiento del 60% es manejable, un endeudamiento menor muestra una empresa en capacidad de contraer más obligaciones, mientras que un endeudamiento mayor muestra una empresa a la que se le puede dificultar la consecución de más financiamiento. </t>
  </si>
  <si>
    <t xml:space="preserve"> El </t>
  </si>
  <si>
    <t xml:space="preserve">EN EL MOMENTO DE ARRANQUE DE LA EMPRESA SE OBSERVA </t>
  </si>
  <si>
    <t xml:space="preserve"> QUE NO POSEE NIVEL DE ENDEUDAMIENTO </t>
  </si>
  <si>
    <t xml:space="preserve">UN NIVEL DE ENDEUDAMIENTO ALTO </t>
  </si>
  <si>
    <t xml:space="preserve">UN NIVEL DE ENDEUDAMIENTO ACEPTABLE </t>
  </si>
  <si>
    <t xml:space="preserve">UN NIVEL DE ENDEUDAMIENTO BAJO </t>
  </si>
  <si>
    <t xml:space="preserve">LA VIABILIDAD FINANCIERA SE DETERMINA A TRAVÉS DE TRES INDICADORES, EL PRIMERO DE ELLOS ES LA TASA INTERNA DE RETORNO O TIR LA CUAL ES DE </t>
  </si>
  <si>
    <t xml:space="preserve">EL TERCER INDICADOR DE VIABILIDAD FINANCIERA ES EL PERIODO DE RECUPERACIÓN DE LA INVERSIÓN O PRI. </t>
  </si>
  <si>
    <t>LO CUAL SE CONSIDERA DESFAVORABLE PARA SU OPERACIÓN Y VIABILIDAD</t>
  </si>
  <si>
    <t>LO CUAL SE CONSIDERA FAVORABLE PARA SU OPERACIÓN Y VIABILIDAD</t>
  </si>
  <si>
    <t>LO CUAL SE CONSIDERA MUY FAVORABLE PARA SU OPERACIÓN Y VIABILIDAD</t>
  </si>
  <si>
    <t xml:space="preserve">en las graficas se puede visualizar la evolucion de los dos indicadores, lo ideal es que la razon corriente suba, y el nivel de endeudamiento disminuya. </t>
  </si>
  <si>
    <t xml:space="preserve">SE ADQUIEREN CREDITOS POR VALOR DE </t>
  </si>
  <si>
    <t>EL PROYECTO SE FINANCIA 100% CON RECURSOS PROPIOS</t>
  </si>
  <si>
    <t>=+VISUAL!B327</t>
  </si>
  <si>
    <t>=+VISUAL!B346</t>
  </si>
  <si>
    <t>=+VISUAL!C346</t>
  </si>
  <si>
    <t>PARA CAPITAL DE TRABAJO</t>
  </si>
  <si>
    <t>100% AF</t>
  </si>
  <si>
    <t>100 KW</t>
  </si>
  <si>
    <t xml:space="preserve"> PARA ADQUISICION DE ACTIVOS FIJOS SE DESTINA EL </t>
  </si>
  <si>
    <t xml:space="preserve"> Y PARA CAPITAL DE TRABAJO EL </t>
  </si>
  <si>
    <t xml:space="preserve">El balance general proyectado se analiza basicamente con dos indicadores, el primero de ellos es la razon de liquidez.  Este indicador es una buena medida de la capacidad de pago de la empresa en el corto plazo. Entre "más líquido" sea el Activo Corriente más significativo es su resultado. Para su análisis debe tenerse en cuenta la calidad y el carácter de los Activos Corrientes, en términos de su facilidad de conversión en dinero y las fechas de vencimiento de las obligaciones en el pasivo corriente. </t>
  </si>
  <si>
    <t xml:space="preserve">A TASAS DEL </t>
  </si>
  <si>
    <t xml:space="preserve"> RESPECTIVAMENTE</t>
  </si>
  <si>
    <t xml:space="preserve"> Y DEL </t>
  </si>
  <si>
    <t xml:space="preserve"> PARA CAPITAL DE TRABAJO</t>
  </si>
  <si>
    <t xml:space="preserve"> Y PLAZOS DE </t>
  </si>
  <si>
    <t xml:space="preserve"> PARA ACTIVOS FIJOS Y </t>
  </si>
  <si>
    <t>mes1</t>
  </si>
  <si>
    <t>mes2</t>
  </si>
  <si>
    <t>mes3</t>
  </si>
  <si>
    <t>mes4</t>
  </si>
  <si>
    <t>mes5</t>
  </si>
  <si>
    <t>mes6</t>
  </si>
  <si>
    <t>mes7</t>
  </si>
  <si>
    <t>mes8</t>
  </si>
  <si>
    <t>mes9</t>
  </si>
  <si>
    <t>mes10</t>
  </si>
  <si>
    <t>mes11</t>
  </si>
  <si>
    <t>mes12</t>
  </si>
  <si>
    <t xml:space="preserve"> CON UNA CONTRIBUCIÓN DE SOLO EL </t>
  </si>
  <si>
    <t>COMPORTAMIENTO DE CARTERA Y PAGO A PROVEEDORES</t>
  </si>
  <si>
    <t>NO SE PRESENTA TABLA DE AMORTIZACION PORQUE NO HAY CREDITOS</t>
  </si>
  <si>
    <t xml:space="preserve">ASCIENDE UN </t>
  </si>
  <si>
    <t>DECRECEN UN</t>
  </si>
  <si>
    <t>BAJAN UN</t>
  </si>
  <si>
    <t>LA EMPRESA DENOTA EFICIENCIA OPERATIVA BAJA</t>
  </si>
  <si>
    <t>SE HACE IMPRESCINDIBLE VERIFICAR LOS COSTOS DIRECTOS YA QUE ESTOS SE INCREMENTA POR ENCIMA DEL CRECIMIENTO EN VENTAS</t>
  </si>
  <si>
    <t xml:space="preserve">EN EL TERCER AÑO LOS COSTOS DE VENTAS </t>
  </si>
  <si>
    <t xml:space="preserve">SE INCREMENTAN EN UN </t>
  </si>
  <si>
    <t xml:space="preserve">MIENTRAS QUE LAS VENTAS </t>
  </si>
  <si>
    <t xml:space="preserve">. COMO LA UTILIDAD DEL PRIMER PERIODO ES SUPERIOR,  SE PUEDE AFIRMAR QUE </t>
  </si>
  <si>
    <t xml:space="preserve">. COMO LA SUMA DE LAS UTILIDADES DEL PRIMER Y SEGUNDO PERIODO ES SUPERIOR, SE PUEDE DECIR QUE </t>
  </si>
  <si>
    <t xml:space="preserve">. COMO LA SUMA DE LAS UTILIDADES DE LOS TRES AÑOS ES SUPERIOR SE AFIRMA QUE </t>
  </si>
  <si>
    <t>. COMO LA SUMA DE LAS UTILIDADES DE LOS TRES AÑOS ES INFERIOR A ESTA CIFRA SE ASEVERA</t>
  </si>
  <si>
    <t xml:space="preserve"> EL PROYECTO REQUIERE MAS DE TRES AÑOS PARA RECUPERAR LA INVERSIÓN,</t>
  </si>
  <si>
    <t xml:space="preserve"> LA INVERSIÓN SE RECUPERA EN EL TERCER AÑO.</t>
  </si>
  <si>
    <t xml:space="preserve"> LA INVERSIÓN SE RECUPERA EN EL SEGUNDO AÑO.</t>
  </si>
  <si>
    <t xml:space="preserve"> LA INVERSIÓN SE RECUPERA EN EL PRIMER AÑO.</t>
  </si>
  <si>
    <t>, POR LO TANTO SE SUGIERE ABANDONAR EL PROYECTO.</t>
  </si>
  <si>
    <t>, PUEDE CONTINUAR O ABANDONAR.</t>
  </si>
  <si>
    <t>, POR LO TANTO SE SUGIERE CONTINUAR CON EL PROYECTO.</t>
  </si>
  <si>
    <t>ESTA RENTABILIDAD SE CONSIDERA MUY ALTA, SE RECOMIENDA QUE SE REVISEN LAS CIFRAS DE VENTAS Y COSTOS, O SE JUSTIFIQUE SU VALOR.</t>
  </si>
  <si>
    <t>SE CONSIDERA ALTA, ES CONVENIENTE JUSTIFICARLA.</t>
  </si>
  <si>
    <t>ESTA DENTRO DE LOS PARAMETROS DE LOS PROYECTOS.</t>
  </si>
  <si>
    <t xml:space="preserve">Una empresa que tenga una buena rotación de sus activos  corrientes puede tolerar un endeudamiento mayor que otra cuya rotación sea menor. </t>
  </si>
  <si>
    <t>Nivel de endeudamiento</t>
  </si>
  <si>
    <t>razon corriente</t>
  </si>
  <si>
    <t>AÑO 0</t>
  </si>
  <si>
    <t>Régimen de impuestos:</t>
  </si>
  <si>
    <t xml:space="preserve">QUIENES PERTENECEN AL REGIMEN SIMPLIFICADO
Al régimen simplificado del impuesto sobre las ventas pertenecen las personas naturales comerciantes y los artesanos, que sean minoristas o detallistas; los agricultores y los ganaderos, que realicen operaciones gravadas, así como quienes presten servicios gravados, siempre y cuando cumplan la totalidad de las condiciones
Para profundizar en las condiciones vea la ley 1111 de diciembre 27 de 2006 articulo 499
QUIENES PERTENECEN AL REGIMEN COMUN
Pertenecen al régimen común del Impuesto al Valor Agregado (IVA) todos los comerciantes que NO CUMPLAN CON LAS 8 CONDICIONES mencionadas en la ley
Estos comerciantes tienen que facturar, presentar declaración cada dos meses, cobrar el IVA y pagarlo a la Dirección de Impuestos Nacionales
</t>
  </si>
  <si>
    <t>Tipos de proyección</t>
  </si>
  <si>
    <t>Las condiciones comerciales de los créditos se refiere a los parámetros fijados por las entidades financieras para otorgar los prestamos a los emprendedores.
Puede acontecer que los créditos tengan diferentes condiciones dependiendo del uso que se le va otorgar por tal motivo se fijan los dos posibles empleos dentro de la empresa.
La investigación realizada debe suministrar esta información.
Periodo de gracia: periodo en el cual las cuotas mensuales no tienen abono a capital y por tal motivo son mas bajas dando de esta forma un alivio al empresario</t>
  </si>
  <si>
    <t>tipos</t>
  </si>
  <si>
    <t>condiciones</t>
  </si>
  <si>
    <t>Tipo de proyección
Se refiere a los parámetros para Incrementar costos y precios de venta para los años dos y tres de la proyección.
La proyección se puede realizar de dos distintas formas:
EN TERMINOS CONSTANTES. Supone que no hay inflación y los valores se tratan para todos los años con el valor inicialmente aportado por la investigación de mercados.
EN TERMINOS CORRIENTES: La proyección a partir del año 2 tendrá incrementos en costos de mano de obra, costos de operación  y gastos fijos y ajustará los precios de ventas en los porcentajes que aquí se anexen. Generalmente es el valor de la inflación o Índice de Precios al Consumidor (IPC). 
Paso 1. Seleccione el tipo de proyección.
Paso 2a. Selecciono TERMINOS CONSTANTES no se incrementan precios, ni costos durante los tres años. Califique la información.
Paso 2b. Selecciono TERMINOS CORRIENTES, digite los porcentajes en que se incrementan  los precios de venta, los costos y la mano de obra. Anualmente. (Aplica para los dos años)
Paso 3.  Acepte los datos
Paso 4.  Califique la información.</t>
  </si>
  <si>
    <t>Parámetros para Incrementar Costos y Precios de Venta a Partir del Año 2 de la Proyección. 
Hay dos tipos de proyección:
EN TERMINOS CONSTANTES. Supone que no hay inflación y los valores se tratan para todos los años con el valor inicialmente aportado por la investigación de mercados.
EN TERMINOS CORRIENTES: La proyección a partir del año 2 tendrá incrementos en costos de mano de obra, costos de operación  y gastos fijos y ajustará los precios de ventas en los porcentajes que aquí se anexen. Generalmente es el valor de la inflación o Índice de precios al consumidor (IPC).</t>
  </si>
  <si>
    <t>Introducción</t>
  </si>
  <si>
    <t>Distribución</t>
  </si>
  <si>
    <t xml:space="preserve">La investigación de mercado arroja la proyección de ventas de cada uno de los productos/servicios, digite la CIFRA EN PESOS de lo que proyecta vender en el primer año de cada uno de ellos.
Establezca el crecimiento anual de cada uno de los productos y digite la cifra nuevamente en pesos para los años 2 y 3 de la proyección. 
Una apreciación que realiza generalmente el emprendedor con respecto a las proyecciones de venta es cuanto se puede vender, considerando que es muy difícil de predecir el comportamiento de las ventas en el futuro, pero estas apreciaciones se establecen a través de las metas de venta que el emprendedor se traza para que la empresa sea auto sostenible en el tiempo. recuerde son METAS DE VENTA.  </t>
  </si>
  <si>
    <t>Régimen</t>
  </si>
  <si>
    <t>Este manual fue diseñado con base en el plan de empresa de Bogota Emprende, intentando emular su presentación y aplicación, se debe tener en cuenta que a medida que se avanza en el plan escrito es conveniente ir alimentando el plan financiero, ya que el único objetivo de este, es tomar las cifras numéricas que, a medida que se avanza en la investigación, el plan va solicitando,  
El plan financiero resume la información del plan de empresa y lo complementa pero no lo sustituye. 
La herramienta esta elaborada en MS EXCEL XP, conociendo que esta opera perfectamente en MS EXCEL 2000, MS EXCEL 2003 y MS EXCEL VISTA, (en este ultimo es conveniente leer la literatura con respecto al funcionamiento de aplicaciones con macros. 
NOTA: No se garantiza el óptimo funcionamiento en MS EXCEL 97 ya que la librería VB de MS OFFICE, tiene cambios sustanciales.  
Las macros están firmadas digitalmente y son indispensables para que el programa opere satisfactoriamente.
Recuerde: en este tipo de aplicaciones 
• NO se pueden agregar filas, columnas o celdas, 
• NO copie información para posteriormente pegarla en otra ubicación, 
• Por ningún motivo corte datos para pegarlos en otro lado.
CAMARA DE COMERCIO DE BOGOTA.
TODOS LOS DERECHOS RESERVADOS</t>
  </si>
  <si>
    <t>El aplicativo esta diseñado bajo los siguientes conceptos:
Introducción de datos:
Se debe hacer exclusivamente a través de los formularios, que a medida que se avanza, van apareciendo en la pantalla bloqueando la posible introducción de datos directamente.
Es posible introducir los datos directamente, pero no es seguro ni confiable en el sentido que la hoja de entrada de datos tiene referencias absolutas, esto quiere decir,  que desde la programación en VB se realizó la adjudicación de la celda que debe contener el dato, se realizaron cálculos antes de introducirlo o introdujo los datos a otras hojas. 
Operación resultados:
Se verifican los hallazgos, de la investigación del plan de empresa, resumiendo los datos a través de cuadros y graficas, asegurando de esta forma, una fácil interpretación de los datos que el usuario ha ingresado al programa. 
Se reitera que los resultados del plan financiero NO REEMPLAZA LA INFORMACION QUE DEBE CONTENER EL PLAN DE EMPRESA, la complementa. 
Operación: 
El plan financiero abrirá siempre en la hoja de inicio,  a la cual se le ha dado un área de escritura determinada, siempre presentara centrado el logo de Bogota Emprende, el cual es la macro inicial del aplicativo.
Al seleccionar el logo en cualquier parte iniciara la aplicación: 
El primer formulario que se encuentra es el maestro y direccionador de la aplicación: 
En el cual solo hay tres opciones inicialmente:
INTRODUCIR DATOS
RESULTADOS
GRABAR Y SALIR.</t>
  </si>
  <si>
    <t>Inversión fija</t>
  </si>
  <si>
    <t xml:space="preserve">Cuando se trata este tema generalmente se expone la adquisición de bienes e inmuebles, paro aquí también se debe contemplar un activo que muy raras veces se evalúa y es el know how, el conocimiento técnico ya que este es generalmente el motor de la idea del proyecto.
Es así que se debe separar en dos partes:
Activo Tangible o fijo: Bienes que adquiere la empresa o que son aportados por los gestores del proyecto y que se transfieren en propiedad a esta.  El activo fijo es necesario para la actividad económica, tanto de producción, administración y ventas.
Activo Intangible: La empresa para iniciar su funcionamiento requiere poseer un proceso productivo el cual debe adquirir a través de un patente, el uso de una marca, emplear diseños establecidos, emplear nombres comerciales o industriales, en muchos casos estos son apartados por uno o varios de los socios, es conveniente valorizar este activo y que la empresa lo adquiera como aporte o como compra directa.
Dentro de los intangibles están también los gastos preoperativos tales como:
• Estudios de factibilidad y pre-factibilidad
• Gastos notariales y constitución de la empresa
• Asistencia técnica o asesoría
• Instalaciones de servicios públicos como acometidas eléctricas e hidráulicas, líneas de teléfono, cableado estructurado de redes  telefónicas  y de sistemas.
• Gastos de salarios, capacitación de personal antes de la puesta en marcha de la planta.
• Si al adquirir la maquinaria esta no es entregada instalada y funcionando es conveniente asumir este costo de fletes montaje y puesta en marcha.
Estos se deben amortizar en un periodo determinado recuperando la inversión, se asimila  a una cuenta de depreciación ya que también es virtual el desembolso. 
</t>
  </si>
  <si>
    <t xml:space="preserve">Generalmente los proyectos deben desarrollarse en etapas así mismo la inversión debe realizarse en el momento que esta sea productiva, hay que tener en cuenta que la adquisición de maquinaria y equipo debe esta sujeta al plan de inversión, teniendo en cuenta los tiempos de entrega, de instalación y puesta en marcha de la misma.
Es aconsejable desarrollar un plan de adquisición y desembolso de recursos, para los dos primeros años se puede proyectar mes a mes, de allí en adelante se realizará anualmente.  Así mismo para los bienes que tienen vidas útiles cortas como son las herramientas (tanto físicas como de informática) los computadores y los vehículos, se debe tener en cuenta la reposición de estos al llegar el fin de su Vida útil.
</t>
  </si>
  <si>
    <t>Cronograma de inversión:</t>
  </si>
  <si>
    <t xml:space="preserve">Es al dinero con que la organización debe contar para la iniciación de la actividad económica.  Se debe contar con dinero para la compra del primer inventario, la mano de obra directa, indirecta y administrativa, otorgar crédito a los clientes, los gastos de servicios, papelerías y elementos de aseo, arrendamientos y en general los gastos de la empresa cotidianos.
Este Activo denominado Circulante por su característica móvil esta compuesto por:
Caja,  Bancos, inventarios y cuentas por cobrar: Observe que el dinero en caja y bancos rápidamente puede convertirse en inventarios y estos a la vez en por cobrar y/o en caja y estas ultiman en efectivo el cual se consigna, hay una circulación permanente.
El dinero en caja y/o bancos:  Se emplea para los gastos inmediatos y para la reposición de inventarios, es conveniente calcular este valor a través de requerimientos de liquides a través del flujo de caja, un valor mínimo para imprevistos (caja menor) se puede establecer sobre un porcentaje de la suma de las cuentas por cobrar y los inventarios, entre un 10% a 20% es recomendable.
Inventarios: Calcular que cantidad de inventario es necesario, esta sujeto a una serie de factores que están cambiando constantemente dependiendo de:
 Temporadas,
 Proveedores,
 Importaciones, etc.
Cuentas por cobrar:  Al iniciar operaciones la empresa habitualmente requiere conceder crédito a sus clientes, esto significa que deberá poseer un capital adicional mientras se recupera o ingresa este valor por ventas, así mismo generalmente la producción está ligada a la penetración de mercados a mayor tiempo, mayor serán las ventas y la producción, mayor será el capital necesario para financiar a los clientes.
Para establecer el monto necesario es conveniente observar el comportamiento de la proyección de ventas que generalmente tiene un comportamiento ascensional  (posteriormente se estabilizaría) es conveniente calcular con un promedio ponderado el valor de la cartera o financiar periódicamente. 
Generalmente el flujo de efectivo arroja las necesidades de capital de trabajo (sin incluir los inventarios) se sugiere que inicialmente se establezca el valor de los inventarios y que posteriormente al poseer la función financiera se regrese y se ajuste el valor de capital de trabajo.
</t>
  </si>
  <si>
    <t>Capital de trabajo</t>
  </si>
  <si>
    <t>Costos  y Gastos Fijos</t>
  </si>
  <si>
    <t xml:space="preserve">Como definición se tiene que son las erogaciones que se producen y no deben verse afectadas por el nivel de producción. 
Para determinar los costos fijos es necesario establecer un parámetro de tiempo ya que estos varían según el nivel de inflación de la economía de un país. 
El periodo que se recomienda es el mes, suponiendo que los costos no se incrementaran en los siguientes doce meses (calculando la inflación anual y suponiendo que hay un solo incremento en este lapso).
Los costos fijos están reflejados en la producción, en la administración, en los costos de ventas y en los costos financieros, aunque este ultimo tiene variaciones por ser calculado sobre los saldos insolutos de las obligaciones. 
Dentro de los rublos fijos de producción están:
• La mano de obra directa, cuando se pagan por sueldo mensual independiente del nivel de producción acusado por el operario.
• Los costos de arrendamientos de la planta, en muchas oportunidades la planta y el espacio empleado para la administración y ventas es el mismo, se recomienda prorratear dependiendo de las áreas empleadas.
• Los servicios públicos:  empleados en la actividad económica,  es así que en producción se debe establecer con que tipo de energía  operan las maquinas (Eléctricas, hidráulicas o gásicas) y determinar el consumo en el periodo de tiempo, en algunas actividades es posible calcular el costo del consumo por unidad de producción en este caso el costo se convierte en variable, pero hay generalmente un tiempo en el cual las maquinas u otros elementos empleados en el proceso permanecen encendidos sin producción como es el caso de lámparas, computadores, refrigeradores entre otros.
Es importante acotar que el aseo se caracterizo como gasto administrativo por no estar estandarizado el consumo de agua por los empleados para este objetivo.
• Arrendamiento de elementos de producción: si la empresa evalúa la opción de arrendar maquinas, equipos o herramientas para disminuir inversión inicial.
• La depreciación de activos fijos.
• Todos los gastos generales de administrar y mantener la oficina son considerados fijos.  
</t>
  </si>
  <si>
    <t>DATOS DE ENTRADA</t>
  </si>
  <si>
    <t>PROYECTO</t>
  </si>
  <si>
    <t>SOCIOS:</t>
  </si>
  <si>
    <t>PLAN DE MERCADEO</t>
  </si>
  <si>
    <t>PRECIOS DE VENTA Y CONDICIONES COMERCIALES</t>
  </si>
  <si>
    <t>PRODUCTOS</t>
  </si>
  <si>
    <t>PRECIO DE VENTA</t>
  </si>
  <si>
    <t xml:space="preserve"> % DE DIAS DE COBRO </t>
  </si>
  <si>
    <t xml:space="preserve">PRECIO DE </t>
  </si>
  <si>
    <t>VENTA</t>
  </si>
  <si>
    <t>CONTADO</t>
  </si>
  <si>
    <t xml:space="preserve"> 30 DÍAS</t>
  </si>
  <si>
    <t xml:space="preserve"> 60 DÍAS</t>
  </si>
  <si>
    <t xml:space="preserve"> 90 DÍAS</t>
  </si>
  <si>
    <t xml:space="preserve"> 120 DÍAS</t>
  </si>
  <si>
    <t xml:space="preserve"> 150 DÍAS</t>
  </si>
  <si>
    <t>AJUSTADO</t>
  </si>
  <si>
    <t>CARTON</t>
  </si>
  <si>
    <t>PLASTICO</t>
  </si>
  <si>
    <t>METALES</t>
  </si>
  <si>
    <t>VIDRIO</t>
  </si>
  <si>
    <t>PET</t>
  </si>
  <si>
    <t xml:space="preserve">GASTOS DE DISTRIBUCION, COMISIONES POR VENTA Y GASTOS DE COMUNICACIÓN. </t>
  </si>
  <si>
    <t xml:space="preserve">COMISIONES POR VENTA </t>
  </si>
  <si>
    <t xml:space="preserve">MEDIOS DE COMUNICACIÓN </t>
  </si>
  <si>
    <t xml:space="preserve">PRESUPUESTO ANUAL </t>
  </si>
  <si>
    <t/>
  </si>
  <si>
    <t xml:space="preserve">PORCENTAJE DE LOS INGRESOS DESTINADOS PARA COMUNICACIÓN </t>
  </si>
  <si>
    <t>PROYECCIONES DE VENTA</t>
  </si>
  <si>
    <t xml:space="preserve">PRODUCTO </t>
  </si>
  <si>
    <t>AÑO 1</t>
  </si>
  <si>
    <t>AÑO 2</t>
  </si>
  <si>
    <t>AÑO 3</t>
  </si>
  <si>
    <t>VENTAS EN UNIDADES</t>
  </si>
  <si>
    <t>AGO</t>
  </si>
  <si>
    <t>-</t>
  </si>
  <si>
    <t>MES 1</t>
  </si>
  <si>
    <t>MES 2</t>
  </si>
  <si>
    <t>MES 3</t>
  </si>
  <si>
    <t>MES 4</t>
  </si>
  <si>
    <t>MES 5</t>
  </si>
  <si>
    <t>MES 6</t>
  </si>
  <si>
    <t>MES 7</t>
  </si>
  <si>
    <t>MES 8</t>
  </si>
  <si>
    <t>MES 9</t>
  </si>
  <si>
    <t xml:space="preserve">MES 10 </t>
  </si>
  <si>
    <t>MES 11</t>
  </si>
  <si>
    <t>MES 12</t>
  </si>
  <si>
    <t>CRECIMIENTO EN UNIDADES</t>
  </si>
  <si>
    <t>1 AL 2</t>
  </si>
  <si>
    <t xml:space="preserve"> 2 AL 3</t>
  </si>
  <si>
    <t>OPERACIÓN Y CALIDAD</t>
  </si>
  <si>
    <t>TIEMPO REQUERIDO</t>
  </si>
  <si>
    <t>TERRENOS</t>
  </si>
  <si>
    <t>EDIFICIOS</t>
  </si>
  <si>
    <t>MAQUINAS</t>
  </si>
  <si>
    <t>EQUIPOS</t>
  </si>
  <si>
    <t>VEHICULOS</t>
  </si>
  <si>
    <t>MUEBLES Y ENSERES</t>
  </si>
  <si>
    <t>HERRAMIENTAS</t>
  </si>
  <si>
    <t>COMPUTAD. PRODUC.</t>
  </si>
  <si>
    <t>COMPUTAD. ADMON.</t>
  </si>
  <si>
    <t>INVERSIONES</t>
  </si>
  <si>
    <t>EN ACTIVOS FIJOS</t>
  </si>
  <si>
    <t xml:space="preserve">  APORTES EN ACTIVOS FIJOS CON RECURSOS PROPIOS</t>
  </si>
  <si>
    <t>CONCEPTO</t>
  </si>
  <si>
    <t>COSTO</t>
  </si>
  <si>
    <t>AÑOS VIDA UTIL</t>
  </si>
  <si>
    <t xml:space="preserve">  ACTIVOS FIJOS CONSEGUIDOS CON RECURSOS DE UN CREDITO</t>
  </si>
  <si>
    <t>AÑOS VIDA</t>
  </si>
  <si>
    <t>CONDICIONES DE FINANCIACION</t>
  </si>
  <si>
    <t>UTIL</t>
  </si>
  <si>
    <t>MESES</t>
  </si>
  <si>
    <t>TASA</t>
  </si>
  <si>
    <t>TIPO</t>
  </si>
  <si>
    <t>GRACIA</t>
  </si>
  <si>
    <t xml:space="preserve">  ACTIVOS FIJOS ADQUIRIDOS CON SUBVENCIONES O DONACIONES</t>
  </si>
  <si>
    <t>MONTO</t>
  </si>
  <si>
    <t>RECURSOS</t>
  </si>
  <si>
    <t>FECHA</t>
  </si>
  <si>
    <t xml:space="preserve"> CAPITAL DE TRABAJO</t>
  </si>
  <si>
    <t>TASA N.A.</t>
  </si>
  <si>
    <t xml:space="preserve"> CON RECURSOS EXTERNOS:</t>
  </si>
  <si>
    <t>APORTE DE SOCIOS</t>
  </si>
  <si>
    <t xml:space="preserve"> CON RECURSOS PROPIOS:</t>
  </si>
  <si>
    <t xml:space="preserve"> CON SUBVENCIONES O DONACIONES :</t>
  </si>
  <si>
    <t xml:space="preserve"> FINANCIACION</t>
  </si>
  <si>
    <t>ACTIVOS FIJOS</t>
  </si>
  <si>
    <t>PLAZO DE PAGO:</t>
  </si>
  <si>
    <t>PERIODO DE GRACIA:</t>
  </si>
  <si>
    <t>INTERES (NOMINAL ANUAL):</t>
  </si>
  <si>
    <t>CAPITAL DE TRABAJO</t>
  </si>
  <si>
    <t>COSTOS VARIABLES UNITARIOS</t>
  </si>
  <si>
    <t xml:space="preserve"> MATERIA PRIMA</t>
  </si>
  <si>
    <t xml:space="preserve">   FORMA DE PAGO</t>
  </si>
  <si>
    <t>INSUMOS</t>
  </si>
  <si>
    <t>CANTIDAD</t>
  </si>
  <si>
    <t>UNITARIO</t>
  </si>
  <si>
    <t>30 DIAS</t>
  </si>
  <si>
    <t>60 DIAS</t>
  </si>
  <si>
    <t>90 DIAS</t>
  </si>
  <si>
    <t>PRODUCTO</t>
  </si>
  <si>
    <t>COSTO UNITARIO</t>
  </si>
  <si>
    <t>comision</t>
  </si>
  <si>
    <t>MANO  DE OBRA</t>
  </si>
  <si>
    <t>proceso 1</t>
  </si>
  <si>
    <t>costo</t>
  </si>
  <si>
    <t>proceso 2</t>
  </si>
  <si>
    <t>proceso 3</t>
  </si>
  <si>
    <t>proceso 4</t>
  </si>
  <si>
    <t>COMISION:</t>
  </si>
  <si>
    <t>FLETES Y GASTOS</t>
  </si>
  <si>
    <t xml:space="preserve">COSTO </t>
  </si>
  <si>
    <t>MENSUAL</t>
  </si>
  <si>
    <t>ARRIENDO</t>
  </si>
  <si>
    <t>ACUEDUCTO</t>
  </si>
  <si>
    <t>ENERGIA</t>
  </si>
  <si>
    <t>DOTACION</t>
  </si>
  <si>
    <t>NOMINA PRODUCCION AUXILIO  DE TRANSPORTE</t>
  </si>
  <si>
    <t>TIPO EMPLEADO</t>
  </si>
  <si>
    <t>SALARIO MES</t>
  </si>
  <si>
    <t>NUMERO DE EMPLEADOS POR ANO</t>
  </si>
  <si>
    <t>ANO 1</t>
  </si>
  <si>
    <t>ANO 2</t>
  </si>
  <si>
    <t>ANO 3</t>
  </si>
  <si>
    <t>CONDUCTOR</t>
  </si>
  <si>
    <t>TIPO DE GASTO</t>
  </si>
  <si>
    <t>GASTO</t>
  </si>
  <si>
    <t>salario mensual</t>
  </si>
  <si>
    <t>prestaciones</t>
  </si>
  <si>
    <t>ASESORÍA CONTABLE</t>
  </si>
  <si>
    <t>CAFETERIA Y ASEO</t>
  </si>
  <si>
    <t>CAJA MENOR</t>
  </si>
  <si>
    <t>COMUNICACIÓN Y TELEFONO</t>
  </si>
  <si>
    <t>GASTOS BANCARIOS</t>
  </si>
  <si>
    <t>NOMINA ADMINISTRACIÓN AUXILIO DE TRANSPORTE</t>
  </si>
  <si>
    <t>OTRAS ASESORIAS</t>
  </si>
  <si>
    <t>PAPELERIA Y UTILES DE OFICINA</t>
  </si>
  <si>
    <t>REVISORIA FISCAL</t>
  </si>
  <si>
    <t>SERVICIO DE PARQUEADERO</t>
  </si>
  <si>
    <t>VIGILANCIA</t>
  </si>
  <si>
    <t>GASTOS REPRESENTACION</t>
  </si>
  <si>
    <t>AUXILIO TRANSPORTE VENTAS</t>
  </si>
  <si>
    <t>GASTOS</t>
  </si>
  <si>
    <t>TOTALES</t>
  </si>
  <si>
    <t>TIO</t>
  </si>
  <si>
    <t>INCREMENTO ANUAL DE PRECIOS:</t>
  </si>
  <si>
    <t xml:space="preserve">INCREMENTO DE COSTOS </t>
  </si>
  <si>
    <t>MANO DE OBRA FIJA</t>
  </si>
  <si>
    <t>identificacion del proyecto</t>
  </si>
  <si>
    <t>ADMINISTRACION EDIFICIOS</t>
  </si>
  <si>
    <t>mercadeo</t>
  </si>
  <si>
    <t>BONIFICACIONES A PRODUCCION</t>
  </si>
  <si>
    <t>HONORARIOS VENDEDORES</t>
  </si>
  <si>
    <t>identificacion productos</t>
  </si>
  <si>
    <t>BONIFICACIONES A ADMINISTRACIÓN</t>
  </si>
  <si>
    <t>precios de venta</t>
  </si>
  <si>
    <t>distribucion</t>
  </si>
  <si>
    <t>FLETES Y/O TRANSPORTE OPERATIVO</t>
  </si>
  <si>
    <t>publicidad</t>
  </si>
  <si>
    <t>HONORARIOS PRODUCCION</t>
  </si>
  <si>
    <t>CAPACITACION</t>
  </si>
  <si>
    <t>proy vtas</t>
  </si>
  <si>
    <t>COMBUSTIBLES</t>
  </si>
  <si>
    <t>operación e inversion</t>
  </si>
  <si>
    <t>MANTENIMIENTO EQUIPOS</t>
  </si>
  <si>
    <t>af</t>
  </si>
  <si>
    <t>CORREPONDENCIA</t>
  </si>
  <si>
    <t>intangibles</t>
  </si>
  <si>
    <t>SERVICIOS EXTERNOS</t>
  </si>
  <si>
    <t>DIGITACION Y COMPUTO</t>
  </si>
  <si>
    <t>costos variables</t>
  </si>
  <si>
    <t>costos fijos</t>
  </si>
  <si>
    <t>HONORARIOS ADMINISTRACIÓN</t>
  </si>
  <si>
    <t>gastos fijos</t>
  </si>
  <si>
    <t>LIBROS Y PUBLICACIONES</t>
  </si>
  <si>
    <t>MONITOREO DE ALARMAS</t>
  </si>
  <si>
    <t>admon personal</t>
  </si>
  <si>
    <t>personal admon</t>
  </si>
  <si>
    <t>NOTARIALES</t>
  </si>
  <si>
    <t>personal operativo</t>
  </si>
  <si>
    <t>otros parametros</t>
  </si>
  <si>
    <t>impuestos</t>
  </si>
  <si>
    <t>proyeccion</t>
  </si>
  <si>
    <t>SEGUROS</t>
  </si>
  <si>
    <t>creditos</t>
  </si>
  <si>
    <t>SERVICIOS EXTERNOS POR HONORARIOS</t>
  </si>
  <si>
    <t>tio</t>
  </si>
  <si>
    <t>TIMBRES</t>
  </si>
  <si>
    <t>TRANSPORTE ADMINISTRACION</t>
  </si>
  <si>
    <t xml:space="preserve"> </t>
  </si>
  <si>
    <t>amanda</t>
  </si>
  <si>
    <t>UTILIDAD ANTES DE IMPUESTOS (U.O. - Otr G.)</t>
  </si>
  <si>
    <t xml:space="preserve"> AÑO 2</t>
  </si>
  <si>
    <t>separacion y empaque</t>
  </si>
  <si>
    <t>RENTABILIDAD/VENTAS</t>
  </si>
  <si>
    <t>RENTABILIDAD/INVERSIÓN</t>
  </si>
  <si>
    <t xml:space="preserve">La información obtenida a través de la investigación de mercado  se utiliza como guía para el desarrollo de las estrategias empresariales. 
Los resultados te ayudan a diseñar una campaña efectiva de mercadeo, que establezca las características de tu producto para posicionarlo en la mente de los potenciales clientes.
Para ello, las cifras del plan de mercadeo deben responder las siguientes preguntas: 
¿Hay diferenciación de productos?
¿Se posee un precio competitivo?
¿Cuánto invertirá en medios de comunicación eficaces?
¿Cuánto costará la estrategia de distribución acorde al producto?
En la localización geográfica  existe competencia, e identificaste una oportunidad, la cual debes cuantificar para determinar la capacidad de venta anualmente, y el crecimiento que podrás tener en los años futuros, ampliando el área o cubrimiento. La investigación determina sus metas y los objetivos de venta que se propone al iniciar el negocio. </t>
  </si>
  <si>
    <t>La infraestructura requerida para la creación de la nueva unidad de negocios está determinada por el tamaño de las ventas, y en especial por tu plan de mercadeo. Para poder llevarlas a cabo este capítulo responde las siguientes preguntas:
   ¿Dónde operara la empresa?
   ¿Cuántas máquinas o equipos requiere para poder desarrollar la producción?
   ¿Has considerado los costos de los servicios públicos?
   ¿Dónde trabajarán tus empleados de administración?  
   ¿Qué elementos requieren para desarrollar su trabajo?
   ¿Requieres adquirir procesos de fabricación?
   ¿Requieres licencias de operación y funcionamiento?
   ¿Cuánto dinero has invertido en la investigación del plan de empresa?
   ¿Cuánto costará las adecuaciones de planta?
   ¿Qué Trámites debes realizar para abrir tu empresa y cuánto cuestan? 
   ¿Cuánto cuesta producir cada unidad de producto?
   ¿Cuánto cuesta vender esta unidad?
   ¿Tienes recursos suficientes para iniciar tu empresa?
   ¿Hasta cuánto te prestan para montar una empresa?
  ¿Para el crecimiento de la empresa contemplas nuevas inversiones?</t>
  </si>
  <si>
    <t>Una de las particularidades que poseen las nuevas empresas y los emprendedores es la generación de empleo, es más muchos casos de grandes emprendimientos han iniciado como una necesidad de buscar mejores remuneraciones a las actividades que un equipo emprendedor hace muy bien. 
Por esta razón en el plan de negocio se establece la planeación de la fuerza laboral como una de las mayores fortalezas para la nueva empresa. 
En necesario que aquí se consigne cómo va la empresa a convertirse en generador de empleo, logrando de esta forma su principal objetivo social. 
Es necesario responder a estas preguntas. 
¿Cuánto ganará el emprendedor por su trabajo?
¿Has considerado cuántas personas requieres en el área técnica?
¿Quién llevará las cuentas de la empresa?
¿La correspondencia quién la elaborara?
¿Cómo contratará a su personal?
¿La empresa considera que puedes expandirte de un año a otro?
¿Las nuevas sucursales cuántas personas requieren?
¿Pagarás prestaciones sociales?
¿A quiénes podrás contratar por destajo?
¿La fuerza de ventas cómo la contratas?
¿Cuánto cuesta un vendedor?</t>
  </si>
  <si>
    <t xml:space="preserve">Ya se han considerado en buena medida los aspectos del plan de empresa. Solo faltan unos cuantos aspectos: 
Las preguntas a responder son: 
¿La empresa está obligada a pagar impuestos?
¿Qué régimen de impuestos como afecta la proyección?
¿Cómo afecta a la proyección financiera la actividad económica?
Manejar el dinero en el banco acarrea un costo ¿cómo se lleva a las proyecciones?
El dinero pierde valor año a año, ¿se debe considerar el incremento de costos y precios?
¿Qué tasas de interés cobran los bancos por los créditos?
¿Qué plazo se espera obtener para pagar?
¿Qué es un período de gracia? 
¿El banco me concederá períodos de gracia? 
¿Contra qué comparo mi empresa para poder determinar si es o no buena inversión?  </t>
  </si>
  <si>
    <t>Régimen de impuestos
La nueva empresa puede optar por constituirse como una persona natural o una persona  jurídica, en caso de seleccionar la segunda opción tienes que asimilar la normatividad del régimen común, en caso de seleccionar la primera, tienes la elección de ser régimen simplificado, siempre y cuando reúnas los requisitos, estos fueron expuestos en el plan de empresa. 
Para diligenciar el formulario:
Paso 1. Seleccione el régimen de impuestos. 
Régimen común:
Paso 2. Digita los valores de impuestos para Renta (generalmente 35%), ICA, dependiendo de la actividad económica, y si has considerado manejar recursos a través de una entidad financiera digita el impuesto de las transacciones financieras (4X1.000).
Régimen simplificado:
Paso 2.  Digita los valores de impuestos de ICA, dependiendo de la actividad económica, y si ha considerado manejar recursos a través de una entidad financiera digite el impuesto a las transacciones financieras (4X1.000).
Nota si seleccionas un régimen y digitas la información, y pos</t>
  </si>
  <si>
    <t>CRECIMIENTO EN PORCENTAJE</t>
  </si>
  <si>
    <t>GASTOS DE VENTA VARIABLE (COMISIONES)</t>
  </si>
  <si>
    <t>COSTOS FIJOS</t>
  </si>
  <si>
    <t>MANO DE OBRA FIJA DIRECTA E INDIRECTA</t>
  </si>
  <si>
    <t>OTROS PARAMETROS</t>
  </si>
  <si>
    <t>NUMERO DE EMPLEADOS POR MES</t>
  </si>
  <si>
    <t>SALARIO</t>
  </si>
  <si>
    <t>PRESTACIONES</t>
  </si>
  <si>
    <t>Haz click aquí antes de iniciar</t>
  </si>
  <si>
    <t>mes13</t>
  </si>
  <si>
    <t>mes14</t>
  </si>
  <si>
    <t>mes15</t>
  </si>
  <si>
    <t>mes16</t>
  </si>
  <si>
    <t>mes17</t>
  </si>
  <si>
    <t>mes18</t>
  </si>
  <si>
    <t>mes19</t>
  </si>
  <si>
    <t>mes20</t>
  </si>
  <si>
    <t>mes21</t>
  </si>
  <si>
    <t>mes22</t>
  </si>
  <si>
    <t>mes23</t>
  </si>
  <si>
    <t>mes24</t>
  </si>
  <si>
    <t>mes25</t>
  </si>
  <si>
    <t>mes26</t>
  </si>
  <si>
    <t>mes27</t>
  </si>
  <si>
    <t>mes28</t>
  </si>
  <si>
    <t>mes29</t>
  </si>
  <si>
    <t>mes30</t>
  </si>
  <si>
    <t>mes31</t>
  </si>
  <si>
    <t>mes32</t>
  </si>
  <si>
    <t>mes33</t>
  </si>
  <si>
    <t>mes34</t>
  </si>
  <si>
    <t>mes35</t>
  </si>
  <si>
    <t>mes36</t>
  </si>
  <si>
    <t>MES 13</t>
  </si>
  <si>
    <t>MES 14</t>
  </si>
  <si>
    <t>MES 15</t>
  </si>
  <si>
    <t>MES 16</t>
  </si>
  <si>
    <t>MES 17</t>
  </si>
  <si>
    <t>MES 18</t>
  </si>
  <si>
    <t>MES 19</t>
  </si>
  <si>
    <t>MES 20</t>
  </si>
  <si>
    <t>MES 21</t>
  </si>
  <si>
    <t>MES 22</t>
  </si>
  <si>
    <t>MES 23</t>
  </si>
  <si>
    <t>MES 24</t>
  </si>
  <si>
    <t>MES 25</t>
  </si>
  <si>
    <t>MES 26</t>
  </si>
  <si>
    <t>MES 27</t>
  </si>
  <si>
    <t>MES 28</t>
  </si>
  <si>
    <t>MES 29</t>
  </si>
  <si>
    <t>MES 30</t>
  </si>
  <si>
    <t>MES 31</t>
  </si>
  <si>
    <t>MES 32</t>
  </si>
  <si>
    <t>MES 33</t>
  </si>
  <si>
    <t>MES 34</t>
  </si>
  <si>
    <t>MES 35</t>
  </si>
  <si>
    <t>MES 36</t>
  </si>
  <si>
    <t xml:space="preserve">  PRESTACIONES </t>
  </si>
  <si>
    <t>chorizo con arepa</t>
  </si>
  <si>
    <t>gaseosa</t>
  </si>
  <si>
    <t>INVENTAR</t>
  </si>
  <si>
    <t xml:space="preserve">Periodo de inversión: </t>
  </si>
  <si>
    <t>2</t>
  </si>
  <si>
    <t>U</t>
  </si>
  <si>
    <t>capital de trabajo</t>
  </si>
  <si>
    <t>mes 13</t>
  </si>
  <si>
    <t>mes 14</t>
  </si>
  <si>
    <t>mes 15</t>
  </si>
  <si>
    <t>mes 16</t>
  </si>
  <si>
    <t>mes 17</t>
  </si>
  <si>
    <t>mes 18</t>
  </si>
  <si>
    <t>mes 19</t>
  </si>
  <si>
    <t>mes 20</t>
  </si>
  <si>
    <t>mes 21</t>
  </si>
  <si>
    <t>mes 22</t>
  </si>
  <si>
    <t>mes 23</t>
  </si>
  <si>
    <t>mes 24</t>
  </si>
  <si>
    <t>mes 25</t>
  </si>
  <si>
    <t>mes 26</t>
  </si>
  <si>
    <t>mes 27</t>
  </si>
  <si>
    <t>mes 28</t>
  </si>
  <si>
    <t>mes 29</t>
  </si>
  <si>
    <t>mes 30</t>
  </si>
  <si>
    <t>mes 31</t>
  </si>
  <si>
    <t>mes 32</t>
  </si>
  <si>
    <t>mes 33</t>
  </si>
  <si>
    <t>mes 34</t>
  </si>
  <si>
    <t>mes 35</t>
  </si>
  <si>
    <t>mes 36</t>
  </si>
  <si>
    <t>INVENTARIO</t>
  </si>
  <si>
    <t xml:space="preserve">CREDITO: </t>
  </si>
  <si>
    <t xml:space="preserve">RESUMEN DE LA INFORMACION </t>
  </si>
  <si>
    <t>VALOR</t>
  </si>
  <si>
    <t>Flujo de efectivo</t>
  </si>
  <si>
    <t>Inversiones</t>
  </si>
  <si>
    <t>TIR</t>
  </si>
  <si>
    <t>VAN</t>
  </si>
  <si>
    <t>CV</t>
  </si>
  <si>
    <t>.</t>
  </si>
  <si>
    <t>REN AÑO 2</t>
  </si>
  <si>
    <t>REN AÑO 3</t>
  </si>
  <si>
    <t>RENTA AÑO 1</t>
  </si>
  <si>
    <t>RENTA AÑO 3</t>
  </si>
  <si>
    <t>RENTA AÑO 2</t>
  </si>
  <si>
    <t>EPS</t>
  </si>
  <si>
    <t>AFP</t>
  </si>
  <si>
    <t>ARP</t>
  </si>
  <si>
    <t>PRIMA</t>
  </si>
  <si>
    <t>CESANTIAS</t>
  </si>
  <si>
    <t>INT CENSAN</t>
  </si>
  <si>
    <t>VACACIONES</t>
  </si>
  <si>
    <t>PARAFISCALES</t>
  </si>
  <si>
    <t>PRESUPUESTO DE MEDIOS AÑO 1</t>
  </si>
  <si>
    <t>PRESUPUESTO DE MEDIOS AÑO 2</t>
  </si>
  <si>
    <t>PRESUPUESTO DE MEDIOS AÑO 3</t>
  </si>
  <si>
    <t>TUBE TEES</t>
  </si>
  <si>
    <t>JORGE FLOREZ</t>
  </si>
  <si>
    <t>LIZETH PAJARO</t>
  </si>
  <si>
    <t>CAMISETAS</t>
  </si>
  <si>
    <t>REDES SOCIALES</t>
  </si>
  <si>
    <t>INICIO DEL PROYECTO</t>
  </si>
  <si>
    <t>MAQUINARIA</t>
  </si>
  <si>
    <t xml:space="preserve">MUEBLES </t>
  </si>
  <si>
    <t>INVESTIGACION PROYECTO</t>
  </si>
  <si>
    <t>SERVICIOS PUBLICOS</t>
  </si>
  <si>
    <t>VENDEDOR</t>
  </si>
  <si>
    <t>DISEÑADOR</t>
  </si>
  <si>
    <t>MENSAJERO</t>
  </si>
  <si>
    <t>NO</t>
  </si>
  <si>
    <t>TECNICO EN ESTAMPADO</t>
  </si>
  <si>
    <t>ASISTENTE DE PRODUCCION</t>
  </si>
  <si>
    <t>S</t>
  </si>
  <si>
    <t>RADIO</t>
  </si>
  <si>
    <t>FLYERS</t>
  </si>
  <si>
    <t>OTROS PRODUCTOS PUBLICITARIOS</t>
  </si>
  <si>
    <t xml:space="preserve"> AÑO 3</t>
  </si>
  <si>
    <t>Motocicleta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</si>
</sst>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2">
    <numFmt numFmtId="42" formatCode="_-&quot;$&quot;* #,##0_-;\-&quot;$&quot;* #,##0_-;_-&quot;$&quot;* &quot;-&quot;_-;_-@_-"/>
    <numFmt numFmtId="176" formatCode="_(&quot;$&quot;* #,##0_);_(&quot;$&quot;* \(#,##0\);_(&quot;$&quot;* &quot;-&quot;_);_(@_)"/>
    <numFmt numFmtId="179" formatCode="&quot;$&quot;\ #,##0;[Red]&quot;$&quot;\ \-#,##0"/>
    <numFmt numFmtId="182" formatCode="_ &quot;$&quot;\ * #,##0_ ;_ &quot;$&quot;\ * \-#,##0_ ;_ &quot;$&quot;\ * &quot;-&quot;_ ;_ @_ "/>
    <numFmt numFmtId="183" formatCode="_ * #,##0_ ;_ * \-#,##0_ ;_ * &quot;-&quot;_ ;_ @_ "/>
    <numFmt numFmtId="184" formatCode="_ &quot;$&quot;\ * #,##0.00_ ;_ &quot;$&quot;\ * \-#,##0.00_ ;_ &quot;$&quot;\ * &quot;-&quot;??_ ;_ @_ "/>
    <numFmt numFmtId="185" formatCode="_ * #,##0.00_ ;_ * \-#,##0.00_ ;_ * &quot;-&quot;??_ ;_ @_ "/>
    <numFmt numFmtId="194" formatCode="mmm"/>
    <numFmt numFmtId="195" formatCode="mmmm"/>
    <numFmt numFmtId="196" formatCode="mmm/yyyy"/>
    <numFmt numFmtId="197" formatCode="mmmm\-\y\y"/>
    <numFmt numFmtId="198" formatCode="mmm/yy"/>
    <numFmt numFmtId="199" formatCode="&quot;$&quot;\ #,##0"/>
    <numFmt numFmtId="200" formatCode="[$$-240A]\ #,##0"/>
    <numFmt numFmtId="201" formatCode="0.0%"/>
    <numFmt numFmtId="202" formatCode="#,##0.0;\-#,##0.0"/>
    <numFmt numFmtId="203" formatCode="0.0"/>
    <numFmt numFmtId="204" formatCode=";;;"/>
    <numFmt numFmtId="206" formatCode="_ [$€-2]\ * #,##0.00_ ;_ [$€-2]\ * \-#,##0.00_ ;_ [$€-2]\ * &quot;-&quot;??_ "/>
    <numFmt numFmtId="207" formatCode="_ [$$-240A]\ * #,##0_ ;_ [$$-240A]\ * \-#,##0_ ;_ [$$-240A]\ * &quot;-&quot;_ ;_ @_ "/>
    <numFmt numFmtId="208" formatCode="_ &quot;$&quot;\ * #,##0_ ;_ &quot;$&quot;\ * \-#,##0_ ;_ &quot;$&quot;\ * &quot;-&quot;??_ ;_ @_ "/>
    <numFmt numFmtId="209" formatCode="#,##0.0"/>
    <numFmt numFmtId="210" formatCode="#,##0.000"/>
    <numFmt numFmtId="211" formatCode="#,##0_ ;[Red]\-#,##0\ "/>
    <numFmt numFmtId="213" formatCode="0.000%"/>
    <numFmt numFmtId="214" formatCode="#,##0.00000"/>
    <numFmt numFmtId="216" formatCode="[$$-240A]\ #,##0;[Red][$$-240A]\ \-#,##0"/>
    <numFmt numFmtId="217" formatCode="_ * #,##0_ ;_ * \-#,##0_ ;_ * &quot;-&quot;??_ ;_ @_ "/>
    <numFmt numFmtId="218" formatCode="&quot;$&quot;\ #,##0.00"/>
    <numFmt numFmtId="219" formatCode="_ [$$-240A]\ * #,##0.00_ ;_ [$$-240A]\ * \-#,##0.00_ ;_ [$$-240A]\ * &quot;-&quot;??_ ;_ @_ "/>
    <numFmt numFmtId="220" formatCode="_ [$$-300A]\ * #,##0_ ;_ [$$-300A]\ * \-#,##0_ ;_ [$$-300A]\ * &quot;-&quot;_ ;_ @_ "/>
    <numFmt numFmtId="221" formatCode="#.##000"/>
  </numFmts>
  <fonts count="106">
    <font>
      <sz val="10"/>
      <name val="Arial"/>
    </font>
    <font>
      <sz val="10"/>
      <name val="Arial"/>
    </font>
    <font>
      <b/>
      <sz val="15"/>
      <name val="Arial"/>
      <family val="2"/>
    </font>
    <font>
      <b/>
      <sz val="18"/>
      <name val="Arial"/>
      <family val="2"/>
    </font>
    <font>
      <sz val="12"/>
      <name val="Arial"/>
      <family val="2"/>
    </font>
    <font>
      <b/>
      <sz val="14"/>
      <name val="Arial"/>
      <family val="2"/>
    </font>
    <font>
      <b/>
      <sz val="12"/>
      <name val="Arial"/>
      <family val="2"/>
    </font>
    <font>
      <b/>
      <sz val="10"/>
      <name val="Courier"/>
      <family val="3"/>
    </font>
    <font>
      <b/>
      <sz val="10"/>
      <color indexed="8"/>
      <name val="Courier"/>
      <family val="3"/>
    </font>
    <font>
      <sz val="10"/>
      <name val="Courier"/>
      <family val="3"/>
    </font>
    <font>
      <sz val="10"/>
      <color indexed="8"/>
      <name val="Courier"/>
      <family val="3"/>
    </font>
    <font>
      <sz val="8"/>
      <name val="Arial"/>
      <family val="2"/>
    </font>
    <font>
      <sz val="12"/>
      <color indexed="10"/>
      <name val="Arial"/>
      <family val="2"/>
    </font>
    <font>
      <b/>
      <sz val="12"/>
      <name val="Arial"/>
      <family val="2"/>
    </font>
    <font>
      <sz val="12"/>
      <color indexed="9"/>
      <name val="Arial"/>
      <family val="2"/>
    </font>
    <font>
      <sz val="10"/>
      <name val="Arial"/>
      <family val="2"/>
    </font>
    <font>
      <b/>
      <sz val="8"/>
      <color indexed="17"/>
      <name val="Arial"/>
      <family val="2"/>
    </font>
    <font>
      <b/>
      <sz val="12"/>
      <color indexed="17"/>
      <name val="Arial"/>
      <family val="2"/>
    </font>
    <font>
      <b/>
      <sz val="10"/>
      <name val="Tahoma"/>
      <family val="2"/>
    </font>
    <font>
      <sz val="12"/>
      <color indexed="8"/>
      <name val="Arial"/>
      <family val="2"/>
    </font>
    <font>
      <b/>
      <sz val="12"/>
      <color indexed="12"/>
      <name val="Arial"/>
      <family val="2"/>
    </font>
    <font>
      <b/>
      <sz val="8"/>
      <name val="Arial"/>
      <family val="2"/>
    </font>
    <font>
      <b/>
      <sz val="9"/>
      <name val="Arial"/>
      <family val="2"/>
    </font>
    <font>
      <sz val="10"/>
      <color indexed="9"/>
      <name val="Arial"/>
      <family val="2"/>
    </font>
    <font>
      <b/>
      <sz val="12"/>
      <color indexed="10"/>
      <name val="Arial"/>
      <family val="2"/>
    </font>
    <font>
      <b/>
      <sz val="16"/>
      <name val="Arial"/>
      <family val="2"/>
    </font>
    <font>
      <sz val="10"/>
      <color indexed="12"/>
      <name val="Courier"/>
      <family val="3"/>
    </font>
    <font>
      <i/>
      <sz val="16"/>
      <name val="Benguiat Bk BT"/>
      <family val="1"/>
    </font>
    <font>
      <b/>
      <sz val="11"/>
      <name val="Arial"/>
      <family val="2"/>
    </font>
    <font>
      <b/>
      <sz val="7"/>
      <name val="Arial"/>
      <family val="2"/>
    </font>
    <font>
      <sz val="11"/>
      <name val="Calibri"/>
      <family val="2"/>
    </font>
    <font>
      <b/>
      <sz val="6"/>
      <name val="Arial"/>
      <family val="2"/>
    </font>
    <font>
      <b/>
      <sz val="7"/>
      <name val="Arial"/>
      <family val="2"/>
    </font>
    <font>
      <b/>
      <sz val="8"/>
      <color indexed="12"/>
      <name val="Arial"/>
      <family val="2"/>
    </font>
    <font>
      <sz val="8"/>
      <color indexed="12"/>
      <name val="Arial"/>
      <family val="2"/>
    </font>
    <font>
      <sz val="7"/>
      <name val="Arial"/>
      <family val="2"/>
    </font>
    <font>
      <b/>
      <sz val="10"/>
      <name val="Arial"/>
      <family val="2"/>
    </font>
    <font>
      <sz val="7"/>
      <name val="Courier"/>
      <family val="3"/>
    </font>
    <font>
      <b/>
      <sz val="10"/>
      <name val="Courier"/>
      <family val="3"/>
    </font>
    <font>
      <sz val="10"/>
      <color indexed="10"/>
      <name val="Courier"/>
      <family val="3"/>
    </font>
    <font>
      <sz val="9"/>
      <name val="Arial"/>
      <family val="2"/>
    </font>
    <font>
      <b/>
      <sz val="16"/>
      <color indexed="10"/>
      <name val="Arial"/>
      <family val="2"/>
    </font>
    <font>
      <sz val="12"/>
      <name val="Courier"/>
      <family val="3"/>
    </font>
    <font>
      <b/>
      <u/>
      <sz val="8"/>
      <name val="Arial"/>
      <family val="2"/>
    </font>
    <font>
      <b/>
      <sz val="14"/>
      <color indexed="10"/>
      <name val="Arial"/>
      <family val="2"/>
    </font>
    <font>
      <b/>
      <sz val="14"/>
      <color indexed="10"/>
      <name val="Arial"/>
      <family val="2"/>
    </font>
    <font>
      <b/>
      <sz val="14"/>
      <color indexed="12"/>
      <name val="Arial"/>
      <family val="2"/>
    </font>
    <font>
      <b/>
      <sz val="12"/>
      <color indexed="10"/>
      <name val="Arial"/>
      <family val="2"/>
    </font>
    <font>
      <sz val="12"/>
      <color indexed="12"/>
      <name val="Arial"/>
      <family val="2"/>
    </font>
    <font>
      <b/>
      <sz val="9"/>
      <color indexed="12"/>
      <name val="Arial"/>
      <family val="2"/>
    </font>
    <font>
      <b/>
      <sz val="12"/>
      <color indexed="59"/>
      <name val="Arial"/>
      <family val="2"/>
    </font>
    <font>
      <b/>
      <sz val="10"/>
      <color indexed="12"/>
      <name val="Courier"/>
      <family val="3"/>
    </font>
    <font>
      <b/>
      <sz val="10"/>
      <color indexed="10"/>
      <name val="Arial"/>
      <family val="2"/>
    </font>
    <font>
      <sz val="9"/>
      <color indexed="81"/>
      <name val="Arial"/>
      <family val="2"/>
    </font>
    <font>
      <sz val="9"/>
      <color indexed="12"/>
      <name val="Arial"/>
      <family val="2"/>
    </font>
    <font>
      <sz val="8"/>
      <color indexed="81"/>
      <name val="Tahoma"/>
      <family val="2"/>
    </font>
    <font>
      <b/>
      <sz val="9"/>
      <color indexed="10"/>
      <name val="Tahoma"/>
      <family val="2"/>
    </font>
    <font>
      <sz val="9"/>
      <color indexed="81"/>
      <name val="Tahoma"/>
      <family val="2"/>
    </font>
    <font>
      <sz val="9"/>
      <color indexed="12"/>
      <name val="Tahoma"/>
      <family val="2"/>
    </font>
    <font>
      <b/>
      <sz val="10"/>
      <color indexed="10"/>
      <name val="Tahoma"/>
      <family val="2"/>
    </font>
    <font>
      <b/>
      <sz val="8"/>
      <color indexed="81"/>
      <name val="Tahoma"/>
      <family val="2"/>
    </font>
    <font>
      <sz val="10"/>
      <name val="Courier"/>
      <family val="3"/>
    </font>
    <font>
      <sz val="8"/>
      <name val="Arial"/>
      <family val="2"/>
    </font>
    <font>
      <sz val="10"/>
      <color indexed="61"/>
      <name val="Arial"/>
      <family val="2"/>
    </font>
    <font>
      <u/>
      <sz val="12"/>
      <color indexed="51"/>
      <name val="Arial"/>
      <family val="2"/>
    </font>
    <font>
      <sz val="12"/>
      <color indexed="22"/>
      <name val="Arial"/>
      <family val="2"/>
    </font>
    <font>
      <b/>
      <sz val="13"/>
      <color indexed="10"/>
      <name val="Arial"/>
      <family val="2"/>
    </font>
    <font>
      <b/>
      <sz val="12"/>
      <color indexed="22"/>
      <name val="Arial"/>
      <family val="2"/>
    </font>
    <font>
      <b/>
      <sz val="12"/>
      <color indexed="9"/>
      <name val="Arial"/>
      <family val="2"/>
    </font>
    <font>
      <sz val="10"/>
      <color indexed="22"/>
      <name val="Arial"/>
      <family val="2"/>
    </font>
    <font>
      <b/>
      <sz val="12"/>
      <color indexed="22"/>
      <name val="Arial"/>
      <family val="2"/>
    </font>
    <font>
      <sz val="12"/>
      <color indexed="22"/>
      <name val="Arial"/>
      <family val="2"/>
    </font>
    <font>
      <b/>
      <sz val="15"/>
      <color indexed="10"/>
      <name val="Arial"/>
      <family val="2"/>
    </font>
    <font>
      <sz val="14"/>
      <color indexed="10"/>
      <name val="Arial"/>
      <family val="2"/>
    </font>
    <font>
      <b/>
      <sz val="18"/>
      <color indexed="12"/>
      <name val="Arial"/>
      <family val="2"/>
    </font>
    <font>
      <b/>
      <sz val="16"/>
      <color indexed="12"/>
      <name val="Arial"/>
      <family val="2"/>
    </font>
    <font>
      <sz val="14"/>
      <color indexed="12"/>
      <name val="Arial"/>
      <family val="2"/>
    </font>
    <font>
      <sz val="12"/>
      <name val="Arial"/>
      <family val="2"/>
    </font>
    <font>
      <b/>
      <sz val="11"/>
      <color indexed="10"/>
      <name val="Arial"/>
      <family val="2"/>
    </font>
    <font>
      <b/>
      <sz val="10"/>
      <color indexed="60"/>
      <name val="Arial"/>
      <family val="2"/>
    </font>
    <font>
      <sz val="12"/>
      <color indexed="60"/>
      <name val="Arial"/>
      <family val="2"/>
    </font>
    <font>
      <b/>
      <sz val="12"/>
      <color indexed="60"/>
      <name val="Arial"/>
      <family val="2"/>
    </font>
    <font>
      <sz val="12"/>
      <color indexed="22"/>
      <name val="Arial"/>
      <family val="2"/>
    </font>
    <font>
      <b/>
      <sz val="8"/>
      <color indexed="10"/>
      <name val="Arial"/>
      <family val="2"/>
    </font>
    <font>
      <sz val="10"/>
      <color indexed="59"/>
      <name val="Courier"/>
      <family val="3"/>
    </font>
    <font>
      <sz val="10"/>
      <color indexed="8"/>
      <name val="Arial"/>
      <family val="2"/>
    </font>
    <font>
      <sz val="12"/>
      <color indexed="41"/>
      <name val="Arial"/>
      <family val="2"/>
    </font>
    <font>
      <b/>
      <sz val="20"/>
      <color indexed="17"/>
      <name val="Arial"/>
      <family val="2"/>
    </font>
    <font>
      <b/>
      <sz val="8"/>
      <color indexed="22"/>
      <name val="Arial"/>
      <family val="2"/>
    </font>
    <font>
      <sz val="12"/>
      <color indexed="43"/>
      <name val="Arial"/>
      <family val="2"/>
    </font>
    <font>
      <b/>
      <sz val="10"/>
      <color indexed="9"/>
      <name val="Arial"/>
      <family val="2"/>
    </font>
    <font>
      <b/>
      <sz val="9"/>
      <name val="Arial"/>
      <family val="2"/>
    </font>
    <font>
      <sz val="10"/>
      <color indexed="10"/>
      <name val="Arial"/>
      <family val="2"/>
    </font>
    <font>
      <sz val="11"/>
      <name val="Arial"/>
      <family val="2"/>
    </font>
    <font>
      <sz val="10"/>
      <color indexed="12"/>
      <name val="Arial"/>
      <family val="2"/>
    </font>
    <font>
      <b/>
      <sz val="11"/>
      <color indexed="12"/>
      <name val="Arial"/>
      <family val="2"/>
    </font>
    <font>
      <b/>
      <sz val="10"/>
      <color indexed="12"/>
      <name val="Arial"/>
      <family val="2"/>
    </font>
    <font>
      <sz val="10"/>
      <color indexed="12"/>
      <name val="Arial"/>
      <family val="2"/>
    </font>
    <font>
      <b/>
      <i/>
      <sz val="10"/>
      <color indexed="9"/>
      <name val="Arial"/>
      <family val="2"/>
    </font>
    <font>
      <b/>
      <u/>
      <sz val="12"/>
      <color indexed="17"/>
      <name val="Arial"/>
      <family val="2"/>
    </font>
    <font>
      <sz val="12"/>
      <color indexed="10"/>
      <name val="Arial"/>
      <family val="2"/>
    </font>
    <font>
      <sz val="8"/>
      <color indexed="10"/>
      <name val="Courier"/>
      <family val="3"/>
    </font>
    <font>
      <sz val="8"/>
      <color indexed="10"/>
      <name val="Arial"/>
      <family val="2"/>
    </font>
    <font>
      <sz val="8"/>
      <color indexed="10"/>
      <name val="Times New Roman"/>
      <family val="1"/>
    </font>
    <font>
      <i/>
      <sz val="8"/>
      <color indexed="10"/>
      <name val="Arial"/>
      <family val="2"/>
    </font>
    <font>
      <sz val="10"/>
      <color rgb="FFFF0000"/>
      <name val="Courier"/>
      <family val="3"/>
    </font>
  </fonts>
  <fills count="1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indexed="41"/>
        <bgColor indexed="64"/>
      </patternFill>
    </fill>
    <fill>
      <patternFill patternType="solid">
        <fgColor indexed="22"/>
        <bgColor indexed="64"/>
      </patternFill>
    </fill>
    <fill>
      <patternFill patternType="solid">
        <fgColor indexed="43"/>
        <bgColor indexed="63"/>
      </patternFill>
    </fill>
    <fill>
      <patternFill patternType="solid">
        <fgColor indexed="9"/>
        <bgColor indexed="63"/>
      </patternFill>
    </fill>
    <fill>
      <patternFill patternType="solid">
        <fgColor indexed="22"/>
        <bgColor indexed="63"/>
      </patternFill>
    </fill>
    <fill>
      <patternFill patternType="solid">
        <fgColor indexed="44"/>
        <bgColor indexed="64"/>
      </patternFill>
    </fill>
    <fill>
      <patternFill patternType="solid">
        <fgColor indexed="42"/>
        <bgColor indexed="64"/>
      </patternFill>
    </fill>
    <fill>
      <patternFill patternType="solid">
        <fgColor indexed="55"/>
        <bgColor indexed="24"/>
      </patternFill>
    </fill>
    <fill>
      <patternFill patternType="solid">
        <fgColor indexed="47"/>
        <bgColor indexed="64"/>
      </patternFill>
    </fill>
    <fill>
      <patternFill patternType="solid">
        <fgColor indexed="40"/>
        <bgColor indexed="64"/>
      </patternFill>
    </fill>
    <fill>
      <patternFill patternType="solid">
        <fgColor rgb="FFFF9933"/>
        <bgColor indexed="64"/>
      </patternFill>
    </fill>
  </fills>
  <borders count="80">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22"/>
      </left>
      <right style="thin">
        <color indexed="22"/>
      </right>
      <top/>
      <bottom style="thin">
        <color indexed="22"/>
      </bottom>
      <diagonal/>
    </border>
    <border>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8"/>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22"/>
      </right>
      <top style="thin">
        <color indexed="22"/>
      </top>
      <bottom style="thin">
        <color indexed="22"/>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8"/>
      </top>
      <bottom/>
      <diagonal/>
    </border>
    <border>
      <left/>
      <right style="thin">
        <color indexed="64"/>
      </right>
      <top style="medium">
        <color indexed="64"/>
      </top>
      <bottom/>
      <diagonal/>
    </border>
  </borders>
  <cellStyleXfs count="15">
    <xf numFmtId="0" fontId="0" fillId="0" borderId="0"/>
    <xf numFmtId="206" fontId="9"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3" fontId="15" fillId="0" borderId="0" applyFont="0" applyFill="0" applyBorder="0" applyAlignment="0" applyProtection="0"/>
    <xf numFmtId="185" fontId="15" fillId="0" borderId="0" applyFont="0" applyFill="0" applyBorder="0" applyAlignment="0" applyProtection="0"/>
    <xf numFmtId="184" fontId="1" fillId="0" borderId="0" applyFont="0" applyFill="0" applyBorder="0" applyAlignment="0" applyProtection="0"/>
    <xf numFmtId="184" fontId="15" fillId="0" borderId="0" applyFont="0" applyFill="0" applyBorder="0" applyAlignment="0" applyProtection="0"/>
    <xf numFmtId="0" fontId="15" fillId="0" borderId="0"/>
    <xf numFmtId="0" fontId="9" fillId="0" borderId="0"/>
    <xf numFmtId="0" fontId="1" fillId="0" borderId="0"/>
    <xf numFmtId="0" fontId="9" fillId="0" borderId="0"/>
    <xf numFmtId="0" fontId="9" fillId="0" borderId="0"/>
    <xf numFmtId="9" fontId="1" fillId="0" borderId="0" applyFont="0" applyFill="0" applyBorder="0" applyAlignment="0" applyProtection="0"/>
    <xf numFmtId="9" fontId="15" fillId="0" borderId="0" applyFont="0" applyFill="0" applyBorder="0" applyAlignment="0" applyProtection="0"/>
  </cellStyleXfs>
  <cellXfs count="1223">
    <xf numFmtId="0" fontId="0" fillId="0" borderId="0" xfId="0"/>
    <xf numFmtId="37" fontId="4" fillId="0" borderId="0" xfId="0" applyNumberFormat="1" applyFont="1" applyFill="1" applyProtection="1">
      <protection hidden="1"/>
    </xf>
    <xf numFmtId="0" fontId="4" fillId="0" borderId="0" xfId="0" applyFont="1" applyFill="1" applyProtection="1">
      <protection hidden="1"/>
    </xf>
    <xf numFmtId="37" fontId="4" fillId="0" borderId="0" xfId="0" applyNumberFormat="1" applyFont="1" applyFill="1" applyAlignment="1" applyProtection="1">
      <alignment horizontal="fill"/>
      <protection hidden="1"/>
    </xf>
    <xf numFmtId="37" fontId="6" fillId="0" borderId="2" xfId="0" applyNumberFormat="1" applyFont="1" applyFill="1" applyBorder="1" applyAlignment="1" applyProtection="1">
      <alignment horizontal="left"/>
      <protection hidden="1"/>
    </xf>
    <xf numFmtId="0" fontId="4" fillId="0" borderId="0" xfId="0" applyFont="1" applyFill="1" applyBorder="1" applyProtection="1">
      <protection hidden="1"/>
    </xf>
    <xf numFmtId="0" fontId="5" fillId="0" borderId="0" xfId="0" applyFont="1" applyFill="1" applyProtection="1">
      <protection hidden="1"/>
    </xf>
    <xf numFmtId="37" fontId="4" fillId="0" borderId="0" xfId="0" applyNumberFormat="1" applyFont="1" applyFill="1" applyBorder="1" applyProtection="1">
      <protection hidden="1"/>
    </xf>
    <xf numFmtId="37" fontId="6" fillId="0" borderId="0" xfId="0" applyNumberFormat="1" applyFont="1" applyFill="1" applyBorder="1" applyAlignment="1" applyProtection="1">
      <alignment vertical="center" wrapText="1"/>
      <protection hidden="1"/>
    </xf>
    <xf numFmtId="37" fontId="13" fillId="0" borderId="0" xfId="0" applyNumberFormat="1" applyFont="1" applyFill="1" applyBorder="1" applyProtection="1">
      <protection hidden="1"/>
    </xf>
    <xf numFmtId="37" fontId="6" fillId="0" borderId="0" xfId="0" applyNumberFormat="1" applyFont="1" applyFill="1" applyAlignment="1" applyProtection="1">
      <alignment horizontal="left"/>
      <protection hidden="1"/>
    </xf>
    <xf numFmtId="197" fontId="4" fillId="0" borderId="0" xfId="0" applyNumberFormat="1" applyFont="1" applyFill="1" applyProtection="1">
      <protection hidden="1"/>
    </xf>
    <xf numFmtId="0" fontId="6" fillId="0" borderId="0" xfId="0" applyFont="1" applyFill="1" applyAlignment="1" applyProtection="1">
      <alignment horizontal="center"/>
      <protection hidden="1"/>
    </xf>
    <xf numFmtId="198" fontId="14" fillId="2" borderId="0" xfId="0" applyNumberFormat="1" applyFont="1" applyFill="1" applyProtection="1">
      <protection hidden="1"/>
    </xf>
    <xf numFmtId="39" fontId="4" fillId="0" borderId="0" xfId="0" applyNumberFormat="1" applyFont="1" applyFill="1" applyAlignment="1" applyProtection="1">
      <alignment horizontal="fill"/>
      <protection hidden="1"/>
    </xf>
    <xf numFmtId="37" fontId="6" fillId="0" borderId="3" xfId="0" applyNumberFormat="1" applyFont="1" applyFill="1" applyBorder="1" applyAlignment="1" applyProtection="1">
      <alignment horizontal="left"/>
      <protection hidden="1"/>
    </xf>
    <xf numFmtId="37" fontId="6" fillId="0" borderId="4" xfId="0" applyNumberFormat="1" applyFont="1" applyFill="1" applyBorder="1" applyAlignment="1" applyProtection="1">
      <alignment horizontal="left"/>
      <protection hidden="1"/>
    </xf>
    <xf numFmtId="37" fontId="4" fillId="0" borderId="0" xfId="0" applyNumberFormat="1" applyFont="1" applyFill="1" applyBorder="1" applyAlignment="1" applyProtection="1">
      <alignment horizontal="fill"/>
      <protection hidden="1"/>
    </xf>
    <xf numFmtId="37" fontId="4" fillId="0" borderId="5" xfId="0" applyNumberFormat="1" applyFont="1" applyFill="1" applyBorder="1" applyAlignment="1" applyProtection="1">
      <alignment horizontal="fill"/>
      <protection hidden="1"/>
    </xf>
    <xf numFmtId="37" fontId="4" fillId="0" borderId="6" xfId="0" applyNumberFormat="1" applyFont="1" applyFill="1" applyBorder="1" applyAlignment="1" applyProtection="1">
      <alignment horizontal="fill"/>
      <protection hidden="1"/>
    </xf>
    <xf numFmtId="0" fontId="13" fillId="0" borderId="0" xfId="0" applyFont="1" applyFill="1" applyProtection="1">
      <protection hidden="1"/>
    </xf>
    <xf numFmtId="199" fontId="15" fillId="0" borderId="2" xfId="0" applyNumberFormat="1" applyFont="1" applyFill="1" applyBorder="1" applyProtection="1">
      <protection hidden="1"/>
    </xf>
    <xf numFmtId="0" fontId="13" fillId="0" borderId="0" xfId="0" applyFont="1" applyFill="1" applyBorder="1" applyProtection="1">
      <protection hidden="1"/>
    </xf>
    <xf numFmtId="37" fontId="4" fillId="0" borderId="2" xfId="0" applyNumberFormat="1" applyFont="1" applyFill="1" applyBorder="1" applyProtection="1">
      <protection hidden="1"/>
    </xf>
    <xf numFmtId="0" fontId="4" fillId="0" borderId="0" xfId="0" applyFont="1" applyFill="1" applyAlignment="1" applyProtection="1">
      <alignment horizontal="fill"/>
      <protection hidden="1"/>
    </xf>
    <xf numFmtId="10" fontId="4" fillId="0" borderId="0" xfId="0" applyNumberFormat="1" applyFont="1" applyFill="1" applyAlignment="1" applyProtection="1">
      <alignment horizontal="fill"/>
      <protection hidden="1"/>
    </xf>
    <xf numFmtId="37" fontId="6" fillId="0" borderId="3" xfId="0" applyNumberFormat="1" applyFont="1" applyFill="1" applyBorder="1" applyAlignment="1" applyProtection="1">
      <alignment horizontal="center"/>
      <protection hidden="1"/>
    </xf>
    <xf numFmtId="37" fontId="6" fillId="0" borderId="3" xfId="0" quotePrefix="1" applyNumberFormat="1" applyFont="1" applyFill="1" applyBorder="1" applyAlignment="1" applyProtection="1">
      <alignment horizontal="center"/>
      <protection hidden="1"/>
    </xf>
    <xf numFmtId="37" fontId="4" fillId="0" borderId="7" xfId="0" applyNumberFormat="1" applyFont="1" applyFill="1" applyBorder="1" applyAlignment="1" applyProtection="1">
      <alignment horizontal="center"/>
      <protection hidden="1"/>
    </xf>
    <xf numFmtId="37" fontId="6" fillId="0" borderId="7" xfId="0" applyNumberFormat="1" applyFont="1" applyFill="1" applyBorder="1" applyAlignment="1" applyProtection="1">
      <alignment horizontal="center"/>
      <protection hidden="1"/>
    </xf>
    <xf numFmtId="37" fontId="16" fillId="0" borderId="0" xfId="0" applyNumberFormat="1" applyFont="1" applyFill="1" applyBorder="1" applyAlignment="1" applyProtection="1">
      <alignment horizontal="center"/>
      <protection hidden="1"/>
    </xf>
    <xf numFmtId="37" fontId="6" fillId="0" borderId="4" xfId="0" applyNumberFormat="1" applyFont="1" applyFill="1" applyBorder="1" applyAlignment="1" applyProtection="1">
      <alignment horizontal="center"/>
      <protection hidden="1"/>
    </xf>
    <xf numFmtId="37" fontId="6" fillId="0" borderId="8" xfId="0" quotePrefix="1" applyNumberFormat="1" applyFont="1" applyFill="1" applyBorder="1" applyAlignment="1" applyProtection="1">
      <alignment horizontal="center"/>
      <protection hidden="1"/>
    </xf>
    <xf numFmtId="37" fontId="4" fillId="0" borderId="9" xfId="0" applyNumberFormat="1" applyFont="1" applyFill="1" applyBorder="1" applyAlignment="1" applyProtection="1">
      <alignment horizontal="center"/>
      <protection hidden="1"/>
    </xf>
    <xf numFmtId="37" fontId="6" fillId="0" borderId="9" xfId="0" applyNumberFormat="1" applyFont="1" applyFill="1" applyBorder="1" applyAlignment="1" applyProtection="1">
      <alignment horizontal="center"/>
      <protection hidden="1"/>
    </xf>
    <xf numFmtId="37" fontId="13" fillId="0" borderId="9" xfId="0" applyNumberFormat="1" applyFont="1" applyFill="1" applyBorder="1" applyAlignment="1" applyProtection="1">
      <alignment horizontal="center"/>
      <protection hidden="1"/>
    </xf>
    <xf numFmtId="37" fontId="6" fillId="0" borderId="4" xfId="0" quotePrefix="1" applyNumberFormat="1" applyFont="1" applyFill="1" applyBorder="1" applyAlignment="1" applyProtection="1">
      <alignment horizontal="center"/>
      <protection hidden="1"/>
    </xf>
    <xf numFmtId="37" fontId="18" fillId="0" borderId="9" xfId="0" applyNumberFormat="1" applyFont="1" applyFill="1" applyBorder="1" applyAlignment="1" applyProtection="1">
      <alignment horizontal="center"/>
      <protection hidden="1"/>
    </xf>
    <xf numFmtId="0" fontId="13" fillId="0" borderId="2" xfId="0" applyFont="1" applyFill="1" applyBorder="1" applyAlignment="1" applyProtection="1">
      <alignment horizontal="center"/>
      <protection hidden="1"/>
    </xf>
    <xf numFmtId="200" fontId="4" fillId="0" borderId="2" xfId="0" applyNumberFormat="1" applyFont="1" applyFill="1" applyBorder="1" applyAlignment="1" applyProtection="1">
      <alignment horizontal="right"/>
      <protection hidden="1"/>
    </xf>
    <xf numFmtId="3" fontId="4" fillId="0" borderId="2" xfId="0" applyNumberFormat="1" applyFont="1" applyFill="1" applyBorder="1" applyAlignment="1" applyProtection="1">
      <alignment horizontal="right"/>
      <protection hidden="1"/>
    </xf>
    <xf numFmtId="10" fontId="4" fillId="0" borderId="2" xfId="13" applyNumberFormat="1" applyFont="1" applyFill="1" applyBorder="1" applyAlignment="1" applyProtection="1">
      <alignment horizontal="right"/>
      <protection hidden="1"/>
    </xf>
    <xf numFmtId="0" fontId="4" fillId="0" borderId="2" xfId="0" applyFont="1" applyFill="1" applyBorder="1" applyAlignment="1" applyProtection="1">
      <alignment horizontal="right"/>
      <protection hidden="1"/>
    </xf>
    <xf numFmtId="0" fontId="14" fillId="0" borderId="0" xfId="0" applyFont="1" applyFill="1" applyBorder="1" applyProtection="1">
      <protection hidden="1"/>
    </xf>
    <xf numFmtId="37" fontId="4" fillId="0" borderId="0" xfId="0" applyNumberFormat="1" applyFont="1" applyFill="1" applyBorder="1" applyAlignment="1" applyProtection="1">
      <alignment horizontal="right"/>
      <protection hidden="1"/>
    </xf>
    <xf numFmtId="0" fontId="4" fillId="0" borderId="0" xfId="0" applyFont="1" applyFill="1" applyBorder="1" applyAlignment="1" applyProtection="1">
      <alignment horizontal="left"/>
      <protection hidden="1"/>
    </xf>
    <xf numFmtId="37" fontId="4" fillId="0" borderId="0" xfId="0" applyNumberFormat="1" applyFont="1" applyFill="1" applyBorder="1" applyAlignment="1" applyProtection="1">
      <alignment horizontal="left"/>
      <protection hidden="1"/>
    </xf>
    <xf numFmtId="37" fontId="6" fillId="0" borderId="3" xfId="0" applyNumberFormat="1" applyFont="1" applyFill="1" applyBorder="1" applyProtection="1">
      <protection hidden="1"/>
    </xf>
    <xf numFmtId="37" fontId="6" fillId="0" borderId="10" xfId="0" applyNumberFormat="1" applyFont="1" applyFill="1" applyBorder="1" applyAlignment="1" applyProtection="1">
      <alignment horizontal="centerContinuous"/>
      <protection hidden="1"/>
    </xf>
    <xf numFmtId="37" fontId="6" fillId="0" borderId="11" xfId="0" applyNumberFormat="1" applyFont="1" applyFill="1" applyBorder="1" applyAlignment="1" applyProtection="1">
      <alignment horizontal="centerContinuous"/>
      <protection hidden="1"/>
    </xf>
    <xf numFmtId="37" fontId="6" fillId="0" borderId="12" xfId="0" applyNumberFormat="1" applyFont="1" applyFill="1" applyBorder="1" applyAlignment="1" applyProtection="1">
      <alignment horizontal="centerContinuous"/>
      <protection hidden="1"/>
    </xf>
    <xf numFmtId="37" fontId="13" fillId="0" borderId="12" xfId="0" applyNumberFormat="1" applyFont="1" applyFill="1" applyBorder="1" applyProtection="1">
      <protection hidden="1"/>
    </xf>
    <xf numFmtId="37" fontId="13" fillId="0" borderId="3" xfId="0" applyNumberFormat="1" applyFont="1" applyFill="1" applyBorder="1" applyAlignment="1" applyProtection="1">
      <alignment horizontal="left"/>
      <protection hidden="1"/>
    </xf>
    <xf numFmtId="37" fontId="13" fillId="0" borderId="10" xfId="0" applyNumberFormat="1" applyFont="1" applyFill="1" applyBorder="1" applyAlignment="1" applyProtection="1">
      <alignment horizontal="left"/>
      <protection hidden="1"/>
    </xf>
    <xf numFmtId="37" fontId="13" fillId="0" borderId="11" xfId="0" applyNumberFormat="1" applyFont="1" applyFill="1" applyBorder="1" applyProtection="1">
      <protection hidden="1"/>
    </xf>
    <xf numFmtId="37" fontId="6" fillId="0" borderId="5" xfId="0" applyNumberFormat="1" applyFont="1" applyFill="1" applyBorder="1" applyAlignment="1" applyProtection="1">
      <alignment horizontal="left"/>
      <protection hidden="1"/>
    </xf>
    <xf numFmtId="37" fontId="13" fillId="0" borderId="5" xfId="0" applyNumberFormat="1" applyFont="1" applyFill="1" applyBorder="1" applyAlignment="1" applyProtection="1">
      <alignment horizontal="left"/>
      <protection hidden="1"/>
    </xf>
    <xf numFmtId="37" fontId="13" fillId="0" borderId="4" xfId="0" applyNumberFormat="1" applyFont="1" applyFill="1" applyBorder="1" applyAlignment="1" applyProtection="1">
      <alignment horizontal="left"/>
      <protection hidden="1"/>
    </xf>
    <xf numFmtId="37" fontId="4" fillId="0" borderId="7" xfId="0" applyNumberFormat="1" applyFont="1" applyFill="1" applyBorder="1" applyAlignment="1" applyProtection="1">
      <alignment horizontal="fill"/>
      <protection hidden="1"/>
    </xf>
    <xf numFmtId="37" fontId="4" fillId="0" borderId="9" xfId="0" applyNumberFormat="1" applyFont="1" applyFill="1" applyBorder="1" applyAlignment="1" applyProtection="1">
      <alignment horizontal="fill"/>
      <protection hidden="1"/>
    </xf>
    <xf numFmtId="37" fontId="13" fillId="0" borderId="7" xfId="0" applyNumberFormat="1" applyFont="1" applyFill="1" applyBorder="1" applyAlignment="1" applyProtection="1">
      <alignment horizontal="fill"/>
      <protection hidden="1"/>
    </xf>
    <xf numFmtId="37" fontId="13" fillId="0" borderId="9" xfId="0" applyNumberFormat="1" applyFont="1" applyFill="1" applyBorder="1" applyAlignment="1" applyProtection="1">
      <alignment horizontal="fill"/>
      <protection hidden="1"/>
    </xf>
    <xf numFmtId="39" fontId="4" fillId="0" borderId="0" xfId="0" applyNumberFormat="1" applyFont="1" applyFill="1" applyProtection="1">
      <protection hidden="1"/>
    </xf>
    <xf numFmtId="10" fontId="4" fillId="0" borderId="0" xfId="0" applyNumberFormat="1" applyFont="1" applyFill="1" applyProtection="1">
      <protection hidden="1"/>
    </xf>
    <xf numFmtId="39" fontId="6" fillId="0" borderId="3" xfId="0" applyNumberFormat="1" applyFont="1" applyFill="1" applyBorder="1" applyProtection="1">
      <protection hidden="1"/>
    </xf>
    <xf numFmtId="39" fontId="6" fillId="0" borderId="3" xfId="0" applyNumberFormat="1" applyFont="1" applyFill="1" applyBorder="1" applyAlignment="1" applyProtection="1">
      <alignment horizontal="center"/>
      <protection hidden="1"/>
    </xf>
    <xf numFmtId="10" fontId="6" fillId="0" borderId="8" xfId="0" applyNumberFormat="1" applyFont="1" applyFill="1" applyBorder="1" applyAlignment="1" applyProtection="1">
      <alignment horizontal="centerContinuous"/>
      <protection hidden="1"/>
    </xf>
    <xf numFmtId="10" fontId="6" fillId="0" borderId="4" xfId="0" applyNumberFormat="1" applyFont="1" applyFill="1" applyBorder="1" applyAlignment="1" applyProtection="1">
      <alignment horizontal="centerContinuous"/>
      <protection hidden="1"/>
    </xf>
    <xf numFmtId="39" fontId="6" fillId="0" borderId="5" xfId="0" applyNumberFormat="1" applyFont="1" applyFill="1" applyBorder="1" applyAlignment="1" applyProtection="1">
      <alignment horizontal="left"/>
      <protection hidden="1"/>
    </xf>
    <xf numFmtId="39" fontId="6" fillId="0" borderId="5" xfId="0" applyNumberFormat="1" applyFont="1" applyFill="1" applyBorder="1" applyAlignment="1" applyProtection="1">
      <alignment horizontal="center"/>
      <protection hidden="1"/>
    </xf>
    <xf numFmtId="10" fontId="6" fillId="0" borderId="3" xfId="0" applyNumberFormat="1" applyFont="1" applyFill="1" applyBorder="1" applyAlignment="1" applyProtection="1">
      <alignment horizontal="left"/>
      <protection hidden="1"/>
    </xf>
    <xf numFmtId="10" fontId="6" fillId="0" borderId="4" xfId="0" applyNumberFormat="1" applyFont="1" applyFill="1" applyBorder="1" applyAlignment="1" applyProtection="1">
      <alignment horizontal="left"/>
      <protection hidden="1"/>
    </xf>
    <xf numFmtId="39" fontId="4" fillId="0" borderId="7" xfId="0" applyNumberFormat="1" applyFont="1" applyFill="1" applyBorder="1" applyAlignment="1" applyProtection="1">
      <alignment horizontal="fill"/>
      <protection hidden="1"/>
    </xf>
    <xf numFmtId="10" fontId="4" fillId="0" borderId="7" xfId="0" applyNumberFormat="1" applyFont="1" applyFill="1" applyBorder="1" applyAlignment="1" applyProtection="1">
      <alignment horizontal="fill"/>
      <protection hidden="1"/>
    </xf>
    <xf numFmtId="10" fontId="4" fillId="0" borderId="9" xfId="0" applyNumberFormat="1" applyFont="1" applyFill="1" applyBorder="1" applyAlignment="1" applyProtection="1">
      <alignment horizontal="fill"/>
      <protection hidden="1"/>
    </xf>
    <xf numFmtId="39" fontId="4" fillId="0" borderId="0" xfId="0" applyNumberFormat="1" applyFont="1" applyFill="1" applyBorder="1" applyAlignment="1" applyProtection="1">
      <alignment horizontal="fill"/>
      <protection hidden="1"/>
    </xf>
    <xf numFmtId="10" fontId="4" fillId="0" borderId="0" xfId="0" applyNumberFormat="1" applyFont="1" applyFill="1" applyBorder="1" applyAlignment="1" applyProtection="1">
      <alignment horizontal="fill"/>
      <protection hidden="1"/>
    </xf>
    <xf numFmtId="37" fontId="6" fillId="0" borderId="3" xfId="0" quotePrefix="1" applyNumberFormat="1" applyFont="1" applyFill="1" applyBorder="1" applyAlignment="1" applyProtection="1">
      <alignment horizontal="left"/>
      <protection hidden="1"/>
    </xf>
    <xf numFmtId="39" fontId="21" fillId="0" borderId="3" xfId="0" quotePrefix="1" applyNumberFormat="1" applyFont="1" applyFill="1" applyBorder="1" applyAlignment="1" applyProtection="1">
      <alignment horizontal="left"/>
      <protection hidden="1"/>
    </xf>
    <xf numFmtId="39" fontId="4" fillId="0" borderId="3" xfId="0" applyNumberFormat="1" applyFont="1" applyFill="1" applyBorder="1" applyProtection="1">
      <protection hidden="1"/>
    </xf>
    <xf numFmtId="10" fontId="4" fillId="0" borderId="3" xfId="0" applyNumberFormat="1" applyFont="1" applyFill="1" applyBorder="1" applyProtection="1">
      <protection hidden="1"/>
    </xf>
    <xf numFmtId="37" fontId="4" fillId="0" borderId="3" xfId="0" applyNumberFormat="1" applyFont="1" applyFill="1" applyBorder="1" applyProtection="1">
      <protection hidden="1"/>
    </xf>
    <xf numFmtId="39" fontId="21" fillId="0" borderId="5" xfId="0" applyNumberFormat="1" applyFont="1" applyFill="1" applyBorder="1" applyAlignment="1" applyProtection="1">
      <protection hidden="1"/>
    </xf>
    <xf numFmtId="39" fontId="4" fillId="0" borderId="7" xfId="0" applyNumberFormat="1" applyFont="1" applyFill="1" applyBorder="1" applyProtection="1">
      <protection hidden="1"/>
    </xf>
    <xf numFmtId="10" fontId="4" fillId="0" borderId="7" xfId="0" applyNumberFormat="1" applyFont="1" applyFill="1" applyBorder="1" applyProtection="1">
      <protection hidden="1"/>
    </xf>
    <xf numFmtId="0" fontId="6" fillId="0" borderId="2" xfId="0" applyFont="1" applyFill="1" applyBorder="1" applyAlignment="1" applyProtection="1">
      <alignment horizontal="left"/>
      <protection hidden="1"/>
    </xf>
    <xf numFmtId="37" fontId="6" fillId="0" borderId="12" xfId="0" applyNumberFormat="1" applyFont="1" applyFill="1" applyBorder="1" applyAlignment="1" applyProtection="1">
      <alignment horizontal="center"/>
      <protection hidden="1"/>
    </xf>
    <xf numFmtId="37" fontId="6" fillId="0" borderId="0" xfId="0" applyNumberFormat="1" applyFont="1" applyFill="1" applyProtection="1">
      <protection hidden="1"/>
    </xf>
    <xf numFmtId="0" fontId="6" fillId="0" borderId="0" xfId="0" applyFont="1" applyFill="1" applyProtection="1">
      <protection hidden="1"/>
    </xf>
    <xf numFmtId="37" fontId="6" fillId="0" borderId="7" xfId="0" applyNumberFormat="1" applyFont="1" applyFill="1" applyBorder="1" applyProtection="1">
      <protection hidden="1"/>
    </xf>
    <xf numFmtId="37" fontId="6" fillId="0" borderId="2" xfId="0" applyNumberFormat="1" applyFont="1" applyFill="1" applyBorder="1" applyAlignment="1" applyProtection="1">
      <alignment horizontal="center"/>
      <protection hidden="1"/>
    </xf>
    <xf numFmtId="0" fontId="6" fillId="0" borderId="3" xfId="0" applyFont="1" applyFill="1" applyBorder="1" applyAlignment="1" applyProtection="1">
      <alignment horizontal="center"/>
      <protection hidden="1"/>
    </xf>
    <xf numFmtId="0" fontId="4" fillId="0" borderId="7" xfId="0" applyFont="1" applyFill="1" applyBorder="1" applyAlignment="1" applyProtection="1">
      <alignment horizontal="fill"/>
      <protection hidden="1"/>
    </xf>
    <xf numFmtId="0" fontId="22" fillId="0" borderId="10" xfId="0" applyFont="1" applyFill="1" applyBorder="1" applyAlignment="1" applyProtection="1">
      <alignment horizontal="left"/>
      <protection hidden="1"/>
    </xf>
    <xf numFmtId="0" fontId="0" fillId="0" borderId="11" xfId="0" applyFill="1" applyBorder="1" applyProtection="1">
      <protection hidden="1"/>
    </xf>
    <xf numFmtId="0" fontId="4" fillId="0" borderId="0" xfId="0" applyFont="1" applyFill="1" applyAlignment="1" applyProtection="1">
      <alignment horizontal="left"/>
      <protection hidden="1"/>
    </xf>
    <xf numFmtId="37" fontId="6" fillId="0" borderId="0" xfId="0" applyNumberFormat="1" applyFont="1" applyFill="1" applyBorder="1" applyAlignment="1" applyProtection="1">
      <alignment horizontal="center" vertical="center"/>
      <protection hidden="1"/>
    </xf>
    <xf numFmtId="37" fontId="27" fillId="0" borderId="0" xfId="0" applyNumberFormat="1" applyFont="1" applyFill="1" applyBorder="1" applyAlignment="1" applyProtection="1">
      <alignment horizontal="center" vertical="center"/>
      <protection hidden="1"/>
    </xf>
    <xf numFmtId="37" fontId="6" fillId="0" borderId="0" xfId="0" applyNumberFormat="1" applyFont="1" applyFill="1" applyBorder="1" applyAlignment="1" applyProtection="1">
      <alignment horizontal="center" vertical="center" wrapText="1"/>
      <protection hidden="1"/>
    </xf>
    <xf numFmtId="37" fontId="13" fillId="0" borderId="0" xfId="0" applyNumberFormat="1" applyFont="1" applyFill="1" applyBorder="1" applyAlignment="1" applyProtection="1">
      <alignment horizontal="center" vertical="center" wrapText="1"/>
      <protection hidden="1"/>
    </xf>
    <xf numFmtId="37" fontId="28" fillId="0" borderId="0" xfId="0" applyNumberFormat="1" applyFont="1" applyFill="1" applyBorder="1" applyAlignment="1" applyProtection="1">
      <alignment horizontal="center" vertical="center" wrapText="1"/>
      <protection hidden="1"/>
    </xf>
    <xf numFmtId="37" fontId="29" fillId="0" borderId="0" xfId="0" applyNumberFormat="1" applyFont="1" applyFill="1" applyBorder="1" applyAlignment="1" applyProtection="1">
      <alignment horizontal="center" vertical="center" wrapText="1"/>
      <protection hidden="1"/>
    </xf>
    <xf numFmtId="0" fontId="9" fillId="0" borderId="0" xfId="0" applyFont="1" applyFill="1" applyBorder="1" applyProtection="1">
      <protection hidden="1"/>
    </xf>
    <xf numFmtId="3" fontId="15" fillId="0" borderId="0" xfId="0" applyNumberFormat="1" applyFont="1" applyFill="1" applyBorder="1" applyProtection="1">
      <protection hidden="1"/>
    </xf>
    <xf numFmtId="208" fontId="13" fillId="0" borderId="0" xfId="6" applyNumberFormat="1" applyFont="1" applyFill="1" applyBorder="1" applyProtection="1">
      <protection hidden="1"/>
    </xf>
    <xf numFmtId="37" fontId="32" fillId="0" borderId="0" xfId="0" applyNumberFormat="1" applyFont="1" applyFill="1" applyBorder="1" applyAlignment="1" applyProtection="1">
      <alignment horizontal="right"/>
      <protection hidden="1"/>
    </xf>
    <xf numFmtId="37" fontId="4" fillId="3" borderId="0" xfId="0" applyNumberFormat="1" applyFont="1" applyFill="1" applyBorder="1" applyProtection="1">
      <protection hidden="1"/>
    </xf>
    <xf numFmtId="182" fontId="13" fillId="3" borderId="0" xfId="0" applyNumberFormat="1" applyFont="1" applyFill="1" applyBorder="1" applyAlignment="1" applyProtection="1">
      <alignment horizontal="center" vertical="center"/>
      <protection hidden="1"/>
    </xf>
    <xf numFmtId="0" fontId="9" fillId="3" borderId="0" xfId="0" applyFont="1" applyFill="1" applyBorder="1" applyProtection="1">
      <protection hidden="1"/>
    </xf>
    <xf numFmtId="182" fontId="9" fillId="3" borderId="0" xfId="0" applyNumberFormat="1" applyFont="1" applyFill="1" applyBorder="1" applyProtection="1">
      <protection hidden="1"/>
    </xf>
    <xf numFmtId="0" fontId="7" fillId="0" borderId="0" xfId="0" applyFont="1" applyFill="1" applyBorder="1" applyProtection="1">
      <protection hidden="1"/>
    </xf>
    <xf numFmtId="37" fontId="13" fillId="3" borderId="0" xfId="0" applyNumberFormat="1" applyFont="1" applyFill="1" applyBorder="1" applyProtection="1">
      <protection hidden="1"/>
    </xf>
    <xf numFmtId="182" fontId="13" fillId="3" borderId="0" xfId="0" applyNumberFormat="1" applyFont="1" applyFill="1" applyBorder="1" applyProtection="1">
      <protection hidden="1"/>
    </xf>
    <xf numFmtId="208" fontId="13" fillId="3" borderId="0" xfId="6" applyNumberFormat="1" applyFont="1" applyFill="1" applyBorder="1" applyProtection="1">
      <protection hidden="1"/>
    </xf>
    <xf numFmtId="37" fontId="13" fillId="3" borderId="0" xfId="0" applyNumberFormat="1" applyFont="1" applyFill="1" applyBorder="1" applyAlignment="1" applyProtection="1">
      <alignment horizontal="left"/>
      <protection hidden="1"/>
    </xf>
    <xf numFmtId="182" fontId="4" fillId="3" borderId="0" xfId="0" applyNumberFormat="1" applyFont="1" applyFill="1" applyBorder="1" applyProtection="1">
      <protection hidden="1"/>
    </xf>
    <xf numFmtId="176" fontId="4" fillId="3" borderId="0" xfId="0" applyNumberFormat="1" applyFont="1" applyFill="1" applyBorder="1" applyProtection="1">
      <protection hidden="1"/>
    </xf>
    <xf numFmtId="176" fontId="33" fillId="0" borderId="0" xfId="0" applyNumberFormat="1" applyFont="1" applyFill="1" applyBorder="1" applyProtection="1">
      <protection hidden="1"/>
    </xf>
    <xf numFmtId="37" fontId="34" fillId="0" borderId="0" xfId="0" applyNumberFormat="1" applyFont="1" applyFill="1" applyBorder="1" applyProtection="1">
      <protection hidden="1"/>
    </xf>
    <xf numFmtId="37" fontId="33" fillId="0" borderId="0" xfId="0" applyNumberFormat="1" applyFont="1" applyFill="1" applyBorder="1" applyProtection="1">
      <protection hidden="1"/>
    </xf>
    <xf numFmtId="0" fontId="35" fillId="0" borderId="0" xfId="0" applyFont="1" applyFill="1" applyBorder="1" applyProtection="1">
      <protection hidden="1"/>
    </xf>
    <xf numFmtId="3" fontId="36" fillId="0" borderId="0" xfId="0" applyNumberFormat="1" applyFont="1" applyFill="1" applyBorder="1" applyProtection="1">
      <protection hidden="1"/>
    </xf>
    <xf numFmtId="199" fontId="9" fillId="0" borderId="0" xfId="0" applyNumberFormat="1" applyFont="1" applyFill="1" applyBorder="1" applyProtection="1">
      <protection hidden="1"/>
    </xf>
    <xf numFmtId="3" fontId="9" fillId="0" borderId="0" xfId="0" applyNumberFormat="1" applyFont="1" applyFill="1" applyBorder="1" applyProtection="1">
      <protection hidden="1"/>
    </xf>
    <xf numFmtId="0" fontId="15" fillId="0" borderId="0" xfId="0" applyFont="1" applyFill="1" applyBorder="1" applyProtection="1">
      <protection hidden="1"/>
    </xf>
    <xf numFmtId="0" fontId="37" fillId="0" borderId="0" xfId="0" applyFont="1" applyFill="1" applyBorder="1" applyProtection="1">
      <protection hidden="1"/>
    </xf>
    <xf numFmtId="3" fontId="35" fillId="0" borderId="0" xfId="0" applyNumberFormat="1" applyFont="1" applyFill="1" applyBorder="1" applyProtection="1">
      <protection hidden="1"/>
    </xf>
    <xf numFmtId="199" fontId="15" fillId="0" borderId="0" xfId="0" applyNumberFormat="1" applyFont="1" applyFill="1" applyBorder="1" applyProtection="1">
      <protection hidden="1"/>
    </xf>
    <xf numFmtId="199" fontId="35" fillId="0" borderId="0" xfId="0" applyNumberFormat="1" applyFont="1" applyFill="1" applyBorder="1" applyProtection="1">
      <protection hidden="1"/>
    </xf>
    <xf numFmtId="209" fontId="36" fillId="0" borderId="0" xfId="0" applyNumberFormat="1" applyFont="1" applyFill="1" applyBorder="1" applyProtection="1">
      <protection hidden="1"/>
    </xf>
    <xf numFmtId="209" fontId="35" fillId="0" borderId="0" xfId="0" applyNumberFormat="1" applyFont="1" applyFill="1" applyBorder="1" applyProtection="1">
      <protection hidden="1"/>
    </xf>
    <xf numFmtId="12" fontId="35" fillId="0" borderId="0" xfId="0" applyNumberFormat="1" applyFont="1" applyFill="1" applyBorder="1" applyProtection="1">
      <protection hidden="1"/>
    </xf>
    <xf numFmtId="2" fontId="15" fillId="0" borderId="0" xfId="0" applyNumberFormat="1" applyFont="1" applyFill="1" applyBorder="1" applyProtection="1">
      <protection hidden="1"/>
    </xf>
    <xf numFmtId="2" fontId="35" fillId="0" borderId="0" xfId="0" applyNumberFormat="1" applyFont="1" applyFill="1" applyBorder="1" applyProtection="1">
      <protection hidden="1"/>
    </xf>
    <xf numFmtId="199" fontId="40" fillId="0" borderId="0" xfId="0" applyNumberFormat="1" applyFont="1" applyFill="1" applyBorder="1" applyProtection="1">
      <protection hidden="1"/>
    </xf>
    <xf numFmtId="185" fontId="36" fillId="0" borderId="0" xfId="2" applyNumberFormat="1" applyFont="1" applyFill="1" applyBorder="1" applyProtection="1">
      <protection hidden="1"/>
    </xf>
    <xf numFmtId="185" fontId="35" fillId="0" borderId="0" xfId="2" applyNumberFormat="1" applyFont="1" applyFill="1" applyBorder="1" applyProtection="1">
      <protection hidden="1"/>
    </xf>
    <xf numFmtId="37" fontId="9" fillId="0" borderId="0" xfId="0" applyNumberFormat="1" applyFont="1" applyFill="1" applyBorder="1" applyProtection="1">
      <protection hidden="1"/>
    </xf>
    <xf numFmtId="37" fontId="5" fillId="0" borderId="0" xfId="0" applyNumberFormat="1" applyFont="1" applyFill="1" applyBorder="1" applyAlignment="1" applyProtection="1">
      <alignment horizontal="left"/>
      <protection hidden="1"/>
    </xf>
    <xf numFmtId="37" fontId="32" fillId="0" borderId="0" xfId="0" applyNumberFormat="1" applyFont="1" applyFill="1" applyBorder="1" applyAlignment="1" applyProtection="1">
      <alignment horizontal="center" vertical="center" wrapText="1"/>
      <protection hidden="1"/>
    </xf>
    <xf numFmtId="0" fontId="15" fillId="0" borderId="0" xfId="0" applyFont="1"/>
    <xf numFmtId="0" fontId="61" fillId="0" borderId="0" xfId="0" applyFont="1"/>
    <xf numFmtId="0" fontId="15" fillId="0" borderId="0" xfId="0" applyFont="1" applyAlignment="1">
      <alignment wrapText="1"/>
    </xf>
    <xf numFmtId="0" fontId="0" fillId="0" borderId="0" xfId="0" applyAlignment="1">
      <alignment wrapText="1"/>
    </xf>
    <xf numFmtId="0" fontId="15" fillId="0" borderId="0" xfId="0" applyFont="1" applyAlignment="1">
      <alignment wrapText="1" shrinkToFit="1"/>
    </xf>
    <xf numFmtId="0" fontId="13" fillId="0" borderId="0" xfId="0" applyFont="1"/>
    <xf numFmtId="0" fontId="13" fillId="0" borderId="0" xfId="0" applyFont="1" applyAlignment="1">
      <alignment horizontal="justify"/>
    </xf>
    <xf numFmtId="37" fontId="4" fillId="0" borderId="10" xfId="0" applyNumberFormat="1" applyFont="1" applyFill="1" applyBorder="1" applyAlignment="1" applyProtection="1">
      <alignment horizontal="right"/>
      <protection hidden="1"/>
    </xf>
    <xf numFmtId="0" fontId="63" fillId="2" borderId="0" xfId="0" applyFont="1" applyFill="1" applyAlignment="1" applyProtection="1">
      <alignment horizontal="left"/>
      <protection hidden="1"/>
    </xf>
    <xf numFmtId="0" fontId="63" fillId="2" borderId="0" xfId="0" applyFont="1" applyFill="1" applyProtection="1">
      <protection hidden="1"/>
    </xf>
    <xf numFmtId="37" fontId="63" fillId="2" borderId="0" xfId="0" applyNumberFormat="1" applyFont="1" applyFill="1" applyProtection="1">
      <protection hidden="1"/>
    </xf>
    <xf numFmtId="10" fontId="63" fillId="2" borderId="0" xfId="0" applyNumberFormat="1" applyFont="1" applyFill="1" applyProtection="1">
      <protection hidden="1"/>
    </xf>
    <xf numFmtId="0" fontId="63" fillId="2" borderId="0" xfId="0" applyFont="1" applyFill="1" applyAlignment="1" applyProtection="1">
      <alignment horizontal="fill"/>
      <protection hidden="1"/>
    </xf>
    <xf numFmtId="37" fontId="63" fillId="2" borderId="0" xfId="0" applyNumberFormat="1" applyFont="1" applyFill="1" applyAlignment="1" applyProtection="1">
      <alignment horizontal="fill"/>
      <protection hidden="1"/>
    </xf>
    <xf numFmtId="204" fontId="63" fillId="2" borderId="0" xfId="0" applyNumberFormat="1" applyFont="1" applyFill="1" applyAlignment="1" applyProtection="1">
      <alignment horizontal="fill"/>
      <protection hidden="1"/>
    </xf>
    <xf numFmtId="0" fontId="63" fillId="2" borderId="0" xfId="0" applyFont="1" applyFill="1" applyAlignment="1" applyProtection="1">
      <alignment horizontal="center"/>
      <protection hidden="1"/>
    </xf>
    <xf numFmtId="37" fontId="63" fillId="2" borderId="0" xfId="0" applyNumberFormat="1" applyFont="1" applyFill="1" applyAlignment="1" applyProtection="1">
      <alignment horizontal="center"/>
      <protection hidden="1"/>
    </xf>
    <xf numFmtId="204" fontId="63" fillId="2" borderId="0" xfId="0" applyNumberFormat="1" applyFont="1" applyFill="1" applyAlignment="1" applyProtection="1">
      <alignment horizontal="center"/>
      <protection hidden="1"/>
    </xf>
    <xf numFmtId="1" fontId="63" fillId="2" borderId="0" xfId="0" applyNumberFormat="1" applyFont="1" applyFill="1" applyProtection="1">
      <protection hidden="1"/>
    </xf>
    <xf numFmtId="204" fontId="63" fillId="2" borderId="0" xfId="0" applyNumberFormat="1" applyFont="1" applyFill="1" applyProtection="1">
      <protection hidden="1"/>
    </xf>
    <xf numFmtId="37" fontId="63" fillId="2" borderId="0" xfId="0" applyNumberFormat="1" applyFont="1" applyFill="1" applyAlignment="1" applyProtection="1">
      <alignment horizontal="left"/>
      <protection hidden="1"/>
    </xf>
    <xf numFmtId="204" fontId="63" fillId="2" borderId="0" xfId="0" applyNumberFormat="1" applyFont="1" applyFill="1" applyAlignment="1" applyProtection="1">
      <alignment horizontal="left"/>
      <protection hidden="1"/>
    </xf>
    <xf numFmtId="3" fontId="63" fillId="2" borderId="0" xfId="0" applyNumberFormat="1" applyFont="1" applyFill="1" applyProtection="1">
      <protection hidden="1"/>
    </xf>
    <xf numFmtId="37" fontId="63" fillId="2" borderId="0" xfId="0" applyNumberFormat="1" applyFont="1" applyFill="1" applyAlignment="1" applyProtection="1">
      <alignment horizontal="right"/>
      <protection hidden="1"/>
    </xf>
    <xf numFmtId="39" fontId="63" fillId="2" borderId="0" xfId="0" applyNumberFormat="1" applyFont="1" applyFill="1" applyProtection="1">
      <protection hidden="1"/>
    </xf>
    <xf numFmtId="37" fontId="63" fillId="4" borderId="0" xfId="0" applyNumberFormat="1" applyFont="1" applyFill="1" applyProtection="1">
      <protection hidden="1"/>
    </xf>
    <xf numFmtId="10" fontId="63" fillId="2" borderId="0" xfId="13" applyNumberFormat="1" applyFont="1" applyFill="1" applyProtection="1">
      <protection hidden="1"/>
    </xf>
    <xf numFmtId="0" fontId="44" fillId="0" borderId="0" xfId="0" applyFont="1" applyFill="1" applyProtection="1">
      <protection hidden="1"/>
    </xf>
    <xf numFmtId="37" fontId="45" fillId="0" borderId="0" xfId="0" applyNumberFormat="1" applyFont="1" applyFill="1" applyAlignment="1" applyProtection="1">
      <alignment horizontal="left"/>
      <protection hidden="1"/>
    </xf>
    <xf numFmtId="37" fontId="44" fillId="0" borderId="0" xfId="0" applyNumberFormat="1" applyFont="1" applyFill="1" applyAlignment="1" applyProtection="1">
      <alignment horizontal="left"/>
      <protection hidden="1"/>
    </xf>
    <xf numFmtId="37" fontId="47" fillId="0" borderId="0" xfId="0" applyNumberFormat="1" applyFont="1" applyFill="1" applyAlignment="1" applyProtection="1">
      <alignment horizontal="left"/>
      <protection hidden="1"/>
    </xf>
    <xf numFmtId="0" fontId="47" fillId="0" borderId="0" xfId="0" applyFont="1" applyFill="1" applyAlignment="1" applyProtection="1">
      <alignment horizontal="left"/>
      <protection hidden="1"/>
    </xf>
    <xf numFmtId="37" fontId="47" fillId="0" borderId="10" xfId="0" applyNumberFormat="1" applyFont="1" applyFill="1" applyBorder="1" applyAlignment="1" applyProtection="1">
      <alignment horizontal="left"/>
      <protection hidden="1"/>
    </xf>
    <xf numFmtId="0" fontId="47" fillId="0" borderId="10" xfId="0" applyFont="1" applyFill="1" applyBorder="1" applyAlignment="1" applyProtection="1">
      <alignment horizontal="left"/>
      <protection hidden="1"/>
    </xf>
    <xf numFmtId="0" fontId="10" fillId="5" borderId="0" xfId="12" applyFont="1" applyFill="1" applyProtection="1">
      <protection hidden="1"/>
    </xf>
    <xf numFmtId="37" fontId="9" fillId="3" borderId="10" xfId="0" applyNumberFormat="1" applyFont="1" applyFill="1" applyBorder="1" applyAlignment="1" applyProtection="1">
      <alignment horizontal="left"/>
      <protection hidden="1"/>
    </xf>
    <xf numFmtId="0" fontId="10" fillId="3" borderId="11" xfId="0" applyFont="1" applyFill="1" applyBorder="1" applyAlignment="1" applyProtection="1">
      <protection hidden="1"/>
    </xf>
    <xf numFmtId="0" fontId="10" fillId="3" borderId="12" xfId="0" applyFont="1" applyFill="1" applyBorder="1" applyAlignment="1" applyProtection="1">
      <protection hidden="1"/>
    </xf>
    <xf numFmtId="17" fontId="6" fillId="0" borderId="4" xfId="0" applyNumberFormat="1" applyFont="1" applyFill="1" applyBorder="1" applyAlignment="1" applyProtection="1">
      <alignment horizontal="center"/>
      <protection hidden="1"/>
    </xf>
    <xf numFmtId="37" fontId="6" fillId="0" borderId="6" xfId="0" applyNumberFormat="1" applyFont="1" applyFill="1" applyBorder="1" applyAlignment="1" applyProtection="1">
      <alignment horizontal="center"/>
      <protection hidden="1"/>
    </xf>
    <xf numFmtId="38" fontId="4" fillId="6" borderId="2" xfId="0" applyNumberFormat="1" applyFont="1" applyFill="1" applyBorder="1" applyProtection="1">
      <protection hidden="1"/>
    </xf>
    <xf numFmtId="10" fontId="4" fillId="6" borderId="2" xfId="13" applyNumberFormat="1" applyFont="1" applyFill="1" applyBorder="1" applyProtection="1">
      <protection hidden="1"/>
    </xf>
    <xf numFmtId="9" fontId="4" fillId="0" borderId="2" xfId="13" applyFont="1" applyFill="1" applyBorder="1" applyProtection="1">
      <protection hidden="1"/>
    </xf>
    <xf numFmtId="37" fontId="4" fillId="6" borderId="2" xfId="0" applyNumberFormat="1" applyFont="1" applyFill="1" applyBorder="1" applyProtection="1">
      <protection hidden="1"/>
    </xf>
    <xf numFmtId="37" fontId="14" fillId="0" borderId="2" xfId="0" applyNumberFormat="1" applyFont="1" applyFill="1" applyBorder="1" applyProtection="1">
      <protection hidden="1"/>
    </xf>
    <xf numFmtId="37" fontId="15" fillId="0" borderId="8" xfId="0" applyNumberFormat="1" applyFont="1" applyFill="1" applyBorder="1" applyProtection="1">
      <protection hidden="1"/>
    </xf>
    <xf numFmtId="37" fontId="4" fillId="0" borderId="8" xfId="0" applyNumberFormat="1" applyFont="1" applyFill="1" applyBorder="1" applyProtection="1">
      <protection hidden="1"/>
    </xf>
    <xf numFmtId="10" fontId="4" fillId="0" borderId="2" xfId="13" applyNumberFormat="1" applyFont="1" applyFill="1" applyBorder="1" applyProtection="1">
      <protection hidden="1"/>
    </xf>
    <xf numFmtId="37" fontId="4" fillId="2" borderId="2" xfId="0" applyNumberFormat="1" applyFont="1" applyFill="1" applyBorder="1" applyProtection="1">
      <protection hidden="1"/>
    </xf>
    <xf numFmtId="37" fontId="2" fillId="7" borderId="0" xfId="0" applyNumberFormat="1" applyFont="1" applyFill="1" applyAlignment="1" applyProtection="1">
      <alignment horizontal="centerContinuous"/>
      <protection hidden="1"/>
    </xf>
    <xf numFmtId="37" fontId="3" fillId="7" borderId="0" xfId="0" applyNumberFormat="1" applyFont="1" applyFill="1" applyAlignment="1" applyProtection="1">
      <alignment horizontal="centerContinuous"/>
      <protection hidden="1"/>
    </xf>
    <xf numFmtId="37" fontId="4" fillId="7" borderId="0" xfId="0" applyNumberFormat="1" applyFont="1" applyFill="1" applyAlignment="1" applyProtection="1">
      <alignment horizontal="centerContinuous"/>
      <protection hidden="1"/>
    </xf>
    <xf numFmtId="37" fontId="5" fillId="7" borderId="0" xfId="0" applyNumberFormat="1" applyFont="1" applyFill="1" applyAlignment="1" applyProtection="1">
      <alignment horizontal="left"/>
      <protection hidden="1"/>
    </xf>
    <xf numFmtId="37" fontId="4" fillId="7" borderId="0" xfId="0" applyNumberFormat="1" applyFont="1" applyFill="1" applyAlignment="1" applyProtection="1">
      <alignment horizontal="fill"/>
      <protection hidden="1"/>
    </xf>
    <xf numFmtId="37" fontId="4" fillId="7" borderId="0" xfId="0" applyNumberFormat="1" applyFont="1" applyFill="1" applyProtection="1">
      <protection hidden="1"/>
    </xf>
    <xf numFmtId="0" fontId="4" fillId="7" borderId="0" xfId="0" applyFont="1" applyFill="1" applyProtection="1">
      <protection hidden="1"/>
    </xf>
    <xf numFmtId="10" fontId="4" fillId="7" borderId="0" xfId="13" applyNumberFormat="1" applyFont="1" applyFill="1" applyProtection="1">
      <protection hidden="1"/>
    </xf>
    <xf numFmtId="37" fontId="12" fillId="7" borderId="0" xfId="0" applyNumberFormat="1" applyFont="1" applyFill="1" applyAlignment="1" applyProtection="1">
      <alignment horizontal="fill"/>
      <protection hidden="1"/>
    </xf>
    <xf numFmtId="0" fontId="65" fillId="7" borderId="0" xfId="0" applyFont="1" applyFill="1" applyProtection="1">
      <protection hidden="1"/>
    </xf>
    <xf numFmtId="0" fontId="4" fillId="7" borderId="0" xfId="0" applyFont="1" applyFill="1" applyBorder="1" applyProtection="1">
      <protection hidden="1"/>
    </xf>
    <xf numFmtId="37" fontId="66" fillId="0" borderId="0" xfId="0" applyNumberFormat="1" applyFont="1" applyFill="1" applyAlignment="1" applyProtection="1">
      <alignment horizontal="left"/>
      <protection hidden="1"/>
    </xf>
    <xf numFmtId="37" fontId="12" fillId="7" borderId="0" xfId="0" applyNumberFormat="1" applyFont="1" applyFill="1" applyProtection="1">
      <protection hidden="1"/>
    </xf>
    <xf numFmtId="10" fontId="12" fillId="7" borderId="0" xfId="0" applyNumberFormat="1" applyFont="1" applyFill="1" applyProtection="1">
      <protection hidden="1"/>
    </xf>
    <xf numFmtId="37" fontId="4" fillId="7" borderId="0" xfId="0" applyNumberFormat="1" applyFont="1" applyFill="1" applyBorder="1" applyProtection="1">
      <protection hidden="1"/>
    </xf>
    <xf numFmtId="9" fontId="4" fillId="7" borderId="0" xfId="13" applyFont="1" applyFill="1" applyBorder="1" applyProtection="1">
      <protection hidden="1"/>
    </xf>
    <xf numFmtId="37" fontId="6" fillId="7" borderId="0" xfId="0" applyNumberFormat="1" applyFont="1" applyFill="1" applyBorder="1" applyAlignment="1" applyProtection="1">
      <alignment vertical="center" wrapText="1"/>
      <protection hidden="1"/>
    </xf>
    <xf numFmtId="9" fontId="4" fillId="7" borderId="0" xfId="13" applyFont="1" applyFill="1" applyBorder="1" applyAlignment="1" applyProtection="1">
      <protection hidden="1"/>
    </xf>
    <xf numFmtId="9" fontId="4" fillId="7" borderId="0" xfId="0" applyNumberFormat="1" applyFont="1" applyFill="1" applyBorder="1" applyAlignment="1" applyProtection="1">
      <protection hidden="1"/>
    </xf>
    <xf numFmtId="37" fontId="67" fillId="7" borderId="0" xfId="0" applyNumberFormat="1" applyFont="1" applyFill="1" applyBorder="1" applyProtection="1">
      <protection hidden="1"/>
    </xf>
    <xf numFmtId="38" fontId="4" fillId="0" borderId="2" xfId="0" applyNumberFormat="1" applyFont="1" applyFill="1" applyBorder="1" applyProtection="1">
      <protection hidden="1"/>
    </xf>
    <xf numFmtId="37" fontId="65" fillId="7" borderId="0" xfId="0" applyNumberFormat="1" applyFont="1" applyFill="1" applyProtection="1">
      <protection hidden="1"/>
    </xf>
    <xf numFmtId="37" fontId="65" fillId="7" borderId="0" xfId="0" applyNumberFormat="1" applyFont="1" applyFill="1" applyAlignment="1" applyProtection="1">
      <alignment horizontal="left"/>
      <protection hidden="1"/>
    </xf>
    <xf numFmtId="37" fontId="65" fillId="7" borderId="0" xfId="0" applyNumberFormat="1" applyFont="1" applyFill="1" applyAlignment="1" applyProtection="1">
      <alignment horizontal="fill"/>
      <protection hidden="1"/>
    </xf>
    <xf numFmtId="10" fontId="65" fillId="7" borderId="0" xfId="0" applyNumberFormat="1" applyFont="1" applyFill="1" applyProtection="1">
      <protection hidden="1"/>
    </xf>
    <xf numFmtId="194" fontId="65" fillId="7" borderId="0" xfId="13" applyNumberFormat="1" applyFont="1" applyFill="1" applyProtection="1">
      <protection hidden="1"/>
    </xf>
    <xf numFmtId="195" fontId="65" fillId="7" borderId="0" xfId="0" applyNumberFormat="1" applyFont="1" applyFill="1" applyProtection="1">
      <protection hidden="1"/>
    </xf>
    <xf numFmtId="0" fontId="65" fillId="7" borderId="0" xfId="0" quotePrefix="1" applyFont="1" applyFill="1" applyProtection="1">
      <protection hidden="1"/>
    </xf>
    <xf numFmtId="14" fontId="65" fillId="7" borderId="0" xfId="0" applyNumberFormat="1" applyFont="1" applyFill="1" applyProtection="1">
      <protection hidden="1"/>
    </xf>
    <xf numFmtId="196" fontId="65" fillId="7" borderId="0" xfId="0" applyNumberFormat="1" applyFont="1" applyFill="1" applyProtection="1">
      <protection hidden="1"/>
    </xf>
    <xf numFmtId="194" fontId="4" fillId="7" borderId="0" xfId="13" applyNumberFormat="1" applyFont="1" applyFill="1" applyBorder="1" applyProtection="1">
      <protection hidden="1"/>
    </xf>
    <xf numFmtId="37" fontId="5" fillId="0" borderId="2" xfId="0" applyNumberFormat="1" applyFont="1" applyFill="1" applyBorder="1" applyAlignment="1" applyProtection="1">
      <alignment horizontal="center"/>
      <protection hidden="1"/>
    </xf>
    <xf numFmtId="198" fontId="65" fillId="7" borderId="0" xfId="0" applyNumberFormat="1" applyFont="1" applyFill="1" applyProtection="1">
      <protection hidden="1"/>
    </xf>
    <xf numFmtId="37" fontId="68" fillId="0" borderId="5" xfId="0" applyNumberFormat="1" applyFont="1" applyFill="1" applyBorder="1" applyAlignment="1" applyProtection="1">
      <alignment horizontal="center"/>
      <protection hidden="1"/>
    </xf>
    <xf numFmtId="39" fontId="4" fillId="7" borderId="0" xfId="0" applyNumberFormat="1" applyFont="1" applyFill="1" applyAlignment="1" applyProtection="1">
      <alignment horizontal="fill"/>
      <protection hidden="1"/>
    </xf>
    <xf numFmtId="37" fontId="4" fillId="7" borderId="0" xfId="0" applyNumberFormat="1" applyFont="1" applyFill="1" applyBorder="1" applyAlignment="1" applyProtection="1">
      <alignment horizontal="fill"/>
      <protection hidden="1"/>
    </xf>
    <xf numFmtId="37" fontId="67" fillId="7" borderId="0" xfId="0" applyNumberFormat="1" applyFont="1" applyFill="1" applyBorder="1" applyAlignment="1" applyProtection="1">
      <alignment horizontal="left"/>
      <protection hidden="1"/>
    </xf>
    <xf numFmtId="37" fontId="65" fillId="7" borderId="0" xfId="0" applyNumberFormat="1" applyFont="1" applyFill="1" applyBorder="1" applyAlignment="1" applyProtection="1">
      <alignment horizontal="fill"/>
      <protection hidden="1"/>
    </xf>
    <xf numFmtId="38" fontId="65" fillId="7" borderId="0" xfId="0" applyNumberFormat="1" applyFont="1" applyFill="1" applyBorder="1" applyProtection="1">
      <protection hidden="1"/>
    </xf>
    <xf numFmtId="39" fontId="65" fillId="7" borderId="0" xfId="0" applyNumberFormat="1" applyFont="1" applyFill="1" applyAlignment="1" applyProtection="1">
      <alignment horizontal="fill"/>
      <protection hidden="1"/>
    </xf>
    <xf numFmtId="37" fontId="6" fillId="7" borderId="13" xfId="0" applyNumberFormat="1" applyFont="1" applyFill="1" applyBorder="1" applyAlignment="1" applyProtection="1">
      <alignment horizontal="left"/>
      <protection hidden="1"/>
    </xf>
    <xf numFmtId="37" fontId="4" fillId="7" borderId="13" xfId="0" applyNumberFormat="1" applyFont="1" applyFill="1" applyBorder="1" applyAlignment="1" applyProtection="1">
      <alignment horizontal="fill"/>
      <protection hidden="1"/>
    </xf>
    <xf numFmtId="9" fontId="4" fillId="7" borderId="13" xfId="13" applyFont="1" applyFill="1" applyBorder="1" applyProtection="1">
      <protection hidden="1"/>
    </xf>
    <xf numFmtId="9" fontId="4" fillId="7" borderId="13" xfId="0" applyNumberFormat="1" applyFont="1" applyFill="1" applyBorder="1" applyProtection="1">
      <protection hidden="1"/>
    </xf>
    <xf numFmtId="9" fontId="65" fillId="7" borderId="0" xfId="13" applyFont="1" applyFill="1" applyBorder="1" applyProtection="1">
      <protection hidden="1"/>
    </xf>
    <xf numFmtId="9" fontId="65" fillId="7" borderId="0" xfId="0" applyNumberFormat="1" applyFont="1" applyFill="1" applyBorder="1" applyProtection="1">
      <protection hidden="1"/>
    </xf>
    <xf numFmtId="197" fontId="65" fillId="7" borderId="0" xfId="0" applyNumberFormat="1" applyFont="1" applyFill="1" applyProtection="1">
      <protection hidden="1"/>
    </xf>
    <xf numFmtId="197" fontId="65" fillId="7" borderId="0" xfId="0" applyNumberFormat="1" applyFont="1" applyFill="1" applyAlignment="1" applyProtection="1">
      <alignment horizontal="left"/>
      <protection hidden="1"/>
    </xf>
    <xf numFmtId="1" fontId="65" fillId="7" borderId="0" xfId="13" applyNumberFormat="1" applyFont="1" applyFill="1" applyProtection="1">
      <protection hidden="1"/>
    </xf>
    <xf numFmtId="1" fontId="65" fillId="7" borderId="0" xfId="0" applyNumberFormat="1" applyFont="1" applyFill="1" applyProtection="1">
      <protection hidden="1"/>
    </xf>
    <xf numFmtId="2" fontId="65" fillId="7" borderId="0" xfId="0" applyNumberFormat="1" applyFont="1" applyFill="1" applyProtection="1">
      <protection hidden="1"/>
    </xf>
    <xf numFmtId="37" fontId="67" fillId="7" borderId="0" xfId="0" applyNumberFormat="1" applyFont="1" applyFill="1" applyAlignment="1" applyProtection="1">
      <alignment horizontal="center"/>
      <protection hidden="1"/>
    </xf>
    <xf numFmtId="0" fontId="67" fillId="7" borderId="0" xfId="0" applyFont="1" applyFill="1" applyAlignment="1" applyProtection="1">
      <alignment horizontal="center"/>
      <protection hidden="1"/>
    </xf>
    <xf numFmtId="2" fontId="67" fillId="7" borderId="0" xfId="0" applyNumberFormat="1" applyFont="1" applyFill="1" applyAlignment="1" applyProtection="1">
      <alignment horizontal="center"/>
      <protection hidden="1"/>
    </xf>
    <xf numFmtId="37" fontId="4" fillId="2" borderId="0" xfId="0" applyNumberFormat="1" applyFont="1" applyFill="1" applyAlignment="1" applyProtection="1">
      <alignment horizontal="fill"/>
      <protection hidden="1"/>
    </xf>
    <xf numFmtId="37" fontId="65" fillId="2" borderId="0" xfId="0" applyNumberFormat="1" applyFont="1" applyFill="1" applyAlignment="1" applyProtection="1">
      <alignment horizontal="fill"/>
      <protection hidden="1"/>
    </xf>
    <xf numFmtId="198" fontId="14" fillId="2" borderId="14" xfId="0" applyNumberFormat="1" applyFont="1" applyFill="1" applyBorder="1" applyProtection="1">
      <protection hidden="1"/>
    </xf>
    <xf numFmtId="198" fontId="14" fillId="2" borderId="4" xfId="0" applyNumberFormat="1" applyFont="1" applyFill="1" applyBorder="1" applyProtection="1">
      <protection hidden="1"/>
    </xf>
    <xf numFmtId="0" fontId="4" fillId="7" borderId="0" xfId="0" applyFont="1" applyFill="1" applyBorder="1" applyAlignment="1" applyProtection="1">
      <alignment horizontal="center" wrapText="1"/>
      <protection hidden="1"/>
    </xf>
    <xf numFmtId="0" fontId="4" fillId="7" borderId="0" xfId="0" applyFont="1" applyFill="1" applyAlignment="1" applyProtection="1">
      <alignment wrapText="1"/>
      <protection hidden="1"/>
    </xf>
    <xf numFmtId="0" fontId="4" fillId="7" borderId="0" xfId="0" applyNumberFormat="1" applyFont="1" applyFill="1" applyProtection="1">
      <protection hidden="1"/>
    </xf>
    <xf numFmtId="0" fontId="11" fillId="7" borderId="0" xfId="10" applyNumberFormat="1" applyFont="1" applyFill="1" applyProtection="1">
      <protection hidden="1"/>
    </xf>
    <xf numFmtId="49" fontId="4" fillId="7" borderId="0" xfId="0" applyNumberFormat="1" applyFont="1" applyFill="1" applyProtection="1">
      <protection hidden="1"/>
    </xf>
    <xf numFmtId="0" fontId="4" fillId="7" borderId="13" xfId="0" applyFont="1" applyFill="1" applyBorder="1" applyProtection="1">
      <protection hidden="1"/>
    </xf>
    <xf numFmtId="37" fontId="14" fillId="7" borderId="0" xfId="0" applyNumberFormat="1" applyFont="1" applyFill="1" applyBorder="1" applyProtection="1">
      <protection hidden="1"/>
    </xf>
    <xf numFmtId="37" fontId="65" fillId="7" borderId="0" xfId="0" applyNumberFormat="1" applyFont="1" applyFill="1" applyBorder="1" applyProtection="1">
      <protection hidden="1"/>
    </xf>
    <xf numFmtId="42" fontId="65" fillId="7" borderId="0" xfId="0" applyNumberFormat="1" applyFont="1" applyFill="1" applyBorder="1" applyProtection="1">
      <protection hidden="1"/>
    </xf>
    <xf numFmtId="10" fontId="65" fillId="7" borderId="0" xfId="13" applyNumberFormat="1" applyFont="1" applyFill="1" applyBorder="1" applyProtection="1">
      <protection hidden="1"/>
    </xf>
    <xf numFmtId="37" fontId="65" fillId="7" borderId="8" xfId="0" applyNumberFormat="1" applyFont="1" applyFill="1" applyBorder="1" applyProtection="1">
      <protection hidden="1"/>
    </xf>
    <xf numFmtId="42" fontId="65" fillId="7" borderId="8" xfId="0" applyNumberFormat="1" applyFont="1" applyFill="1" applyBorder="1" applyProtection="1">
      <protection hidden="1"/>
    </xf>
    <xf numFmtId="10" fontId="65" fillId="7" borderId="8" xfId="13" applyNumberFormat="1" applyFont="1" applyFill="1" applyBorder="1" applyProtection="1">
      <protection hidden="1"/>
    </xf>
    <xf numFmtId="37" fontId="15" fillId="7" borderId="0" xfId="0" applyNumberFormat="1" applyFont="1" applyFill="1" applyProtection="1">
      <protection hidden="1"/>
    </xf>
    <xf numFmtId="0" fontId="4" fillId="7" borderId="0" xfId="0" applyNumberFormat="1" applyFont="1" applyFill="1" applyAlignment="1" applyProtection="1">
      <alignment horizontal="right"/>
      <protection hidden="1"/>
    </xf>
    <xf numFmtId="37" fontId="4" fillId="7" borderId="8" xfId="0" applyNumberFormat="1" applyFont="1" applyFill="1" applyBorder="1" applyProtection="1">
      <protection hidden="1"/>
    </xf>
    <xf numFmtId="0" fontId="4" fillId="7" borderId="0" xfId="0" applyFont="1" applyFill="1" applyAlignment="1" applyProtection="1">
      <alignment horizontal="fill"/>
      <protection hidden="1"/>
    </xf>
    <xf numFmtId="0" fontId="14" fillId="7" borderId="0" xfId="0" applyFont="1" applyFill="1" applyBorder="1" applyProtection="1">
      <protection hidden="1"/>
    </xf>
    <xf numFmtId="0" fontId="23" fillId="7" borderId="0" xfId="0" applyFont="1" applyFill="1" applyBorder="1" applyAlignment="1" applyProtection="1">
      <alignment horizontal="left"/>
      <protection hidden="1"/>
    </xf>
    <xf numFmtId="0" fontId="23" fillId="7" borderId="0" xfId="0" applyFont="1" applyFill="1" applyBorder="1" applyProtection="1">
      <protection hidden="1"/>
    </xf>
    <xf numFmtId="0" fontId="23" fillId="7" borderId="0" xfId="0" applyFont="1" applyFill="1" applyProtection="1">
      <protection hidden="1"/>
    </xf>
    <xf numFmtId="0" fontId="25" fillId="7" borderId="0" xfId="0" applyFont="1" applyFill="1" applyBorder="1" applyAlignment="1" applyProtection="1">
      <alignment horizontal="left"/>
      <protection hidden="1"/>
    </xf>
    <xf numFmtId="0" fontId="13" fillId="7" borderId="0" xfId="0" applyFont="1" applyFill="1" applyBorder="1" applyAlignment="1" applyProtection="1">
      <alignment horizontal="left"/>
      <protection hidden="1"/>
    </xf>
    <xf numFmtId="0" fontId="13" fillId="7" borderId="0" xfId="0" applyFont="1" applyFill="1" applyBorder="1" applyProtection="1">
      <protection hidden="1"/>
    </xf>
    <xf numFmtId="0" fontId="4" fillId="7" borderId="0" xfId="0" applyFont="1" applyFill="1" applyBorder="1" applyAlignment="1" applyProtection="1">
      <alignment horizontal="left"/>
      <protection hidden="1"/>
    </xf>
    <xf numFmtId="0" fontId="4" fillId="7" borderId="0" xfId="0" applyFont="1" applyFill="1" applyAlignment="1" applyProtection="1">
      <alignment horizontal="left"/>
      <protection hidden="1"/>
    </xf>
    <xf numFmtId="0" fontId="19" fillId="7" borderId="0" xfId="0" applyFont="1" applyFill="1" applyAlignment="1" applyProtection="1">
      <alignment horizontal="center"/>
      <protection hidden="1"/>
    </xf>
    <xf numFmtId="0" fontId="4" fillId="7" borderId="0" xfId="0" applyFont="1" applyFill="1" applyAlignment="1" applyProtection="1">
      <alignment horizontal="center"/>
      <protection hidden="1"/>
    </xf>
    <xf numFmtId="10" fontId="4" fillId="7" borderId="0" xfId="0" applyNumberFormat="1" applyFont="1" applyFill="1" applyProtection="1">
      <protection hidden="1"/>
    </xf>
    <xf numFmtId="37" fontId="4" fillId="7" borderId="0" xfId="0" applyNumberFormat="1" applyFont="1" applyFill="1" applyBorder="1" applyAlignment="1" applyProtection="1">
      <alignment horizontal="left"/>
      <protection hidden="1"/>
    </xf>
    <xf numFmtId="0" fontId="65" fillId="7" borderId="0" xfId="0" applyFont="1" applyFill="1" applyBorder="1" applyProtection="1">
      <protection hidden="1"/>
    </xf>
    <xf numFmtId="37" fontId="24" fillId="0" borderId="0" xfId="0" applyNumberFormat="1" applyFont="1" applyFill="1" applyBorder="1" applyAlignment="1" applyProtection="1">
      <alignment horizontal="left"/>
      <protection hidden="1"/>
    </xf>
    <xf numFmtId="37" fontId="12" fillId="0" borderId="0" xfId="0" applyNumberFormat="1" applyFont="1" applyFill="1" applyBorder="1" applyProtection="1">
      <protection hidden="1"/>
    </xf>
    <xf numFmtId="0" fontId="69" fillId="7" borderId="0" xfId="0" applyFont="1" applyFill="1" applyBorder="1" applyProtection="1">
      <protection hidden="1"/>
    </xf>
    <xf numFmtId="0" fontId="24" fillId="0" borderId="8" xfId="0" applyFont="1" applyFill="1" applyBorder="1" applyProtection="1">
      <protection hidden="1"/>
    </xf>
    <xf numFmtId="37" fontId="12" fillId="7" borderId="0" xfId="0" applyNumberFormat="1" applyFont="1" applyFill="1" applyBorder="1" applyAlignment="1" applyProtection="1">
      <alignment horizontal="fill"/>
      <protection hidden="1"/>
    </xf>
    <xf numFmtId="39" fontId="4" fillId="7" borderId="0" xfId="0" applyNumberFormat="1" applyFont="1" applyFill="1" applyProtection="1">
      <protection hidden="1"/>
    </xf>
    <xf numFmtId="37" fontId="4" fillId="0" borderId="7" xfId="0" applyNumberFormat="1" applyFont="1" applyFill="1" applyBorder="1" applyProtection="1">
      <protection hidden="1"/>
    </xf>
    <xf numFmtId="0" fontId="6" fillId="0" borderId="3" xfId="0" applyFont="1" applyFill="1" applyBorder="1" applyProtection="1">
      <protection hidden="1"/>
    </xf>
    <xf numFmtId="0" fontId="4" fillId="0" borderId="7" xfId="0" applyFont="1" applyFill="1" applyBorder="1" applyProtection="1">
      <protection hidden="1"/>
    </xf>
    <xf numFmtId="37" fontId="71" fillId="7" borderId="0" xfId="0" applyNumberFormat="1" applyFont="1" applyFill="1" applyAlignment="1" applyProtection="1">
      <alignment horizontal="fill"/>
      <protection hidden="1"/>
    </xf>
    <xf numFmtId="0" fontId="6" fillId="7" borderId="0" xfId="0" applyFont="1" applyFill="1" applyProtection="1">
      <protection hidden="1"/>
    </xf>
    <xf numFmtId="0" fontId="4" fillId="2" borderId="0" xfId="0" applyFont="1" applyFill="1" applyProtection="1">
      <protection hidden="1"/>
    </xf>
    <xf numFmtId="37" fontId="4" fillId="2" borderId="0" xfId="0" applyNumberFormat="1" applyFont="1" applyFill="1" applyProtection="1">
      <protection hidden="1"/>
    </xf>
    <xf numFmtId="9" fontId="4" fillId="2" borderId="0" xfId="13" applyFont="1" applyFill="1" applyProtection="1">
      <protection hidden="1"/>
    </xf>
    <xf numFmtId="0" fontId="44" fillId="5" borderId="0" xfId="12" applyFont="1" applyFill="1" applyProtection="1">
      <protection hidden="1"/>
    </xf>
    <xf numFmtId="0" fontId="72" fillId="5" borderId="0" xfId="12" applyFont="1" applyFill="1" applyAlignment="1" applyProtection="1">
      <alignment horizontal="center" wrapText="1"/>
      <protection locked="0" hidden="1"/>
    </xf>
    <xf numFmtId="0" fontId="75" fillId="2" borderId="0" xfId="0" quotePrefix="1" applyFont="1" applyFill="1" applyProtection="1">
      <protection hidden="1"/>
    </xf>
    <xf numFmtId="37" fontId="71" fillId="2" borderId="0" xfId="0" applyNumberFormat="1" applyFont="1" applyFill="1" applyBorder="1" applyAlignment="1" applyProtection="1">
      <alignment horizontal="fill"/>
      <protection hidden="1"/>
    </xf>
    <xf numFmtId="0" fontId="15" fillId="2" borderId="0" xfId="0" applyNumberFormat="1" applyFont="1" applyFill="1" applyProtection="1">
      <protection hidden="1"/>
    </xf>
    <xf numFmtId="3" fontId="15" fillId="2" borderId="0" xfId="0" applyNumberFormat="1" applyFont="1" applyFill="1" applyProtection="1">
      <protection hidden="1"/>
    </xf>
    <xf numFmtId="37" fontId="70" fillId="2" borderId="0" xfId="0" applyNumberFormat="1" applyFont="1" applyFill="1" applyBorder="1" applyAlignment="1" applyProtection="1">
      <alignment horizontal="centerContinuous"/>
      <protection hidden="1"/>
    </xf>
    <xf numFmtId="213" fontId="63" fillId="2" borderId="0" xfId="0" applyNumberFormat="1" applyFont="1" applyFill="1" applyProtection="1">
      <protection hidden="1"/>
    </xf>
    <xf numFmtId="9" fontId="10" fillId="5" borderId="0" xfId="12" applyNumberFormat="1" applyFont="1" applyFill="1" applyProtection="1">
      <protection hidden="1"/>
    </xf>
    <xf numFmtId="4" fontId="4" fillId="6" borderId="2" xfId="0" applyNumberFormat="1" applyFont="1" applyFill="1" applyBorder="1" applyAlignment="1" applyProtection="1">
      <alignment horizontal="center"/>
      <protection hidden="1"/>
    </xf>
    <xf numFmtId="0" fontId="84" fillId="5" borderId="0" xfId="11" applyFont="1" applyFill="1"/>
    <xf numFmtId="0" fontId="84" fillId="5" borderId="0" xfId="11" applyFont="1" applyFill="1" applyAlignment="1"/>
    <xf numFmtId="3" fontId="85" fillId="5" borderId="0" xfId="3" applyNumberFormat="1" applyFont="1" applyFill="1" applyBorder="1" applyAlignment="1" applyProtection="1">
      <alignment horizontal="left"/>
      <protection hidden="1"/>
    </xf>
    <xf numFmtId="0" fontId="10" fillId="5" borderId="0" xfId="11" applyFont="1" applyFill="1"/>
    <xf numFmtId="3" fontId="85" fillId="5" borderId="0" xfId="3" applyNumberFormat="1" applyFont="1" applyFill="1" applyBorder="1" applyAlignment="1" applyProtection="1">
      <alignment horizontal="left" wrapText="1"/>
      <protection hidden="1"/>
    </xf>
    <xf numFmtId="4" fontId="85" fillId="5" borderId="0" xfId="11" applyNumberFormat="1" applyFont="1" applyFill="1"/>
    <xf numFmtId="182" fontId="85" fillId="5" borderId="0" xfId="11" applyNumberFormat="1" applyFont="1" applyFill="1" applyAlignment="1">
      <alignment horizontal="right"/>
    </xf>
    <xf numFmtId="37" fontId="86" fillId="6" borderId="2" xfId="0" applyNumberFormat="1" applyFont="1" applyFill="1" applyBorder="1" applyProtection="1">
      <protection hidden="1"/>
    </xf>
    <xf numFmtId="0" fontId="69" fillId="7" borderId="0" xfId="0" applyFont="1" applyFill="1" applyBorder="1" applyAlignment="1" applyProtection="1">
      <alignment horizontal="left"/>
      <protection hidden="1"/>
    </xf>
    <xf numFmtId="0" fontId="69" fillId="7" borderId="0" xfId="0" applyFont="1" applyFill="1" applyProtection="1">
      <protection hidden="1"/>
    </xf>
    <xf numFmtId="37" fontId="69" fillId="7" borderId="0" xfId="0" applyNumberFormat="1" applyFont="1" applyFill="1" applyBorder="1" applyProtection="1">
      <protection hidden="1"/>
    </xf>
    <xf numFmtId="37" fontId="69" fillId="7" borderId="0" xfId="0" applyNumberFormat="1" applyFont="1" applyFill="1" applyProtection="1">
      <protection hidden="1"/>
    </xf>
    <xf numFmtId="0" fontId="67" fillId="7" borderId="1" xfId="0" applyFont="1" applyFill="1" applyBorder="1" applyProtection="1">
      <protection hidden="1"/>
    </xf>
    <xf numFmtId="37" fontId="65" fillId="7" borderId="1" xfId="0" applyNumberFormat="1" applyFont="1" applyFill="1" applyBorder="1" applyProtection="1">
      <protection hidden="1"/>
    </xf>
    <xf numFmtId="0" fontId="65" fillId="7" borderId="1" xfId="0" applyFont="1" applyFill="1" applyBorder="1" applyProtection="1">
      <protection hidden="1"/>
    </xf>
    <xf numFmtId="197" fontId="4" fillId="7" borderId="0" xfId="0" applyNumberFormat="1" applyFont="1" applyFill="1" applyProtection="1">
      <protection hidden="1"/>
    </xf>
    <xf numFmtId="0" fontId="6" fillId="7" borderId="0" xfId="0" applyFont="1" applyFill="1" applyAlignment="1" applyProtection="1">
      <alignment horizontal="center"/>
      <protection hidden="1"/>
    </xf>
    <xf numFmtId="37" fontId="88" fillId="7" borderId="0" xfId="0" applyNumberFormat="1" applyFont="1" applyFill="1" applyBorder="1" applyAlignment="1" applyProtection="1">
      <alignment horizontal="center"/>
      <protection hidden="1"/>
    </xf>
    <xf numFmtId="37" fontId="67" fillId="7" borderId="0" xfId="0" applyNumberFormat="1" applyFont="1" applyFill="1" applyBorder="1" applyAlignment="1" applyProtection="1">
      <alignment horizontal="center"/>
      <protection hidden="1"/>
    </xf>
    <xf numFmtId="37" fontId="82" fillId="7" borderId="0" xfId="0" applyNumberFormat="1" applyFont="1" applyFill="1" applyBorder="1" applyProtection="1">
      <protection hidden="1"/>
    </xf>
    <xf numFmtId="37" fontId="67" fillId="7" borderId="0" xfId="0" applyNumberFormat="1" applyFont="1" applyFill="1" applyBorder="1" applyAlignment="1" applyProtection="1">
      <protection hidden="1"/>
    </xf>
    <xf numFmtId="37" fontId="4" fillId="3" borderId="10" xfId="0" applyNumberFormat="1" applyFont="1" applyFill="1" applyBorder="1" applyProtection="1">
      <protection hidden="1"/>
    </xf>
    <xf numFmtId="0" fontId="4" fillId="3" borderId="12" xfId="0" applyFont="1" applyFill="1" applyBorder="1" applyProtection="1">
      <protection hidden="1"/>
    </xf>
    <xf numFmtId="37" fontId="4" fillId="3" borderId="2" xfId="0" applyNumberFormat="1" applyFont="1" applyFill="1" applyBorder="1" applyProtection="1">
      <protection hidden="1"/>
    </xf>
    <xf numFmtId="37" fontId="13" fillId="2" borderId="2" xfId="0" applyNumberFormat="1" applyFont="1" applyFill="1" applyBorder="1" applyAlignment="1" applyProtection="1">
      <alignment horizontal="center" vertical="center" wrapText="1"/>
      <protection hidden="1"/>
    </xf>
    <xf numFmtId="200" fontId="4" fillId="3" borderId="2" xfId="0" applyNumberFormat="1" applyFont="1" applyFill="1" applyBorder="1" applyAlignment="1" applyProtection="1">
      <alignment horizontal="right"/>
      <protection hidden="1"/>
    </xf>
    <xf numFmtId="37" fontId="13" fillId="2" borderId="2" xfId="0" applyNumberFormat="1" applyFont="1" applyFill="1" applyBorder="1" applyAlignment="1" applyProtection="1">
      <alignment horizontal="center"/>
      <protection hidden="1"/>
    </xf>
    <xf numFmtId="37" fontId="5" fillId="2" borderId="12" xfId="0" applyNumberFormat="1" applyFont="1" applyFill="1" applyBorder="1" applyProtection="1">
      <protection hidden="1"/>
    </xf>
    <xf numFmtId="37" fontId="36" fillId="8" borderId="10" xfId="0" applyNumberFormat="1" applyFont="1" applyFill="1" applyBorder="1" applyAlignment="1" applyProtection="1">
      <alignment horizontal="left"/>
      <protection hidden="1"/>
    </xf>
    <xf numFmtId="37" fontId="8" fillId="3" borderId="11" xfId="0" applyNumberFormat="1" applyFont="1" applyFill="1" applyBorder="1" applyAlignment="1" applyProtection="1">
      <alignment horizontal="center"/>
      <protection hidden="1"/>
    </xf>
    <xf numFmtId="37" fontId="8" fillId="3" borderId="12" xfId="0" applyNumberFormat="1" applyFont="1" applyFill="1" applyBorder="1" applyAlignment="1" applyProtection="1">
      <alignment horizontal="center"/>
      <protection hidden="1"/>
    </xf>
    <xf numFmtId="37" fontId="20" fillId="3" borderId="15" xfId="0" applyNumberFormat="1" applyFont="1" applyFill="1" applyBorder="1" applyProtection="1">
      <protection hidden="1"/>
    </xf>
    <xf numFmtId="37" fontId="20" fillId="3" borderId="2" xfId="0" applyNumberFormat="1" applyFont="1" applyFill="1" applyBorder="1" applyProtection="1">
      <protection hidden="1"/>
    </xf>
    <xf numFmtId="37" fontId="4" fillId="2" borderId="14" xfId="0" applyNumberFormat="1" applyFont="1" applyFill="1" applyBorder="1" applyProtection="1">
      <protection hidden="1"/>
    </xf>
    <xf numFmtId="0" fontId="4" fillId="2" borderId="14" xfId="0" applyFont="1" applyFill="1" applyBorder="1" applyProtection="1">
      <protection hidden="1"/>
    </xf>
    <xf numFmtId="37" fontId="4" fillId="2" borderId="13" xfId="0" applyNumberFormat="1" applyFont="1" applyFill="1" applyBorder="1" applyProtection="1">
      <protection hidden="1"/>
    </xf>
    <xf numFmtId="0" fontId="4" fillId="2" borderId="13" xfId="0" applyFont="1" applyFill="1" applyBorder="1" applyProtection="1">
      <protection hidden="1"/>
    </xf>
    <xf numFmtId="10" fontId="4" fillId="3" borderId="2" xfId="13" applyNumberFormat="1" applyFont="1" applyFill="1" applyBorder="1" applyProtection="1">
      <protection hidden="1"/>
    </xf>
    <xf numFmtId="10" fontId="4" fillId="3" borderId="2" xfId="13" applyNumberFormat="1" applyFont="1" applyFill="1" applyBorder="1" applyAlignment="1" applyProtection="1">
      <alignment horizontal="center"/>
      <protection hidden="1"/>
    </xf>
    <xf numFmtId="202" fontId="65" fillId="7" borderId="1" xfId="0" applyNumberFormat="1" applyFont="1" applyFill="1" applyBorder="1" applyProtection="1">
      <protection hidden="1"/>
    </xf>
    <xf numFmtId="203" fontId="65" fillId="7" borderId="1" xfId="0" applyNumberFormat="1" applyFont="1" applyFill="1" applyBorder="1" applyProtection="1">
      <protection hidden="1"/>
    </xf>
    <xf numFmtId="37" fontId="36" fillId="8" borderId="16" xfId="0" applyNumberFormat="1" applyFont="1" applyFill="1" applyBorder="1" applyAlignment="1" applyProtection="1">
      <alignment horizontal="left"/>
      <protection hidden="1"/>
    </xf>
    <xf numFmtId="37" fontId="36" fillId="8" borderId="17" xfId="0" applyNumberFormat="1" applyFont="1" applyFill="1" applyBorder="1" applyAlignment="1" applyProtection="1">
      <alignment horizontal="left"/>
      <protection hidden="1"/>
    </xf>
    <xf numFmtId="0" fontId="44" fillId="2" borderId="0" xfId="0" applyFont="1" applyFill="1" applyProtection="1">
      <protection hidden="1"/>
    </xf>
    <xf numFmtId="0" fontId="65" fillId="2" borderId="0" xfId="0" applyFont="1" applyFill="1" applyBorder="1" applyProtection="1">
      <protection hidden="1"/>
    </xf>
    <xf numFmtId="37" fontId="66" fillId="0" borderId="18" xfId="0" applyNumberFormat="1" applyFont="1" applyFill="1" applyBorder="1" applyAlignment="1" applyProtection="1">
      <alignment horizontal="left"/>
      <protection hidden="1"/>
    </xf>
    <xf numFmtId="37" fontId="4" fillId="2" borderId="19" xfId="0" applyNumberFormat="1" applyFont="1" applyFill="1" applyBorder="1" applyProtection="1">
      <protection hidden="1"/>
    </xf>
    <xf numFmtId="10" fontId="4" fillId="2" borderId="19" xfId="13" applyNumberFormat="1" applyFont="1" applyFill="1" applyBorder="1" applyProtection="1">
      <protection hidden="1"/>
    </xf>
    <xf numFmtId="37" fontId="4" fillId="2" borderId="20" xfId="0" applyNumberFormat="1" applyFont="1" applyFill="1" applyBorder="1" applyProtection="1">
      <protection hidden="1"/>
    </xf>
    <xf numFmtId="37" fontId="4" fillId="2" borderId="21" xfId="0" applyNumberFormat="1" applyFont="1" applyFill="1" applyBorder="1" applyAlignment="1" applyProtection="1">
      <alignment horizontal="fill"/>
      <protection hidden="1"/>
    </xf>
    <xf numFmtId="37" fontId="4" fillId="2" borderId="0" xfId="0" applyNumberFormat="1" applyFont="1" applyFill="1" applyBorder="1" applyAlignment="1" applyProtection="1">
      <alignment horizontal="fill"/>
      <protection hidden="1"/>
    </xf>
    <xf numFmtId="37" fontId="4" fillId="2" borderId="22" xfId="0" applyNumberFormat="1" applyFont="1" applyFill="1" applyBorder="1" applyAlignment="1" applyProtection="1">
      <alignment horizontal="fill"/>
      <protection hidden="1"/>
    </xf>
    <xf numFmtId="37" fontId="90" fillId="9" borderId="0" xfId="0" applyNumberFormat="1" applyFont="1" applyFill="1" applyBorder="1" applyAlignment="1" applyProtection="1">
      <alignment horizontal="left"/>
      <protection hidden="1"/>
    </xf>
    <xf numFmtId="0" fontId="14" fillId="2" borderId="0" xfId="0" applyFont="1" applyFill="1" applyBorder="1" applyProtection="1">
      <protection hidden="1"/>
    </xf>
    <xf numFmtId="37" fontId="5" fillId="0" borderId="23" xfId="0" applyNumberFormat="1" applyFont="1" applyFill="1" applyBorder="1" applyAlignment="1" applyProtection="1">
      <alignment horizontal="center"/>
      <protection hidden="1"/>
    </xf>
    <xf numFmtId="0" fontId="13" fillId="0" borderId="24" xfId="0" applyFont="1" applyFill="1" applyBorder="1" applyAlignment="1" applyProtection="1">
      <alignment horizontal="center"/>
      <protection hidden="1"/>
    </xf>
    <xf numFmtId="17" fontId="6" fillId="0" borderId="25" xfId="0" applyNumberFormat="1" applyFont="1" applyFill="1" applyBorder="1" applyAlignment="1" applyProtection="1">
      <alignment horizontal="center"/>
      <protection hidden="1"/>
    </xf>
    <xf numFmtId="37" fontId="68" fillId="0" borderId="26" xfId="0" applyNumberFormat="1" applyFont="1" applyFill="1" applyBorder="1" applyAlignment="1" applyProtection="1">
      <alignment horizontal="center"/>
      <protection hidden="1"/>
    </xf>
    <xf numFmtId="37" fontId="6" fillId="0" borderId="22" xfId="0" applyNumberFormat="1" applyFont="1" applyFill="1" applyBorder="1" applyAlignment="1" applyProtection="1">
      <alignment horizontal="center"/>
      <protection hidden="1"/>
    </xf>
    <xf numFmtId="194" fontId="65" fillId="2" borderId="19" xfId="13" applyNumberFormat="1" applyFont="1" applyFill="1" applyBorder="1" applyProtection="1">
      <protection hidden="1"/>
    </xf>
    <xf numFmtId="37" fontId="65" fillId="2" borderId="19" xfId="0" applyNumberFormat="1" applyFont="1" applyFill="1" applyBorder="1" applyAlignment="1" applyProtection="1">
      <alignment horizontal="left"/>
      <protection hidden="1"/>
    </xf>
    <xf numFmtId="37" fontId="65" fillId="2" borderId="19" xfId="0" applyNumberFormat="1" applyFont="1" applyFill="1" applyBorder="1" applyProtection="1">
      <protection hidden="1"/>
    </xf>
    <xf numFmtId="0" fontId="65" fillId="2" borderId="19" xfId="0" applyFont="1" applyFill="1" applyBorder="1" applyProtection="1">
      <protection hidden="1"/>
    </xf>
    <xf numFmtId="0" fontId="65" fillId="2" borderId="20" xfId="0" applyFont="1" applyFill="1" applyBorder="1" applyProtection="1">
      <protection hidden="1"/>
    </xf>
    <xf numFmtId="194" fontId="65" fillId="2" borderId="0" xfId="13" applyNumberFormat="1" applyFont="1" applyFill="1" applyBorder="1" applyProtection="1">
      <protection hidden="1"/>
    </xf>
    <xf numFmtId="37" fontId="65" fillId="2" borderId="0" xfId="0" applyNumberFormat="1" applyFont="1" applyFill="1" applyBorder="1" applyAlignment="1" applyProtection="1">
      <alignment horizontal="fill"/>
      <protection hidden="1"/>
    </xf>
    <xf numFmtId="37" fontId="65" fillId="2" borderId="0" xfId="0" applyNumberFormat="1" applyFont="1" applyFill="1" applyBorder="1" applyProtection="1">
      <protection hidden="1"/>
    </xf>
    <xf numFmtId="195" fontId="65" fillId="2" borderId="0" xfId="0" applyNumberFormat="1" applyFont="1" applyFill="1" applyBorder="1" applyProtection="1">
      <protection hidden="1"/>
    </xf>
    <xf numFmtId="0" fontId="65" fillId="2" borderId="0" xfId="0" quotePrefix="1" applyFont="1" applyFill="1" applyBorder="1" applyProtection="1">
      <protection hidden="1"/>
    </xf>
    <xf numFmtId="14" fontId="65" fillId="2" borderId="0" xfId="0" applyNumberFormat="1" applyFont="1" applyFill="1" applyBorder="1" applyProtection="1">
      <protection hidden="1"/>
    </xf>
    <xf numFmtId="196" fontId="65" fillId="2" borderId="0" xfId="0" applyNumberFormat="1" applyFont="1" applyFill="1" applyBorder="1" applyProtection="1">
      <protection hidden="1"/>
    </xf>
    <xf numFmtId="0" fontId="65" fillId="2" borderId="22" xfId="0" applyFont="1" applyFill="1" applyBorder="1" applyProtection="1">
      <protection hidden="1"/>
    </xf>
    <xf numFmtId="37" fontId="13" fillId="8" borderId="2" xfId="0" applyNumberFormat="1" applyFont="1" applyFill="1" applyBorder="1" applyAlignment="1" applyProtection="1">
      <alignment horizontal="center"/>
      <protection hidden="1"/>
    </xf>
    <xf numFmtId="37" fontId="13" fillId="8" borderId="27" xfId="0" applyNumberFormat="1" applyFont="1" applyFill="1" applyBorder="1" applyAlignment="1" applyProtection="1">
      <alignment horizontal="center"/>
      <protection hidden="1"/>
    </xf>
    <xf numFmtId="37" fontId="4" fillId="2" borderId="18" xfId="0" applyNumberFormat="1" applyFont="1" applyFill="1" applyBorder="1" applyAlignment="1" applyProtection="1">
      <alignment horizontal="fill"/>
      <protection hidden="1"/>
    </xf>
    <xf numFmtId="198" fontId="14" fillId="2" borderId="19" xfId="0" applyNumberFormat="1" applyFont="1" applyFill="1" applyBorder="1" applyProtection="1">
      <protection hidden="1"/>
    </xf>
    <xf numFmtId="198" fontId="14" fillId="2" borderId="20" xfId="0" applyNumberFormat="1" applyFont="1" applyFill="1" applyBorder="1" applyProtection="1">
      <protection hidden="1"/>
    </xf>
    <xf numFmtId="37" fontId="65" fillId="2" borderId="22" xfId="0" applyNumberFormat="1" applyFont="1" applyFill="1" applyBorder="1" applyAlignment="1" applyProtection="1">
      <alignment horizontal="fill"/>
      <protection hidden="1"/>
    </xf>
    <xf numFmtId="37" fontId="6" fillId="7" borderId="0" xfId="0" applyNumberFormat="1" applyFont="1" applyFill="1" applyBorder="1" applyAlignment="1" applyProtection="1">
      <alignment horizontal="left"/>
      <protection hidden="1"/>
    </xf>
    <xf numFmtId="9" fontId="4" fillId="7" borderId="0" xfId="0" applyNumberFormat="1" applyFont="1" applyFill="1" applyBorder="1" applyProtection="1">
      <protection hidden="1"/>
    </xf>
    <xf numFmtId="198" fontId="14" fillId="2" borderId="18" xfId="0" applyNumberFormat="1" applyFont="1" applyFill="1" applyBorder="1" applyProtection="1">
      <protection hidden="1"/>
    </xf>
    <xf numFmtId="37" fontId="6" fillId="0" borderId="28" xfId="0" applyNumberFormat="1" applyFont="1" applyFill="1" applyBorder="1" applyAlignment="1" applyProtection="1">
      <alignment horizontal="left"/>
      <protection hidden="1"/>
    </xf>
    <xf numFmtId="37" fontId="6" fillId="0" borderId="25" xfId="0" applyNumberFormat="1" applyFont="1" applyFill="1" applyBorder="1" applyAlignment="1" applyProtection="1">
      <alignment horizontal="left"/>
      <protection hidden="1"/>
    </xf>
    <xf numFmtId="37" fontId="4" fillId="0" borderId="26" xfId="0" applyNumberFormat="1" applyFont="1" applyFill="1" applyBorder="1" applyAlignment="1" applyProtection="1">
      <alignment horizontal="fill"/>
      <protection hidden="1"/>
    </xf>
    <xf numFmtId="37" fontId="4" fillId="0" borderId="22" xfId="0" applyNumberFormat="1" applyFont="1" applyFill="1" applyBorder="1" applyAlignment="1" applyProtection="1">
      <alignment horizontal="fill"/>
      <protection hidden="1"/>
    </xf>
    <xf numFmtId="37" fontId="15" fillId="0" borderId="0" xfId="0" applyNumberFormat="1" applyFont="1" applyFill="1" applyBorder="1" applyProtection="1">
      <protection hidden="1"/>
    </xf>
    <xf numFmtId="37" fontId="44" fillId="0" borderId="18" xfId="0" applyNumberFormat="1" applyFont="1" applyFill="1" applyBorder="1" applyAlignment="1" applyProtection="1">
      <alignment horizontal="left"/>
      <protection hidden="1"/>
    </xf>
    <xf numFmtId="37" fontId="4" fillId="0" borderId="19" xfId="0" applyNumberFormat="1" applyFont="1" applyFill="1" applyBorder="1" applyProtection="1">
      <protection hidden="1"/>
    </xf>
    <xf numFmtId="37" fontId="4" fillId="0" borderId="20" xfId="0" applyNumberFormat="1" applyFont="1" applyFill="1" applyBorder="1" applyProtection="1">
      <protection hidden="1"/>
    </xf>
    <xf numFmtId="37" fontId="4" fillId="0" borderId="21" xfId="0" applyNumberFormat="1" applyFont="1" applyFill="1" applyBorder="1" applyProtection="1">
      <protection hidden="1"/>
    </xf>
    <xf numFmtId="37" fontId="4" fillId="0" borderId="22" xfId="0" applyNumberFormat="1" applyFont="1" applyFill="1" applyBorder="1" applyProtection="1">
      <protection hidden="1"/>
    </xf>
    <xf numFmtId="37" fontId="47" fillId="0" borderId="21" xfId="0" applyNumberFormat="1" applyFont="1" applyFill="1" applyBorder="1" applyAlignment="1" applyProtection="1">
      <alignment horizontal="left"/>
      <protection hidden="1"/>
    </xf>
    <xf numFmtId="37" fontId="4" fillId="0" borderId="21" xfId="0" applyNumberFormat="1" applyFont="1" applyFill="1" applyBorder="1" applyAlignment="1" applyProtection="1">
      <alignment horizontal="fill"/>
      <protection hidden="1"/>
    </xf>
    <xf numFmtId="37" fontId="6" fillId="0" borderId="28" xfId="0" applyNumberFormat="1" applyFont="1" applyFill="1" applyBorder="1" applyAlignment="1" applyProtection="1">
      <alignment horizontal="center"/>
      <protection hidden="1"/>
    </xf>
    <xf numFmtId="37" fontId="6" fillId="0" borderId="29" xfId="0" quotePrefix="1" applyNumberFormat="1" applyFont="1" applyFill="1" applyBorder="1" applyAlignment="1" applyProtection="1">
      <alignment horizontal="center"/>
      <protection hidden="1"/>
    </xf>
    <xf numFmtId="37" fontId="4" fillId="0" borderId="30" xfId="0" applyNumberFormat="1" applyFont="1" applyFill="1" applyBorder="1" applyAlignment="1" applyProtection="1">
      <alignment horizontal="center"/>
      <protection hidden="1"/>
    </xf>
    <xf numFmtId="37" fontId="6" fillId="0" borderId="31" xfId="0" applyNumberFormat="1" applyFont="1" applyFill="1" applyBorder="1" applyAlignment="1" applyProtection="1">
      <alignment horizontal="center"/>
      <protection hidden="1"/>
    </xf>
    <xf numFmtId="37" fontId="86" fillId="6" borderId="24" xfId="0" applyNumberFormat="1" applyFont="1" applyFill="1" applyBorder="1" applyProtection="1">
      <protection hidden="1"/>
    </xf>
    <xf numFmtId="37" fontId="4" fillId="6" borderId="24" xfId="0" applyNumberFormat="1" applyFont="1" applyFill="1" applyBorder="1" applyProtection="1">
      <protection hidden="1"/>
    </xf>
    <xf numFmtId="37" fontId="4" fillId="6" borderId="32" xfId="0" applyNumberFormat="1" applyFont="1" applyFill="1" applyBorder="1" applyProtection="1">
      <protection hidden="1"/>
    </xf>
    <xf numFmtId="37" fontId="6" fillId="0" borderId="25" xfId="0" quotePrefix="1" applyNumberFormat="1" applyFont="1" applyFill="1" applyBorder="1" applyAlignment="1" applyProtection="1">
      <alignment horizontal="center"/>
      <protection hidden="1"/>
    </xf>
    <xf numFmtId="37" fontId="6" fillId="0" borderId="33" xfId="0" applyNumberFormat="1" applyFont="1" applyFill="1" applyBorder="1" applyAlignment="1" applyProtection="1">
      <alignment horizontal="center"/>
      <protection hidden="1"/>
    </xf>
    <xf numFmtId="37" fontId="14" fillId="0" borderId="24" xfId="0" applyNumberFormat="1" applyFont="1" applyFill="1" applyBorder="1" applyProtection="1">
      <protection hidden="1"/>
    </xf>
    <xf numFmtId="37" fontId="4" fillId="0" borderId="24" xfId="0" applyNumberFormat="1" applyFont="1" applyFill="1" applyBorder="1" applyProtection="1">
      <protection hidden="1"/>
    </xf>
    <xf numFmtId="37" fontId="4" fillId="0" borderId="32" xfId="0" applyNumberFormat="1" applyFont="1" applyFill="1" applyBorder="1" applyProtection="1">
      <protection hidden="1"/>
    </xf>
    <xf numFmtId="37" fontId="18" fillId="0" borderId="33" xfId="0" applyNumberFormat="1" applyFont="1" applyFill="1" applyBorder="1" applyAlignment="1" applyProtection="1">
      <alignment horizontal="center"/>
      <protection hidden="1"/>
    </xf>
    <xf numFmtId="199" fontId="15" fillId="0" borderId="23" xfId="0" applyNumberFormat="1" applyFont="1" applyFill="1" applyBorder="1" applyProtection="1">
      <protection hidden="1"/>
    </xf>
    <xf numFmtId="199" fontId="15" fillId="0" borderId="34" xfId="0" applyNumberFormat="1" applyFont="1" applyFill="1" applyBorder="1" applyProtection="1">
      <protection hidden="1"/>
    </xf>
    <xf numFmtId="37" fontId="24" fillId="0" borderId="18" xfId="0" applyNumberFormat="1" applyFont="1" applyFill="1" applyBorder="1" applyProtection="1">
      <protection hidden="1"/>
    </xf>
    <xf numFmtId="37" fontId="47" fillId="0" borderId="16" xfId="0" applyNumberFormat="1" applyFont="1" applyFill="1" applyBorder="1" applyAlignment="1" applyProtection="1">
      <alignment horizontal="left"/>
      <protection hidden="1"/>
    </xf>
    <xf numFmtId="0" fontId="47" fillId="0" borderId="17" xfId="0" applyFont="1" applyFill="1" applyBorder="1" applyAlignment="1" applyProtection="1">
      <alignment horizontal="left"/>
      <protection hidden="1"/>
    </xf>
    <xf numFmtId="3" fontId="14" fillId="2" borderId="13" xfId="0" applyNumberFormat="1" applyFont="1" applyFill="1" applyBorder="1" applyAlignment="1" applyProtection="1">
      <alignment horizontal="right"/>
      <protection hidden="1"/>
    </xf>
    <xf numFmtId="10" fontId="14" fillId="2" borderId="0" xfId="13" applyNumberFormat="1" applyFont="1" applyFill="1" applyBorder="1" applyAlignment="1" applyProtection="1">
      <alignment horizontal="right"/>
      <protection hidden="1"/>
    </xf>
    <xf numFmtId="0" fontId="14" fillId="2" borderId="0" xfId="0" applyFont="1" applyFill="1" applyBorder="1" applyAlignment="1" applyProtection="1">
      <alignment horizontal="right"/>
      <protection hidden="1"/>
    </xf>
    <xf numFmtId="37" fontId="14" fillId="2" borderId="6" xfId="0" applyNumberFormat="1" applyFont="1" applyFill="1" applyBorder="1" applyAlignment="1" applyProtection="1">
      <alignment horizontal="right"/>
      <protection hidden="1"/>
    </xf>
    <xf numFmtId="42" fontId="14" fillId="2" borderId="0" xfId="0" applyNumberFormat="1" applyFont="1" applyFill="1" applyBorder="1" applyProtection="1">
      <protection hidden="1"/>
    </xf>
    <xf numFmtId="42" fontId="14" fillId="2" borderId="35" xfId="0" applyNumberFormat="1" applyFont="1" applyFill="1" applyBorder="1" applyProtection="1">
      <protection hidden="1"/>
    </xf>
    <xf numFmtId="0" fontId="14" fillId="2" borderId="35" xfId="0" applyFont="1" applyFill="1" applyBorder="1" applyProtection="1">
      <protection hidden="1"/>
    </xf>
    <xf numFmtId="0" fontId="4" fillId="0" borderId="18" xfId="0" applyFont="1" applyFill="1" applyBorder="1" applyProtection="1">
      <protection hidden="1"/>
    </xf>
    <xf numFmtId="0" fontId="4" fillId="0" borderId="20" xfId="0" applyFont="1" applyFill="1" applyBorder="1" applyProtection="1">
      <protection hidden="1"/>
    </xf>
    <xf numFmtId="37" fontId="24" fillId="0" borderId="21" xfId="0" applyNumberFormat="1" applyFont="1" applyFill="1" applyBorder="1" applyAlignment="1" applyProtection="1">
      <alignment horizontal="left"/>
      <protection hidden="1"/>
    </xf>
    <xf numFmtId="37" fontId="12" fillId="0" borderId="21" xfId="0" applyNumberFormat="1" applyFont="1" applyFill="1" applyBorder="1" applyProtection="1">
      <protection hidden="1"/>
    </xf>
    <xf numFmtId="37" fontId="4" fillId="0" borderId="21" xfId="0" applyNumberFormat="1" applyFont="1" applyFill="1" applyBorder="1" applyAlignment="1" applyProtection="1">
      <alignment horizontal="right"/>
      <protection hidden="1"/>
    </xf>
    <xf numFmtId="37" fontId="4" fillId="3" borderId="23" xfId="0" applyNumberFormat="1" applyFont="1" applyFill="1" applyBorder="1" applyAlignment="1" applyProtection="1">
      <alignment horizontal="right"/>
      <protection hidden="1"/>
    </xf>
    <xf numFmtId="3" fontId="4" fillId="3" borderId="29" xfId="0" applyNumberFormat="1" applyFont="1" applyFill="1" applyBorder="1" applyAlignment="1" applyProtection="1">
      <alignment horizontal="right"/>
      <protection hidden="1"/>
    </xf>
    <xf numFmtId="0" fontId="4" fillId="0" borderId="21" xfId="0" applyFont="1" applyFill="1" applyBorder="1" applyAlignment="1" applyProtection="1">
      <alignment horizontal="left"/>
      <protection hidden="1"/>
    </xf>
    <xf numFmtId="0" fontId="4" fillId="2" borderId="22" xfId="0" applyFont="1" applyFill="1" applyBorder="1" applyProtection="1">
      <protection hidden="1"/>
    </xf>
    <xf numFmtId="37" fontId="4" fillId="0" borderId="21" xfId="0" applyNumberFormat="1" applyFont="1" applyFill="1" applyBorder="1" applyAlignment="1" applyProtection="1">
      <alignment horizontal="left"/>
      <protection hidden="1"/>
    </xf>
    <xf numFmtId="37" fontId="4" fillId="3" borderId="34" xfId="0" applyNumberFormat="1" applyFont="1" applyFill="1" applyBorder="1" applyAlignment="1" applyProtection="1">
      <alignment horizontal="right"/>
      <protection hidden="1"/>
    </xf>
    <xf numFmtId="37" fontId="44" fillId="0" borderId="21" xfId="0" applyNumberFormat="1" applyFont="1" applyFill="1" applyBorder="1" applyAlignment="1" applyProtection="1">
      <alignment horizontal="left"/>
      <protection hidden="1"/>
    </xf>
    <xf numFmtId="37" fontId="47" fillId="0" borderId="18" xfId="0" applyNumberFormat="1" applyFont="1" applyFill="1" applyBorder="1" applyAlignment="1" applyProtection="1">
      <alignment horizontal="left"/>
      <protection hidden="1"/>
    </xf>
    <xf numFmtId="39" fontId="4" fillId="0" borderId="19" xfId="0" applyNumberFormat="1" applyFont="1" applyFill="1" applyBorder="1" applyProtection="1">
      <protection hidden="1"/>
    </xf>
    <xf numFmtId="10" fontId="4" fillId="0" borderId="19" xfId="0" applyNumberFormat="1" applyFont="1" applyFill="1" applyBorder="1" applyProtection="1">
      <protection hidden="1"/>
    </xf>
    <xf numFmtId="39" fontId="4" fillId="0" borderId="0" xfId="0" applyNumberFormat="1" applyFont="1" applyFill="1" applyBorder="1" applyProtection="1">
      <protection hidden="1"/>
    </xf>
    <xf numFmtId="10" fontId="4" fillId="0" borderId="0" xfId="0" applyNumberFormat="1" applyFont="1" applyFill="1" applyBorder="1" applyProtection="1">
      <protection hidden="1"/>
    </xf>
    <xf numFmtId="37" fontId="6" fillId="0" borderId="28" xfId="0" quotePrefix="1" applyNumberFormat="1" applyFont="1" applyFill="1" applyBorder="1" applyAlignment="1" applyProtection="1">
      <alignment horizontal="left"/>
      <protection hidden="1"/>
    </xf>
    <xf numFmtId="37" fontId="20" fillId="3" borderId="23" xfId="0" applyNumberFormat="1" applyFont="1" applyFill="1" applyBorder="1" applyProtection="1">
      <protection hidden="1"/>
    </xf>
    <xf numFmtId="37" fontId="20" fillId="3" borderId="34" xfId="0" applyNumberFormat="1" applyFont="1" applyFill="1" applyBorder="1" applyProtection="1">
      <protection hidden="1"/>
    </xf>
    <xf numFmtId="37" fontId="20" fillId="3" borderId="36" xfId="0" applyNumberFormat="1" applyFont="1" applyFill="1" applyBorder="1" applyProtection="1">
      <protection hidden="1"/>
    </xf>
    <xf numFmtId="0" fontId="47" fillId="0" borderId="18" xfId="0" applyFont="1" applyFill="1" applyBorder="1" applyAlignment="1" applyProtection="1">
      <alignment horizontal="left"/>
      <protection hidden="1"/>
    </xf>
    <xf numFmtId="0" fontId="4" fillId="0" borderId="21" xfId="0" applyFont="1" applyFill="1" applyBorder="1" applyAlignment="1" applyProtection="1">
      <alignment horizontal="fill"/>
      <protection hidden="1"/>
    </xf>
    <xf numFmtId="0" fontId="4" fillId="0" borderId="22" xfId="0" applyFont="1" applyFill="1" applyBorder="1" applyAlignment="1" applyProtection="1">
      <alignment horizontal="fill"/>
      <protection hidden="1"/>
    </xf>
    <xf numFmtId="0" fontId="6" fillId="0" borderId="23" xfId="0" applyFont="1" applyFill="1" applyBorder="1" applyAlignment="1" applyProtection="1">
      <alignment horizontal="left"/>
      <protection hidden="1"/>
    </xf>
    <xf numFmtId="9" fontId="4" fillId="0" borderId="24" xfId="13" applyFont="1" applyFill="1" applyBorder="1" applyProtection="1">
      <protection hidden="1"/>
    </xf>
    <xf numFmtId="0" fontId="6" fillId="0" borderId="34" xfId="0" applyFont="1" applyFill="1" applyBorder="1" applyAlignment="1" applyProtection="1">
      <alignment horizontal="left"/>
      <protection hidden="1"/>
    </xf>
    <xf numFmtId="10" fontId="20" fillId="3" borderId="32" xfId="13" applyNumberFormat="1" applyFont="1" applyFill="1" applyBorder="1" applyProtection="1">
      <protection hidden="1"/>
    </xf>
    <xf numFmtId="37" fontId="65" fillId="7" borderId="37" xfId="0" applyNumberFormat="1" applyFont="1" applyFill="1" applyBorder="1" applyProtection="1">
      <protection hidden="1"/>
    </xf>
    <xf numFmtId="202" fontId="65" fillId="7" borderId="37" xfId="0" applyNumberFormat="1" applyFont="1" applyFill="1" applyBorder="1" applyProtection="1">
      <protection hidden="1"/>
    </xf>
    <xf numFmtId="0" fontId="24" fillId="0" borderId="18" xfId="0" applyFont="1" applyFill="1" applyBorder="1" applyProtection="1">
      <protection hidden="1"/>
    </xf>
    <xf numFmtId="0" fontId="14" fillId="2" borderId="16" xfId="0" applyFont="1" applyFill="1" applyBorder="1" applyProtection="1">
      <protection hidden="1"/>
    </xf>
    <xf numFmtId="9" fontId="4" fillId="2" borderId="0" xfId="13" applyFont="1" applyFill="1" applyBorder="1" applyProtection="1">
      <protection hidden="1"/>
    </xf>
    <xf numFmtId="37" fontId="4" fillId="2" borderId="0" xfId="0" applyNumberFormat="1" applyFont="1" applyFill="1" applyBorder="1" applyProtection="1">
      <protection hidden="1"/>
    </xf>
    <xf numFmtId="37" fontId="13" fillId="2" borderId="24" xfId="0" applyNumberFormat="1" applyFont="1" applyFill="1" applyBorder="1" applyAlignment="1" applyProtection="1">
      <alignment horizontal="center"/>
      <protection hidden="1"/>
    </xf>
    <xf numFmtId="0" fontId="22" fillId="0" borderId="16" xfId="0" applyFont="1" applyFill="1" applyBorder="1" applyAlignment="1" applyProtection="1">
      <alignment horizontal="left"/>
      <protection hidden="1"/>
    </xf>
    <xf numFmtId="0" fontId="22" fillId="0" borderId="17" xfId="0" applyFont="1" applyFill="1" applyBorder="1" applyAlignment="1" applyProtection="1">
      <alignment horizontal="left"/>
      <protection hidden="1"/>
    </xf>
    <xf numFmtId="0" fontId="0" fillId="0" borderId="38" xfId="0" applyFill="1" applyBorder="1" applyProtection="1">
      <protection hidden="1"/>
    </xf>
    <xf numFmtId="10" fontId="4" fillId="3" borderId="36" xfId="13" applyNumberFormat="1" applyFont="1" applyFill="1" applyBorder="1" applyProtection="1">
      <protection hidden="1"/>
    </xf>
    <xf numFmtId="37" fontId="4" fillId="0" borderId="35" xfId="0" applyNumberFormat="1" applyFont="1" applyFill="1" applyBorder="1" applyProtection="1">
      <protection hidden="1"/>
    </xf>
    <xf numFmtId="37" fontId="13" fillId="2" borderId="32" xfId="0" applyNumberFormat="1" applyFont="1" applyFill="1" applyBorder="1" applyAlignment="1" applyProtection="1">
      <alignment horizontal="center"/>
      <protection hidden="1"/>
    </xf>
    <xf numFmtId="0" fontId="47" fillId="0" borderId="21" xfId="0" applyFont="1" applyFill="1" applyBorder="1" applyAlignment="1" applyProtection="1">
      <alignment horizontal="left"/>
      <protection hidden="1"/>
    </xf>
    <xf numFmtId="0" fontId="4" fillId="0" borderId="21" xfId="0" applyFont="1" applyFill="1" applyBorder="1" applyProtection="1">
      <protection hidden="1"/>
    </xf>
    <xf numFmtId="0" fontId="6" fillId="0" borderId="28" xfId="0" applyFont="1" applyFill="1" applyBorder="1" applyAlignment="1" applyProtection="1">
      <alignment horizontal="center"/>
      <protection hidden="1"/>
    </xf>
    <xf numFmtId="0" fontId="4" fillId="0" borderId="30" xfId="0" applyFont="1" applyFill="1" applyBorder="1" applyAlignment="1" applyProtection="1">
      <alignment horizontal="fill"/>
      <protection hidden="1"/>
    </xf>
    <xf numFmtId="37" fontId="4" fillId="3" borderId="23" xfId="0" applyNumberFormat="1" applyFont="1" applyFill="1" applyBorder="1" applyProtection="1">
      <protection hidden="1"/>
    </xf>
    <xf numFmtId="37" fontId="4" fillId="3" borderId="34" xfId="0" applyNumberFormat="1" applyFont="1" applyFill="1" applyBorder="1" applyProtection="1">
      <protection hidden="1"/>
    </xf>
    <xf numFmtId="37" fontId="4" fillId="3" borderId="36" xfId="0" applyNumberFormat="1" applyFont="1" applyFill="1" applyBorder="1" applyProtection="1">
      <protection hidden="1"/>
    </xf>
    <xf numFmtId="37" fontId="6" fillId="0" borderId="25" xfId="0" applyNumberFormat="1" applyFont="1" applyFill="1" applyBorder="1" applyAlignment="1" applyProtection="1">
      <alignment horizontal="center"/>
      <protection hidden="1"/>
    </xf>
    <xf numFmtId="37" fontId="13" fillId="2" borderId="39" xfId="0" applyNumberFormat="1" applyFont="1" applyFill="1" applyBorder="1" applyProtection="1">
      <protection hidden="1"/>
    </xf>
    <xf numFmtId="37" fontId="4" fillId="7" borderId="21" xfId="0" applyNumberFormat="1" applyFont="1" applyFill="1" applyBorder="1" applyProtection="1">
      <protection hidden="1"/>
    </xf>
    <xf numFmtId="37" fontId="4" fillId="7" borderId="40" xfId="0" applyNumberFormat="1" applyFont="1" applyFill="1" applyBorder="1" applyProtection="1">
      <protection hidden="1"/>
    </xf>
    <xf numFmtId="37" fontId="4" fillId="0" borderId="30" xfId="0" applyNumberFormat="1" applyFont="1" applyFill="1" applyBorder="1" applyAlignment="1" applyProtection="1">
      <alignment horizontal="fill"/>
      <protection hidden="1"/>
    </xf>
    <xf numFmtId="37" fontId="47" fillId="0" borderId="41" xfId="0" applyNumberFormat="1" applyFont="1" applyFill="1" applyBorder="1" applyAlignment="1" applyProtection="1">
      <alignment horizontal="left"/>
      <protection hidden="1"/>
    </xf>
    <xf numFmtId="37" fontId="4" fillId="0" borderId="42" xfId="0" applyNumberFormat="1" applyFont="1" applyFill="1" applyBorder="1" applyProtection="1">
      <protection hidden="1"/>
    </xf>
    <xf numFmtId="37" fontId="4" fillId="0" borderId="43" xfId="0" applyNumberFormat="1" applyFont="1" applyFill="1" applyBorder="1" applyAlignment="1" applyProtection="1">
      <alignment horizontal="fill"/>
      <protection hidden="1"/>
    </xf>
    <xf numFmtId="37" fontId="6" fillId="0" borderId="44" xfId="0" applyNumberFormat="1" applyFont="1" applyFill="1" applyBorder="1" applyAlignment="1" applyProtection="1">
      <alignment horizontal="center"/>
      <protection hidden="1"/>
    </xf>
    <xf numFmtId="0" fontId="4" fillId="2" borderId="27" xfId="0" applyFont="1" applyFill="1" applyBorder="1" applyAlignment="1" applyProtection="1">
      <alignment horizontal="center"/>
      <protection hidden="1"/>
    </xf>
    <xf numFmtId="0" fontId="4" fillId="2" borderId="39" xfId="0" applyFont="1" applyFill="1" applyBorder="1" applyAlignment="1" applyProtection="1">
      <alignment horizontal="center"/>
      <protection hidden="1"/>
    </xf>
    <xf numFmtId="37" fontId="70" fillId="2" borderId="19" xfId="0" applyNumberFormat="1" applyFont="1" applyFill="1" applyBorder="1" applyAlignment="1" applyProtection="1">
      <alignment horizontal="centerContinuous"/>
      <protection hidden="1"/>
    </xf>
    <xf numFmtId="37" fontId="6" fillId="0" borderId="19" xfId="0" applyNumberFormat="1" applyFont="1" applyFill="1" applyBorder="1" applyProtection="1">
      <protection hidden="1"/>
    </xf>
    <xf numFmtId="0" fontId="6" fillId="0" borderId="19" xfId="0" applyFont="1" applyFill="1" applyBorder="1" applyProtection="1">
      <protection hidden="1"/>
    </xf>
    <xf numFmtId="0" fontId="6" fillId="2" borderId="19" xfId="0" applyFont="1" applyFill="1" applyBorder="1" applyProtection="1">
      <protection hidden="1"/>
    </xf>
    <xf numFmtId="0" fontId="4" fillId="2" borderId="18" xfId="0" applyFont="1" applyFill="1" applyBorder="1" applyProtection="1">
      <protection hidden="1"/>
    </xf>
    <xf numFmtId="0" fontId="4" fillId="2" borderId="20" xfId="0" applyFont="1" applyFill="1" applyBorder="1" applyProtection="1">
      <protection hidden="1"/>
    </xf>
    <xf numFmtId="37" fontId="4" fillId="0" borderId="45" xfId="0" applyNumberFormat="1" applyFont="1" applyFill="1" applyBorder="1" applyAlignment="1" applyProtection="1">
      <alignment horizontal="fill"/>
      <protection hidden="1"/>
    </xf>
    <xf numFmtId="37" fontId="4" fillId="0" borderId="33" xfId="0" applyNumberFormat="1" applyFont="1" applyFill="1" applyBorder="1" applyAlignment="1" applyProtection="1">
      <alignment horizontal="fill"/>
      <protection hidden="1"/>
    </xf>
    <xf numFmtId="37" fontId="6" fillId="0" borderId="30" xfId="0" applyNumberFormat="1" applyFont="1" applyFill="1" applyBorder="1" applyProtection="1">
      <protection hidden="1"/>
    </xf>
    <xf numFmtId="37" fontId="45" fillId="0" borderId="21" xfId="0" applyNumberFormat="1" applyFont="1" applyFill="1" applyBorder="1" applyAlignment="1" applyProtection="1">
      <alignment horizontal="left"/>
      <protection hidden="1"/>
    </xf>
    <xf numFmtId="39" fontId="91" fillId="0" borderId="5" xfId="0" applyNumberFormat="1" applyFont="1" applyFill="1" applyBorder="1" applyAlignment="1" applyProtection="1">
      <alignment horizontal="center"/>
      <protection hidden="1"/>
    </xf>
    <xf numFmtId="37" fontId="36" fillId="10" borderId="0" xfId="0" applyNumberFormat="1" applyFont="1" applyFill="1" applyBorder="1" applyAlignment="1" applyProtection="1">
      <alignment horizontal="left"/>
      <protection hidden="1"/>
    </xf>
    <xf numFmtId="0" fontId="10" fillId="7" borderId="0" xfId="0" applyFont="1" applyFill="1" applyBorder="1" applyAlignment="1" applyProtection="1">
      <protection hidden="1"/>
    </xf>
    <xf numFmtId="0" fontId="46" fillId="2" borderId="46" xfId="0" applyFont="1" applyFill="1" applyBorder="1" applyProtection="1">
      <protection hidden="1"/>
    </xf>
    <xf numFmtId="3" fontId="14" fillId="0" borderId="2" xfId="0" applyNumberFormat="1" applyFont="1" applyFill="1" applyBorder="1" applyAlignment="1" applyProtection="1">
      <alignment horizontal="right"/>
      <protection hidden="1"/>
    </xf>
    <xf numFmtId="10" fontId="14" fillId="0" borderId="2" xfId="13" applyNumberFormat="1" applyFont="1" applyFill="1" applyBorder="1" applyAlignment="1" applyProtection="1">
      <alignment horizontal="right"/>
      <protection hidden="1"/>
    </xf>
    <xf numFmtId="0" fontId="14" fillId="0" borderId="2" xfId="0" applyFont="1" applyFill="1" applyBorder="1" applyAlignment="1" applyProtection="1">
      <alignment horizontal="right"/>
      <protection hidden="1"/>
    </xf>
    <xf numFmtId="37" fontId="14" fillId="0" borderId="10" xfId="0" applyNumberFormat="1" applyFont="1" applyFill="1" applyBorder="1" applyAlignment="1" applyProtection="1">
      <alignment horizontal="right"/>
      <protection hidden="1"/>
    </xf>
    <xf numFmtId="37" fontId="13" fillId="2" borderId="2" xfId="0" applyNumberFormat="1" applyFont="1" applyFill="1" applyBorder="1" applyAlignment="1" applyProtection="1">
      <alignment horizontal="right"/>
      <protection hidden="1"/>
    </xf>
    <xf numFmtId="0" fontId="4" fillId="2" borderId="2" xfId="0" applyFont="1" applyFill="1" applyBorder="1" applyProtection="1">
      <protection hidden="1"/>
    </xf>
    <xf numFmtId="0" fontId="92" fillId="0" borderId="0" xfId="0" applyFont="1" applyAlignment="1" applyProtection="1">
      <alignment horizontal="left"/>
      <protection hidden="1"/>
    </xf>
    <xf numFmtId="0" fontId="92" fillId="0" borderId="0" xfId="0" applyFont="1" applyProtection="1">
      <protection hidden="1"/>
    </xf>
    <xf numFmtId="37" fontId="92" fillId="0" borderId="0" xfId="0" applyNumberFormat="1" applyFont="1" applyProtection="1">
      <protection hidden="1"/>
    </xf>
    <xf numFmtId="10" fontId="92" fillId="0" borderId="0" xfId="0" applyNumberFormat="1" applyFont="1" applyProtection="1">
      <protection hidden="1"/>
    </xf>
    <xf numFmtId="37" fontId="92" fillId="0" borderId="0" xfId="0" applyNumberFormat="1" applyFont="1" applyAlignment="1" applyProtection="1">
      <alignment horizontal="fill"/>
      <protection hidden="1"/>
    </xf>
    <xf numFmtId="37" fontId="92" fillId="0" borderId="0" xfId="0" applyNumberFormat="1" applyFont="1" applyAlignment="1" applyProtection="1">
      <alignment horizontal="left"/>
      <protection hidden="1"/>
    </xf>
    <xf numFmtId="0" fontId="92" fillId="0" borderId="0" xfId="0" applyFont="1" applyAlignment="1" applyProtection="1">
      <alignment horizontal="fill"/>
      <protection hidden="1"/>
    </xf>
    <xf numFmtId="39" fontId="92" fillId="0" borderId="0" xfId="0" applyNumberFormat="1" applyFont="1" applyProtection="1">
      <protection hidden="1"/>
    </xf>
    <xf numFmtId="9" fontId="92" fillId="0" borderId="0" xfId="0" applyNumberFormat="1" applyFont="1" applyProtection="1">
      <protection hidden="1"/>
    </xf>
    <xf numFmtId="10" fontId="92" fillId="0" borderId="0" xfId="0" quotePrefix="1" applyNumberFormat="1" applyFont="1" applyAlignment="1" applyProtection="1">
      <alignment horizontal="left"/>
      <protection hidden="1"/>
    </xf>
    <xf numFmtId="39" fontId="92" fillId="0" borderId="0" xfId="0" applyNumberFormat="1" applyFont="1" applyAlignment="1" applyProtection="1">
      <alignment horizontal="fill"/>
      <protection hidden="1"/>
    </xf>
    <xf numFmtId="10" fontId="92" fillId="0" borderId="0" xfId="0" applyNumberFormat="1" applyFont="1" applyAlignment="1" applyProtection="1">
      <alignment horizontal="fill"/>
      <protection hidden="1"/>
    </xf>
    <xf numFmtId="0" fontId="92" fillId="11" borderId="0" xfId="0" applyFont="1" applyFill="1" applyProtection="1">
      <protection hidden="1"/>
    </xf>
    <xf numFmtId="37" fontId="92" fillId="11" borderId="0" xfId="0" applyNumberFormat="1" applyFont="1" applyFill="1" applyProtection="1">
      <protection hidden="1"/>
    </xf>
    <xf numFmtId="0" fontId="92" fillId="11" borderId="0" xfId="0" applyFont="1" applyFill="1" applyAlignment="1" applyProtection="1">
      <alignment horizontal="fill"/>
      <protection hidden="1"/>
    </xf>
    <xf numFmtId="37" fontId="92" fillId="11" borderId="0" xfId="0" applyNumberFormat="1" applyFont="1" applyFill="1" applyAlignment="1" applyProtection="1">
      <alignment horizontal="fill"/>
      <protection hidden="1"/>
    </xf>
    <xf numFmtId="0" fontId="92" fillId="4" borderId="0" xfId="0" applyFont="1" applyFill="1" applyAlignment="1" applyProtection="1">
      <alignment horizontal="fill"/>
      <protection hidden="1"/>
    </xf>
    <xf numFmtId="37" fontId="92" fillId="4" borderId="0" xfId="0" applyNumberFormat="1" applyFont="1" applyFill="1" applyAlignment="1" applyProtection="1">
      <alignment horizontal="fill"/>
      <protection hidden="1"/>
    </xf>
    <xf numFmtId="0" fontId="92" fillId="4" borderId="0" xfId="0" applyFont="1" applyFill="1" applyProtection="1">
      <protection hidden="1"/>
    </xf>
    <xf numFmtId="204" fontId="92" fillId="0" borderId="0" xfId="0" applyNumberFormat="1" applyFont="1" applyAlignment="1" applyProtection="1">
      <alignment horizontal="fill"/>
      <protection hidden="1"/>
    </xf>
    <xf numFmtId="204" fontId="92" fillId="0" borderId="0" xfId="0" applyNumberFormat="1" applyFont="1" applyAlignment="1" applyProtection="1">
      <alignment horizontal="left"/>
      <protection hidden="1"/>
    </xf>
    <xf numFmtId="204" fontId="92" fillId="0" borderId="0" xfId="0" applyNumberFormat="1" applyFont="1" applyProtection="1">
      <protection hidden="1"/>
    </xf>
    <xf numFmtId="0" fontId="92" fillId="0" borderId="0" xfId="0" applyFont="1" applyAlignment="1" applyProtection="1">
      <alignment horizontal="center"/>
      <protection hidden="1"/>
    </xf>
    <xf numFmtId="3" fontId="83" fillId="0" borderId="0" xfId="0" applyNumberFormat="1" applyFont="1" applyAlignment="1" applyProtection="1">
      <alignment horizontal="left"/>
      <protection hidden="1"/>
    </xf>
    <xf numFmtId="3" fontId="83" fillId="0" borderId="0" xfId="0" applyNumberFormat="1" applyFont="1" applyProtection="1">
      <protection hidden="1"/>
    </xf>
    <xf numFmtId="3" fontId="83" fillId="0" borderId="0" xfId="0" applyNumberFormat="1" applyFont="1" applyAlignment="1" applyProtection="1">
      <alignment horizontal="fill"/>
      <protection hidden="1"/>
    </xf>
    <xf numFmtId="3" fontId="83" fillId="0" borderId="0" xfId="0" applyNumberFormat="1" applyFont="1" applyAlignment="1" applyProtection="1">
      <alignment horizontal="center"/>
      <protection hidden="1"/>
    </xf>
    <xf numFmtId="9" fontId="83" fillId="0" borderId="0" xfId="13" applyFont="1" applyProtection="1">
      <protection hidden="1"/>
    </xf>
    <xf numFmtId="214" fontId="83" fillId="0" borderId="0" xfId="0" applyNumberFormat="1" applyFont="1" applyProtection="1">
      <protection hidden="1"/>
    </xf>
    <xf numFmtId="3" fontId="83" fillId="0" borderId="0" xfId="0" quotePrefix="1" applyNumberFormat="1" applyFont="1" applyAlignment="1" applyProtection="1">
      <alignment horizontal="left"/>
      <protection hidden="1"/>
    </xf>
    <xf numFmtId="204" fontId="83" fillId="0" borderId="0" xfId="0" quotePrefix="1" applyNumberFormat="1" applyFont="1" applyAlignment="1" applyProtection="1">
      <alignment horizontal="left"/>
      <protection hidden="1"/>
    </xf>
    <xf numFmtId="2" fontId="83" fillId="0" borderId="0" xfId="0" applyNumberFormat="1" applyFont="1" applyAlignment="1" applyProtection="1">
      <alignment horizontal="fill"/>
      <protection hidden="1"/>
    </xf>
    <xf numFmtId="204" fontId="83" fillId="0" borderId="0" xfId="0" applyNumberFormat="1" applyFont="1" applyAlignment="1" applyProtection="1">
      <alignment horizontal="fill"/>
      <protection hidden="1"/>
    </xf>
    <xf numFmtId="204" fontId="83" fillId="0" borderId="0" xfId="0" applyNumberFormat="1" applyFont="1" applyProtection="1">
      <protection hidden="1"/>
    </xf>
    <xf numFmtId="3" fontId="83" fillId="0" borderId="0" xfId="0" applyNumberFormat="1" applyFont="1" applyFill="1" applyAlignment="1" applyProtection="1">
      <alignment horizontal="right"/>
      <protection hidden="1"/>
    </xf>
    <xf numFmtId="10" fontId="83" fillId="0" borderId="0" xfId="13" applyNumberFormat="1" applyFont="1" applyProtection="1">
      <protection hidden="1"/>
    </xf>
    <xf numFmtId="0" fontId="4" fillId="2" borderId="0" xfId="11" applyFont="1" applyFill="1" applyAlignment="1" applyProtection="1">
      <alignment horizontal="left"/>
      <protection hidden="1"/>
    </xf>
    <xf numFmtId="0" fontId="4" fillId="2" borderId="0" xfId="11" applyFont="1" applyFill="1" applyProtection="1">
      <protection hidden="1"/>
    </xf>
    <xf numFmtId="0" fontId="42" fillId="2" borderId="0" xfId="11" applyFont="1" applyFill="1" applyProtection="1">
      <protection hidden="1"/>
    </xf>
    <xf numFmtId="0" fontId="6" fillId="2" borderId="0" xfId="11" applyFont="1" applyFill="1" applyBorder="1" applyAlignment="1" applyProtection="1">
      <alignment horizontal="right"/>
      <protection hidden="1"/>
    </xf>
    <xf numFmtId="204" fontId="64" fillId="2" borderId="0" xfId="11" applyNumberFormat="1" applyFont="1" applyFill="1" applyBorder="1" applyAlignment="1" applyProtection="1">
      <protection hidden="1"/>
    </xf>
    <xf numFmtId="0" fontId="42" fillId="2" borderId="0" xfId="11" applyFont="1" applyFill="1" applyBorder="1" applyAlignment="1" applyProtection="1">
      <alignment horizontal="center"/>
      <protection hidden="1"/>
    </xf>
    <xf numFmtId="0" fontId="42" fillId="2" borderId="0" xfId="11" applyFont="1" applyFill="1" applyBorder="1" applyProtection="1">
      <protection hidden="1"/>
    </xf>
    <xf numFmtId="37" fontId="4" fillId="2" borderId="0" xfId="11" applyNumberFormat="1" applyFont="1" applyFill="1" applyBorder="1" applyAlignment="1" applyProtection="1">
      <protection hidden="1"/>
    </xf>
    <xf numFmtId="204" fontId="43" fillId="2" borderId="0" xfId="11" applyNumberFormat="1" applyFont="1" applyFill="1" applyProtection="1">
      <protection hidden="1"/>
    </xf>
    <xf numFmtId="204" fontId="19" fillId="2" borderId="0" xfId="11" applyNumberFormat="1" applyFont="1" applyFill="1" applyBorder="1" applyAlignment="1" applyProtection="1">
      <alignment horizontal="center"/>
      <protection hidden="1"/>
    </xf>
    <xf numFmtId="37" fontId="4" fillId="2" borderId="0" xfId="11" applyNumberFormat="1" applyFont="1" applyFill="1" applyBorder="1" applyAlignment="1" applyProtection="1">
      <alignment horizontal="center"/>
      <protection hidden="1"/>
    </xf>
    <xf numFmtId="0" fontId="44" fillId="2" borderId="0" xfId="11" applyFont="1" applyFill="1" applyProtection="1">
      <protection hidden="1"/>
    </xf>
    <xf numFmtId="0" fontId="20" fillId="2" borderId="47" xfId="11" applyFont="1" applyFill="1" applyBorder="1" applyAlignment="1" applyProtection="1">
      <alignment horizontal="center" vertical="center" wrapText="1"/>
      <protection hidden="1"/>
    </xf>
    <xf numFmtId="0" fontId="20" fillId="2" borderId="48" xfId="11" applyFont="1" applyFill="1" applyBorder="1" applyAlignment="1" applyProtection="1">
      <alignment horizontal="center" vertical="center" wrapText="1"/>
      <protection hidden="1"/>
    </xf>
    <xf numFmtId="183" fontId="20" fillId="2" borderId="49" xfId="11" applyNumberFormat="1" applyFont="1" applyFill="1" applyBorder="1" applyProtection="1">
      <protection hidden="1"/>
    </xf>
    <xf numFmtId="182" fontId="4" fillId="2" borderId="50" xfId="11" applyNumberFormat="1" applyFont="1" applyFill="1" applyBorder="1" applyProtection="1">
      <protection hidden="1"/>
    </xf>
    <xf numFmtId="9" fontId="4" fillId="2" borderId="27" xfId="13" applyFont="1" applyFill="1" applyBorder="1" applyAlignment="1" applyProtection="1">
      <alignment horizontal="center"/>
      <protection hidden="1"/>
    </xf>
    <xf numFmtId="182" fontId="4" fillId="2" borderId="27" xfId="11" applyNumberFormat="1" applyFont="1" applyFill="1" applyBorder="1" applyProtection="1">
      <protection hidden="1"/>
    </xf>
    <xf numFmtId="9" fontId="4" fillId="2" borderId="27" xfId="13" applyFont="1" applyFill="1" applyBorder="1" applyAlignment="1" applyProtection="1">
      <protection hidden="1"/>
    </xf>
    <xf numFmtId="183" fontId="20" fillId="2" borderId="51" xfId="11" applyNumberFormat="1" applyFont="1" applyFill="1" applyBorder="1" applyProtection="1">
      <protection hidden="1"/>
    </xf>
    <xf numFmtId="182" fontId="4" fillId="2" borderId="23" xfId="11" applyNumberFormat="1" applyFont="1" applyFill="1" applyBorder="1" applyProtection="1">
      <protection hidden="1"/>
    </xf>
    <xf numFmtId="9" fontId="4" fillId="2" borderId="2" xfId="13" applyFont="1" applyFill="1" applyBorder="1" applyAlignment="1" applyProtection="1">
      <alignment horizontal="center"/>
      <protection hidden="1"/>
    </xf>
    <xf numFmtId="182" fontId="4" fillId="2" borderId="2" xfId="11" applyNumberFormat="1" applyFont="1" applyFill="1" applyBorder="1" applyProtection="1">
      <protection hidden="1"/>
    </xf>
    <xf numFmtId="9" fontId="4" fillId="2" borderId="2" xfId="13" applyFont="1" applyFill="1" applyBorder="1" applyAlignment="1" applyProtection="1">
      <protection hidden="1"/>
    </xf>
    <xf numFmtId="183" fontId="20" fillId="2" borderId="51" xfId="11" applyNumberFormat="1" applyFont="1" applyFill="1" applyBorder="1" applyAlignment="1" applyProtection="1">
      <alignment horizontal="right"/>
      <protection hidden="1"/>
    </xf>
    <xf numFmtId="183" fontId="20" fillId="2" borderId="52" xfId="11" applyNumberFormat="1" applyFont="1" applyFill="1" applyBorder="1" applyProtection="1">
      <protection hidden="1"/>
    </xf>
    <xf numFmtId="204" fontId="45" fillId="2" borderId="53" xfId="11" applyNumberFormat="1" applyFont="1" applyFill="1" applyBorder="1" applyAlignment="1" applyProtection="1">
      <protection locked="0" hidden="1"/>
    </xf>
    <xf numFmtId="0" fontId="9" fillId="2" borderId="0" xfId="11" applyFill="1" applyProtection="1">
      <protection hidden="1"/>
    </xf>
    <xf numFmtId="0" fontId="78" fillId="2" borderId="15" xfId="0" applyFont="1" applyFill="1" applyBorder="1" applyAlignment="1">
      <alignment horizontal="center"/>
    </xf>
    <xf numFmtId="0" fontId="47" fillId="2" borderId="0" xfId="11" applyFont="1" applyFill="1" applyAlignment="1" applyProtection="1">
      <protection hidden="1"/>
    </xf>
    <xf numFmtId="3" fontId="36" fillId="2" borderId="46" xfId="0" applyNumberFormat="1" applyFont="1" applyFill="1" applyBorder="1" applyProtection="1">
      <protection hidden="1"/>
    </xf>
    <xf numFmtId="3" fontId="77" fillId="2" borderId="7" xfId="0" quotePrefix="1" applyNumberFormat="1" applyFont="1" applyFill="1" applyBorder="1"/>
    <xf numFmtId="3" fontId="20" fillId="2" borderId="31" xfId="0" applyNumberFormat="1" applyFont="1" applyFill="1" applyBorder="1"/>
    <xf numFmtId="3" fontId="77" fillId="2" borderId="2" xfId="0" quotePrefix="1" applyNumberFormat="1" applyFont="1" applyFill="1" applyBorder="1"/>
    <xf numFmtId="3" fontId="20" fillId="2" borderId="24" xfId="0" applyNumberFormat="1" applyFont="1" applyFill="1" applyBorder="1"/>
    <xf numFmtId="3" fontId="79" fillId="2" borderId="18" xfId="0" applyNumberFormat="1" applyFont="1" applyFill="1" applyBorder="1"/>
    <xf numFmtId="3" fontId="80" fillId="2" borderId="3" xfId="0" quotePrefix="1" applyNumberFormat="1" applyFont="1" applyFill="1" applyBorder="1"/>
    <xf numFmtId="3" fontId="81" fillId="2" borderId="29" xfId="0" applyNumberFormat="1" applyFont="1" applyFill="1" applyBorder="1"/>
    <xf numFmtId="3" fontId="36" fillId="2" borderId="15" xfId="0" applyNumberFormat="1" applyFont="1" applyFill="1" applyBorder="1" applyProtection="1">
      <protection hidden="1"/>
    </xf>
    <xf numFmtId="3" fontId="20" fillId="2" borderId="15" xfId="11" applyNumberFormat="1" applyFont="1" applyFill="1" applyBorder="1" applyProtection="1">
      <protection hidden="1"/>
    </xf>
    <xf numFmtId="0" fontId="20" fillId="2" borderId="0" xfId="11" applyFont="1" applyFill="1" applyAlignment="1" applyProtection="1">
      <alignment horizontal="justify" vertical="center" wrapText="1"/>
      <protection hidden="1"/>
    </xf>
    <xf numFmtId="0" fontId="20" fillId="2" borderId="0" xfId="11" applyFont="1" applyFill="1" applyAlignment="1" applyProtection="1">
      <alignment horizontal="center" wrapText="1"/>
      <protection hidden="1"/>
    </xf>
    <xf numFmtId="0" fontId="20" fillId="2" borderId="0" xfId="11" applyFont="1" applyFill="1" applyAlignment="1" applyProtection="1">
      <alignment horizontal="left" wrapText="1"/>
      <protection hidden="1"/>
    </xf>
    <xf numFmtId="0" fontId="4" fillId="2" borderId="0" xfId="9" applyFont="1" applyFill="1" applyProtection="1">
      <protection hidden="1"/>
    </xf>
    <xf numFmtId="4" fontId="20" fillId="2" borderId="0" xfId="11" applyNumberFormat="1" applyFont="1" applyFill="1" applyAlignment="1" applyProtection="1">
      <alignment horizontal="center" wrapText="1"/>
      <protection hidden="1"/>
    </xf>
    <xf numFmtId="0" fontId="44" fillId="2" borderId="0" xfId="11" applyFont="1" applyFill="1" applyAlignment="1" applyProtection="1">
      <alignment horizontal="left"/>
      <protection hidden="1"/>
    </xf>
    <xf numFmtId="37" fontId="46" fillId="2" borderId="2" xfId="11" applyNumberFormat="1" applyFont="1" applyFill="1" applyBorder="1" applyAlignment="1" applyProtection="1">
      <alignment horizontal="left"/>
      <protection hidden="1"/>
    </xf>
    <xf numFmtId="37" fontId="46" fillId="2" borderId="2" xfId="11" applyNumberFormat="1" applyFont="1" applyFill="1" applyBorder="1" applyAlignment="1" applyProtection="1">
      <alignment horizontal="center"/>
      <protection hidden="1"/>
    </xf>
    <xf numFmtId="196" fontId="48" fillId="2" borderId="2" xfId="11" quotePrefix="1" applyNumberFormat="1" applyFont="1" applyFill="1" applyBorder="1" applyAlignment="1" applyProtection="1">
      <alignment horizontal="left"/>
      <protection hidden="1"/>
    </xf>
    <xf numFmtId="37" fontId="4" fillId="2" borderId="2" xfId="11" applyNumberFormat="1" applyFont="1" applyFill="1" applyBorder="1" applyProtection="1">
      <protection hidden="1"/>
    </xf>
    <xf numFmtId="10" fontId="4" fillId="2" borderId="2" xfId="11" applyNumberFormat="1" applyFont="1" applyFill="1" applyBorder="1" applyProtection="1">
      <protection hidden="1"/>
    </xf>
    <xf numFmtId="204" fontId="48" fillId="2" borderId="0" xfId="11" applyNumberFormat="1" applyFont="1" applyFill="1" applyBorder="1" applyAlignment="1" applyProtection="1">
      <alignment horizontal="right"/>
      <protection hidden="1"/>
    </xf>
    <xf numFmtId="196" fontId="48" fillId="2" borderId="0" xfId="11" quotePrefix="1" applyNumberFormat="1" applyFont="1" applyFill="1" applyBorder="1" applyAlignment="1" applyProtection="1">
      <alignment horizontal="left"/>
      <protection hidden="1"/>
    </xf>
    <xf numFmtId="37" fontId="4" fillId="2" borderId="0" xfId="11" applyNumberFormat="1" applyFont="1" applyFill="1" applyBorder="1" applyProtection="1">
      <protection hidden="1"/>
    </xf>
    <xf numFmtId="196" fontId="48" fillId="2" borderId="2" xfId="11" applyNumberFormat="1" applyFont="1" applyFill="1" applyBorder="1" applyAlignment="1" applyProtection="1">
      <alignment horizontal="left"/>
      <protection hidden="1"/>
    </xf>
    <xf numFmtId="0" fontId="4" fillId="2" borderId="0" xfId="11" applyFont="1" applyFill="1" applyAlignment="1" applyProtection="1">
      <alignment horizontal="fill"/>
      <protection hidden="1"/>
    </xf>
    <xf numFmtId="37" fontId="44" fillId="2" borderId="0" xfId="11" applyNumberFormat="1" applyFont="1" applyFill="1" applyAlignment="1" applyProtection="1">
      <alignment horizontal="fill"/>
      <protection hidden="1"/>
    </xf>
    <xf numFmtId="37" fontId="4" fillId="2" borderId="0" xfId="11" applyNumberFormat="1" applyFont="1" applyFill="1" applyAlignment="1" applyProtection="1">
      <alignment horizontal="fill"/>
      <protection hidden="1"/>
    </xf>
    <xf numFmtId="37" fontId="46" fillId="2" borderId="50" xfId="11" applyNumberFormat="1" applyFont="1" applyFill="1" applyBorder="1" applyAlignment="1" applyProtection="1">
      <alignment horizontal="left"/>
      <protection hidden="1"/>
    </xf>
    <xf numFmtId="37" fontId="46" fillId="2" borderId="27" xfId="11" applyNumberFormat="1" applyFont="1" applyFill="1" applyBorder="1" applyAlignment="1" applyProtection="1">
      <alignment horizontal="center"/>
      <protection hidden="1"/>
    </xf>
    <xf numFmtId="37" fontId="46" fillId="2" borderId="39" xfId="11" applyNumberFormat="1" applyFont="1" applyFill="1" applyBorder="1" applyAlignment="1" applyProtection="1">
      <alignment horizontal="center"/>
      <protection hidden="1"/>
    </xf>
    <xf numFmtId="37" fontId="46" fillId="2" borderId="23" xfId="11" applyNumberFormat="1" applyFont="1" applyFill="1" applyBorder="1" applyAlignment="1" applyProtection="1">
      <alignment horizontal="left"/>
      <protection hidden="1"/>
    </xf>
    <xf numFmtId="37" fontId="13" fillId="2" borderId="2" xfId="11" applyNumberFormat="1" applyFont="1" applyFill="1" applyBorder="1" applyProtection="1">
      <protection hidden="1"/>
    </xf>
    <xf numFmtId="37" fontId="13" fillId="2" borderId="24" xfId="11" applyNumberFormat="1" applyFont="1" applyFill="1" applyBorder="1" applyProtection="1">
      <protection hidden="1"/>
    </xf>
    <xf numFmtId="10" fontId="20" fillId="2" borderId="15" xfId="13" applyNumberFormat="1" applyFont="1" applyFill="1" applyBorder="1" applyAlignment="1" applyProtection="1">
      <alignment horizontal="center" wrapText="1"/>
      <protection hidden="1"/>
    </xf>
    <xf numFmtId="37" fontId="46" fillId="2" borderId="34" xfId="11" applyNumberFormat="1" applyFont="1" applyFill="1" applyBorder="1" applyAlignment="1" applyProtection="1">
      <alignment horizontal="left"/>
      <protection hidden="1"/>
    </xf>
    <xf numFmtId="37" fontId="13" fillId="2" borderId="36" xfId="11" applyNumberFormat="1" applyFont="1" applyFill="1" applyBorder="1" applyProtection="1">
      <protection hidden="1"/>
    </xf>
    <xf numFmtId="37" fontId="13" fillId="2" borderId="32" xfId="11" applyNumberFormat="1" applyFont="1" applyFill="1" applyBorder="1" applyProtection="1">
      <protection hidden="1"/>
    </xf>
    <xf numFmtId="10" fontId="20" fillId="2" borderId="54" xfId="13" applyNumberFormat="1" applyFont="1" applyFill="1" applyBorder="1" applyAlignment="1" applyProtection="1">
      <alignment horizontal="center" wrapText="1"/>
      <protection hidden="1"/>
    </xf>
    <xf numFmtId="37" fontId="4" fillId="2" borderId="0" xfId="11" applyNumberFormat="1" applyFont="1" applyFill="1" applyAlignment="1" applyProtection="1">
      <alignment horizontal="left"/>
      <protection hidden="1"/>
    </xf>
    <xf numFmtId="37" fontId="4" fillId="2" borderId="0" xfId="11" applyNumberFormat="1" applyFont="1" applyFill="1" applyProtection="1">
      <protection hidden="1"/>
    </xf>
    <xf numFmtId="37" fontId="20" fillId="2" borderId="0" xfId="11" applyNumberFormat="1" applyFont="1" applyFill="1" applyAlignment="1" applyProtection="1">
      <alignment horizontal="left" wrapText="1"/>
      <protection hidden="1"/>
    </xf>
    <xf numFmtId="37" fontId="44" fillId="2" borderId="0" xfId="11" applyNumberFormat="1" applyFont="1" applyFill="1" applyAlignment="1" applyProtection="1">
      <alignment horizontal="left"/>
      <protection hidden="1"/>
    </xf>
    <xf numFmtId="0" fontId="20" fillId="2" borderId="2" xfId="11" applyFont="1" applyFill="1" applyBorder="1" applyAlignment="1" applyProtection="1">
      <alignment horizontal="center"/>
      <protection hidden="1"/>
    </xf>
    <xf numFmtId="0" fontId="20" fillId="2" borderId="24" xfId="11" applyFont="1" applyFill="1" applyBorder="1" applyAlignment="1" applyProtection="1">
      <alignment horizontal="center"/>
      <protection hidden="1"/>
    </xf>
    <xf numFmtId="37" fontId="4" fillId="2" borderId="23" xfId="11" applyNumberFormat="1" applyFont="1" applyFill="1" applyBorder="1" applyProtection="1">
      <protection hidden="1"/>
    </xf>
    <xf numFmtId="10" fontId="4" fillId="2" borderId="24" xfId="11" applyNumberFormat="1" applyFont="1" applyFill="1" applyBorder="1" applyProtection="1">
      <protection hidden="1"/>
    </xf>
    <xf numFmtId="204" fontId="19" fillId="2" borderId="0" xfId="11" applyNumberFormat="1" applyFont="1" applyFill="1" applyAlignment="1" applyProtection="1">
      <alignment horizontal="right" wrapText="1"/>
      <protection hidden="1"/>
    </xf>
    <xf numFmtId="204" fontId="20" fillId="2" borderId="0" xfId="11" applyNumberFormat="1" applyFont="1" applyFill="1" applyAlignment="1" applyProtection="1">
      <alignment horizontal="left" wrapText="1"/>
      <protection hidden="1"/>
    </xf>
    <xf numFmtId="37" fontId="4" fillId="2" borderId="28" xfId="11" applyNumberFormat="1" applyFont="1" applyFill="1" applyBorder="1" applyProtection="1">
      <protection hidden="1"/>
    </xf>
    <xf numFmtId="37" fontId="4" fillId="2" borderId="3" xfId="11" applyNumberFormat="1" applyFont="1" applyFill="1" applyBorder="1" applyProtection="1">
      <protection hidden="1"/>
    </xf>
    <xf numFmtId="10" fontId="4" fillId="2" borderId="3" xfId="11" applyNumberFormat="1" applyFont="1" applyFill="1" applyBorder="1" applyProtection="1">
      <protection hidden="1"/>
    </xf>
    <xf numFmtId="10" fontId="4" fillId="2" borderId="29" xfId="11" applyNumberFormat="1" applyFont="1" applyFill="1" applyBorder="1" applyProtection="1">
      <protection hidden="1"/>
    </xf>
    <xf numFmtId="0" fontId="20" fillId="2" borderId="46" xfId="11" applyFont="1" applyFill="1" applyBorder="1" applyAlignment="1" applyProtection="1">
      <alignment horizontal="left"/>
      <protection hidden="1"/>
    </xf>
    <xf numFmtId="37" fontId="20" fillId="2" borderId="47" xfId="11" applyNumberFormat="1" applyFont="1" applyFill="1" applyBorder="1" applyProtection="1">
      <protection hidden="1"/>
    </xf>
    <xf numFmtId="10" fontId="20" fillId="2" borderId="47" xfId="13" applyNumberFormat="1" applyFont="1" applyFill="1" applyBorder="1" applyProtection="1">
      <protection hidden="1"/>
    </xf>
    <xf numFmtId="10" fontId="20" fillId="2" borderId="48" xfId="11" applyNumberFormat="1" applyFont="1" applyFill="1" applyBorder="1" applyProtection="1">
      <protection hidden="1"/>
    </xf>
    <xf numFmtId="4" fontId="20" fillId="2" borderId="0" xfId="11" applyNumberFormat="1" applyFont="1" applyFill="1" applyAlignment="1" applyProtection="1">
      <alignment horizontal="left" wrapText="1"/>
      <protection hidden="1"/>
    </xf>
    <xf numFmtId="0" fontId="20" fillId="2" borderId="46" xfId="11" applyFont="1" applyFill="1" applyBorder="1" applyAlignment="1" applyProtection="1">
      <alignment horizontal="center"/>
      <protection hidden="1"/>
    </xf>
    <xf numFmtId="0" fontId="20" fillId="2" borderId="47" xfId="11" applyFont="1" applyFill="1" applyBorder="1" applyAlignment="1" applyProtection="1">
      <alignment horizontal="center"/>
      <protection hidden="1"/>
    </xf>
    <xf numFmtId="0" fontId="20" fillId="2" borderId="55" xfId="11" applyFont="1" applyFill="1" applyBorder="1" applyAlignment="1" applyProtection="1">
      <alignment horizontal="center"/>
      <protection hidden="1"/>
    </xf>
    <xf numFmtId="0" fontId="4" fillId="2" borderId="30" xfId="11" applyFont="1" applyFill="1" applyBorder="1" applyProtection="1">
      <protection hidden="1"/>
    </xf>
    <xf numFmtId="182" fontId="4" fillId="2" borderId="7" xfId="11" applyNumberFormat="1" applyFont="1" applyFill="1" applyBorder="1" applyProtection="1">
      <protection hidden="1"/>
    </xf>
    <xf numFmtId="182" fontId="4" fillId="2" borderId="31" xfId="11" applyNumberFormat="1" applyFont="1" applyFill="1" applyBorder="1" applyProtection="1">
      <protection hidden="1"/>
    </xf>
    <xf numFmtId="0" fontId="4" fillId="2" borderId="23" xfId="11" applyFont="1" applyFill="1" applyBorder="1" applyProtection="1">
      <protection hidden="1"/>
    </xf>
    <xf numFmtId="182" fontId="4" fillId="2" borderId="24" xfId="11" applyNumberFormat="1" applyFont="1" applyFill="1" applyBorder="1" applyProtection="1">
      <protection hidden="1"/>
    </xf>
    <xf numFmtId="0" fontId="4" fillId="2" borderId="23" xfId="11" applyFont="1" applyFill="1" applyBorder="1" applyAlignment="1" applyProtection="1">
      <alignment horizontal="left"/>
      <protection hidden="1"/>
    </xf>
    <xf numFmtId="0" fontId="20" fillId="2" borderId="56" xfId="11" applyFont="1" applyFill="1" applyBorder="1" applyAlignment="1" applyProtection="1">
      <alignment horizontal="left"/>
      <protection hidden="1"/>
    </xf>
    <xf numFmtId="182" fontId="20" fillId="2" borderId="57" xfId="11" applyNumberFormat="1" applyFont="1" applyFill="1" applyBorder="1" applyProtection="1">
      <protection hidden="1"/>
    </xf>
    <xf numFmtId="182" fontId="20" fillId="2" borderId="58" xfId="11" applyNumberFormat="1" applyFont="1" applyFill="1" applyBorder="1" applyProtection="1">
      <protection hidden="1"/>
    </xf>
    <xf numFmtId="0" fontId="4" fillId="2" borderId="35" xfId="11" applyFont="1" applyFill="1" applyBorder="1" applyProtection="1">
      <protection hidden="1"/>
    </xf>
    <xf numFmtId="0" fontId="20" fillId="2" borderId="59" xfId="11" applyFont="1" applyFill="1" applyBorder="1" applyAlignment="1" applyProtection="1">
      <alignment horizontal="center" vertical="center"/>
      <protection hidden="1"/>
    </xf>
    <xf numFmtId="0" fontId="49" fillId="2" borderId="47" xfId="11" applyFont="1" applyFill="1" applyBorder="1" applyAlignment="1" applyProtection="1">
      <alignment horizontal="center" vertical="center" wrapText="1"/>
      <protection hidden="1"/>
    </xf>
    <xf numFmtId="3" fontId="4" fillId="2" borderId="30" xfId="11" applyNumberFormat="1" applyFont="1" applyFill="1" applyBorder="1" applyProtection="1">
      <protection hidden="1"/>
    </xf>
    <xf numFmtId="37" fontId="4" fillId="2" borderId="7" xfId="11" applyNumberFormat="1" applyFont="1" applyFill="1" applyBorder="1" applyProtection="1">
      <protection hidden="1"/>
    </xf>
    <xf numFmtId="10" fontId="4" fillId="2" borderId="7" xfId="11" applyNumberFormat="1" applyFont="1" applyFill="1" applyBorder="1" applyProtection="1">
      <protection hidden="1"/>
    </xf>
    <xf numFmtId="10" fontId="4" fillId="2" borderId="31" xfId="11" applyNumberFormat="1" applyFont="1" applyFill="1" applyBorder="1" applyProtection="1">
      <protection hidden="1"/>
    </xf>
    <xf numFmtId="3" fontId="4" fillId="2" borderId="23" xfId="11" applyNumberFormat="1" applyFont="1" applyFill="1" applyBorder="1" applyProtection="1">
      <protection hidden="1"/>
    </xf>
    <xf numFmtId="3" fontId="4" fillId="2" borderId="28" xfId="11" applyNumberFormat="1" applyFont="1" applyFill="1" applyBorder="1" applyProtection="1">
      <protection hidden="1"/>
    </xf>
    <xf numFmtId="0" fontId="4" fillId="2" borderId="19" xfId="11" applyFont="1" applyFill="1" applyBorder="1" applyProtection="1">
      <protection hidden="1"/>
    </xf>
    <xf numFmtId="10" fontId="20" fillId="2" borderId="47" xfId="11" applyNumberFormat="1" applyFont="1" applyFill="1" applyBorder="1" applyProtection="1">
      <protection hidden="1"/>
    </xf>
    <xf numFmtId="0" fontId="4" fillId="2" borderId="0" xfId="11" applyFont="1" applyFill="1" applyBorder="1" applyProtection="1">
      <protection hidden="1"/>
    </xf>
    <xf numFmtId="10" fontId="4" fillId="2" borderId="0" xfId="11" applyNumberFormat="1" applyFont="1" applyFill="1" applyBorder="1" applyProtection="1">
      <protection hidden="1"/>
    </xf>
    <xf numFmtId="0" fontId="4" fillId="2" borderId="0" xfId="11" applyFont="1" applyFill="1" applyBorder="1" applyAlignment="1" applyProtection="1">
      <protection hidden="1"/>
    </xf>
    <xf numFmtId="0" fontId="4" fillId="2" borderId="0" xfId="11" applyFont="1" applyFill="1" applyBorder="1" applyAlignment="1" applyProtection="1"/>
    <xf numFmtId="0" fontId="4" fillId="2" borderId="0" xfId="11" applyFont="1" applyFill="1" applyBorder="1" applyAlignment="1" applyProtection="1">
      <alignment horizontal="left"/>
      <protection hidden="1"/>
    </xf>
    <xf numFmtId="4" fontId="4" fillId="2" borderId="0" xfId="11" applyNumberFormat="1" applyFont="1" applyFill="1" applyProtection="1">
      <protection hidden="1"/>
    </xf>
    <xf numFmtId="0" fontId="13" fillId="2" borderId="0" xfId="11" applyFont="1" applyFill="1" applyAlignment="1" applyProtection="1">
      <alignment horizontal="left"/>
      <protection hidden="1"/>
    </xf>
    <xf numFmtId="37" fontId="13" fillId="2" borderId="0" xfId="11" applyNumberFormat="1" applyFont="1" applyFill="1" applyProtection="1">
      <protection hidden="1"/>
    </xf>
    <xf numFmtId="182" fontId="13" fillId="2" borderId="0" xfId="11" applyNumberFormat="1" applyFont="1" applyFill="1" applyProtection="1">
      <protection hidden="1"/>
    </xf>
    <xf numFmtId="0" fontId="20" fillId="2" borderId="50" xfId="11" applyFont="1" applyFill="1" applyBorder="1" applyAlignment="1" applyProtection="1">
      <alignment horizontal="center" vertical="center" wrapText="1"/>
      <protection hidden="1"/>
    </xf>
    <xf numFmtId="37" fontId="20" fillId="2" borderId="27" xfId="11" applyNumberFormat="1" applyFont="1" applyFill="1" applyBorder="1" applyAlignment="1" applyProtection="1">
      <alignment horizontal="center" vertical="center" wrapText="1"/>
      <protection hidden="1"/>
    </xf>
    <xf numFmtId="0" fontId="20" fillId="2" borderId="27" xfId="11" applyFont="1" applyFill="1" applyBorder="1" applyAlignment="1" applyProtection="1">
      <alignment horizontal="center" vertical="center" wrapText="1"/>
      <protection hidden="1"/>
    </xf>
    <xf numFmtId="0" fontId="20" fillId="2" borderId="39" xfId="11" applyFont="1" applyFill="1" applyBorder="1" applyAlignment="1" applyProtection="1">
      <alignment horizontal="center" vertical="center" wrapText="1"/>
      <protection hidden="1"/>
    </xf>
    <xf numFmtId="39" fontId="4" fillId="2" borderId="24" xfId="11" applyNumberFormat="1" applyFont="1" applyFill="1" applyBorder="1" applyProtection="1">
      <protection hidden="1"/>
    </xf>
    <xf numFmtId="182" fontId="42" fillId="2" borderId="0" xfId="11" applyNumberFormat="1" applyFont="1" applyFill="1" applyProtection="1">
      <protection hidden="1"/>
    </xf>
    <xf numFmtId="0" fontId="4" fillId="2" borderId="34" xfId="11" applyFont="1" applyFill="1" applyBorder="1" applyProtection="1">
      <protection hidden="1"/>
    </xf>
    <xf numFmtId="37" fontId="4" fillId="2" borderId="36" xfId="11" applyNumberFormat="1" applyFont="1" applyFill="1" applyBorder="1" applyProtection="1">
      <protection hidden="1"/>
    </xf>
    <xf numFmtId="39" fontId="4" fillId="2" borderId="32" xfId="11" applyNumberFormat="1" applyFont="1" applyFill="1" applyBorder="1" applyProtection="1">
      <protection hidden="1"/>
    </xf>
    <xf numFmtId="49" fontId="20" fillId="2" borderId="59" xfId="11" applyNumberFormat="1" applyFont="1" applyFill="1" applyBorder="1" applyAlignment="1" applyProtection="1">
      <alignment horizontal="center" vertical="center" wrapText="1"/>
      <protection hidden="1"/>
    </xf>
    <xf numFmtId="182" fontId="20" fillId="2" borderId="47" xfId="11" applyNumberFormat="1" applyFont="1" applyFill="1" applyBorder="1" applyAlignment="1" applyProtection="1">
      <alignment horizontal="center" vertical="center" wrapText="1"/>
      <protection hidden="1"/>
    </xf>
    <xf numFmtId="49" fontId="20" fillId="2" borderId="47" xfId="11" applyNumberFormat="1" applyFont="1" applyFill="1" applyBorder="1" applyAlignment="1" applyProtection="1">
      <alignment horizontal="center" vertical="center" wrapText="1"/>
      <protection hidden="1"/>
    </xf>
    <xf numFmtId="182" fontId="20" fillId="2" borderId="48" xfId="11" applyNumberFormat="1" applyFont="1" applyFill="1" applyBorder="1" applyAlignment="1" applyProtection="1">
      <alignment horizontal="center" vertical="center" wrapText="1"/>
      <protection hidden="1"/>
    </xf>
    <xf numFmtId="0" fontId="20" fillId="2" borderId="59" xfId="11" applyFont="1" applyFill="1" applyBorder="1" applyAlignment="1" applyProtection="1">
      <alignment horizontal="center"/>
      <protection hidden="1"/>
    </xf>
    <xf numFmtId="0" fontId="20" fillId="2" borderId="48" xfId="11" applyFont="1" applyFill="1" applyBorder="1" applyAlignment="1" applyProtection="1">
      <alignment horizontal="center"/>
      <protection hidden="1"/>
    </xf>
    <xf numFmtId="0" fontId="50" fillId="2" borderId="49" xfId="11" applyFont="1" applyFill="1" applyBorder="1" applyAlignment="1" applyProtection="1">
      <alignment horizontal="left"/>
      <protection hidden="1"/>
    </xf>
    <xf numFmtId="211" fontId="20" fillId="2" borderId="30" xfId="11" applyNumberFormat="1" applyFont="1" applyFill="1" applyBorder="1" applyProtection="1">
      <protection hidden="1"/>
    </xf>
    <xf numFmtId="211" fontId="20" fillId="2" borderId="7" xfId="11" applyNumberFormat="1" applyFont="1" applyFill="1" applyBorder="1" applyProtection="1">
      <protection hidden="1"/>
    </xf>
    <xf numFmtId="211" fontId="20" fillId="2" borderId="31" xfId="11" applyNumberFormat="1" applyFont="1" applyFill="1" applyBorder="1" applyProtection="1">
      <protection hidden="1"/>
    </xf>
    <xf numFmtId="0" fontId="4" fillId="2" borderId="51" xfId="11" applyFont="1" applyFill="1" applyBorder="1" applyAlignment="1" applyProtection="1">
      <alignment horizontal="left"/>
      <protection hidden="1"/>
    </xf>
    <xf numFmtId="211" fontId="4" fillId="2" borderId="23" xfId="11" applyNumberFormat="1" applyFont="1" applyFill="1" applyBorder="1" applyProtection="1">
      <protection hidden="1"/>
    </xf>
    <xf numFmtId="0" fontId="20" fillId="2" borderId="51" xfId="11" applyFont="1" applyFill="1" applyBorder="1" applyAlignment="1" applyProtection="1">
      <alignment horizontal="left"/>
      <protection hidden="1"/>
    </xf>
    <xf numFmtId="211" fontId="20" fillId="2" borderId="23" xfId="11" applyNumberFormat="1" applyFont="1" applyFill="1" applyBorder="1" applyProtection="1">
      <protection hidden="1"/>
    </xf>
    <xf numFmtId="0" fontId="20" fillId="2" borderId="52" xfId="11" applyFont="1" applyFill="1" applyBorder="1" applyAlignment="1" applyProtection="1">
      <alignment horizontal="left"/>
      <protection hidden="1"/>
    </xf>
    <xf numFmtId="179" fontId="20" fillId="2" borderId="34" xfId="11" applyNumberFormat="1" applyFont="1" applyFill="1" applyBorder="1" applyProtection="1">
      <protection hidden="1"/>
    </xf>
    <xf numFmtId="0" fontId="4" fillId="2" borderId="0" xfId="11" applyFont="1" applyFill="1" applyAlignment="1" applyProtection="1">
      <alignment horizontal="center"/>
      <protection hidden="1"/>
    </xf>
    <xf numFmtId="0" fontId="20" fillId="2" borderId="50" xfId="11" applyFont="1" applyFill="1" applyBorder="1" applyAlignment="1" applyProtection="1">
      <alignment horizontal="center"/>
      <protection hidden="1"/>
    </xf>
    <xf numFmtId="0" fontId="20" fillId="2" borderId="27" xfId="11" applyFont="1" applyFill="1" applyBorder="1" applyAlignment="1" applyProtection="1">
      <alignment horizontal="center"/>
      <protection hidden="1"/>
    </xf>
    <xf numFmtId="0" fontId="20" fillId="2" borderId="39" xfId="11" applyFont="1" applyFill="1" applyBorder="1" applyAlignment="1" applyProtection="1">
      <alignment horizontal="center"/>
      <protection hidden="1"/>
    </xf>
    <xf numFmtId="38" fontId="20" fillId="2" borderId="23" xfId="11" applyNumberFormat="1" applyFont="1" applyFill="1" applyBorder="1" applyProtection="1">
      <protection hidden="1"/>
    </xf>
    <xf numFmtId="38" fontId="20" fillId="2" borderId="2" xfId="11" applyNumberFormat="1" applyFont="1" applyFill="1" applyBorder="1" applyProtection="1">
      <protection hidden="1"/>
    </xf>
    <xf numFmtId="38" fontId="20" fillId="2" borderId="24" xfId="11" applyNumberFormat="1" applyFont="1" applyFill="1" applyBorder="1" applyProtection="1">
      <protection hidden="1"/>
    </xf>
    <xf numFmtId="0" fontId="4" fillId="2" borderId="16" xfId="11" applyFont="1" applyFill="1" applyBorder="1" applyAlignment="1" applyProtection="1">
      <protection hidden="1"/>
    </xf>
    <xf numFmtId="3" fontId="4" fillId="2" borderId="60" xfId="11" applyNumberFormat="1" applyFont="1" applyFill="1" applyBorder="1" applyAlignment="1" applyProtection="1">
      <protection hidden="1"/>
    </xf>
    <xf numFmtId="38" fontId="4" fillId="2" borderId="23" xfId="11" applyNumberFormat="1" applyFont="1" applyFill="1" applyBorder="1" applyProtection="1">
      <protection hidden="1"/>
    </xf>
    <xf numFmtId="38" fontId="4" fillId="2" borderId="2" xfId="11" applyNumberFormat="1" applyFont="1" applyFill="1" applyBorder="1" applyProtection="1">
      <protection hidden="1"/>
    </xf>
    <xf numFmtId="38" fontId="4" fillId="2" borderId="24" xfId="11" applyNumberFormat="1" applyFont="1" applyFill="1" applyBorder="1" applyProtection="1">
      <protection hidden="1"/>
    </xf>
    <xf numFmtId="0" fontId="20" fillId="2" borderId="16" xfId="11" applyFont="1" applyFill="1" applyBorder="1" applyAlignment="1" applyProtection="1">
      <protection hidden="1"/>
    </xf>
    <xf numFmtId="3" fontId="4" fillId="2" borderId="60" xfId="11" quotePrefix="1" applyNumberFormat="1" applyFont="1" applyFill="1" applyBorder="1" applyAlignment="1" applyProtection="1">
      <protection hidden="1"/>
    </xf>
    <xf numFmtId="216" fontId="20" fillId="2" borderId="34" xfId="11" applyNumberFormat="1" applyFont="1" applyFill="1" applyBorder="1" applyProtection="1">
      <protection hidden="1"/>
    </xf>
    <xf numFmtId="216" fontId="20" fillId="2" borderId="36" xfId="11" applyNumberFormat="1" applyFont="1" applyFill="1" applyBorder="1" applyProtection="1">
      <protection hidden="1"/>
    </xf>
    <xf numFmtId="216" fontId="20" fillId="2" borderId="32" xfId="11" applyNumberFormat="1" applyFont="1" applyFill="1" applyBorder="1" applyProtection="1">
      <protection hidden="1"/>
    </xf>
    <xf numFmtId="0" fontId="20" fillId="2" borderId="49" xfId="11" applyFont="1" applyFill="1" applyBorder="1" applyAlignment="1" applyProtection="1">
      <alignment horizontal="left"/>
      <protection hidden="1"/>
    </xf>
    <xf numFmtId="10" fontId="4" fillId="2" borderId="23" xfId="11" applyNumberFormat="1" applyFont="1" applyFill="1" applyBorder="1" applyProtection="1">
      <protection hidden="1"/>
    </xf>
    <xf numFmtId="10" fontId="4" fillId="2" borderId="0" xfId="11" applyNumberFormat="1" applyFont="1" applyFill="1" applyProtection="1">
      <protection hidden="1"/>
    </xf>
    <xf numFmtId="10" fontId="4" fillId="2" borderId="34" xfId="11" applyNumberFormat="1" applyFont="1" applyFill="1" applyBorder="1" applyProtection="1">
      <protection hidden="1"/>
    </xf>
    <xf numFmtId="10" fontId="4" fillId="2" borderId="32" xfId="11" applyNumberFormat="1" applyFont="1" applyFill="1" applyBorder="1" applyProtection="1">
      <protection hidden="1"/>
    </xf>
    <xf numFmtId="4" fontId="4" fillId="2" borderId="0" xfId="11" applyNumberFormat="1" applyFont="1" applyFill="1" applyAlignment="1" applyProtection="1">
      <alignment horizontal="left"/>
      <protection hidden="1"/>
    </xf>
    <xf numFmtId="0" fontId="20" fillId="2" borderId="2" xfId="11" applyFont="1" applyFill="1" applyBorder="1" applyAlignment="1" applyProtection="1">
      <alignment horizontal="left"/>
      <protection hidden="1"/>
    </xf>
    <xf numFmtId="0" fontId="20" fillId="2" borderId="3" xfId="11" applyFont="1" applyFill="1" applyBorder="1" applyAlignment="1" applyProtection="1">
      <alignment horizontal="left"/>
      <protection hidden="1"/>
    </xf>
    <xf numFmtId="9" fontId="4" fillId="2" borderId="2" xfId="13" applyFont="1" applyFill="1" applyBorder="1" applyProtection="1">
      <protection hidden="1"/>
    </xf>
    <xf numFmtId="0" fontId="42" fillId="2" borderId="0" xfId="11" applyFont="1" applyFill="1" applyAlignment="1" applyProtection="1">
      <protection hidden="1"/>
    </xf>
    <xf numFmtId="0" fontId="20" fillId="2" borderId="0" xfId="11" applyFont="1" applyFill="1" applyAlignment="1" applyProtection="1">
      <alignment horizontal="center"/>
      <protection hidden="1"/>
    </xf>
    <xf numFmtId="0" fontId="20" fillId="2" borderId="0" xfId="11" applyFont="1" applyFill="1" applyAlignment="1" applyProtection="1">
      <alignment horizontal="left"/>
      <protection hidden="1"/>
    </xf>
    <xf numFmtId="0" fontId="48" fillId="2" borderId="2" xfId="11" applyFont="1" applyFill="1" applyBorder="1" applyAlignment="1" applyProtection="1">
      <alignment horizontal="left"/>
      <protection hidden="1"/>
    </xf>
    <xf numFmtId="218" fontId="13" fillId="2" borderId="2" xfId="11" applyNumberFormat="1" applyFont="1" applyFill="1" applyBorder="1" applyAlignment="1" applyProtection="1">
      <alignment horizontal="left"/>
      <protection hidden="1"/>
    </xf>
    <xf numFmtId="218" fontId="4" fillId="2" borderId="0" xfId="11" applyNumberFormat="1" applyFont="1" applyFill="1" applyProtection="1">
      <protection hidden="1"/>
    </xf>
    <xf numFmtId="218" fontId="42" fillId="2" borderId="0" xfId="11" applyNumberFormat="1" applyFont="1" applyFill="1" applyProtection="1">
      <protection hidden="1"/>
    </xf>
    <xf numFmtId="201" fontId="4" fillId="2" borderId="0" xfId="11" applyNumberFormat="1" applyFont="1" applyFill="1" applyProtection="1">
      <protection hidden="1"/>
    </xf>
    <xf numFmtId="217" fontId="4" fillId="2" borderId="0" xfId="2" applyNumberFormat="1" applyFont="1" applyFill="1" applyProtection="1">
      <protection hidden="1"/>
    </xf>
    <xf numFmtId="0" fontId="42" fillId="2" borderId="0" xfId="11" applyFont="1" applyFill="1" applyAlignment="1" applyProtection="1">
      <alignment horizontal="center"/>
      <protection hidden="1"/>
    </xf>
    <xf numFmtId="37" fontId="4" fillId="2" borderId="12" xfId="11" applyNumberFormat="1" applyFont="1" applyFill="1" applyBorder="1" applyProtection="1">
      <protection hidden="1"/>
    </xf>
    <xf numFmtId="37" fontId="42" fillId="2" borderId="0" xfId="11" applyNumberFormat="1" applyFont="1" applyFill="1" applyProtection="1">
      <protection hidden="1"/>
    </xf>
    <xf numFmtId="37" fontId="13" fillId="2" borderId="4" xfId="11" applyNumberFormat="1" applyFont="1" applyFill="1" applyBorder="1" applyProtection="1">
      <protection hidden="1"/>
    </xf>
    <xf numFmtId="37" fontId="13" fillId="2" borderId="3" xfId="11" applyNumberFormat="1" applyFont="1" applyFill="1" applyBorder="1" applyProtection="1">
      <protection hidden="1"/>
    </xf>
    <xf numFmtId="37" fontId="4" fillId="2" borderId="11" xfId="11" applyNumberFormat="1" applyFont="1" applyFill="1" applyBorder="1" applyProtection="1">
      <protection hidden="1"/>
    </xf>
    <xf numFmtId="37" fontId="4" fillId="2" borderId="9" xfId="11" applyNumberFormat="1" applyFont="1" applyFill="1" applyBorder="1" applyProtection="1">
      <protection hidden="1"/>
    </xf>
    <xf numFmtId="37" fontId="13" fillId="2" borderId="11" xfId="11" applyNumberFormat="1" applyFont="1" applyFill="1" applyBorder="1" applyProtection="1">
      <protection hidden="1"/>
    </xf>
    <xf numFmtId="37" fontId="13" fillId="2" borderId="12" xfId="11" applyNumberFormat="1" applyFont="1" applyFill="1" applyBorder="1" applyProtection="1">
      <protection hidden="1"/>
    </xf>
    <xf numFmtId="4" fontId="42" fillId="2" borderId="0" xfId="11" applyNumberFormat="1" applyFont="1" applyFill="1" applyProtection="1">
      <protection hidden="1"/>
    </xf>
    <xf numFmtId="37" fontId="20" fillId="2" borderId="2" xfId="11" applyNumberFormat="1" applyFont="1" applyFill="1" applyBorder="1" applyAlignment="1" applyProtection="1">
      <alignment horizontal="left"/>
      <protection hidden="1"/>
    </xf>
    <xf numFmtId="10" fontId="13" fillId="2" borderId="2" xfId="11" applyNumberFormat="1" applyFont="1" applyFill="1" applyBorder="1" applyProtection="1">
      <protection hidden="1"/>
    </xf>
    <xf numFmtId="182" fontId="46" fillId="2" borderId="0" xfId="11" applyNumberFormat="1" applyFont="1" applyFill="1" applyProtection="1">
      <protection hidden="1"/>
    </xf>
    <xf numFmtId="182" fontId="44" fillId="2" borderId="0" xfId="11" applyNumberFormat="1" applyFont="1" applyFill="1" applyProtection="1">
      <protection hidden="1"/>
    </xf>
    <xf numFmtId="0" fontId="4" fillId="2" borderId="9" xfId="11" applyFont="1" applyFill="1" applyBorder="1" applyProtection="1">
      <protection hidden="1"/>
    </xf>
    <xf numFmtId="4" fontId="44" fillId="2" borderId="0" xfId="11" applyNumberFormat="1" applyFont="1" applyFill="1" applyAlignment="1" applyProtection="1">
      <alignment horizontal="left"/>
      <protection hidden="1"/>
    </xf>
    <xf numFmtId="4" fontId="19" fillId="2" borderId="0" xfId="11" applyNumberFormat="1" applyFont="1" applyFill="1" applyProtection="1">
      <protection hidden="1"/>
    </xf>
    <xf numFmtId="0" fontId="13" fillId="2" borderId="2" xfId="11" applyFont="1" applyFill="1" applyBorder="1" applyAlignment="1" applyProtection="1">
      <alignment horizontal="left"/>
      <protection hidden="1"/>
    </xf>
    <xf numFmtId="199" fontId="13" fillId="2" borderId="2" xfId="11" applyNumberFormat="1" applyFont="1" applyFill="1" applyBorder="1" applyAlignment="1" applyProtection="1">
      <alignment horizontal="right"/>
      <protection hidden="1"/>
    </xf>
    <xf numFmtId="0" fontId="93" fillId="0" borderId="0" xfId="0" applyFont="1"/>
    <xf numFmtId="179" fontId="13" fillId="2" borderId="2" xfId="11" applyNumberFormat="1" applyFont="1" applyFill="1" applyBorder="1" applyProtection="1">
      <protection hidden="1"/>
    </xf>
    <xf numFmtId="199" fontId="13" fillId="2" borderId="2" xfId="11" applyNumberFormat="1" applyFont="1" applyFill="1" applyBorder="1" applyProtection="1">
      <protection hidden="1"/>
    </xf>
    <xf numFmtId="3" fontId="54" fillId="0" borderId="0" xfId="0" applyNumberFormat="1" applyFont="1" applyAlignment="1" applyProtection="1">
      <alignment horizontal="right"/>
      <protection hidden="1"/>
    </xf>
    <xf numFmtId="3" fontId="54" fillId="0" borderId="0" xfId="0" applyNumberFormat="1" applyFont="1" applyAlignment="1" applyProtection="1">
      <alignment horizontal="left"/>
      <protection hidden="1"/>
    </xf>
    <xf numFmtId="3" fontId="94" fillId="0" borderId="0" xfId="0" applyNumberFormat="1" applyFont="1" applyAlignment="1" applyProtection="1">
      <alignment horizontal="right"/>
      <protection hidden="1"/>
    </xf>
    <xf numFmtId="3" fontId="94" fillId="0" borderId="0" xfId="0" quotePrefix="1" applyNumberFormat="1" applyFont="1" applyAlignment="1" applyProtection="1">
      <alignment horizontal="right"/>
      <protection hidden="1"/>
    </xf>
    <xf numFmtId="3" fontId="54" fillId="0" borderId="2" xfId="0" applyNumberFormat="1" applyFont="1" applyBorder="1" applyAlignment="1" applyProtection="1">
      <alignment horizontal="right"/>
      <protection hidden="1"/>
    </xf>
    <xf numFmtId="10" fontId="54" fillId="0" borderId="2" xfId="13" applyNumberFormat="1" applyFont="1" applyBorder="1" applyAlignment="1" applyProtection="1">
      <alignment horizontal="right"/>
      <protection hidden="1"/>
    </xf>
    <xf numFmtId="3" fontId="54" fillId="0" borderId="0" xfId="0" applyNumberFormat="1" applyFont="1" applyAlignment="1" applyProtection="1">
      <alignment horizontal="right" vertical="center"/>
      <protection hidden="1"/>
    </xf>
    <xf numFmtId="10" fontId="54" fillId="0" borderId="0" xfId="13" applyNumberFormat="1" applyFont="1" applyAlignment="1" applyProtection="1">
      <alignment horizontal="right"/>
      <protection hidden="1"/>
    </xf>
    <xf numFmtId="183" fontId="54" fillId="0" borderId="0" xfId="3" applyFont="1" applyAlignment="1" applyProtection="1">
      <alignment horizontal="right"/>
      <protection hidden="1"/>
    </xf>
    <xf numFmtId="3" fontId="48" fillId="0" borderId="0" xfId="0" applyNumberFormat="1" applyFont="1" applyAlignment="1" applyProtection="1">
      <alignment horizontal="right"/>
      <protection hidden="1"/>
    </xf>
    <xf numFmtId="3" fontId="54" fillId="6" borderId="2" xfId="0" applyNumberFormat="1" applyFont="1" applyFill="1" applyBorder="1" applyAlignment="1" applyProtection="1">
      <alignment horizontal="right"/>
      <protection hidden="1"/>
    </xf>
    <xf numFmtId="3" fontId="54" fillId="12" borderId="2" xfId="0" applyNumberFormat="1" applyFont="1" applyFill="1" applyBorder="1" applyAlignment="1" applyProtection="1">
      <alignment horizontal="right"/>
      <protection hidden="1"/>
    </xf>
    <xf numFmtId="3" fontId="54" fillId="3" borderId="2" xfId="0" applyNumberFormat="1" applyFont="1" applyFill="1" applyBorder="1" applyAlignment="1" applyProtection="1">
      <alignment horizontal="right"/>
      <protection hidden="1"/>
    </xf>
    <xf numFmtId="3" fontId="54" fillId="0" borderId="0" xfId="0" applyNumberFormat="1" applyFont="1" applyBorder="1" applyAlignment="1" applyProtection="1">
      <alignment horizontal="right"/>
      <protection hidden="1"/>
    </xf>
    <xf numFmtId="10" fontId="54" fillId="6" borderId="2" xfId="13" applyNumberFormat="1" applyFont="1" applyFill="1" applyBorder="1" applyAlignment="1" applyProtection="1">
      <alignment horizontal="right"/>
      <protection hidden="1"/>
    </xf>
    <xf numFmtId="10" fontId="54" fillId="12" borderId="2" xfId="13" applyNumberFormat="1" applyFont="1" applyFill="1" applyBorder="1" applyAlignment="1" applyProtection="1">
      <alignment horizontal="right"/>
      <protection hidden="1"/>
    </xf>
    <xf numFmtId="10" fontId="54" fillId="3" borderId="2" xfId="13" applyNumberFormat="1" applyFont="1" applyFill="1" applyBorder="1" applyAlignment="1" applyProtection="1">
      <alignment horizontal="right"/>
      <protection hidden="1"/>
    </xf>
    <xf numFmtId="3" fontId="49" fillId="6" borderId="2" xfId="0" applyNumberFormat="1" applyFont="1" applyFill="1" applyBorder="1" applyAlignment="1" applyProtection="1">
      <alignment horizontal="right"/>
      <protection hidden="1"/>
    </xf>
    <xf numFmtId="3" fontId="54" fillId="7" borderId="2" xfId="0" applyNumberFormat="1" applyFont="1" applyFill="1" applyBorder="1" applyAlignment="1" applyProtection="1">
      <alignment horizontal="right"/>
      <protection hidden="1"/>
    </xf>
    <xf numFmtId="3" fontId="49" fillId="12" borderId="2" xfId="0" applyNumberFormat="1" applyFont="1" applyFill="1" applyBorder="1" applyAlignment="1" applyProtection="1">
      <alignment horizontal="right"/>
      <protection hidden="1"/>
    </xf>
    <xf numFmtId="3" fontId="54" fillId="4" borderId="2" xfId="0" applyNumberFormat="1" applyFont="1" applyFill="1" applyBorder="1" applyAlignment="1" applyProtection="1">
      <alignment horizontal="right"/>
      <protection hidden="1"/>
    </xf>
    <xf numFmtId="3" fontId="54" fillId="0" borderId="13" xfId="0" applyNumberFormat="1" applyFont="1" applyBorder="1" applyAlignment="1" applyProtection="1">
      <alignment horizontal="right"/>
      <protection hidden="1"/>
    </xf>
    <xf numFmtId="3" fontId="54" fillId="0" borderId="10" xfId="0" applyNumberFormat="1" applyFont="1" applyBorder="1" applyAlignment="1" applyProtection="1">
      <alignment horizontal="right"/>
      <protection hidden="1"/>
    </xf>
    <xf numFmtId="3" fontId="54" fillId="7" borderId="10" xfId="0" applyNumberFormat="1" applyFont="1" applyFill="1" applyBorder="1" applyAlignment="1" applyProtection="1">
      <alignment horizontal="right"/>
      <protection hidden="1"/>
    </xf>
    <xf numFmtId="3" fontId="54" fillId="0" borderId="13" xfId="0" applyNumberFormat="1" applyFont="1" applyFill="1" applyBorder="1" applyAlignment="1" applyProtection="1">
      <alignment horizontal="right"/>
      <protection hidden="1"/>
    </xf>
    <xf numFmtId="3" fontId="54" fillId="2" borderId="2" xfId="0" applyNumberFormat="1" applyFont="1" applyFill="1" applyBorder="1" applyAlignment="1" applyProtection="1">
      <alignment horizontal="right"/>
      <protection hidden="1"/>
    </xf>
    <xf numFmtId="3" fontId="20" fillId="0" borderId="0" xfId="0" applyNumberFormat="1" applyFont="1" applyAlignment="1" applyProtection="1">
      <alignment horizontal="right"/>
      <protection hidden="1"/>
    </xf>
    <xf numFmtId="3" fontId="54" fillId="0" borderId="0" xfId="0" quotePrefix="1" applyNumberFormat="1" applyFont="1" applyAlignment="1" applyProtection="1">
      <alignment horizontal="right"/>
      <protection hidden="1"/>
    </xf>
    <xf numFmtId="37" fontId="6" fillId="0" borderId="0" xfId="0" applyNumberFormat="1" applyFont="1" applyFill="1" applyBorder="1" applyAlignment="1" applyProtection="1">
      <alignment vertical="center"/>
      <protection hidden="1"/>
    </xf>
    <xf numFmtId="37" fontId="32" fillId="0" borderId="0" xfId="0" applyNumberFormat="1" applyFont="1" applyFill="1" applyBorder="1" applyAlignment="1" applyProtection="1">
      <alignment vertical="center" wrapText="1"/>
      <protection hidden="1"/>
    </xf>
    <xf numFmtId="0" fontId="0" fillId="0" borderId="0" xfId="0" applyBorder="1"/>
    <xf numFmtId="179" fontId="96" fillId="0" borderId="24" xfId="0" applyNumberFormat="1" applyFont="1" applyBorder="1"/>
    <xf numFmtId="0" fontId="95" fillId="0" borderId="18" xfId="0" applyFont="1" applyBorder="1"/>
    <xf numFmtId="0" fontId="95" fillId="0" borderId="40" xfId="0" applyFont="1" applyBorder="1"/>
    <xf numFmtId="0" fontId="95" fillId="0" borderId="50" xfId="0" applyNumberFormat="1" applyFont="1" applyFill="1" applyBorder="1" applyAlignment="1" applyProtection="1">
      <alignment horizontal="left"/>
    </xf>
    <xf numFmtId="0" fontId="95" fillId="0" borderId="23" xfId="0" applyNumberFormat="1" applyFont="1" applyFill="1" applyBorder="1" applyAlignment="1" applyProtection="1">
      <alignment horizontal="left"/>
    </xf>
    <xf numFmtId="0" fontId="95" fillId="0" borderId="28" xfId="0" applyNumberFormat="1" applyFont="1" applyFill="1" applyBorder="1" applyAlignment="1" applyProtection="1">
      <alignment horizontal="left"/>
    </xf>
    <xf numFmtId="10" fontId="96" fillId="0" borderId="27" xfId="13" applyNumberFormat="1" applyFont="1" applyBorder="1"/>
    <xf numFmtId="10" fontId="96" fillId="0" borderId="2" xfId="13" applyNumberFormat="1" applyFont="1" applyBorder="1"/>
    <xf numFmtId="10" fontId="96" fillId="0" borderId="3" xfId="13" applyNumberFormat="1" applyFont="1" applyBorder="1"/>
    <xf numFmtId="10" fontId="96" fillId="0" borderId="24" xfId="13" applyNumberFormat="1" applyFont="1" applyBorder="1"/>
    <xf numFmtId="10" fontId="96" fillId="0" borderId="32" xfId="13" applyNumberFormat="1" applyFont="1" applyBorder="1"/>
    <xf numFmtId="10" fontId="96" fillId="0" borderId="36" xfId="13" applyNumberFormat="1" applyFont="1" applyBorder="1"/>
    <xf numFmtId="10" fontId="96" fillId="0" borderId="39" xfId="13" applyNumberFormat="1" applyFont="1" applyBorder="1"/>
    <xf numFmtId="0" fontId="25" fillId="7" borderId="0" xfId="0" applyFont="1" applyFill="1" applyAlignment="1"/>
    <xf numFmtId="10" fontId="96" fillId="0" borderId="0" xfId="13" applyNumberFormat="1" applyFont="1" applyBorder="1"/>
    <xf numFmtId="38" fontId="0" fillId="0" borderId="0" xfId="0" applyNumberFormat="1"/>
    <xf numFmtId="38" fontId="96" fillId="0" borderId="24" xfId="0" applyNumberFormat="1" applyFont="1" applyBorder="1" applyAlignment="1">
      <alignment horizontal="right"/>
    </xf>
    <xf numFmtId="179" fontId="0" fillId="0" borderId="0" xfId="0" applyNumberFormat="1"/>
    <xf numFmtId="179" fontId="96" fillId="0" borderId="27" xfId="0" applyNumberFormat="1" applyFont="1" applyBorder="1"/>
    <xf numFmtId="179" fontId="96" fillId="0" borderId="39" xfId="0" applyNumberFormat="1" applyFont="1" applyBorder="1"/>
    <xf numFmtId="179" fontId="96" fillId="0" borderId="36" xfId="0" applyNumberFormat="1" applyFont="1" applyBorder="1"/>
    <xf numFmtId="179" fontId="96" fillId="0" borderId="32" xfId="0" applyNumberFormat="1" applyFont="1" applyBorder="1"/>
    <xf numFmtId="0" fontId="97" fillId="0" borderId="0" xfId="0" applyFont="1"/>
    <xf numFmtId="0" fontId="98" fillId="13" borderId="0" xfId="0" applyFont="1" applyFill="1" applyBorder="1" applyAlignment="1">
      <alignment horizontal="center"/>
    </xf>
    <xf numFmtId="179" fontId="36" fillId="7" borderId="0" xfId="0" applyNumberFormat="1" applyFont="1" applyFill="1" applyBorder="1" applyAlignment="1"/>
    <xf numFmtId="179" fontId="36" fillId="7" borderId="11" xfId="0" applyNumberFormat="1" applyFont="1" applyFill="1" applyBorder="1" applyAlignment="1"/>
    <xf numFmtId="0" fontId="98" fillId="13" borderId="18" xfId="0" applyFont="1" applyFill="1" applyBorder="1" applyAlignment="1">
      <alignment horizontal="right"/>
    </xf>
    <xf numFmtId="0" fontId="98" fillId="13" borderId="19" xfId="0" applyFont="1" applyFill="1" applyBorder="1" applyAlignment="1">
      <alignment horizontal="center"/>
    </xf>
    <xf numFmtId="0" fontId="98" fillId="13" borderId="20" xfId="0" applyFont="1" applyFill="1" applyBorder="1" applyAlignment="1">
      <alignment horizontal="center"/>
    </xf>
    <xf numFmtId="0" fontId="98" fillId="13" borderId="21" xfId="0" applyFont="1" applyFill="1" applyBorder="1" applyAlignment="1">
      <alignment horizontal="right"/>
    </xf>
    <xf numFmtId="0" fontId="98" fillId="13" borderId="22" xfId="0" applyFont="1" applyFill="1" applyBorder="1" applyAlignment="1">
      <alignment horizontal="center"/>
    </xf>
    <xf numFmtId="0" fontId="96" fillId="7" borderId="21" xfId="0" applyNumberFormat="1" applyFont="1" applyFill="1" applyBorder="1" applyAlignment="1"/>
    <xf numFmtId="179" fontId="36" fillId="7" borderId="22" xfId="0" applyNumberFormat="1" applyFont="1" applyFill="1" applyBorder="1" applyAlignment="1"/>
    <xf numFmtId="0" fontId="96" fillId="7" borderId="16" xfId="0" applyNumberFormat="1" applyFont="1" applyFill="1" applyBorder="1" applyAlignment="1"/>
    <xf numFmtId="179" fontId="36" fillId="7" borderId="60" xfId="0" applyNumberFormat="1" applyFont="1" applyFill="1" applyBorder="1" applyAlignment="1"/>
    <xf numFmtId="0" fontId="96" fillId="7" borderId="17" xfId="0" applyNumberFormat="1" applyFont="1" applyFill="1" applyBorder="1" applyAlignment="1"/>
    <xf numFmtId="179" fontId="36" fillId="7" borderId="38" xfId="0" applyNumberFormat="1" applyFont="1" applyFill="1" applyBorder="1" applyAlignment="1"/>
    <xf numFmtId="179" fontId="36" fillId="7" borderId="61" xfId="0" applyNumberFormat="1" applyFont="1" applyFill="1" applyBorder="1" applyAlignment="1"/>
    <xf numFmtId="0" fontId="96" fillId="0" borderId="34" xfId="0" applyNumberFormat="1" applyFont="1" applyFill="1" applyBorder="1" applyAlignment="1" applyProtection="1">
      <alignment horizontal="left"/>
    </xf>
    <xf numFmtId="207" fontId="36" fillId="8" borderId="10" xfId="1" applyNumberFormat="1" applyFont="1" applyFill="1" applyBorder="1" applyAlignment="1" applyProtection="1">
      <alignment horizontal="left"/>
      <protection hidden="1"/>
    </xf>
    <xf numFmtId="207" fontId="36" fillId="8" borderId="62" xfId="1" applyNumberFormat="1" applyFont="1" applyFill="1" applyBorder="1" applyAlignment="1" applyProtection="1">
      <alignment horizontal="left"/>
      <protection hidden="1"/>
    </xf>
    <xf numFmtId="219" fontId="36" fillId="8" borderId="24" xfId="0" applyNumberFormat="1" applyFont="1" applyFill="1" applyBorder="1" applyAlignment="1" applyProtection="1">
      <alignment horizontal="left"/>
      <protection hidden="1"/>
    </xf>
    <xf numFmtId="219" fontId="36" fillId="8" borderId="32" xfId="0" applyNumberFormat="1" applyFont="1" applyFill="1" applyBorder="1" applyAlignment="1" applyProtection="1">
      <alignment horizontal="left"/>
      <protection hidden="1"/>
    </xf>
    <xf numFmtId="3" fontId="36" fillId="8" borderId="10" xfId="0" applyNumberFormat="1" applyFont="1" applyFill="1" applyBorder="1" applyAlignment="1" applyProtection="1">
      <alignment horizontal="right"/>
      <protection hidden="1"/>
    </xf>
    <xf numFmtId="3" fontId="36" fillId="8" borderId="24" xfId="0" applyNumberFormat="1" applyFont="1" applyFill="1" applyBorder="1" applyAlignment="1" applyProtection="1">
      <alignment horizontal="right"/>
      <protection hidden="1"/>
    </xf>
    <xf numFmtId="10" fontId="36" fillId="8" borderId="24" xfId="13" applyNumberFormat="1" applyFont="1" applyFill="1" applyBorder="1" applyAlignment="1" applyProtection="1">
      <alignment horizontal="right"/>
      <protection hidden="1"/>
    </xf>
    <xf numFmtId="10" fontId="36" fillId="8" borderId="32" xfId="13" applyNumberFormat="1" applyFont="1" applyFill="1" applyBorder="1" applyAlignment="1" applyProtection="1">
      <alignment horizontal="right"/>
      <protection hidden="1"/>
    </xf>
    <xf numFmtId="3" fontId="65" fillId="3" borderId="2" xfId="0" applyNumberFormat="1" applyFont="1" applyFill="1" applyBorder="1" applyAlignment="1" applyProtection="1">
      <alignment horizontal="right"/>
      <protection hidden="1"/>
    </xf>
    <xf numFmtId="3" fontId="65" fillId="3" borderId="24" xfId="0" applyNumberFormat="1" applyFont="1" applyFill="1" applyBorder="1" applyAlignment="1" applyProtection="1">
      <alignment horizontal="right"/>
      <protection hidden="1"/>
    </xf>
    <xf numFmtId="3" fontId="36" fillId="8" borderId="62" xfId="0" applyNumberFormat="1" applyFont="1" applyFill="1" applyBorder="1" applyAlignment="1" applyProtection="1">
      <alignment horizontal="right"/>
      <protection hidden="1"/>
    </xf>
    <xf numFmtId="3" fontId="65" fillId="3" borderId="36" xfId="0" applyNumberFormat="1" applyFont="1" applyFill="1" applyBorder="1" applyAlignment="1" applyProtection="1">
      <alignment horizontal="right"/>
      <protection hidden="1"/>
    </xf>
    <xf numFmtId="3" fontId="65" fillId="3" borderId="32" xfId="0" applyNumberFormat="1" applyFont="1" applyFill="1" applyBorder="1" applyAlignment="1" applyProtection="1">
      <alignment horizontal="right"/>
      <protection hidden="1"/>
    </xf>
    <xf numFmtId="3" fontId="36" fillId="8" borderId="32" xfId="0" applyNumberFormat="1" applyFont="1" applyFill="1" applyBorder="1" applyAlignment="1" applyProtection="1">
      <alignment horizontal="right"/>
      <protection hidden="1"/>
    </xf>
    <xf numFmtId="10" fontId="36" fillId="8" borderId="16" xfId="13" applyNumberFormat="1" applyFont="1" applyFill="1" applyBorder="1" applyAlignment="1" applyProtection="1">
      <alignment horizontal="right"/>
      <protection hidden="1"/>
    </xf>
    <xf numFmtId="10" fontId="36" fillId="8" borderId="17" xfId="13" applyNumberFormat="1" applyFont="1" applyFill="1" applyBorder="1" applyAlignment="1" applyProtection="1">
      <alignment horizontal="right"/>
      <protection hidden="1"/>
    </xf>
    <xf numFmtId="207" fontId="36" fillId="8" borderId="10" xfId="0" applyNumberFormat="1" applyFont="1" applyFill="1" applyBorder="1" applyAlignment="1" applyProtection="1">
      <alignment horizontal="right"/>
      <protection hidden="1"/>
    </xf>
    <xf numFmtId="207" fontId="36" fillId="8" borderId="62" xfId="0" applyNumberFormat="1" applyFont="1" applyFill="1" applyBorder="1" applyAlignment="1" applyProtection="1">
      <alignment horizontal="right"/>
      <protection hidden="1"/>
    </xf>
    <xf numFmtId="207" fontId="4" fillId="3" borderId="2" xfId="0" applyNumberFormat="1" applyFont="1" applyFill="1" applyBorder="1" applyAlignment="1" applyProtection="1">
      <alignment horizontal="right"/>
      <protection hidden="1"/>
    </xf>
    <xf numFmtId="207" fontId="4" fillId="6" borderId="2" xfId="0" applyNumberFormat="1" applyFont="1" applyFill="1" applyBorder="1" applyAlignment="1" applyProtection="1">
      <alignment horizontal="right"/>
      <protection hidden="1"/>
    </xf>
    <xf numFmtId="207" fontId="4" fillId="6" borderId="36" xfId="0" applyNumberFormat="1" applyFont="1" applyFill="1" applyBorder="1" applyAlignment="1" applyProtection="1">
      <alignment horizontal="right"/>
      <protection hidden="1"/>
    </xf>
    <xf numFmtId="207" fontId="4" fillId="3" borderId="3" xfId="0" applyNumberFormat="1" applyFont="1" applyFill="1" applyBorder="1" applyAlignment="1" applyProtection="1">
      <alignment horizontal="right"/>
      <protection hidden="1"/>
    </xf>
    <xf numFmtId="207" fontId="89" fillId="3" borderId="5" xfId="0" applyNumberFormat="1" applyFont="1" applyFill="1" applyBorder="1" applyAlignment="1" applyProtection="1">
      <alignment horizontal="right"/>
      <protection hidden="1"/>
    </xf>
    <xf numFmtId="207" fontId="89" fillId="3" borderId="7" xfId="0" applyNumberFormat="1" applyFont="1" applyFill="1" applyBorder="1" applyAlignment="1" applyProtection="1">
      <alignment horizontal="right"/>
      <protection hidden="1"/>
    </xf>
    <xf numFmtId="207" fontId="4" fillId="3" borderId="36" xfId="0" applyNumberFormat="1" applyFont="1" applyFill="1" applyBorder="1" applyAlignment="1" applyProtection="1">
      <alignment horizontal="right"/>
      <protection hidden="1"/>
    </xf>
    <xf numFmtId="217" fontId="4" fillId="3" borderId="29" xfId="2" applyNumberFormat="1" applyFont="1" applyFill="1" applyBorder="1" applyAlignment="1" applyProtection="1">
      <alignment horizontal="right"/>
      <protection hidden="1"/>
    </xf>
    <xf numFmtId="10" fontId="4" fillId="3" borderId="29" xfId="13" applyNumberFormat="1" applyFont="1" applyFill="1" applyBorder="1" applyAlignment="1" applyProtection="1">
      <alignment horizontal="right"/>
      <protection hidden="1"/>
    </xf>
    <xf numFmtId="10" fontId="4" fillId="3" borderId="32" xfId="13" applyNumberFormat="1" applyFont="1" applyFill="1" applyBorder="1" applyAlignment="1" applyProtection="1">
      <alignment horizontal="right"/>
      <protection hidden="1"/>
    </xf>
    <xf numFmtId="184" fontId="20" fillId="3" borderId="2" xfId="6" applyFont="1" applyFill="1" applyBorder="1" applyProtection="1">
      <protection hidden="1"/>
    </xf>
    <xf numFmtId="200" fontId="20" fillId="3" borderId="2" xfId="6" applyNumberFormat="1" applyFont="1" applyFill="1" applyBorder="1" applyProtection="1">
      <protection hidden="1"/>
    </xf>
    <xf numFmtId="200" fontId="20" fillId="3" borderId="36" xfId="6" applyNumberFormat="1" applyFont="1" applyFill="1" applyBorder="1" applyProtection="1">
      <protection hidden="1"/>
    </xf>
    <xf numFmtId="200" fontId="20" fillId="3" borderId="2" xfId="0" applyNumberFormat="1" applyFont="1" applyFill="1" applyBorder="1" applyProtection="1">
      <protection hidden="1"/>
    </xf>
    <xf numFmtId="200" fontId="20" fillId="3" borderId="36" xfId="0" applyNumberFormat="1" applyFont="1" applyFill="1" applyBorder="1" applyProtection="1">
      <protection hidden="1"/>
    </xf>
    <xf numFmtId="10" fontId="20" fillId="3" borderId="24" xfId="13" applyNumberFormat="1" applyFont="1" applyFill="1" applyBorder="1" applyProtection="1">
      <protection hidden="1"/>
    </xf>
    <xf numFmtId="200" fontId="20" fillId="3" borderId="24" xfId="0" applyNumberFormat="1" applyFont="1" applyFill="1" applyBorder="1" applyProtection="1">
      <protection hidden="1"/>
    </xf>
    <xf numFmtId="200" fontId="20" fillId="3" borderId="32" xfId="0" applyNumberFormat="1" applyFont="1" applyFill="1" applyBorder="1" applyProtection="1">
      <protection hidden="1"/>
    </xf>
    <xf numFmtId="200" fontId="4" fillId="3" borderId="2" xfId="0" applyNumberFormat="1" applyFont="1" applyFill="1" applyBorder="1" applyProtection="1">
      <protection hidden="1"/>
    </xf>
    <xf numFmtId="200" fontId="4" fillId="3" borderId="36" xfId="0" applyNumberFormat="1" applyFont="1" applyFill="1" applyBorder="1" applyProtection="1">
      <protection hidden="1"/>
    </xf>
    <xf numFmtId="200" fontId="4" fillId="3" borderId="24" xfId="0" applyNumberFormat="1" applyFont="1" applyFill="1" applyBorder="1" applyProtection="1">
      <protection hidden="1"/>
    </xf>
    <xf numFmtId="200" fontId="4" fillId="3" borderId="32" xfId="0" applyNumberFormat="1" applyFont="1" applyFill="1" applyBorder="1" applyProtection="1">
      <protection hidden="1"/>
    </xf>
    <xf numFmtId="200" fontId="4" fillId="3" borderId="32" xfId="0" applyNumberFormat="1" applyFont="1" applyFill="1" applyBorder="1" applyAlignment="1" applyProtection="1">
      <alignment horizontal="center"/>
      <protection hidden="1"/>
    </xf>
    <xf numFmtId="10" fontId="4" fillId="3" borderId="2" xfId="13" applyNumberFormat="1" applyFont="1" applyFill="1" applyBorder="1" applyAlignment="1" applyProtection="1">
      <alignment horizontal="right"/>
      <protection hidden="1"/>
    </xf>
    <xf numFmtId="49" fontId="4" fillId="3" borderId="29" xfId="0" applyNumberFormat="1" applyFont="1" applyFill="1" applyBorder="1" applyAlignment="1" applyProtection="1">
      <alignment horizontal="right"/>
      <protection hidden="1"/>
    </xf>
    <xf numFmtId="49" fontId="4" fillId="3" borderId="32" xfId="0" applyNumberFormat="1" applyFont="1" applyFill="1" applyBorder="1" applyAlignment="1" applyProtection="1">
      <alignment horizontal="right"/>
      <protection hidden="1"/>
    </xf>
    <xf numFmtId="49" fontId="4" fillId="3" borderId="3" xfId="0" applyNumberFormat="1" applyFont="1" applyFill="1" applyBorder="1" applyAlignment="1" applyProtection="1">
      <alignment horizontal="right"/>
      <protection hidden="1"/>
    </xf>
    <xf numFmtId="49" fontId="4" fillId="3" borderId="36" xfId="0" applyNumberFormat="1" applyFont="1" applyFill="1" applyBorder="1" applyAlignment="1" applyProtection="1">
      <alignment horizontal="right"/>
      <protection hidden="1"/>
    </xf>
    <xf numFmtId="220" fontId="36" fillId="8" borderId="10" xfId="0" applyNumberFormat="1" applyFont="1" applyFill="1" applyBorder="1" applyAlignment="1" applyProtection="1">
      <alignment horizontal="left"/>
      <protection hidden="1"/>
    </xf>
    <xf numFmtId="220" fontId="36" fillId="8" borderId="62" xfId="0" applyNumberFormat="1" applyFont="1" applyFill="1" applyBorder="1" applyAlignment="1" applyProtection="1">
      <alignment horizontal="left"/>
      <protection hidden="1"/>
    </xf>
    <xf numFmtId="37" fontId="36" fillId="8" borderId="62" xfId="0" applyNumberFormat="1" applyFont="1" applyFill="1" applyBorder="1" applyAlignment="1" applyProtection="1">
      <alignment horizontal="right"/>
      <protection hidden="1"/>
    </xf>
    <xf numFmtId="37" fontId="36" fillId="8" borderId="32" xfId="0" applyNumberFormat="1" applyFont="1" applyFill="1" applyBorder="1" applyAlignment="1" applyProtection="1">
      <alignment horizontal="right"/>
      <protection hidden="1"/>
    </xf>
    <xf numFmtId="0" fontId="4" fillId="4" borderId="2" xfId="0" applyFont="1" applyFill="1" applyBorder="1" applyProtection="1">
      <protection hidden="1"/>
    </xf>
    <xf numFmtId="0" fontId="4" fillId="4" borderId="3" xfId="0" applyFont="1" applyFill="1" applyBorder="1" applyProtection="1">
      <protection hidden="1"/>
    </xf>
    <xf numFmtId="37" fontId="7" fillId="8" borderId="10" xfId="0" applyNumberFormat="1" applyFont="1" applyFill="1" applyBorder="1" applyAlignment="1" applyProtection="1">
      <alignment horizontal="left"/>
      <protection hidden="1"/>
    </xf>
    <xf numFmtId="0" fontId="82" fillId="10" borderId="0" xfId="0" applyFont="1" applyFill="1" applyProtection="1">
      <protection hidden="1"/>
    </xf>
    <xf numFmtId="0" fontId="11" fillId="8" borderId="2" xfId="0" applyFont="1" applyFill="1" applyBorder="1" applyProtection="1">
      <protection hidden="1"/>
    </xf>
    <xf numFmtId="0" fontId="65" fillId="3" borderId="0" xfId="0" applyFont="1" applyFill="1" applyBorder="1" applyProtection="1">
      <protection hidden="1"/>
    </xf>
    <xf numFmtId="37" fontId="4" fillId="8" borderId="2" xfId="0" applyNumberFormat="1" applyFont="1" applyFill="1" applyBorder="1" applyProtection="1">
      <protection hidden="1"/>
    </xf>
    <xf numFmtId="3" fontId="4" fillId="8" borderId="12" xfId="0" applyNumberFormat="1" applyFont="1" applyFill="1" applyBorder="1" applyProtection="1">
      <protection hidden="1"/>
    </xf>
    <xf numFmtId="9" fontId="4" fillId="8" borderId="12" xfId="0" applyNumberFormat="1" applyFont="1" applyFill="1" applyBorder="1" applyProtection="1">
      <protection hidden="1"/>
    </xf>
    <xf numFmtId="9" fontId="4" fillId="3" borderId="2" xfId="13" applyFont="1" applyFill="1" applyBorder="1" applyProtection="1">
      <protection hidden="1"/>
    </xf>
    <xf numFmtId="37" fontId="4" fillId="8" borderId="7" xfId="0" applyNumberFormat="1" applyFont="1" applyFill="1" applyBorder="1" applyProtection="1">
      <protection hidden="1"/>
    </xf>
    <xf numFmtId="3" fontId="4" fillId="8" borderId="9" xfId="0" applyNumberFormat="1" applyFont="1" applyFill="1" applyBorder="1" applyProtection="1">
      <protection hidden="1"/>
    </xf>
    <xf numFmtId="9" fontId="4" fillId="8" borderId="9" xfId="0" applyNumberFormat="1" applyFont="1" applyFill="1" applyBorder="1" applyProtection="1">
      <protection hidden="1"/>
    </xf>
    <xf numFmtId="9" fontId="4" fillId="3" borderId="63" xfId="13" applyFont="1" applyFill="1" applyBorder="1" applyAlignment="1" applyProtection="1">
      <protection hidden="1"/>
    </xf>
    <xf numFmtId="3" fontId="4" fillId="3" borderId="2" xfId="13" applyNumberFormat="1" applyFont="1" applyFill="1" applyBorder="1" applyAlignment="1" applyProtection="1">
      <protection hidden="1"/>
    </xf>
    <xf numFmtId="9" fontId="4" fillId="3" borderId="10" xfId="13" applyFont="1" applyFill="1" applyBorder="1" applyAlignment="1" applyProtection="1">
      <protection hidden="1"/>
    </xf>
    <xf numFmtId="9" fontId="4" fillId="3" borderId="10" xfId="0" applyNumberFormat="1" applyFont="1" applyFill="1" applyBorder="1" applyAlignment="1" applyProtection="1">
      <protection hidden="1"/>
    </xf>
    <xf numFmtId="3" fontId="4" fillId="3" borderId="2" xfId="0" applyNumberFormat="1" applyFont="1" applyFill="1" applyBorder="1" applyAlignment="1" applyProtection="1">
      <protection hidden="1"/>
    </xf>
    <xf numFmtId="195" fontId="4" fillId="3" borderId="12" xfId="13" applyNumberFormat="1" applyFont="1" applyFill="1" applyBorder="1" applyAlignment="1" applyProtection="1">
      <alignment horizontal="center"/>
      <protection hidden="1"/>
    </xf>
    <xf numFmtId="1" fontId="4" fillId="3" borderId="12" xfId="13" applyNumberFormat="1" applyFont="1" applyFill="1" applyBorder="1" applyAlignment="1" applyProtection="1">
      <alignment horizontal="center"/>
      <protection hidden="1"/>
    </xf>
    <xf numFmtId="3" fontId="4" fillId="3" borderId="2" xfId="0" applyNumberFormat="1" applyFont="1" applyFill="1" applyBorder="1" applyProtection="1">
      <protection hidden="1"/>
    </xf>
    <xf numFmtId="0" fontId="4" fillId="3" borderId="2" xfId="0" applyFont="1" applyFill="1" applyBorder="1" applyProtection="1">
      <protection hidden="1"/>
    </xf>
    <xf numFmtId="10" fontId="4" fillId="3" borderId="2" xfId="0" applyNumberFormat="1" applyFont="1" applyFill="1" applyBorder="1" applyProtection="1">
      <protection hidden="1"/>
    </xf>
    <xf numFmtId="37" fontId="20" fillId="3" borderId="10" xfId="0" applyNumberFormat="1" applyFont="1" applyFill="1" applyBorder="1" applyProtection="1">
      <protection hidden="1"/>
    </xf>
    <xf numFmtId="37" fontId="15" fillId="8" borderId="2" xfId="0" applyNumberFormat="1" applyFont="1" applyFill="1" applyBorder="1" applyProtection="1">
      <protection hidden="1"/>
    </xf>
    <xf numFmtId="39" fontId="4" fillId="8" borderId="9" xfId="0" applyNumberFormat="1" applyFont="1" applyFill="1" applyBorder="1" applyProtection="1">
      <protection hidden="1"/>
    </xf>
    <xf numFmtId="221" fontId="4" fillId="8" borderId="12" xfId="2" applyNumberFormat="1" applyFont="1" applyFill="1" applyBorder="1" applyProtection="1">
      <protection hidden="1"/>
    </xf>
    <xf numFmtId="9" fontId="4" fillId="3" borderId="2" xfId="0" applyNumberFormat="1" applyFont="1" applyFill="1" applyBorder="1" applyProtection="1">
      <protection hidden="1"/>
    </xf>
    <xf numFmtId="37" fontId="15" fillId="3" borderId="2" xfId="0" applyNumberFormat="1" applyFont="1" applyFill="1" applyBorder="1" applyProtection="1">
      <protection hidden="1"/>
    </xf>
    <xf numFmtId="4" fontId="4" fillId="8" borderId="9" xfId="0" applyNumberFormat="1" applyFont="1" applyFill="1" applyBorder="1" applyProtection="1">
      <protection hidden="1"/>
    </xf>
    <xf numFmtId="39" fontId="4" fillId="3" borderId="2" xfId="0" applyNumberFormat="1" applyFont="1" applyFill="1" applyBorder="1" applyAlignment="1" applyProtection="1">
      <alignment horizontal="right"/>
      <protection hidden="1"/>
    </xf>
    <xf numFmtId="9" fontId="4" fillId="3" borderId="12" xfId="0" applyNumberFormat="1" applyFont="1" applyFill="1" applyBorder="1" applyProtection="1">
      <protection hidden="1"/>
    </xf>
    <xf numFmtId="185" fontId="4" fillId="8" borderId="12" xfId="2" applyFont="1" applyFill="1" applyBorder="1" applyProtection="1">
      <protection hidden="1"/>
    </xf>
    <xf numFmtId="37" fontId="4" fillId="3" borderId="7" xfId="0" applyNumberFormat="1" applyFont="1" applyFill="1" applyBorder="1" applyProtection="1">
      <protection hidden="1"/>
    </xf>
    <xf numFmtId="39" fontId="4" fillId="3" borderId="9" xfId="0" applyNumberFormat="1" applyFont="1" applyFill="1" applyBorder="1" applyProtection="1">
      <protection hidden="1"/>
    </xf>
    <xf numFmtId="9" fontId="4" fillId="3" borderId="9" xfId="0" applyNumberFormat="1" applyFont="1" applyFill="1" applyBorder="1" applyProtection="1">
      <protection hidden="1"/>
    </xf>
    <xf numFmtId="39" fontId="4" fillId="3" borderId="2" xfId="0" applyNumberFormat="1" applyFont="1" applyFill="1" applyBorder="1" applyProtection="1">
      <protection hidden="1"/>
    </xf>
    <xf numFmtId="185" fontId="4" fillId="3" borderId="2" xfId="2" applyFont="1" applyFill="1" applyBorder="1" applyProtection="1">
      <protection hidden="1"/>
    </xf>
    <xf numFmtId="0" fontId="4" fillId="3" borderId="7" xfId="0" applyFont="1" applyFill="1" applyBorder="1" applyProtection="1">
      <protection hidden="1"/>
    </xf>
    <xf numFmtId="4" fontId="4" fillId="3" borderId="2" xfId="0" applyNumberFormat="1" applyFont="1" applyFill="1" applyBorder="1" applyProtection="1">
      <protection hidden="1"/>
    </xf>
    <xf numFmtId="37" fontId="20" fillId="3" borderId="15" xfId="0" applyNumberFormat="1" applyFont="1" applyFill="1" applyBorder="1" applyAlignment="1" applyProtection="1">
      <alignment horizontal="center"/>
      <protection hidden="1"/>
    </xf>
    <xf numFmtId="39" fontId="4" fillId="8" borderId="12" xfId="0" applyNumberFormat="1" applyFont="1" applyFill="1" applyBorder="1" applyProtection="1">
      <protection hidden="1"/>
    </xf>
    <xf numFmtId="3" fontId="4" fillId="3" borderId="2" xfId="0" applyNumberFormat="1" applyFont="1" applyFill="1" applyBorder="1" applyAlignment="1" applyProtection="1">
      <alignment horizontal="right"/>
      <protection hidden="1"/>
    </xf>
    <xf numFmtId="37" fontId="77" fillId="3" borderId="2" xfId="0" applyNumberFormat="1" applyFont="1" applyFill="1" applyBorder="1" applyProtection="1">
      <protection hidden="1"/>
    </xf>
    <xf numFmtId="37" fontId="4" fillId="3" borderId="2" xfId="0" applyNumberFormat="1" applyFont="1" applyFill="1" applyBorder="1" applyAlignment="1" applyProtection="1">
      <alignment horizontal="left"/>
      <protection hidden="1"/>
    </xf>
    <xf numFmtId="37" fontId="4" fillId="3" borderId="3" xfId="0" applyNumberFormat="1" applyFont="1" applyFill="1" applyBorder="1" applyProtection="1">
      <protection hidden="1"/>
    </xf>
    <xf numFmtId="9" fontId="4" fillId="3" borderId="0" xfId="13" applyFont="1" applyFill="1" applyProtection="1">
      <protection hidden="1"/>
    </xf>
    <xf numFmtId="10" fontId="4" fillId="3" borderId="0" xfId="13" applyNumberFormat="1" applyFont="1" applyFill="1" applyProtection="1">
      <protection hidden="1"/>
    </xf>
    <xf numFmtId="213" fontId="4" fillId="3" borderId="0" xfId="13" applyNumberFormat="1" applyFont="1" applyFill="1" applyProtection="1">
      <protection hidden="1"/>
    </xf>
    <xf numFmtId="182" fontId="30" fillId="3" borderId="0" xfId="0" applyNumberFormat="1" applyFont="1" applyFill="1" applyBorder="1" applyAlignment="1" applyProtection="1">
      <alignment horizontal="right"/>
      <protection hidden="1"/>
    </xf>
    <xf numFmtId="1" fontId="31" fillId="3" borderId="0" xfId="0" applyNumberFormat="1" applyFont="1" applyFill="1" applyBorder="1" applyAlignment="1" applyProtection="1">
      <alignment horizontal="left" vertical="center"/>
      <protection hidden="1"/>
    </xf>
    <xf numFmtId="0" fontId="31" fillId="8" borderId="0" xfId="0" applyFont="1" applyFill="1" applyProtection="1">
      <protection hidden="1"/>
    </xf>
    <xf numFmtId="37" fontId="21" fillId="8" borderId="0" xfId="0" applyNumberFormat="1" applyFont="1" applyFill="1" applyProtection="1">
      <protection hidden="1"/>
    </xf>
    <xf numFmtId="0" fontId="31" fillId="3" borderId="0" xfId="0" applyFont="1" applyFill="1" applyBorder="1" applyProtection="1">
      <protection hidden="1"/>
    </xf>
    <xf numFmtId="3" fontId="38" fillId="0" borderId="0" xfId="0" applyNumberFormat="1" applyFont="1" applyFill="1" applyBorder="1" applyProtection="1">
      <protection hidden="1"/>
    </xf>
    <xf numFmtId="3" fontId="26" fillId="0" borderId="0" xfId="0" applyNumberFormat="1" applyFont="1" applyProtection="1">
      <protection hidden="1"/>
    </xf>
    <xf numFmtId="199" fontId="0" fillId="0" borderId="0" xfId="0" applyNumberFormat="1" applyProtection="1">
      <protection hidden="1"/>
    </xf>
    <xf numFmtId="209" fontId="26" fillId="0" borderId="0" xfId="0" applyNumberFormat="1" applyFont="1" applyProtection="1">
      <protection hidden="1"/>
    </xf>
    <xf numFmtId="209" fontId="9" fillId="0" borderId="0" xfId="0" applyNumberFormat="1" applyFont="1" applyFill="1" applyBorder="1" applyProtection="1">
      <protection hidden="1"/>
    </xf>
    <xf numFmtId="199" fontId="9" fillId="0" borderId="0" xfId="0" applyNumberFormat="1" applyFont="1" applyProtection="1">
      <protection hidden="1"/>
    </xf>
    <xf numFmtId="199" fontId="39" fillId="0" borderId="0" xfId="0" applyNumberFormat="1" applyFont="1" applyProtection="1">
      <protection hidden="1"/>
    </xf>
    <xf numFmtId="199" fontId="39" fillId="0" borderId="0" xfId="0" applyNumberFormat="1" applyFont="1" applyFill="1" applyBorder="1" applyProtection="1">
      <protection hidden="1"/>
    </xf>
    <xf numFmtId="12" fontId="0" fillId="0" borderId="0" xfId="0" applyNumberFormat="1" applyProtection="1">
      <protection hidden="1"/>
    </xf>
    <xf numFmtId="12" fontId="9" fillId="0" borderId="0" xfId="0" applyNumberFormat="1" applyFont="1" applyFill="1" applyBorder="1" applyProtection="1">
      <protection hidden="1"/>
    </xf>
    <xf numFmtId="2" fontId="9" fillId="0" borderId="0" xfId="0" applyNumberFormat="1" applyFont="1" applyFill="1" applyBorder="1" applyProtection="1">
      <protection hidden="1"/>
    </xf>
    <xf numFmtId="2" fontId="26" fillId="0" borderId="0" xfId="0" applyNumberFormat="1" applyFont="1" applyProtection="1">
      <protection hidden="1"/>
    </xf>
    <xf numFmtId="2" fontId="0" fillId="0" borderId="0" xfId="0" applyNumberFormat="1" applyProtection="1">
      <protection hidden="1"/>
    </xf>
    <xf numFmtId="199" fontId="9" fillId="0" borderId="0" xfId="2" applyNumberFormat="1" applyFont="1" applyFill="1" applyBorder="1" applyProtection="1">
      <protection hidden="1"/>
    </xf>
    <xf numFmtId="199" fontId="9" fillId="0" borderId="0" xfId="2" applyNumberFormat="1" applyFont="1" applyProtection="1">
      <protection hidden="1"/>
    </xf>
    <xf numFmtId="207" fontId="9" fillId="0" borderId="0" xfId="2" applyNumberFormat="1" applyFont="1" applyFill="1" applyBorder="1" applyProtection="1">
      <protection hidden="1"/>
    </xf>
    <xf numFmtId="207" fontId="9" fillId="0" borderId="0" xfId="2" applyNumberFormat="1" applyFont="1" applyProtection="1">
      <protection hidden="1"/>
    </xf>
    <xf numFmtId="185" fontId="9" fillId="0" borderId="0" xfId="2" applyNumberFormat="1" applyFont="1" applyProtection="1">
      <protection hidden="1"/>
    </xf>
    <xf numFmtId="185" fontId="9" fillId="0" borderId="0" xfId="2" applyNumberFormat="1" applyFont="1" applyFill="1" applyBorder="1" applyProtection="1">
      <protection hidden="1"/>
    </xf>
    <xf numFmtId="207" fontId="9" fillId="0" borderId="0" xfId="0" applyNumberFormat="1" applyFont="1" applyFill="1" applyBorder="1" applyProtection="1">
      <protection hidden="1"/>
    </xf>
    <xf numFmtId="3" fontId="0" fillId="0" borderId="0" xfId="0" applyNumberFormat="1" applyProtection="1">
      <protection hidden="1"/>
    </xf>
    <xf numFmtId="4" fontId="9" fillId="0" borderId="0" xfId="0" applyNumberFormat="1" applyFont="1" applyFill="1" applyBorder="1" applyProtection="1">
      <protection hidden="1"/>
    </xf>
    <xf numFmtId="10" fontId="9" fillId="0" borderId="0" xfId="13" applyNumberFormat="1" applyFont="1" applyFill="1" applyBorder="1" applyProtection="1">
      <protection hidden="1"/>
    </xf>
    <xf numFmtId="210" fontId="9" fillId="0" borderId="0" xfId="0" applyNumberFormat="1" applyFont="1" applyFill="1" applyBorder="1" applyProtection="1">
      <protection hidden="1"/>
    </xf>
    <xf numFmtId="0" fontId="63" fillId="12" borderId="0" xfId="0" applyFont="1" applyFill="1" applyProtection="1">
      <protection hidden="1"/>
    </xf>
    <xf numFmtId="184" fontId="63" fillId="12" borderId="0" xfId="6" applyFont="1" applyFill="1" applyAlignment="1" applyProtection="1">
      <alignment horizontal="fill"/>
      <protection hidden="1"/>
    </xf>
    <xf numFmtId="37" fontId="63" fillId="12" borderId="0" xfId="0" applyNumberFormat="1" applyFont="1" applyFill="1" applyProtection="1">
      <protection locked="0" hidden="1"/>
    </xf>
    <xf numFmtId="9" fontId="63" fillId="12" borderId="0" xfId="13" applyFont="1" applyFill="1" applyProtection="1">
      <protection locked="0" hidden="1"/>
    </xf>
    <xf numFmtId="3" fontId="4" fillId="8" borderId="2" xfId="13" applyNumberFormat="1" applyFont="1" applyFill="1" applyBorder="1" applyProtection="1">
      <protection hidden="1"/>
    </xf>
    <xf numFmtId="2" fontId="4" fillId="8" borderId="12" xfId="13" applyNumberFormat="1" applyFont="1" applyFill="1" applyBorder="1" applyProtection="1">
      <protection hidden="1"/>
    </xf>
    <xf numFmtId="2" fontId="4" fillId="8" borderId="9" xfId="0" applyNumberFormat="1" applyFont="1" applyFill="1" applyBorder="1" applyProtection="1">
      <protection hidden="1"/>
    </xf>
    <xf numFmtId="2" fontId="4" fillId="3" borderId="2" xfId="0" applyNumberFormat="1" applyFont="1" applyFill="1" applyBorder="1" applyProtection="1">
      <protection hidden="1"/>
    </xf>
    <xf numFmtId="0" fontId="72" fillId="5" borderId="0" xfId="12" applyFont="1" applyFill="1" applyAlignment="1" applyProtection="1">
      <alignment horizontal="center" wrapText="1"/>
    </xf>
    <xf numFmtId="9" fontId="4" fillId="0" borderId="10" xfId="13" applyFont="1" applyFill="1" applyBorder="1" applyProtection="1">
      <protection hidden="1"/>
    </xf>
    <xf numFmtId="10" fontId="14" fillId="2" borderId="10" xfId="13" applyNumberFormat="1" applyFont="1" applyFill="1" applyBorder="1" applyProtection="1">
      <protection hidden="1"/>
    </xf>
    <xf numFmtId="37" fontId="4" fillId="12" borderId="2" xfId="0" applyNumberFormat="1" applyFont="1" applyFill="1" applyBorder="1" applyProtection="1">
      <protection hidden="1"/>
    </xf>
    <xf numFmtId="0" fontId="4" fillId="12" borderId="2" xfId="0" applyFont="1" applyFill="1" applyBorder="1" applyProtection="1">
      <protection hidden="1"/>
    </xf>
    <xf numFmtId="37" fontId="4" fillId="14" borderId="2" xfId="0" applyNumberFormat="1" applyFont="1" applyFill="1" applyBorder="1" applyProtection="1">
      <protection hidden="1"/>
    </xf>
    <xf numFmtId="0" fontId="4" fillId="14" borderId="2" xfId="0" applyFont="1" applyFill="1" applyBorder="1" applyProtection="1">
      <protection hidden="1"/>
    </xf>
    <xf numFmtId="37" fontId="6" fillId="0" borderId="14" xfId="0" applyNumberFormat="1" applyFont="1" applyFill="1" applyBorder="1" applyProtection="1">
      <protection hidden="1"/>
    </xf>
    <xf numFmtId="0" fontId="4" fillId="0" borderId="63" xfId="0" applyFont="1" applyFill="1" applyBorder="1" applyProtection="1">
      <protection hidden="1"/>
    </xf>
    <xf numFmtId="0" fontId="4" fillId="12" borderId="10" xfId="0" applyFont="1" applyFill="1" applyBorder="1" applyProtection="1">
      <protection hidden="1"/>
    </xf>
    <xf numFmtId="0" fontId="4" fillId="14" borderId="10" xfId="0" applyFont="1" applyFill="1" applyBorder="1" applyProtection="1">
      <protection hidden="1"/>
    </xf>
    <xf numFmtId="0" fontId="6" fillId="7" borderId="0" xfId="0" applyFont="1" applyFill="1" applyBorder="1" applyAlignment="1" applyProtection="1">
      <alignment horizontal="center"/>
      <protection hidden="1"/>
    </xf>
    <xf numFmtId="0" fontId="4" fillId="7" borderId="0" xfId="0" applyFont="1" applyFill="1" applyBorder="1" applyAlignment="1" applyProtection="1">
      <alignment horizontal="center"/>
      <protection hidden="1"/>
    </xf>
    <xf numFmtId="0" fontId="6" fillId="7" borderId="13" xfId="0" applyFont="1" applyFill="1" applyBorder="1" applyAlignment="1" applyProtection="1">
      <alignment horizontal="center"/>
      <protection hidden="1"/>
    </xf>
    <xf numFmtId="0" fontId="4" fillId="7" borderId="13" xfId="0" applyFont="1" applyFill="1" applyBorder="1" applyAlignment="1" applyProtection="1">
      <alignment horizontal="center"/>
      <protection hidden="1"/>
    </xf>
    <xf numFmtId="0" fontId="92" fillId="7" borderId="0" xfId="0" applyFont="1" applyFill="1" applyBorder="1" applyAlignment="1" applyProtection="1">
      <alignment horizontal="left"/>
      <protection hidden="1"/>
    </xf>
    <xf numFmtId="0" fontId="92" fillId="7" borderId="0" xfId="0" applyFont="1" applyFill="1" applyBorder="1" applyProtection="1">
      <protection hidden="1"/>
    </xf>
    <xf numFmtId="37" fontId="12" fillId="7" borderId="1" xfId="0" applyNumberFormat="1" applyFont="1" applyFill="1" applyBorder="1" applyProtection="1">
      <protection hidden="1"/>
    </xf>
    <xf numFmtId="202" fontId="12" fillId="7" borderId="1" xfId="0" applyNumberFormat="1" applyFont="1" applyFill="1" applyBorder="1" applyProtection="1">
      <protection hidden="1"/>
    </xf>
    <xf numFmtId="0" fontId="12" fillId="7" borderId="0" xfId="0" applyFont="1" applyFill="1" applyProtection="1">
      <protection hidden="1"/>
    </xf>
    <xf numFmtId="0" fontId="92" fillId="7" borderId="0" xfId="0" applyFont="1" applyFill="1" applyProtection="1">
      <protection hidden="1"/>
    </xf>
    <xf numFmtId="37" fontId="92" fillId="7" borderId="0" xfId="0" applyNumberFormat="1" applyFont="1" applyFill="1" applyProtection="1">
      <protection hidden="1"/>
    </xf>
    <xf numFmtId="0" fontId="12" fillId="7" borderId="1" xfId="0" applyFont="1" applyFill="1" applyBorder="1" applyProtection="1">
      <protection hidden="1"/>
    </xf>
    <xf numFmtId="37" fontId="92" fillId="7" borderId="0" xfId="0" applyNumberFormat="1" applyFont="1" applyFill="1" applyBorder="1" applyProtection="1">
      <protection hidden="1"/>
    </xf>
    <xf numFmtId="0" fontId="24" fillId="7" borderId="1" xfId="0" applyFont="1" applyFill="1" applyBorder="1" applyProtection="1">
      <protection hidden="1"/>
    </xf>
    <xf numFmtId="203" fontId="12" fillId="7" borderId="1" xfId="0" applyNumberFormat="1" applyFont="1" applyFill="1" applyBorder="1" applyProtection="1">
      <protection hidden="1"/>
    </xf>
    <xf numFmtId="0" fontId="12" fillId="0" borderId="0" xfId="0" applyFont="1" applyFill="1" applyProtection="1">
      <protection hidden="1"/>
    </xf>
    <xf numFmtId="0" fontId="12" fillId="7" borderId="0" xfId="0" applyFont="1" applyFill="1" applyBorder="1" applyProtection="1">
      <protection hidden="1"/>
    </xf>
    <xf numFmtId="37" fontId="4" fillId="6" borderId="3" xfId="0" applyNumberFormat="1" applyFont="1" applyFill="1" applyBorder="1" applyProtection="1">
      <protection hidden="1"/>
    </xf>
    <xf numFmtId="4" fontId="4" fillId="6" borderId="3" xfId="0" applyNumberFormat="1" applyFont="1" applyFill="1" applyBorder="1" applyAlignment="1" applyProtection="1">
      <alignment horizontal="center"/>
      <protection hidden="1"/>
    </xf>
    <xf numFmtId="37" fontId="77" fillId="3" borderId="3" xfId="0" applyNumberFormat="1" applyFont="1" applyFill="1" applyBorder="1" applyProtection="1">
      <protection hidden="1"/>
    </xf>
    <xf numFmtId="4" fontId="4" fillId="7" borderId="0" xfId="0" applyNumberFormat="1" applyFont="1" applyFill="1" applyBorder="1" applyAlignment="1" applyProtection="1">
      <alignment horizontal="center"/>
      <protection hidden="1"/>
    </xf>
    <xf numFmtId="37" fontId="77" fillId="7" borderId="0" xfId="0" applyNumberFormat="1" applyFont="1" applyFill="1" applyBorder="1" applyProtection="1">
      <protection hidden="1"/>
    </xf>
    <xf numFmtId="4" fontId="4" fillId="6" borderId="2" xfId="0" applyNumberFormat="1" applyFont="1" applyFill="1" applyBorder="1" applyProtection="1">
      <protection hidden="1"/>
    </xf>
    <xf numFmtId="10" fontId="4" fillId="6" borderId="2" xfId="0" applyNumberFormat="1" applyFont="1" applyFill="1" applyBorder="1" applyProtection="1">
      <protection hidden="1"/>
    </xf>
    <xf numFmtId="0" fontId="12" fillId="11" borderId="0" xfId="0" applyFont="1" applyFill="1" applyProtection="1">
      <protection hidden="1"/>
    </xf>
    <xf numFmtId="0" fontId="4" fillId="11" borderId="0" xfId="0" applyFont="1" applyFill="1" applyProtection="1">
      <protection hidden="1"/>
    </xf>
    <xf numFmtId="37" fontId="24" fillId="11" borderId="2" xfId="0" applyNumberFormat="1" applyFont="1" applyFill="1" applyBorder="1" applyAlignment="1" applyProtection="1">
      <alignment horizontal="left"/>
      <protection hidden="1"/>
    </xf>
    <xf numFmtId="37" fontId="24" fillId="15" borderId="2" xfId="0" applyNumberFormat="1" applyFont="1" applyFill="1" applyBorder="1" applyAlignment="1" applyProtection="1">
      <alignment horizontal="left"/>
      <protection hidden="1"/>
    </xf>
    <xf numFmtId="37" fontId="24" fillId="6" borderId="2" xfId="0" applyNumberFormat="1" applyFont="1" applyFill="1" applyBorder="1" applyAlignment="1" applyProtection="1">
      <alignment horizontal="left"/>
      <protection hidden="1"/>
    </xf>
    <xf numFmtId="4" fontId="4" fillId="3" borderId="2" xfId="0" applyNumberFormat="1" applyFont="1" applyFill="1" applyBorder="1" applyAlignment="1" applyProtection="1">
      <alignment horizontal="center"/>
      <protection hidden="1"/>
    </xf>
    <xf numFmtId="0" fontId="24" fillId="3" borderId="2" xfId="0" applyFont="1" applyFill="1" applyBorder="1" applyProtection="1">
      <protection hidden="1"/>
    </xf>
    <xf numFmtId="39" fontId="4" fillId="6" borderId="7" xfId="0" quotePrefix="1" applyNumberFormat="1" applyFont="1" applyFill="1" applyBorder="1" applyProtection="1">
      <protection hidden="1"/>
    </xf>
    <xf numFmtId="3" fontId="4" fillId="6" borderId="7" xfId="0" applyNumberFormat="1" applyFont="1" applyFill="1" applyBorder="1" applyProtection="1">
      <protection hidden="1"/>
    </xf>
    <xf numFmtId="10" fontId="4" fillId="6" borderId="7" xfId="0" applyNumberFormat="1" applyFont="1" applyFill="1" applyBorder="1" applyProtection="1">
      <protection hidden="1"/>
    </xf>
    <xf numFmtId="37" fontId="4" fillId="6" borderId="7" xfId="0" applyNumberFormat="1" applyFont="1" applyFill="1" applyBorder="1" applyProtection="1">
      <protection hidden="1"/>
    </xf>
    <xf numFmtId="3" fontId="4" fillId="6" borderId="2" xfId="0" applyNumberFormat="1" applyFont="1" applyFill="1" applyBorder="1" applyProtection="1">
      <protection hidden="1"/>
    </xf>
    <xf numFmtId="10" fontId="36" fillId="8" borderId="10" xfId="13" applyNumberFormat="1" applyFont="1" applyFill="1" applyBorder="1" applyAlignment="1" applyProtection="1">
      <alignment horizontal="right"/>
      <protection hidden="1"/>
    </xf>
    <xf numFmtId="10" fontId="36" fillId="8" borderId="62" xfId="13" applyNumberFormat="1" applyFont="1" applyFill="1" applyBorder="1" applyAlignment="1" applyProtection="1">
      <alignment horizontal="right"/>
      <protection hidden="1"/>
    </xf>
    <xf numFmtId="10" fontId="20" fillId="3" borderId="2" xfId="0" applyNumberFormat="1" applyFont="1" applyFill="1" applyBorder="1" applyProtection="1">
      <protection hidden="1"/>
    </xf>
    <xf numFmtId="204" fontId="20" fillId="3" borderId="2" xfId="0" applyNumberFormat="1" applyFont="1" applyFill="1" applyBorder="1" applyProtection="1">
      <protection hidden="1"/>
    </xf>
    <xf numFmtId="204" fontId="6" fillId="0" borderId="5" xfId="0" applyNumberFormat="1" applyFont="1" applyFill="1" applyBorder="1" applyAlignment="1" applyProtection="1">
      <alignment horizontal="left"/>
      <protection hidden="1"/>
    </xf>
    <xf numFmtId="204" fontId="6" fillId="0" borderId="3" xfId="0" applyNumberFormat="1" applyFont="1" applyFill="1" applyBorder="1" applyProtection="1">
      <protection hidden="1"/>
    </xf>
    <xf numFmtId="204" fontId="4" fillId="0" borderId="7" xfId="0" applyNumberFormat="1" applyFont="1" applyFill="1" applyBorder="1" applyAlignment="1" applyProtection="1">
      <alignment horizontal="fill"/>
      <protection hidden="1"/>
    </xf>
    <xf numFmtId="204" fontId="6" fillId="0" borderId="3" xfId="0" applyNumberFormat="1" applyFont="1" applyFill="1" applyBorder="1" applyAlignment="1" applyProtection="1">
      <alignment horizontal="center"/>
      <protection hidden="1"/>
    </xf>
    <xf numFmtId="204" fontId="13" fillId="0" borderId="3" xfId="0" applyNumberFormat="1" applyFont="1" applyFill="1" applyBorder="1" applyAlignment="1" applyProtection="1">
      <alignment horizontal="left"/>
      <protection hidden="1"/>
    </xf>
    <xf numFmtId="204" fontId="13" fillId="0" borderId="7" xfId="0" applyNumberFormat="1" applyFont="1" applyFill="1" applyBorder="1" applyAlignment="1" applyProtection="1">
      <alignment horizontal="fill"/>
      <protection hidden="1"/>
    </xf>
    <xf numFmtId="39" fontId="13" fillId="4" borderId="2" xfId="0" applyNumberFormat="1" applyFont="1" applyFill="1" applyBorder="1" applyProtection="1">
      <protection hidden="1"/>
    </xf>
    <xf numFmtId="37" fontId="14" fillId="0" borderId="0" xfId="0" applyNumberFormat="1" applyFont="1" applyFill="1" applyProtection="1">
      <protection hidden="1"/>
    </xf>
    <xf numFmtId="0" fontId="6" fillId="7" borderId="0" xfId="0" applyFont="1" applyFill="1" applyBorder="1" applyProtection="1">
      <protection hidden="1"/>
    </xf>
    <xf numFmtId="0" fontId="6" fillId="7" borderId="13" xfId="0" applyFont="1" applyFill="1" applyBorder="1" applyProtection="1">
      <protection hidden="1"/>
    </xf>
    <xf numFmtId="37" fontId="4" fillId="7" borderId="13" xfId="0" applyNumberFormat="1" applyFont="1" applyFill="1" applyBorder="1" applyProtection="1">
      <protection hidden="1"/>
    </xf>
    <xf numFmtId="200" fontId="4" fillId="3" borderId="10" xfId="0" applyNumberFormat="1" applyFont="1" applyFill="1" applyBorder="1" applyProtection="1">
      <protection hidden="1"/>
    </xf>
    <xf numFmtId="37" fontId="6" fillId="7" borderId="13" xfId="0" applyNumberFormat="1" applyFont="1" applyFill="1" applyBorder="1" applyProtection="1">
      <protection hidden="1"/>
    </xf>
    <xf numFmtId="37" fontId="6" fillId="7" borderId="0" xfId="0" applyNumberFormat="1" applyFont="1" applyFill="1" applyBorder="1" applyProtection="1">
      <protection hidden="1"/>
    </xf>
    <xf numFmtId="37" fontId="4" fillId="0" borderId="2" xfId="0" applyNumberFormat="1" applyFont="1" applyFill="1" applyBorder="1" applyAlignment="1" applyProtection="1">
      <alignment horizontal="center"/>
      <protection hidden="1"/>
    </xf>
    <xf numFmtId="10" fontId="4" fillId="3" borderId="7" xfId="13" applyNumberFormat="1" applyFont="1" applyFill="1" applyBorder="1" applyProtection="1">
      <protection hidden="1"/>
    </xf>
    <xf numFmtId="37" fontId="13" fillId="2" borderId="31" xfId="0" applyNumberFormat="1" applyFont="1" applyFill="1" applyBorder="1" applyAlignment="1" applyProtection="1">
      <alignment horizontal="center"/>
      <protection hidden="1"/>
    </xf>
    <xf numFmtId="4" fontId="100" fillId="7" borderId="64" xfId="0" applyNumberFormat="1" applyFont="1" applyFill="1" applyBorder="1" applyProtection="1">
      <protection hidden="1"/>
    </xf>
    <xf numFmtId="4" fontId="100" fillId="7" borderId="1" xfId="0" applyNumberFormat="1" applyFont="1" applyFill="1" applyBorder="1" applyProtection="1">
      <protection hidden="1"/>
    </xf>
    <xf numFmtId="37" fontId="100" fillId="7" borderId="0" xfId="0" applyNumberFormat="1" applyFont="1" applyFill="1" applyProtection="1">
      <protection hidden="1"/>
    </xf>
    <xf numFmtId="37" fontId="100" fillId="7" borderId="0" xfId="0" applyNumberFormat="1" applyFont="1" applyFill="1" applyBorder="1" applyProtection="1">
      <protection hidden="1"/>
    </xf>
    <xf numFmtId="0" fontId="100" fillId="7" borderId="0" xfId="0" applyFont="1" applyFill="1" applyBorder="1" applyProtection="1">
      <protection hidden="1"/>
    </xf>
    <xf numFmtId="10" fontId="4" fillId="0" borderId="0" xfId="13" applyNumberFormat="1" applyFont="1" applyFill="1" applyProtection="1">
      <protection hidden="1"/>
    </xf>
    <xf numFmtId="4" fontId="101" fillId="0" borderId="0" xfId="0" applyNumberFormat="1" applyFont="1" applyProtection="1">
      <protection hidden="1"/>
    </xf>
    <xf numFmtId="4" fontId="102" fillId="0" borderId="0" xfId="9" applyNumberFormat="1" applyFont="1" applyFill="1" applyProtection="1">
      <protection hidden="1"/>
    </xf>
    <xf numFmtId="4" fontId="102" fillId="0" borderId="0" xfId="0" applyNumberFormat="1" applyFont="1" applyFill="1" applyAlignment="1" applyProtection="1">
      <alignment horizontal="left"/>
      <protection hidden="1"/>
    </xf>
    <xf numFmtId="4" fontId="101" fillId="4" borderId="0" xfId="0" applyNumberFormat="1" applyFont="1" applyFill="1" applyAlignment="1" applyProtection="1">
      <alignment wrapText="1"/>
      <protection hidden="1"/>
    </xf>
    <xf numFmtId="4" fontId="101" fillId="0" borderId="0" xfId="0" applyNumberFormat="1" applyFont="1" applyAlignment="1" applyProtection="1">
      <alignment vertical="center" wrapText="1"/>
      <protection hidden="1"/>
    </xf>
    <xf numFmtId="4" fontId="101" fillId="0" borderId="0" xfId="0" applyNumberFormat="1" applyFont="1" applyAlignment="1" applyProtection="1">
      <alignment wrapText="1"/>
      <protection hidden="1"/>
    </xf>
    <xf numFmtId="4" fontId="101" fillId="0" borderId="0" xfId="13" applyNumberFormat="1" applyFont="1" applyProtection="1">
      <protection hidden="1"/>
    </xf>
    <xf numFmtId="4" fontId="103" fillId="0" borderId="0" xfId="0" applyNumberFormat="1" applyFont="1" applyProtection="1">
      <protection hidden="1"/>
    </xf>
    <xf numFmtId="4" fontId="102" fillId="2" borderId="0" xfId="3" applyNumberFormat="1" applyFont="1" applyFill="1" applyBorder="1" applyProtection="1">
      <protection hidden="1"/>
    </xf>
    <xf numFmtId="4" fontId="101" fillId="3" borderId="0" xfId="0" applyNumberFormat="1" applyFont="1" applyFill="1" applyAlignment="1" applyProtection="1">
      <alignment wrapText="1"/>
      <protection hidden="1"/>
    </xf>
    <xf numFmtId="4" fontId="102" fillId="0" borderId="0" xfId="0" applyNumberFormat="1" applyFont="1" applyAlignment="1" applyProtection="1">
      <alignment horizontal="justify"/>
      <protection hidden="1"/>
    </xf>
    <xf numFmtId="4" fontId="104" fillId="0" borderId="0" xfId="0" applyNumberFormat="1" applyFont="1" applyAlignment="1" applyProtection="1">
      <alignment wrapText="1"/>
      <protection hidden="1"/>
    </xf>
    <xf numFmtId="4" fontId="101" fillId="12" borderId="2" xfId="0" applyNumberFormat="1" applyFont="1" applyFill="1" applyBorder="1" applyAlignment="1" applyProtection="1">
      <alignment wrapText="1"/>
      <protection hidden="1"/>
    </xf>
    <xf numFmtId="4" fontId="101" fillId="12" borderId="0" xfId="0" applyNumberFormat="1" applyFont="1" applyFill="1" applyAlignment="1" applyProtection="1">
      <alignment wrapText="1"/>
      <protection hidden="1"/>
    </xf>
    <xf numFmtId="4" fontId="101" fillId="0" borderId="0" xfId="0" quotePrefix="1" applyNumberFormat="1" applyFont="1" applyProtection="1">
      <protection hidden="1"/>
    </xf>
    <xf numFmtId="198" fontId="101" fillId="0" borderId="0" xfId="0" applyNumberFormat="1" applyFont="1" applyProtection="1">
      <protection hidden="1"/>
    </xf>
    <xf numFmtId="0" fontId="10" fillId="5" borderId="18" xfId="11" applyFont="1" applyFill="1" applyBorder="1"/>
    <xf numFmtId="0" fontId="10" fillId="5" borderId="19" xfId="11" applyFont="1" applyFill="1" applyBorder="1"/>
    <xf numFmtId="0" fontId="10" fillId="5" borderId="20" xfId="11" applyFont="1" applyFill="1" applyBorder="1"/>
    <xf numFmtId="0" fontId="10" fillId="5" borderId="21" xfId="11" applyFont="1" applyFill="1" applyBorder="1"/>
    <xf numFmtId="0" fontId="10" fillId="5" borderId="0" xfId="11" applyFont="1" applyFill="1" applyBorder="1"/>
    <xf numFmtId="0" fontId="10" fillId="5" borderId="22" xfId="11" applyFont="1" applyFill="1" applyBorder="1"/>
    <xf numFmtId="0" fontId="10" fillId="5" borderId="40" xfId="11" applyFont="1" applyFill="1" applyBorder="1"/>
    <xf numFmtId="0" fontId="10" fillId="5" borderId="35" xfId="11" applyFont="1" applyFill="1" applyBorder="1"/>
    <xf numFmtId="0" fontId="10" fillId="5" borderId="65" xfId="11" applyFont="1" applyFill="1" applyBorder="1"/>
    <xf numFmtId="3" fontId="10" fillId="5" borderId="19" xfId="11" applyNumberFormat="1" applyFont="1" applyFill="1" applyBorder="1"/>
    <xf numFmtId="3" fontId="10" fillId="5" borderId="0" xfId="11" applyNumberFormat="1" applyFont="1" applyFill="1" applyBorder="1"/>
    <xf numFmtId="3" fontId="10" fillId="5" borderId="35" xfId="11" applyNumberFormat="1" applyFont="1" applyFill="1" applyBorder="1"/>
    <xf numFmtId="211" fontId="4" fillId="2" borderId="23" xfId="11" quotePrefix="1" applyNumberFormat="1" applyFont="1" applyFill="1" applyBorder="1" applyProtection="1">
      <protection hidden="1"/>
    </xf>
    <xf numFmtId="0" fontId="105" fillId="5" borderId="0" xfId="11" applyFont="1" applyFill="1"/>
    <xf numFmtId="0" fontId="105" fillId="16" borderId="0" xfId="11" applyFont="1" applyFill="1"/>
    <xf numFmtId="0" fontId="9" fillId="2" borderId="0" xfId="11" applyFill="1" applyBorder="1" applyProtection="1">
      <protection hidden="1"/>
    </xf>
    <xf numFmtId="0" fontId="4" fillId="2" borderId="0" xfId="9" applyFont="1" applyFill="1" applyBorder="1" applyProtection="1">
      <protection hidden="1"/>
    </xf>
    <xf numFmtId="37" fontId="4" fillId="0" borderId="67" xfId="0" applyNumberFormat="1" applyFont="1" applyFill="1" applyBorder="1" applyAlignment="1" applyProtection="1">
      <alignment horizontal="center" vertical="center" wrapText="1"/>
      <protection hidden="1"/>
    </xf>
    <xf numFmtId="37" fontId="4" fillId="0" borderId="31" xfId="0" applyNumberFormat="1" applyFont="1" applyFill="1" applyBorder="1" applyAlignment="1" applyProtection="1">
      <alignment horizontal="center" vertical="center" wrapText="1"/>
      <protection hidden="1"/>
    </xf>
    <xf numFmtId="37" fontId="4" fillId="2" borderId="73" xfId="0" applyNumberFormat="1" applyFont="1" applyFill="1" applyBorder="1" applyAlignment="1" applyProtection="1">
      <alignment horizontal="center"/>
      <protection hidden="1"/>
    </xf>
    <xf numFmtId="37" fontId="4" fillId="2" borderId="74" xfId="0" applyNumberFormat="1" applyFont="1" applyFill="1" applyBorder="1" applyAlignment="1" applyProtection="1">
      <alignment horizontal="center"/>
      <protection hidden="1"/>
    </xf>
    <xf numFmtId="0" fontId="0" fillId="0" borderId="0" xfId="0"/>
    <xf numFmtId="37" fontId="87" fillId="7" borderId="0" xfId="0" applyNumberFormat="1" applyFont="1" applyFill="1" applyAlignment="1" applyProtection="1">
      <alignment horizontal="center"/>
      <protection hidden="1"/>
    </xf>
    <xf numFmtId="37" fontId="13" fillId="2" borderId="2" xfId="0" applyNumberFormat="1" applyFont="1" applyFill="1" applyBorder="1" applyAlignment="1" applyProtection="1">
      <alignment horizontal="center" vertical="center" wrapText="1"/>
      <protection hidden="1"/>
    </xf>
    <xf numFmtId="39" fontId="13" fillId="0" borderId="10" xfId="0" quotePrefix="1" applyNumberFormat="1" applyFont="1" applyFill="1" applyBorder="1" applyAlignment="1" applyProtection="1">
      <alignment horizontal="center"/>
      <protection hidden="1"/>
    </xf>
    <xf numFmtId="39" fontId="13" fillId="0" borderId="11" xfId="0" quotePrefix="1" applyNumberFormat="1" applyFont="1" applyFill="1" applyBorder="1" applyAlignment="1" applyProtection="1">
      <alignment horizontal="center"/>
      <protection hidden="1"/>
    </xf>
    <xf numFmtId="39" fontId="13" fillId="0" borderId="12" xfId="0" quotePrefix="1" applyNumberFormat="1" applyFont="1" applyFill="1" applyBorder="1" applyAlignment="1" applyProtection="1">
      <alignment horizontal="center"/>
      <protection hidden="1"/>
    </xf>
    <xf numFmtId="0" fontId="46" fillId="9" borderId="75" xfId="0" applyFont="1" applyFill="1" applyBorder="1" applyAlignment="1" applyProtection="1">
      <alignment horizontal="center"/>
      <protection hidden="1"/>
    </xf>
    <xf numFmtId="0" fontId="46" fillId="9" borderId="76" xfId="0" applyFont="1" applyFill="1" applyBorder="1" applyAlignment="1" applyProtection="1">
      <alignment horizontal="center"/>
      <protection hidden="1"/>
    </xf>
    <xf numFmtId="0" fontId="46" fillId="9" borderId="55" xfId="0" applyFont="1" applyFill="1" applyBorder="1" applyAlignment="1" applyProtection="1">
      <alignment horizontal="center"/>
      <protection hidden="1"/>
    </xf>
    <xf numFmtId="37" fontId="4" fillId="0" borderId="5" xfId="0" applyNumberFormat="1" applyFont="1" applyFill="1" applyBorder="1" applyAlignment="1" applyProtection="1">
      <alignment horizontal="center"/>
      <protection hidden="1"/>
    </xf>
    <xf numFmtId="37" fontId="4" fillId="0" borderId="7" xfId="0" applyNumberFormat="1" applyFont="1" applyFill="1" applyBorder="1" applyAlignment="1" applyProtection="1">
      <alignment horizontal="center"/>
      <protection hidden="1"/>
    </xf>
    <xf numFmtId="0" fontId="4" fillId="0" borderId="67" xfId="0" applyFont="1" applyFill="1" applyBorder="1" applyAlignment="1" applyProtection="1">
      <alignment horizontal="center"/>
      <protection hidden="1"/>
    </xf>
    <xf numFmtId="0" fontId="4" fillId="0" borderId="31" xfId="0" applyFont="1" applyFill="1" applyBorder="1" applyAlignment="1" applyProtection="1">
      <alignment horizontal="center"/>
      <protection hidden="1"/>
    </xf>
    <xf numFmtId="37" fontId="4" fillId="0" borderId="66" xfId="0" applyNumberFormat="1" applyFont="1" applyFill="1" applyBorder="1" applyAlignment="1" applyProtection="1">
      <alignment horizontal="center" vertical="center" wrapText="1"/>
      <protection hidden="1"/>
    </xf>
    <xf numFmtId="37" fontId="4" fillId="0" borderId="63" xfId="0" applyNumberFormat="1" applyFont="1" applyFill="1" applyBorder="1" applyAlignment="1" applyProtection="1">
      <alignment horizontal="center" vertical="center" wrapText="1"/>
      <protection hidden="1"/>
    </xf>
    <xf numFmtId="37" fontId="6" fillId="0" borderId="23" xfId="0" applyNumberFormat="1" applyFont="1" applyFill="1" applyBorder="1" applyAlignment="1" applyProtection="1">
      <alignment horizontal="center" vertical="center" wrapText="1"/>
      <protection hidden="1"/>
    </xf>
    <xf numFmtId="37" fontId="6" fillId="0" borderId="29" xfId="0" applyNumberFormat="1" applyFont="1" applyFill="1" applyBorder="1" applyAlignment="1" applyProtection="1">
      <alignment horizontal="center" vertical="center" wrapText="1"/>
      <protection hidden="1"/>
    </xf>
    <xf numFmtId="37" fontId="6" fillId="0" borderId="31" xfId="0" applyNumberFormat="1" applyFont="1" applyFill="1" applyBorder="1" applyAlignment="1" applyProtection="1">
      <alignment horizontal="center" vertical="center" wrapText="1"/>
      <protection hidden="1"/>
    </xf>
    <xf numFmtId="37" fontId="6" fillId="0" borderId="70" xfId="0" applyNumberFormat="1" applyFont="1" applyFill="1" applyBorder="1" applyAlignment="1" applyProtection="1">
      <alignment horizontal="center"/>
      <protection hidden="1"/>
    </xf>
    <xf numFmtId="37" fontId="6" fillId="0" borderId="71" xfId="0" applyNumberFormat="1" applyFont="1" applyFill="1" applyBorder="1" applyAlignment="1" applyProtection="1">
      <alignment horizontal="center"/>
      <protection hidden="1"/>
    </xf>
    <xf numFmtId="37" fontId="6" fillId="0" borderId="72" xfId="0" applyNumberFormat="1" applyFont="1" applyFill="1" applyBorder="1" applyAlignment="1" applyProtection="1">
      <alignment horizontal="center"/>
      <protection hidden="1"/>
    </xf>
    <xf numFmtId="37" fontId="6" fillId="0" borderId="3" xfId="0" applyNumberFormat="1" applyFont="1" applyFill="1" applyBorder="1" applyAlignment="1" applyProtection="1">
      <alignment horizontal="center" vertical="center" wrapText="1"/>
      <protection hidden="1"/>
    </xf>
    <xf numFmtId="37" fontId="6" fillId="0" borderId="7" xfId="0" applyNumberFormat="1" applyFont="1" applyFill="1" applyBorder="1" applyAlignment="1" applyProtection="1">
      <alignment horizontal="center" vertical="center" wrapText="1"/>
      <protection hidden="1"/>
    </xf>
    <xf numFmtId="0" fontId="6" fillId="0" borderId="29" xfId="0" applyNumberFormat="1" applyFont="1" applyFill="1" applyBorder="1" applyAlignment="1" applyProtection="1">
      <alignment horizontal="center" vertical="center" wrapText="1"/>
      <protection hidden="1"/>
    </xf>
    <xf numFmtId="0" fontId="6" fillId="0" borderId="31" xfId="0" applyNumberFormat="1" applyFont="1" applyFill="1" applyBorder="1" applyAlignment="1" applyProtection="1">
      <alignment horizontal="center" vertical="center" wrapText="1"/>
      <protection hidden="1"/>
    </xf>
    <xf numFmtId="0" fontId="6" fillId="0" borderId="3" xfId="0" applyNumberFormat="1" applyFont="1" applyFill="1" applyBorder="1" applyAlignment="1" applyProtection="1">
      <alignment horizontal="center" vertical="center" wrapText="1"/>
      <protection hidden="1"/>
    </xf>
    <xf numFmtId="0" fontId="6" fillId="0" borderId="7" xfId="0" applyNumberFormat="1" applyFont="1" applyFill="1" applyBorder="1" applyAlignment="1" applyProtection="1">
      <alignment horizontal="center" vertical="center" wrapText="1"/>
      <protection hidden="1"/>
    </xf>
    <xf numFmtId="37" fontId="47" fillId="2" borderId="21" xfId="0" applyNumberFormat="1" applyFont="1" applyFill="1" applyBorder="1" applyAlignment="1" applyProtection="1">
      <alignment horizontal="center"/>
      <protection hidden="1"/>
    </xf>
    <xf numFmtId="37" fontId="47" fillId="2" borderId="0" xfId="0" applyNumberFormat="1" applyFont="1" applyFill="1" applyBorder="1" applyAlignment="1" applyProtection="1">
      <alignment horizontal="center"/>
      <protection hidden="1"/>
    </xf>
    <xf numFmtId="37" fontId="47" fillId="2" borderId="22" xfId="0" applyNumberFormat="1" applyFont="1" applyFill="1" applyBorder="1" applyAlignment="1" applyProtection="1">
      <alignment horizontal="center"/>
      <protection hidden="1"/>
    </xf>
    <xf numFmtId="37" fontId="24" fillId="0" borderId="21" xfId="0" applyNumberFormat="1" applyFont="1" applyFill="1" applyBorder="1" applyAlignment="1" applyProtection="1">
      <alignment horizontal="center" wrapText="1"/>
      <protection hidden="1"/>
    </xf>
    <xf numFmtId="37" fontId="24" fillId="0" borderId="22" xfId="0" applyNumberFormat="1" applyFont="1" applyFill="1" applyBorder="1" applyAlignment="1" applyProtection="1">
      <alignment horizontal="center" wrapText="1"/>
      <protection hidden="1"/>
    </xf>
    <xf numFmtId="37" fontId="24" fillId="0" borderId="45" xfId="0" applyNumberFormat="1" applyFont="1" applyFill="1" applyBorder="1" applyAlignment="1" applyProtection="1">
      <alignment horizontal="center" wrapText="1"/>
      <protection hidden="1"/>
    </xf>
    <xf numFmtId="37" fontId="24" fillId="0" borderId="33" xfId="0" applyNumberFormat="1" applyFont="1" applyFill="1" applyBorder="1" applyAlignment="1" applyProtection="1">
      <alignment horizontal="center" wrapText="1"/>
      <protection hidden="1"/>
    </xf>
    <xf numFmtId="37" fontId="44" fillId="0" borderId="18" xfId="0" applyNumberFormat="1" applyFont="1" applyFill="1" applyBorder="1" applyAlignment="1" applyProtection="1">
      <alignment wrapText="1"/>
      <protection hidden="1"/>
    </xf>
    <xf numFmtId="0" fontId="0" fillId="0" borderId="20" xfId="0" applyBorder="1" applyAlignment="1" applyProtection="1">
      <alignment wrapText="1"/>
      <protection hidden="1"/>
    </xf>
    <xf numFmtId="0" fontId="0" fillId="0" borderId="45" xfId="0" applyBorder="1" applyAlignment="1" applyProtection="1">
      <alignment wrapText="1"/>
      <protection hidden="1"/>
    </xf>
    <xf numFmtId="0" fontId="0" fillId="0" borderId="33" xfId="0" applyBorder="1" applyAlignment="1" applyProtection="1">
      <alignment wrapText="1"/>
      <protection hidden="1"/>
    </xf>
    <xf numFmtId="37" fontId="6" fillId="0" borderId="28" xfId="0" applyNumberFormat="1" applyFont="1" applyFill="1" applyBorder="1" applyAlignment="1" applyProtection="1">
      <alignment horizontal="center" vertical="center" wrapText="1"/>
      <protection hidden="1"/>
    </xf>
    <xf numFmtId="37" fontId="6" fillId="0" borderId="26" xfId="0" applyNumberFormat="1" applyFont="1" applyFill="1" applyBorder="1" applyAlignment="1" applyProtection="1">
      <alignment horizontal="center" vertical="center" wrapText="1"/>
      <protection hidden="1"/>
    </xf>
    <xf numFmtId="37" fontId="6" fillId="0" borderId="30" xfId="0" applyNumberFormat="1" applyFont="1" applyFill="1" applyBorder="1" applyAlignment="1" applyProtection="1">
      <alignment horizontal="center" vertical="center" wrapText="1"/>
      <protection hidden="1"/>
    </xf>
    <xf numFmtId="37" fontId="6" fillId="0" borderId="5" xfId="0" applyNumberFormat="1" applyFont="1" applyFill="1" applyBorder="1" applyAlignment="1" applyProtection="1">
      <alignment horizontal="center" vertical="center" wrapText="1"/>
      <protection hidden="1"/>
    </xf>
    <xf numFmtId="37" fontId="6" fillId="0" borderId="68" xfId="0" applyNumberFormat="1" applyFont="1" applyFill="1" applyBorder="1" applyAlignment="1" applyProtection="1">
      <alignment horizontal="center" vertical="center" wrapText="1"/>
      <protection hidden="1"/>
    </xf>
    <xf numFmtId="0" fontId="6" fillId="0" borderId="39" xfId="0" applyNumberFormat="1" applyFont="1" applyFill="1" applyBorder="1" applyAlignment="1" applyProtection="1">
      <alignment horizontal="center" vertical="center" wrapText="1"/>
      <protection hidden="1"/>
    </xf>
    <xf numFmtId="0" fontId="6" fillId="0" borderId="24" xfId="0" applyNumberFormat="1" applyFont="1" applyFill="1" applyBorder="1" applyAlignment="1" applyProtection="1">
      <alignment horizontal="center" vertical="center" wrapText="1"/>
      <protection hidden="1"/>
    </xf>
    <xf numFmtId="37" fontId="44" fillId="0" borderId="18" xfId="0" applyNumberFormat="1" applyFont="1" applyFill="1"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0" xfId="0" applyBorder="1" applyAlignment="1" applyProtection="1">
      <alignment horizontal="center" vertical="center" wrapText="1"/>
      <protection hidden="1"/>
    </xf>
    <xf numFmtId="0" fontId="0" fillId="0" borderId="45" xfId="0" applyBorder="1" applyAlignment="1" applyProtection="1">
      <alignment horizontal="center" vertical="center" wrapText="1"/>
      <protection hidden="1"/>
    </xf>
    <xf numFmtId="0" fontId="0" fillId="0" borderId="69" xfId="0" applyBorder="1" applyAlignment="1" applyProtection="1">
      <alignment horizontal="center" vertical="center" wrapText="1"/>
      <protection hidden="1"/>
    </xf>
    <xf numFmtId="0" fontId="0" fillId="0" borderId="33" xfId="0" applyBorder="1" applyAlignment="1" applyProtection="1">
      <alignment horizontal="center" vertical="center" wrapText="1"/>
      <protection hidden="1"/>
    </xf>
    <xf numFmtId="37" fontId="47" fillId="0" borderId="68" xfId="0" applyNumberFormat="1" applyFont="1" applyFill="1" applyBorder="1" applyAlignment="1" applyProtection="1">
      <alignment horizontal="center" vertical="center" wrapText="1"/>
      <protection hidden="1"/>
    </xf>
    <xf numFmtId="37" fontId="47" fillId="0" borderId="26" xfId="0" applyNumberFormat="1" applyFont="1" applyFill="1" applyBorder="1" applyAlignment="1" applyProtection="1">
      <alignment horizontal="center" vertical="center" wrapText="1"/>
      <protection hidden="1"/>
    </xf>
    <xf numFmtId="37" fontId="6" fillId="0" borderId="14" xfId="0" applyNumberFormat="1" applyFont="1" applyFill="1" applyBorder="1" applyAlignment="1" applyProtection="1">
      <alignment horizontal="center" vertical="center" wrapText="1"/>
      <protection hidden="1"/>
    </xf>
    <xf numFmtId="0" fontId="0" fillId="0" borderId="8" xfId="0" applyBorder="1" applyAlignment="1" applyProtection="1">
      <alignment horizontal="center" vertical="center" wrapText="1"/>
      <protection hidden="1"/>
    </xf>
    <xf numFmtId="0" fontId="0" fillId="0" borderId="25" xfId="0" applyBorder="1" applyAlignment="1" applyProtection="1">
      <alignment horizontal="center" vertical="center" wrapText="1"/>
      <protection hidden="1"/>
    </xf>
    <xf numFmtId="0" fontId="0" fillId="0" borderId="63" xfId="0" applyBorder="1" applyAlignment="1" applyProtection="1">
      <alignment horizontal="center" vertical="center" wrapText="1"/>
      <protection hidden="1"/>
    </xf>
    <xf numFmtId="37" fontId="4" fillId="0" borderId="2" xfId="0" applyNumberFormat="1" applyFont="1" applyFill="1" applyBorder="1" applyAlignment="1" applyProtection="1">
      <alignment horizontal="center"/>
      <protection hidden="1"/>
    </xf>
    <xf numFmtId="37" fontId="6" fillId="0" borderId="29" xfId="0" applyNumberFormat="1" applyFont="1" applyFill="1" applyBorder="1" applyAlignment="1" applyProtection="1">
      <alignment horizontal="center" vertical="center"/>
      <protection hidden="1"/>
    </xf>
    <xf numFmtId="37" fontId="6" fillId="0" borderId="31" xfId="0" applyNumberFormat="1" applyFont="1" applyFill="1" applyBorder="1" applyAlignment="1" applyProtection="1">
      <alignment horizontal="center" vertical="center"/>
      <protection hidden="1"/>
    </xf>
    <xf numFmtId="37" fontId="6" fillId="0" borderId="28" xfId="0" applyNumberFormat="1" applyFont="1" applyFill="1" applyBorder="1" applyAlignment="1" applyProtection="1">
      <alignment horizontal="center" vertical="center"/>
      <protection hidden="1"/>
    </xf>
    <xf numFmtId="37" fontId="6" fillId="0" borderId="30" xfId="0" applyNumberFormat="1" applyFont="1" applyFill="1" applyBorder="1" applyAlignment="1" applyProtection="1">
      <alignment horizontal="center" vertical="center"/>
      <protection hidden="1"/>
    </xf>
    <xf numFmtId="37" fontId="6" fillId="0" borderId="3" xfId="0" applyNumberFormat="1" applyFont="1" applyFill="1" applyBorder="1" applyAlignment="1" applyProtection="1">
      <alignment horizontal="center" vertical="center"/>
      <protection hidden="1"/>
    </xf>
    <xf numFmtId="37" fontId="6" fillId="0" borderId="7" xfId="0" applyNumberFormat="1" applyFont="1" applyFill="1" applyBorder="1" applyAlignment="1" applyProtection="1">
      <alignment horizontal="center" vertical="center"/>
      <protection hidden="1"/>
    </xf>
    <xf numFmtId="37" fontId="6" fillId="0" borderId="2" xfId="0" applyNumberFormat="1" applyFont="1" applyFill="1" applyBorder="1" applyAlignment="1" applyProtection="1">
      <alignment horizontal="center" vertical="center" wrapText="1"/>
      <protection hidden="1"/>
    </xf>
    <xf numFmtId="0" fontId="17" fillId="0" borderId="27" xfId="0" applyFont="1" applyFill="1" applyBorder="1" applyAlignment="1" applyProtection="1">
      <alignment horizontal="center"/>
      <protection hidden="1"/>
    </xf>
    <xf numFmtId="37" fontId="47" fillId="0" borderId="16" xfId="0" applyNumberFormat="1" applyFont="1" applyFill="1" applyBorder="1" applyAlignment="1" applyProtection="1">
      <alignment horizontal="center" vertical="center" wrapText="1"/>
      <protection hidden="1"/>
    </xf>
    <xf numFmtId="0" fontId="47" fillId="0" borderId="68" xfId="0" applyFont="1" applyFill="1" applyBorder="1" applyAlignment="1" applyProtection="1">
      <alignment horizontal="center" vertical="center"/>
      <protection hidden="1"/>
    </xf>
    <xf numFmtId="0" fontId="47" fillId="0" borderId="30" xfId="0" applyFont="1" applyFill="1" applyBorder="1" applyAlignment="1" applyProtection="1">
      <alignment horizontal="center" vertical="center"/>
      <protection hidden="1"/>
    </xf>
    <xf numFmtId="37" fontId="4" fillId="0" borderId="29" xfId="0" applyNumberFormat="1" applyFont="1" applyFill="1" applyBorder="1" applyAlignment="1" applyProtection="1">
      <alignment horizontal="center"/>
      <protection hidden="1"/>
    </xf>
    <xf numFmtId="37" fontId="4" fillId="0" borderId="31"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hidden="1"/>
    </xf>
    <xf numFmtId="0" fontId="4" fillId="0" borderId="7" xfId="0" applyFont="1" applyFill="1" applyBorder="1" applyAlignment="1" applyProtection="1">
      <alignment horizontal="center"/>
      <protection hidden="1"/>
    </xf>
    <xf numFmtId="0" fontId="4" fillId="0" borderId="44" xfId="0" applyFont="1" applyFill="1" applyBorder="1" applyAlignment="1" applyProtection="1">
      <alignment horizontal="center" wrapText="1"/>
      <protection hidden="1"/>
    </xf>
    <xf numFmtId="0" fontId="4" fillId="0" borderId="7" xfId="0" applyFont="1" applyFill="1" applyBorder="1" applyAlignment="1" applyProtection="1">
      <alignment horizontal="center" wrapText="1"/>
      <protection hidden="1"/>
    </xf>
    <xf numFmtId="37" fontId="4" fillId="0" borderId="14" xfId="0" applyNumberFormat="1" applyFont="1" applyFill="1" applyBorder="1" applyAlignment="1" applyProtection="1">
      <alignment horizontal="center" vertical="center" wrapText="1"/>
      <protection hidden="1"/>
    </xf>
    <xf numFmtId="37" fontId="17" fillId="0" borderId="46" xfId="0" applyNumberFormat="1" applyFont="1" applyFill="1" applyBorder="1" applyAlignment="1" applyProtection="1">
      <alignment horizontal="center"/>
      <protection hidden="1"/>
    </xf>
    <xf numFmtId="37" fontId="17" fillId="0" borderId="76" xfId="0" applyNumberFormat="1" applyFont="1" applyFill="1" applyBorder="1" applyAlignment="1" applyProtection="1">
      <alignment horizontal="center"/>
      <protection hidden="1"/>
    </xf>
    <xf numFmtId="37" fontId="17" fillId="0" borderId="55" xfId="0" applyNumberFormat="1" applyFont="1" applyFill="1" applyBorder="1" applyAlignment="1" applyProtection="1">
      <alignment horizontal="center"/>
      <protection hidden="1"/>
    </xf>
    <xf numFmtId="37" fontId="44" fillId="0" borderId="0" xfId="0" applyNumberFormat="1" applyFont="1" applyFill="1" applyBorder="1" applyAlignment="1" applyProtection="1">
      <alignment wrapText="1"/>
      <protection hidden="1"/>
    </xf>
    <xf numFmtId="0" fontId="0" fillId="0" borderId="0" xfId="0" applyAlignment="1" applyProtection="1">
      <alignment wrapText="1"/>
      <protection hidden="1"/>
    </xf>
    <xf numFmtId="0" fontId="0" fillId="0" borderId="69" xfId="0" applyBorder="1" applyAlignment="1" applyProtection="1">
      <alignment wrapText="1"/>
      <protection hidden="1"/>
    </xf>
    <xf numFmtId="37" fontId="47" fillId="0" borderId="3" xfId="0" applyNumberFormat="1" applyFont="1" applyFill="1" applyBorder="1" applyAlignment="1" applyProtection="1">
      <alignment horizontal="center" vertical="center" wrapText="1"/>
      <protection hidden="1"/>
    </xf>
    <xf numFmtId="37" fontId="47" fillId="0" borderId="5" xfId="0" applyNumberFormat="1" applyFont="1" applyFill="1" applyBorder="1" applyAlignment="1" applyProtection="1">
      <alignment horizontal="center" vertical="center" wrapText="1"/>
      <protection hidden="1"/>
    </xf>
    <xf numFmtId="37" fontId="47" fillId="2" borderId="0" xfId="0" applyNumberFormat="1" applyFont="1" applyFill="1" applyAlignment="1" applyProtection="1">
      <alignment horizontal="center"/>
      <protection hidden="1"/>
    </xf>
    <xf numFmtId="37" fontId="47" fillId="0" borderId="14" xfId="0" applyNumberFormat="1" applyFont="1" applyFill="1" applyBorder="1" applyAlignment="1" applyProtection="1">
      <alignment horizontal="center" vertical="center" wrapText="1"/>
      <protection hidden="1"/>
    </xf>
    <xf numFmtId="37" fontId="47" fillId="0" borderId="13" xfId="0" applyNumberFormat="1" applyFont="1" applyFill="1" applyBorder="1" applyAlignment="1" applyProtection="1">
      <alignment horizontal="center" vertical="center" wrapText="1"/>
      <protection hidden="1"/>
    </xf>
    <xf numFmtId="37" fontId="47" fillId="0" borderId="63" xfId="0" applyNumberFormat="1" applyFont="1" applyFill="1" applyBorder="1" applyAlignment="1" applyProtection="1">
      <alignment horizontal="center" vertical="center" wrapText="1"/>
      <protection hidden="1"/>
    </xf>
    <xf numFmtId="0" fontId="47" fillId="0" borderId="6" xfId="0" applyFont="1" applyFill="1" applyBorder="1" applyAlignment="1" applyProtection="1">
      <alignment horizontal="center" vertical="center"/>
      <protection hidden="1"/>
    </xf>
    <xf numFmtId="0" fontId="47" fillId="0" borderId="9" xfId="0" applyFont="1" applyFill="1" applyBorder="1" applyAlignment="1" applyProtection="1">
      <alignment horizontal="center" vertical="center"/>
      <protection hidden="1"/>
    </xf>
    <xf numFmtId="0" fontId="17" fillId="0" borderId="2" xfId="0" applyFont="1" applyFill="1" applyBorder="1" applyAlignment="1" applyProtection="1">
      <alignment horizontal="center"/>
      <protection hidden="1"/>
    </xf>
    <xf numFmtId="0" fontId="6" fillId="0" borderId="2" xfId="0" applyNumberFormat="1" applyFont="1" applyFill="1" applyBorder="1" applyAlignment="1" applyProtection="1">
      <alignment horizontal="center" vertical="center" wrapText="1"/>
      <protection hidden="1"/>
    </xf>
    <xf numFmtId="0" fontId="4" fillId="0" borderId="3" xfId="0" applyFont="1" applyFill="1" applyBorder="1" applyAlignment="1" applyProtection="1">
      <alignment horizontal="center"/>
      <protection hidden="1"/>
    </xf>
    <xf numFmtId="0" fontId="0" fillId="0" borderId="4" xfId="0" applyBorder="1" applyAlignment="1" applyProtection="1">
      <alignment horizontal="center" vertical="center" wrapText="1"/>
      <protection hidden="1"/>
    </xf>
    <xf numFmtId="0" fontId="0" fillId="0" borderId="9" xfId="0" applyBorder="1" applyAlignment="1" applyProtection="1">
      <alignment horizontal="center" vertical="center" wrapText="1"/>
      <protection hidden="1"/>
    </xf>
    <xf numFmtId="37" fontId="24" fillId="0" borderId="13" xfId="0" applyNumberFormat="1" applyFont="1" applyFill="1" applyBorder="1" applyAlignment="1" applyProtection="1">
      <alignment horizontal="center" wrapText="1"/>
      <protection hidden="1"/>
    </xf>
    <xf numFmtId="37" fontId="24" fillId="0" borderId="6" xfId="0" applyNumberFormat="1" applyFont="1" applyFill="1" applyBorder="1" applyAlignment="1" applyProtection="1">
      <alignment horizontal="center" wrapText="1"/>
      <protection hidden="1"/>
    </xf>
    <xf numFmtId="37" fontId="24" fillId="0" borderId="63" xfId="0" applyNumberFormat="1" applyFont="1" applyFill="1" applyBorder="1" applyAlignment="1" applyProtection="1">
      <alignment horizontal="center" wrapText="1"/>
      <protection hidden="1"/>
    </xf>
    <xf numFmtId="37" fontId="24" fillId="0" borderId="9" xfId="0" applyNumberFormat="1" applyFont="1" applyFill="1" applyBorder="1" applyAlignment="1" applyProtection="1">
      <alignment horizontal="center" wrapText="1"/>
      <protection hidden="1"/>
    </xf>
    <xf numFmtId="37" fontId="44" fillId="0" borderId="14" xfId="0" applyNumberFormat="1" applyFont="1" applyFill="1" applyBorder="1" applyAlignment="1" applyProtection="1">
      <alignment horizontal="center" vertical="center" wrapText="1"/>
      <protection hidden="1"/>
    </xf>
    <xf numFmtId="37" fontId="6" fillId="0" borderId="10" xfId="0" applyNumberFormat="1" applyFont="1" applyFill="1" applyBorder="1" applyAlignment="1" applyProtection="1">
      <alignment horizontal="center"/>
      <protection hidden="1"/>
    </xf>
    <xf numFmtId="37" fontId="6" fillId="0" borderId="11" xfId="0" applyNumberFormat="1" applyFont="1" applyFill="1" applyBorder="1" applyAlignment="1" applyProtection="1">
      <alignment horizontal="center"/>
      <protection hidden="1"/>
    </xf>
    <xf numFmtId="37" fontId="6" fillId="0" borderId="12" xfId="0" applyNumberFormat="1" applyFont="1" applyFill="1" applyBorder="1" applyAlignment="1" applyProtection="1">
      <alignment horizontal="center"/>
      <protection hidden="1"/>
    </xf>
    <xf numFmtId="37" fontId="4" fillId="0" borderId="13" xfId="0" applyNumberFormat="1" applyFont="1" applyFill="1" applyBorder="1" applyAlignment="1" applyProtection="1">
      <alignment horizontal="center" vertical="center" wrapText="1"/>
      <protection hidden="1"/>
    </xf>
    <xf numFmtId="37" fontId="4" fillId="0" borderId="3" xfId="0" applyNumberFormat="1" applyFont="1" applyFill="1" applyBorder="1" applyAlignment="1" applyProtection="1">
      <alignment horizontal="center"/>
      <protection hidden="1"/>
    </xf>
    <xf numFmtId="0" fontId="5" fillId="7" borderId="0" xfId="0" applyFont="1" applyFill="1" applyAlignment="1">
      <alignment horizontal="center"/>
    </xf>
    <xf numFmtId="4" fontId="0" fillId="0" borderId="0" xfId="0" applyNumberFormat="1" applyAlignment="1" applyProtection="1">
      <alignment horizontal="justify" vertical="center" wrapText="1"/>
      <protection locked="0"/>
    </xf>
    <xf numFmtId="4" fontId="20" fillId="2" borderId="0" xfId="11" applyNumberFormat="1" applyFont="1" applyFill="1" applyAlignment="1" applyProtection="1">
      <alignment horizontal="justify" wrapText="1"/>
      <protection hidden="1"/>
    </xf>
    <xf numFmtId="0" fontId="20" fillId="2" borderId="0" xfId="11" applyFont="1" applyFill="1" applyAlignment="1" applyProtection="1">
      <alignment horizontal="justify" wrapText="1"/>
      <protection hidden="1"/>
    </xf>
    <xf numFmtId="4" fontId="20" fillId="2" borderId="0" xfId="11" applyNumberFormat="1" applyFont="1" applyFill="1" applyAlignment="1" applyProtection="1">
      <alignment horizontal="justify" vertical="justify"/>
      <protection hidden="1"/>
    </xf>
    <xf numFmtId="0" fontId="20" fillId="2" borderId="0" xfId="11" applyFont="1" applyFill="1" applyAlignment="1" applyProtection="1">
      <alignment horizontal="justify" vertical="justify"/>
      <protection hidden="1"/>
    </xf>
    <xf numFmtId="0" fontId="51" fillId="2" borderId="0" xfId="11" applyFont="1" applyFill="1" applyAlignment="1" applyProtection="1">
      <alignment horizontal="justify" vertical="justify"/>
      <protection hidden="1"/>
    </xf>
    <xf numFmtId="4" fontId="20" fillId="2" borderId="8" xfId="11" applyNumberFormat="1" applyFont="1" applyFill="1" applyBorder="1" applyAlignment="1" applyProtection="1">
      <alignment horizontal="justify" wrapText="1"/>
      <protection hidden="1"/>
    </xf>
    <xf numFmtId="0" fontId="20" fillId="2" borderId="8" xfId="11" applyFont="1" applyFill="1" applyBorder="1" applyAlignment="1" applyProtection="1">
      <alignment horizontal="justify" wrapText="1"/>
      <protection hidden="1"/>
    </xf>
    <xf numFmtId="0" fontId="41" fillId="2" borderId="0" xfId="11" applyFont="1" applyFill="1" applyAlignment="1" applyProtection="1">
      <alignment horizontal="center" vertical="center"/>
      <protection hidden="1"/>
    </xf>
    <xf numFmtId="4" fontId="20" fillId="2" borderId="0" xfId="11" applyNumberFormat="1" applyFont="1" applyFill="1" applyAlignment="1" applyProtection="1">
      <alignment horizontal="left" wrapText="1"/>
      <protection hidden="1"/>
    </xf>
    <xf numFmtId="0" fontId="20" fillId="2" borderId="0" xfId="11" applyFont="1" applyFill="1" applyAlignment="1" applyProtection="1">
      <alignment horizontal="left" wrapText="1"/>
      <protection hidden="1"/>
    </xf>
    <xf numFmtId="4" fontId="20" fillId="2" borderId="0" xfId="11" applyNumberFormat="1" applyFont="1" applyFill="1" applyAlignment="1" applyProtection="1">
      <alignment horizontal="justify" vertical="center" wrapText="1"/>
      <protection hidden="1"/>
    </xf>
    <xf numFmtId="0" fontId="20" fillId="2" borderId="0" xfId="11" applyFont="1" applyFill="1" applyAlignment="1" applyProtection="1">
      <alignment horizontal="justify" vertical="center" wrapText="1"/>
      <protection hidden="1"/>
    </xf>
    <xf numFmtId="0" fontId="20" fillId="2" borderId="16" xfId="11" applyFont="1" applyFill="1" applyBorder="1" applyAlignment="1" applyProtection="1">
      <protection hidden="1"/>
    </xf>
    <xf numFmtId="0" fontId="20" fillId="2" borderId="60" xfId="11" applyFont="1" applyFill="1" applyBorder="1" applyAlignment="1" applyProtection="1">
      <protection hidden="1"/>
    </xf>
    <xf numFmtId="0" fontId="45" fillId="2" borderId="53" xfId="11" applyFont="1" applyFill="1" applyBorder="1" applyAlignment="1" applyProtection="1">
      <alignment horizontal="center"/>
      <protection hidden="1"/>
    </xf>
    <xf numFmtId="0" fontId="20" fillId="2" borderId="46" xfId="0" quotePrefix="1" applyFont="1" applyFill="1" applyBorder="1" applyAlignment="1">
      <alignment horizontal="center"/>
    </xf>
    <xf numFmtId="0" fontId="20" fillId="2" borderId="55" xfId="0" applyFont="1" applyFill="1" applyBorder="1" applyAlignment="1">
      <alignment horizontal="center"/>
    </xf>
    <xf numFmtId="4" fontId="20" fillId="2" borderId="19" xfId="11" applyNumberFormat="1" applyFont="1" applyFill="1" applyBorder="1" applyAlignment="1" applyProtection="1">
      <alignment horizontal="justify" vertical="center" wrapText="1"/>
      <protection hidden="1"/>
    </xf>
    <xf numFmtId="0" fontId="20" fillId="2" borderId="19" xfId="11" applyFont="1" applyFill="1" applyBorder="1" applyAlignment="1" applyProtection="1">
      <alignment horizontal="justify" vertical="center" wrapText="1"/>
      <protection hidden="1"/>
    </xf>
    <xf numFmtId="4" fontId="20" fillId="2" borderId="0" xfId="11" applyNumberFormat="1" applyFont="1" applyFill="1" applyBorder="1" applyAlignment="1" applyProtection="1">
      <alignment horizontal="justify" wrapText="1"/>
      <protection hidden="1"/>
    </xf>
    <xf numFmtId="0" fontId="20" fillId="2" borderId="0" xfId="11" applyFont="1" applyFill="1" applyBorder="1" applyAlignment="1" applyProtection="1">
      <alignment horizontal="justify" wrapText="1"/>
      <protection hidden="1"/>
    </xf>
    <xf numFmtId="0" fontId="44" fillId="2" borderId="0" xfId="11" applyFont="1" applyFill="1" applyAlignment="1" applyProtection="1">
      <alignment horizontal="left"/>
      <protection hidden="1"/>
    </xf>
    <xf numFmtId="0" fontId="44" fillId="2" borderId="35" xfId="11" applyFont="1" applyFill="1" applyBorder="1" applyAlignment="1" applyProtection="1">
      <alignment horizontal="center"/>
      <protection hidden="1"/>
    </xf>
    <xf numFmtId="0" fontId="20" fillId="2" borderId="17" xfId="11" applyFont="1" applyFill="1" applyBorder="1" applyAlignment="1" applyProtection="1">
      <protection hidden="1"/>
    </xf>
    <xf numFmtId="0" fontId="20" fillId="2" borderId="61" xfId="11" applyFont="1" applyFill="1" applyBorder="1" applyAlignment="1" applyProtection="1">
      <protection hidden="1"/>
    </xf>
    <xf numFmtId="4" fontId="44" fillId="2" borderId="0" xfId="11" applyNumberFormat="1" applyFont="1" applyFill="1" applyAlignment="1" applyProtection="1">
      <alignment horizontal="left" vertical="center" wrapText="1"/>
      <protection hidden="1"/>
    </xf>
    <xf numFmtId="0" fontId="44" fillId="2" borderId="0" xfId="11" applyFont="1" applyFill="1" applyAlignment="1" applyProtection="1">
      <alignment horizontal="left" vertical="center" wrapText="1"/>
      <protection hidden="1"/>
    </xf>
    <xf numFmtId="0" fontId="13" fillId="2" borderId="73" xfId="11" applyFont="1" applyFill="1" applyBorder="1" applyAlignment="1" applyProtection="1">
      <protection hidden="1"/>
    </xf>
    <xf numFmtId="0" fontId="13" fillId="2" borderId="74" xfId="11" applyFont="1" applyFill="1" applyBorder="1" applyAlignment="1" applyProtection="1">
      <protection hidden="1"/>
    </xf>
    <xf numFmtId="0" fontId="20" fillId="2" borderId="19" xfId="11" applyFont="1" applyFill="1" applyBorder="1" applyAlignment="1" applyProtection="1">
      <alignment horizontal="right"/>
      <protection hidden="1"/>
    </xf>
    <xf numFmtId="0" fontId="20" fillId="2" borderId="79" xfId="11" applyFont="1" applyFill="1" applyBorder="1" applyAlignment="1" applyProtection="1">
      <alignment horizontal="right"/>
      <protection hidden="1"/>
    </xf>
    <xf numFmtId="0" fontId="20" fillId="2" borderId="41" xfId="11" applyFont="1" applyFill="1" applyBorder="1" applyAlignment="1" applyProtection="1">
      <alignment horizontal="center" wrapText="1"/>
      <protection hidden="1"/>
    </xf>
    <xf numFmtId="0" fontId="20" fillId="2" borderId="42" xfId="11" applyFont="1" applyFill="1" applyBorder="1" applyAlignment="1" applyProtection="1">
      <alignment horizontal="center" wrapText="1"/>
      <protection hidden="1"/>
    </xf>
    <xf numFmtId="37" fontId="20" fillId="2" borderId="0" xfId="11" applyNumberFormat="1" applyFont="1" applyFill="1" applyAlignment="1" applyProtection="1">
      <alignment horizontal="justify" vertical="center" wrapText="1"/>
      <protection hidden="1"/>
    </xf>
    <xf numFmtId="0" fontId="24" fillId="2" borderId="27" xfId="11" applyFont="1" applyFill="1" applyBorder="1" applyAlignment="1" applyProtection="1">
      <alignment horizontal="center"/>
      <protection hidden="1"/>
    </xf>
    <xf numFmtId="0" fontId="24" fillId="2" borderId="39" xfId="11" applyFont="1" applyFill="1" applyBorder="1" applyAlignment="1" applyProtection="1">
      <alignment horizontal="center"/>
      <protection hidden="1"/>
    </xf>
    <xf numFmtId="0" fontId="20" fillId="2" borderId="18" xfId="11" applyFont="1" applyFill="1" applyBorder="1" applyAlignment="1" applyProtection="1">
      <alignment horizontal="center" vertical="center"/>
      <protection hidden="1"/>
    </xf>
    <xf numFmtId="0" fontId="20" fillId="2" borderId="45" xfId="11" applyFont="1" applyFill="1" applyBorder="1" applyAlignment="1" applyProtection="1">
      <alignment horizontal="center" vertical="center"/>
      <protection hidden="1"/>
    </xf>
    <xf numFmtId="9" fontId="4" fillId="2" borderId="0" xfId="13" applyFont="1" applyFill="1" applyBorder="1" applyAlignment="1" applyProtection="1">
      <alignment horizontal="center"/>
      <protection hidden="1"/>
    </xf>
    <xf numFmtId="182" fontId="20" fillId="2" borderId="16" xfId="11" applyNumberFormat="1" applyFont="1" applyFill="1" applyBorder="1" applyAlignment="1" applyProtection="1">
      <alignment horizontal="center" vertical="center"/>
      <protection hidden="1"/>
    </xf>
    <xf numFmtId="182" fontId="20" fillId="2" borderId="12" xfId="11" applyNumberFormat="1" applyFont="1" applyFill="1" applyBorder="1" applyAlignment="1" applyProtection="1">
      <alignment horizontal="center" vertical="center"/>
      <protection hidden="1"/>
    </xf>
    <xf numFmtId="0" fontId="20" fillId="2" borderId="47" xfId="11" applyFont="1" applyFill="1" applyBorder="1" applyAlignment="1" applyProtection="1">
      <alignment horizontal="center" vertical="center" wrapText="1"/>
      <protection hidden="1"/>
    </xf>
    <xf numFmtId="0" fontId="13" fillId="2" borderId="78" xfId="0" applyFont="1" applyFill="1" applyBorder="1" applyAlignment="1">
      <alignment horizontal="right" wrapText="1"/>
    </xf>
    <xf numFmtId="0" fontId="0" fillId="2" borderId="65" xfId="0" applyFill="1" applyBorder="1" applyAlignment="1">
      <alignment wrapText="1"/>
    </xf>
    <xf numFmtId="182" fontId="20" fillId="2" borderId="10" xfId="11" applyNumberFormat="1" applyFont="1" applyFill="1" applyBorder="1" applyAlignment="1" applyProtection="1">
      <alignment horizontal="center"/>
      <protection hidden="1"/>
    </xf>
    <xf numFmtId="182" fontId="20" fillId="2" borderId="12" xfId="11" applyNumberFormat="1" applyFont="1" applyFill="1" applyBorder="1" applyAlignment="1" applyProtection="1">
      <alignment horizontal="center"/>
      <protection hidden="1"/>
    </xf>
    <xf numFmtId="182" fontId="20" fillId="2" borderId="62" xfId="11" applyNumberFormat="1" applyFont="1" applyFill="1" applyBorder="1" applyAlignment="1" applyProtection="1">
      <alignment horizontal="left"/>
      <protection hidden="1"/>
    </xf>
    <xf numFmtId="182" fontId="20" fillId="2" borderId="77" xfId="11" applyNumberFormat="1" applyFont="1" applyFill="1" applyBorder="1" applyAlignment="1" applyProtection="1">
      <alignment horizontal="left"/>
      <protection hidden="1"/>
    </xf>
    <xf numFmtId="10" fontId="20" fillId="2" borderId="34" xfId="13" applyNumberFormat="1" applyFont="1" applyFill="1" applyBorder="1" applyAlignment="1" applyProtection="1">
      <alignment horizontal="center"/>
      <protection hidden="1"/>
    </xf>
    <xf numFmtId="10" fontId="20" fillId="2" borderId="36" xfId="13" applyNumberFormat="1" applyFont="1" applyFill="1" applyBorder="1" applyAlignment="1" applyProtection="1">
      <alignment horizontal="center"/>
      <protection hidden="1"/>
    </xf>
    <xf numFmtId="10" fontId="20" fillId="2" borderId="32" xfId="13" applyNumberFormat="1" applyFont="1" applyFill="1" applyBorder="1" applyAlignment="1" applyProtection="1">
      <alignment horizontal="center"/>
      <protection hidden="1"/>
    </xf>
    <xf numFmtId="0" fontId="20" fillId="2" borderId="59" xfId="11" applyFont="1" applyFill="1" applyBorder="1" applyAlignment="1" applyProtection="1">
      <alignment horizontal="center" vertical="center" wrapText="1"/>
      <protection hidden="1"/>
    </xf>
    <xf numFmtId="0" fontId="9" fillId="2" borderId="19" xfId="11" applyFill="1" applyBorder="1" applyAlignment="1" applyProtection="1">
      <alignment horizontal="justify" vertical="center" wrapText="1"/>
      <protection hidden="1"/>
    </xf>
    <xf numFmtId="0" fontId="9" fillId="2" borderId="0" xfId="11" applyFill="1" applyAlignment="1" applyProtection="1">
      <alignment horizontal="justify" vertical="center" wrapText="1"/>
      <protection hidden="1"/>
    </xf>
    <xf numFmtId="4" fontId="20" fillId="2" borderId="19" xfId="11" applyNumberFormat="1" applyFont="1" applyFill="1" applyBorder="1" applyAlignment="1" applyProtection="1">
      <alignment horizontal="left" wrapText="1"/>
      <protection hidden="1"/>
    </xf>
    <xf numFmtId="0" fontId="51" fillId="2" borderId="19" xfId="11" applyFont="1" applyFill="1" applyBorder="1" applyAlignment="1" applyProtection="1">
      <alignment wrapText="1"/>
      <protection hidden="1"/>
    </xf>
    <xf numFmtId="0" fontId="51" fillId="2" borderId="0" xfId="11" applyFont="1" applyFill="1" applyAlignment="1" applyProtection="1">
      <alignment wrapText="1"/>
      <protection hidden="1"/>
    </xf>
    <xf numFmtId="0" fontId="51" fillId="2" borderId="60" xfId="11" applyFont="1" applyFill="1" applyBorder="1" applyAlignment="1" applyProtection="1">
      <protection hidden="1"/>
    </xf>
    <xf numFmtId="4" fontId="102" fillId="4" borderId="0" xfId="9" applyNumberFormat="1" applyFont="1" applyFill="1" applyAlignment="1" applyProtection="1">
      <alignment horizontal="center" wrapText="1"/>
      <protection hidden="1"/>
    </xf>
    <xf numFmtId="4" fontId="101" fillId="4" borderId="0" xfId="0" applyNumberFormat="1" applyFont="1" applyFill="1" applyAlignment="1" applyProtection="1">
      <alignment wrapText="1"/>
      <protection hidden="1"/>
    </xf>
    <xf numFmtId="4" fontId="101" fillId="4" borderId="0" xfId="0" applyNumberFormat="1" applyFont="1" applyFill="1" applyAlignment="1" applyProtection="1">
      <alignment horizontal="center" wrapText="1"/>
      <protection hidden="1"/>
    </xf>
    <xf numFmtId="4" fontId="101" fillId="4" borderId="0" xfId="0" applyNumberFormat="1" applyFont="1" applyFill="1" applyAlignment="1" applyProtection="1">
      <alignment horizontal="left" wrapText="1"/>
      <protection hidden="1"/>
    </xf>
  </cellXfs>
  <cellStyles count="15">
    <cellStyle name="Euro" xfId="1"/>
    <cellStyle name="Millares" xfId="2" builtinId="3"/>
    <cellStyle name="Millares [0]" xfId="3" builtinId="6"/>
    <cellStyle name="Millares [0] 2" xfId="4"/>
    <cellStyle name="Millares 2" xfId="5"/>
    <cellStyle name="Moneda" xfId="6" builtinId="4"/>
    <cellStyle name="Moneda 2" xfId="7"/>
    <cellStyle name="Normal" xfId="0" builtinId="0"/>
    <cellStyle name="Normal 2" xfId="8"/>
    <cellStyle name="Normal_Hoja1" xfId="9"/>
    <cellStyle name="Normal_list box complemento" xfId="10"/>
    <cellStyle name="Normal_PLAN FINANCIERO 2000" xfId="11"/>
    <cellStyle name="Normal_PLAN FINANCIERO1" xfId="12"/>
    <cellStyle name="Porcentaje" xfId="13" builtinId="5"/>
    <cellStyle name="Porcentual 2" xfId="1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BB2D"/>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131"/>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VTAS'!$A$1</c:f>
          <c:strCache>
            <c:ptCount val="1"/>
            <c:pt idx="0">
              <c:v>CAMISETAS</c:v>
            </c:pt>
          </c:strCache>
        </c:strRef>
      </c:tx>
      <c:overlay val="0"/>
      <c:spPr>
        <a:noFill/>
        <a:ln w="25400">
          <a:noFill/>
        </a:ln>
      </c:spPr>
      <c:txPr>
        <a:bodyPr/>
        <a:lstStyle/>
        <a:p>
          <a:pPr>
            <a:defRPr sz="10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000080"/>
              </a:solidFill>
              <a:prstDash val="solid"/>
            </a:ln>
          </c:spPr>
          <c:marker>
            <c:symbol val="none"/>
          </c:marker>
          <c:val>
            <c:numRef>
              <c:f>'GRAFIC VTAS'!$B$1:$AL$1</c:f>
              <c:numCache>
                <c:formatCode>General</c:formatCode>
                <c:ptCount val="37"/>
                <c:pt idx="0">
                  <c:v>810</c:v>
                </c:pt>
                <c:pt idx="1">
                  <c:v>945</c:v>
                </c:pt>
                <c:pt idx="2">
                  <c:v>945</c:v>
                </c:pt>
                <c:pt idx="3">
                  <c:v>945</c:v>
                </c:pt>
                <c:pt idx="4">
                  <c:v>1350</c:v>
                </c:pt>
                <c:pt idx="5">
                  <c:v>1215</c:v>
                </c:pt>
                <c:pt idx="6">
                  <c:v>1080</c:v>
                </c:pt>
                <c:pt idx="7">
                  <c:v>1080</c:v>
                </c:pt>
                <c:pt idx="8">
                  <c:v>1080</c:v>
                </c:pt>
                <c:pt idx="9">
                  <c:v>1350</c:v>
                </c:pt>
                <c:pt idx="10">
                  <c:v>1890</c:v>
                </c:pt>
                <c:pt idx="11">
                  <c:v>810</c:v>
                </c:pt>
                <c:pt idx="12">
                  <c:v>894</c:v>
                </c:pt>
                <c:pt idx="13">
                  <c:v>1043</c:v>
                </c:pt>
                <c:pt idx="14">
                  <c:v>1043</c:v>
                </c:pt>
                <c:pt idx="15">
                  <c:v>1043</c:v>
                </c:pt>
                <c:pt idx="16">
                  <c:v>1489</c:v>
                </c:pt>
                <c:pt idx="17">
                  <c:v>1340</c:v>
                </c:pt>
                <c:pt idx="18">
                  <c:v>1191</c:v>
                </c:pt>
                <c:pt idx="19">
                  <c:v>1191</c:v>
                </c:pt>
                <c:pt idx="20">
                  <c:v>1191</c:v>
                </c:pt>
                <c:pt idx="21">
                  <c:v>1489</c:v>
                </c:pt>
                <c:pt idx="22">
                  <c:v>2085</c:v>
                </c:pt>
                <c:pt idx="23">
                  <c:v>894</c:v>
                </c:pt>
                <c:pt idx="24">
                  <c:v>1015</c:v>
                </c:pt>
                <c:pt idx="25">
                  <c:v>1184</c:v>
                </c:pt>
                <c:pt idx="26">
                  <c:v>1184</c:v>
                </c:pt>
                <c:pt idx="27">
                  <c:v>1184</c:v>
                </c:pt>
                <c:pt idx="28">
                  <c:v>1691</c:v>
                </c:pt>
                <c:pt idx="29">
                  <c:v>1522</c:v>
                </c:pt>
                <c:pt idx="30">
                  <c:v>1353</c:v>
                </c:pt>
                <c:pt idx="31">
                  <c:v>1353</c:v>
                </c:pt>
                <c:pt idx="32">
                  <c:v>1353</c:v>
                </c:pt>
                <c:pt idx="33">
                  <c:v>1691</c:v>
                </c:pt>
                <c:pt idx="34">
                  <c:v>2368</c:v>
                </c:pt>
                <c:pt idx="35">
                  <c:v>1015</c:v>
                </c:pt>
              </c:numCache>
            </c:numRef>
          </c:val>
          <c:smooth val="1"/>
          <c:extLst>
            <c:ext xmlns:c16="http://schemas.microsoft.com/office/drawing/2014/chart" uri="{C3380CC4-5D6E-409C-BE32-E72D297353CC}">
              <c16:uniqueId val="{00000000-6B07-4E75-BB3A-1A98F24987AA}"/>
            </c:ext>
          </c:extLst>
        </c:ser>
        <c:dLbls>
          <c:showLegendKey val="0"/>
          <c:showVal val="0"/>
          <c:showCatName val="0"/>
          <c:showSerName val="0"/>
          <c:showPercent val="0"/>
          <c:showBubbleSize val="0"/>
        </c:dLbls>
        <c:smooth val="0"/>
        <c:axId val="473012776"/>
        <c:axId val="1"/>
      </c:lineChart>
      <c:catAx>
        <c:axId val="473012776"/>
        <c:scaling>
          <c:orientation val="minMax"/>
        </c:scaling>
        <c:delete val="0"/>
        <c:axPos val="b"/>
        <c:title>
          <c:tx>
            <c:rich>
              <a:bodyPr/>
              <a:lstStyle/>
              <a:p>
                <a:pPr>
                  <a:defRPr sz="1000" b="0"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333333"/>
                </a:solidFill>
                <a:latin typeface="Arial"/>
                <a:ea typeface="Arial"/>
                <a:cs typeface="Arial"/>
              </a:defRPr>
            </a:pPr>
            <a:endParaRPr lang="es-CO"/>
          </a:p>
        </c:txPr>
        <c:crossAx val="473012776"/>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000000"/>
      </a:solidFill>
      <a:prstDash val="solid"/>
    </a:ln>
  </c:spPr>
  <c:txPr>
    <a:bodyPr/>
    <a:lstStyle/>
    <a:p>
      <a:pPr>
        <a:defRPr sz="1000" b="0" i="0" u="none" strike="noStrike" baseline="0">
          <a:solidFill>
            <a:srgbClr val="333333"/>
          </a:solidFill>
          <a:latin typeface="Arial"/>
          <a:ea typeface="Arial"/>
          <a:cs typeface="Arial"/>
        </a:defRPr>
      </a:pPr>
      <a:endParaRPr lang="es-CO"/>
    </a:p>
  </c:txPr>
  <c:printSettings>
    <c:headerFooter alignWithMargins="0"/>
    <c:pageMargins b="1" l="0.75" r="0.75" t="1" header="0" footer="0"/>
    <c:pageSetup paperSize="9" orientation="landscape" horizontalDpi="0" verticalDpi="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VTAS'!$A$10</c:f>
          <c:strCache>
            <c:ptCount val="1"/>
          </c:strCache>
        </c:strRef>
      </c:tx>
      <c:overlay val="0"/>
      <c:spPr>
        <a:noFill/>
        <a:ln w="25400">
          <a:noFill/>
        </a:ln>
      </c:spPr>
      <c:txPr>
        <a:bodyPr/>
        <a:lstStyle/>
        <a:p>
          <a:pPr>
            <a:defRPr sz="10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00FF00"/>
              </a:solidFill>
              <a:prstDash val="solid"/>
            </a:ln>
          </c:spPr>
          <c:marker>
            <c:symbol val="none"/>
          </c:marker>
          <c:val>
            <c:numRef>
              <c:f>'GRAFIC VTAS'!$B$10:$AL$10</c:f>
              <c:numCache>
                <c:formatCode>General</c:formatCode>
                <c:ptCount val="37"/>
              </c:numCache>
            </c:numRef>
          </c:val>
          <c:smooth val="1"/>
          <c:extLst>
            <c:ext xmlns:c16="http://schemas.microsoft.com/office/drawing/2014/chart" uri="{C3380CC4-5D6E-409C-BE32-E72D297353CC}">
              <c16:uniqueId val="{00000000-21AA-4E54-AF6A-05C0685680C7}"/>
            </c:ext>
          </c:extLst>
        </c:ser>
        <c:dLbls>
          <c:showLegendKey val="0"/>
          <c:showVal val="0"/>
          <c:showCatName val="0"/>
          <c:showSerName val="0"/>
          <c:showPercent val="0"/>
          <c:showBubbleSize val="0"/>
        </c:dLbls>
        <c:smooth val="0"/>
        <c:axId val="474948056"/>
        <c:axId val="1"/>
      </c:lineChart>
      <c:catAx>
        <c:axId val="474948056"/>
        <c:scaling>
          <c:orientation val="minMax"/>
        </c:scaling>
        <c:delete val="0"/>
        <c:axPos val="b"/>
        <c:title>
          <c:tx>
            <c:rich>
              <a:bodyPr/>
              <a:lstStyle/>
              <a:p>
                <a:pPr>
                  <a:defRPr sz="10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474948056"/>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0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VTAS'!$A$11</c:f>
          <c:strCache>
            <c:ptCount val="1"/>
          </c:strCache>
        </c:strRef>
      </c:tx>
      <c:overlay val="0"/>
      <c:spPr>
        <a:noFill/>
        <a:ln w="25400">
          <a:noFill/>
        </a:ln>
      </c:spPr>
      <c:txPr>
        <a:bodyPr/>
        <a:lstStyle/>
        <a:p>
          <a:pPr>
            <a:defRPr sz="10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tx>
            <c:strRef>
              <c:f>'GRAFIC VTAS'!$B$11</c:f>
              <c:strCache>
                <c:ptCount val="1"/>
              </c:strCache>
            </c:strRef>
          </c:tx>
          <c:spPr>
            <a:ln w="38100">
              <a:solidFill>
                <a:srgbClr val="FFFF00"/>
              </a:solidFill>
              <a:prstDash val="solid"/>
            </a:ln>
          </c:spPr>
          <c:marker>
            <c:symbol val="none"/>
          </c:marker>
          <c:val>
            <c:numRef>
              <c:f>'GRAFIC VTAS'!$C$11:$AL$11</c:f>
              <c:numCache>
                <c:formatCode>General</c:formatCode>
                <c:ptCount val="36"/>
              </c:numCache>
            </c:numRef>
          </c:val>
          <c:smooth val="1"/>
          <c:extLst>
            <c:ext xmlns:c16="http://schemas.microsoft.com/office/drawing/2014/chart" uri="{C3380CC4-5D6E-409C-BE32-E72D297353CC}">
              <c16:uniqueId val="{00000000-BE50-47FD-B0CA-F74698202182}"/>
            </c:ext>
          </c:extLst>
        </c:ser>
        <c:dLbls>
          <c:showLegendKey val="0"/>
          <c:showVal val="0"/>
          <c:showCatName val="0"/>
          <c:showSerName val="0"/>
          <c:showPercent val="0"/>
          <c:showBubbleSize val="0"/>
        </c:dLbls>
        <c:smooth val="0"/>
        <c:axId val="474961344"/>
        <c:axId val="1"/>
      </c:lineChart>
      <c:catAx>
        <c:axId val="474961344"/>
        <c:scaling>
          <c:orientation val="minMax"/>
        </c:scaling>
        <c:delete val="0"/>
        <c:axPos val="b"/>
        <c:title>
          <c:tx>
            <c:rich>
              <a:bodyPr/>
              <a:lstStyle/>
              <a:p>
                <a:pPr>
                  <a:defRPr sz="10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474961344"/>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0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VTAS'!$A$12</c:f>
          <c:strCache>
            <c:ptCount val="1"/>
          </c:strCache>
        </c:strRef>
      </c:tx>
      <c:overlay val="0"/>
      <c:spPr>
        <a:noFill/>
        <a:ln w="25400">
          <a:noFill/>
        </a:ln>
      </c:spPr>
      <c:txPr>
        <a:bodyPr/>
        <a:lstStyle/>
        <a:p>
          <a:pPr>
            <a:defRPr sz="10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00FFFF"/>
              </a:solidFill>
              <a:prstDash val="solid"/>
            </a:ln>
          </c:spPr>
          <c:marker>
            <c:symbol val="none"/>
          </c:marker>
          <c:val>
            <c:numRef>
              <c:f>'GRAFIC VTAS'!$B$12:$AL$12</c:f>
              <c:numCache>
                <c:formatCode>General</c:formatCode>
                <c:ptCount val="37"/>
              </c:numCache>
            </c:numRef>
          </c:val>
          <c:smooth val="1"/>
          <c:extLst>
            <c:ext xmlns:c16="http://schemas.microsoft.com/office/drawing/2014/chart" uri="{C3380CC4-5D6E-409C-BE32-E72D297353CC}">
              <c16:uniqueId val="{00000000-B87C-499B-8C63-1C5C08EDD571}"/>
            </c:ext>
          </c:extLst>
        </c:ser>
        <c:dLbls>
          <c:showLegendKey val="0"/>
          <c:showVal val="0"/>
          <c:showCatName val="0"/>
          <c:showSerName val="0"/>
          <c:showPercent val="0"/>
          <c:showBubbleSize val="0"/>
        </c:dLbls>
        <c:smooth val="0"/>
        <c:axId val="474961016"/>
        <c:axId val="1"/>
      </c:lineChart>
      <c:catAx>
        <c:axId val="474961016"/>
        <c:scaling>
          <c:orientation val="minMax"/>
        </c:scaling>
        <c:delete val="0"/>
        <c:axPos val="b"/>
        <c:title>
          <c:tx>
            <c:rich>
              <a:bodyPr/>
              <a:lstStyle/>
              <a:p>
                <a:pPr>
                  <a:defRPr sz="10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474961016"/>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0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0000"/>
                </a:solidFill>
                <a:latin typeface="Arial"/>
                <a:ea typeface="Arial"/>
                <a:cs typeface="Arial"/>
              </a:defRPr>
            </a:pPr>
            <a:r>
              <a:rPr lang="es-CO"/>
              <a:t>COMPOSICION DE LA INVERSION</a:t>
            </a:r>
          </a:p>
        </c:rich>
      </c:tx>
      <c:layout>
        <c:manualLayout>
          <c:xMode val="edge"/>
          <c:yMode val="edge"/>
          <c:x val="0.29818793444770253"/>
          <c:y val="3.5714442447105692E-2"/>
        </c:manualLayout>
      </c:layout>
      <c:overlay val="0"/>
      <c:spPr>
        <a:noFill/>
        <a:ln w="25400">
          <a:noFill/>
        </a:ln>
      </c:spPr>
    </c:title>
    <c:autoTitleDeleted val="0"/>
    <c:plotArea>
      <c:layout>
        <c:manualLayout>
          <c:layoutTarget val="inner"/>
          <c:xMode val="edge"/>
          <c:yMode val="edge"/>
          <c:x val="0.19848771266540643"/>
          <c:y val="0.19935691318327975"/>
          <c:w val="0.79962192816635158"/>
          <c:h val="0.49839228295819937"/>
        </c:manualLayout>
      </c:layout>
      <c:barChart>
        <c:barDir val="col"/>
        <c:grouping val="stacked"/>
        <c:varyColors val="0"/>
        <c:ser>
          <c:idx val="0"/>
          <c:order val="0"/>
          <c:tx>
            <c:strRef>
              <c:f>VISUAL!$A$9</c:f>
              <c:strCache>
                <c:ptCount val="1"/>
                <c:pt idx="0">
                  <c:v> ACTIVOS FIJOS </c:v>
                </c:pt>
              </c:strCache>
            </c:strRef>
          </c:tx>
          <c:spPr>
            <a:solidFill>
              <a:srgbClr val="9999FF"/>
            </a:solidFill>
            <a:ln w="12700">
              <a:solidFill>
                <a:srgbClr val="000000"/>
              </a:solidFill>
              <a:prstDash val="solid"/>
            </a:ln>
          </c:spPr>
          <c:invertIfNegative val="0"/>
          <c:cat>
            <c:strRef>
              <c:f>(VISUAL!$B$8,VISUAL!$D$8,VISUAL!$F$8)</c:f>
              <c:strCache>
                <c:ptCount val="3"/>
                <c:pt idx="0">
                  <c:v>RECURSOS PROPIOS</c:v>
                </c:pt>
                <c:pt idx="1">
                  <c:v>CREDITO</c:v>
                </c:pt>
                <c:pt idx="2">
                  <c:v>NO REEMBOLSABLES Y DONACIONES</c:v>
                </c:pt>
              </c:strCache>
            </c:strRef>
          </c:cat>
          <c:val>
            <c:numRef>
              <c:f>(VISUAL!$B$9,VISUAL!$D$9,VISUAL!$F$9)</c:f>
              <c:numCache>
                <c:formatCode>_ "$"\ * #,##0_ ;_ "$"\ * \-#,##0_ ;_ "$"\ * "-"_ ;_ @_ </c:formatCode>
                <c:ptCount val="3"/>
                <c:pt idx="0">
                  <c:v>47350000</c:v>
                </c:pt>
                <c:pt idx="1">
                  <c:v>0</c:v>
                </c:pt>
                <c:pt idx="2">
                  <c:v>0</c:v>
                </c:pt>
              </c:numCache>
            </c:numRef>
          </c:val>
          <c:extLst>
            <c:ext xmlns:c16="http://schemas.microsoft.com/office/drawing/2014/chart" uri="{C3380CC4-5D6E-409C-BE32-E72D297353CC}">
              <c16:uniqueId val="{00000000-7746-476C-B121-33A59A23F7DD}"/>
            </c:ext>
          </c:extLst>
        </c:ser>
        <c:ser>
          <c:idx val="1"/>
          <c:order val="1"/>
          <c:tx>
            <c:strRef>
              <c:f>VISUAL!$A$10</c:f>
              <c:strCache>
                <c:ptCount val="1"/>
                <c:pt idx="0">
                  <c:v> CAPITAL DE TRABAJO </c:v>
                </c:pt>
              </c:strCache>
            </c:strRef>
          </c:tx>
          <c:spPr>
            <a:solidFill>
              <a:srgbClr val="993366"/>
            </a:solidFill>
            <a:ln w="12700">
              <a:solidFill>
                <a:srgbClr val="000000"/>
              </a:solidFill>
              <a:prstDash val="solid"/>
            </a:ln>
          </c:spPr>
          <c:invertIfNegative val="0"/>
          <c:cat>
            <c:strRef>
              <c:f>(VISUAL!$B$8,VISUAL!$D$8,VISUAL!$F$8)</c:f>
              <c:strCache>
                <c:ptCount val="3"/>
                <c:pt idx="0">
                  <c:v>RECURSOS PROPIOS</c:v>
                </c:pt>
                <c:pt idx="1">
                  <c:v>CREDITO</c:v>
                </c:pt>
                <c:pt idx="2">
                  <c:v>NO REEMBOLSABLES Y DONACIONES</c:v>
                </c:pt>
              </c:strCache>
            </c:strRef>
          </c:cat>
          <c:val>
            <c:numRef>
              <c:f>(VISUAL!$B$10,VISUAL!$D$10,VISUAL!$F$10)</c:f>
              <c:numCache>
                <c:formatCode>_ "$"\ * #,##0_ ;_ "$"\ * \-#,##0_ ;_ "$"\ * "-"_ ;_ @_ </c:formatCode>
                <c:ptCount val="3"/>
                <c:pt idx="0">
                  <c:v>70000000</c:v>
                </c:pt>
                <c:pt idx="1">
                  <c:v>0</c:v>
                </c:pt>
                <c:pt idx="2">
                  <c:v>0</c:v>
                </c:pt>
              </c:numCache>
            </c:numRef>
          </c:val>
          <c:extLst>
            <c:ext xmlns:c16="http://schemas.microsoft.com/office/drawing/2014/chart" uri="{C3380CC4-5D6E-409C-BE32-E72D297353CC}">
              <c16:uniqueId val="{00000001-7746-476C-B121-33A59A23F7DD}"/>
            </c:ext>
          </c:extLst>
        </c:ser>
        <c:dLbls>
          <c:showLegendKey val="0"/>
          <c:showVal val="0"/>
          <c:showCatName val="0"/>
          <c:showSerName val="0"/>
          <c:showPercent val="0"/>
          <c:showBubbleSize val="0"/>
        </c:dLbls>
        <c:gapWidth val="150"/>
        <c:overlap val="100"/>
        <c:axId val="467328144"/>
        <c:axId val="1"/>
      </c:barChart>
      <c:catAx>
        <c:axId val="467328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FFBB2D"/>
              </a:solidFill>
              <a:prstDash val="solid"/>
            </a:ln>
          </c:spPr>
        </c:majorGridlines>
        <c:numFmt formatCode="_ &quot;$&quot;\ * #,##0_ ;_ &quot;$&quot;\ * \-#,##0_ ;_ &quot;$&quot;\ * &quot;-&quot;_ ;_ @_ " sourceLinked="1"/>
        <c:majorTickMark val="out"/>
        <c:minorTickMark val="none"/>
        <c:tickLblPos val="nextTo"/>
        <c:spPr>
          <a:ln w="3175">
            <a:solidFill>
              <a:srgbClr val="000000"/>
            </a:solidFill>
            <a:prstDash val="solid"/>
          </a:ln>
        </c:spPr>
        <c:txPr>
          <a:bodyPr rot="0" vert="horz"/>
          <a:lstStyle/>
          <a:p>
            <a:pPr>
              <a:defRPr sz="1050" b="1" i="0" u="none" strike="noStrike" baseline="0">
                <a:solidFill>
                  <a:srgbClr val="333333"/>
                </a:solidFill>
                <a:latin typeface="Arial"/>
                <a:ea typeface="Arial"/>
                <a:cs typeface="Arial"/>
              </a:defRPr>
            </a:pPr>
            <a:endParaRPr lang="es-CO"/>
          </a:p>
        </c:txPr>
        <c:crossAx val="467328144"/>
        <c:crosses val="autoZero"/>
        <c:crossBetween val="between"/>
      </c:valAx>
      <c:spPr>
        <a:solidFill>
          <a:srgbClr val="FFBB2D"/>
        </a:solidFill>
        <a:ln w="25400">
          <a:noFill/>
        </a:ln>
      </c:spPr>
    </c:plotArea>
    <c:legend>
      <c:legendPos val="b"/>
      <c:legendEntry>
        <c:idx val="0"/>
        <c:txPr>
          <a:bodyPr/>
          <a:lstStyle/>
          <a:p>
            <a:pPr>
              <a:defRPr sz="965" b="1" i="0" u="none" strike="noStrike" baseline="0">
                <a:solidFill>
                  <a:srgbClr val="333333"/>
                </a:solidFill>
                <a:latin typeface="Arial"/>
                <a:ea typeface="Arial"/>
                <a:cs typeface="Arial"/>
              </a:defRPr>
            </a:pPr>
            <a:endParaRPr lang="es-CO"/>
          </a:p>
        </c:txPr>
      </c:legendEntry>
      <c:legendEntry>
        <c:idx val="1"/>
        <c:txPr>
          <a:bodyPr/>
          <a:lstStyle/>
          <a:p>
            <a:pPr>
              <a:defRPr sz="965" b="1" i="0" u="none" strike="noStrike" baseline="0">
                <a:solidFill>
                  <a:srgbClr val="333333"/>
                </a:solidFill>
                <a:latin typeface="Arial"/>
                <a:ea typeface="Arial"/>
                <a:cs typeface="Arial"/>
              </a:defRPr>
            </a:pPr>
            <a:endParaRPr lang="es-CO"/>
          </a:p>
        </c:txPr>
      </c:legendEntry>
      <c:layout>
        <c:manualLayout>
          <c:xMode val="edge"/>
          <c:yMode val="edge"/>
          <c:x val="5.384576455353289E-2"/>
          <c:y val="0.81619363495961716"/>
          <c:w val="0.71690139866732161"/>
          <c:h val="9.4955735034728428E-2"/>
        </c:manualLayout>
      </c:layout>
      <c:overlay val="0"/>
      <c:spPr>
        <a:solidFill>
          <a:srgbClr val="FFBB2D"/>
        </a:solidFill>
        <a:ln w="25400">
          <a:noFill/>
        </a:ln>
      </c:spPr>
      <c:txPr>
        <a:bodyPr/>
        <a:lstStyle/>
        <a:p>
          <a:pPr>
            <a:defRPr sz="965" b="0" i="0" u="none" strike="noStrike" baseline="0">
              <a:solidFill>
                <a:srgbClr val="333333"/>
              </a:solidFill>
              <a:latin typeface="Arial"/>
              <a:ea typeface="Arial"/>
              <a:cs typeface="Arial"/>
            </a:defRPr>
          </a:pPr>
          <a:endParaRPr lang="es-CO"/>
        </a:p>
      </c:txPr>
    </c:legend>
    <c:plotVisOnly val="1"/>
    <c:dispBlanksAs val="gap"/>
    <c:showDLblsOverMax val="0"/>
  </c:chart>
  <c:spPr>
    <a:solidFill>
      <a:srgbClr val="FFBB2D"/>
    </a:solidFill>
    <a:ln w="9525">
      <a:noFill/>
    </a:ln>
  </c:spPr>
  <c:txPr>
    <a:bodyPr/>
    <a:lstStyle/>
    <a:p>
      <a:pPr>
        <a:defRPr sz="1125" b="0" i="0" u="none" strike="noStrike" baseline="0">
          <a:solidFill>
            <a:srgbClr val="333333"/>
          </a:solidFill>
          <a:latin typeface="Arial"/>
          <a:ea typeface="Arial"/>
          <a:cs typeface="Arial"/>
        </a:defRPr>
      </a:pPr>
      <a:endParaRPr lang="es-CO"/>
    </a:p>
  </c:txPr>
  <c:printSettings>
    <c:headerFooter alignWithMargins="0"/>
    <c:pageMargins b="1" l="0.75" r="0.75" t="1" header="0" footer="0"/>
    <c:pageSetup paperSize="9" orientation="landscape" horizontalDpi="0" verticalDpi="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VISUAL!$A$31</c:f>
          <c:strCache>
            <c:ptCount val="1"/>
            <c:pt idx="0">
              <c:v>VENTAS  AÑO 1</c:v>
            </c:pt>
          </c:strCache>
        </c:strRef>
      </c:tx>
      <c:layout>
        <c:manualLayout>
          <c:xMode val="edge"/>
          <c:yMode val="edge"/>
          <c:x val="0.40450967526118059"/>
          <c:y val="3.6764629773390997E-2"/>
        </c:manualLayout>
      </c:layout>
      <c:overlay val="0"/>
      <c:spPr>
        <a:noFill/>
        <a:ln w="25400">
          <a:noFill/>
        </a:ln>
      </c:spPr>
      <c:txPr>
        <a:bodyPr/>
        <a:lstStyle/>
        <a:p>
          <a:pPr>
            <a:defRPr sz="1440" b="1" i="0" u="none" strike="noStrike" baseline="0">
              <a:solidFill>
                <a:srgbClr val="FF0000"/>
              </a:solidFill>
              <a:latin typeface="Arial"/>
              <a:ea typeface="Arial"/>
              <a:cs typeface="Arial"/>
            </a:defRPr>
          </a:pPr>
          <a:endParaRPr lang="es-CO"/>
        </a:p>
      </c:txPr>
    </c:title>
    <c:autoTitleDeleted val="0"/>
    <c:plotArea>
      <c:layout>
        <c:manualLayout>
          <c:layoutTarget val="inner"/>
          <c:xMode val="edge"/>
          <c:yMode val="edge"/>
          <c:x val="4.9019607843137254E-2"/>
          <c:y val="0.18309859154929578"/>
          <c:w val="0.90563725490196079"/>
          <c:h val="0.68309859154929575"/>
        </c:manualLayout>
      </c:layout>
      <c:areaChart>
        <c:grouping val="standard"/>
        <c:varyColors val="0"/>
        <c:ser>
          <c:idx val="0"/>
          <c:order val="0"/>
          <c:spPr>
            <a:solidFill>
              <a:srgbClr val="00CCFF"/>
            </a:solidFill>
            <a:ln w="12700">
              <a:solidFill>
                <a:srgbClr val="000000"/>
              </a:solidFill>
              <a:prstDash val="solid"/>
            </a:ln>
          </c:spPr>
          <c:cat>
            <c:numRef>
              <c:f>VISUAL!$A$33:$A$44</c:f>
              <c:numCache>
                <c:formatCode>mmm/yyyy</c:formatCode>
                <c:ptCount val="12"/>
                <c:pt idx="0">
                  <c:v>41683</c:v>
                </c:pt>
                <c:pt idx="1">
                  <c:v>41713</c:v>
                </c:pt>
                <c:pt idx="2">
                  <c:v>41743</c:v>
                </c:pt>
                <c:pt idx="3">
                  <c:v>41773</c:v>
                </c:pt>
                <c:pt idx="4">
                  <c:v>41803</c:v>
                </c:pt>
                <c:pt idx="5">
                  <c:v>41833</c:v>
                </c:pt>
                <c:pt idx="6">
                  <c:v>41863</c:v>
                </c:pt>
                <c:pt idx="7">
                  <c:v>41893</c:v>
                </c:pt>
                <c:pt idx="8">
                  <c:v>41923</c:v>
                </c:pt>
                <c:pt idx="9">
                  <c:v>41953</c:v>
                </c:pt>
                <c:pt idx="10">
                  <c:v>41983</c:v>
                </c:pt>
                <c:pt idx="11">
                  <c:v>42013</c:v>
                </c:pt>
              </c:numCache>
            </c:numRef>
          </c:cat>
          <c:val>
            <c:numRef>
              <c:f>VISUAL!$B$33:$B$44</c:f>
              <c:numCache>
                <c:formatCode>#,##0_);\(#,##0\)</c:formatCode>
                <c:ptCount val="12"/>
                <c:pt idx="0">
                  <c:v>21870000</c:v>
                </c:pt>
                <c:pt idx="1">
                  <c:v>25515000</c:v>
                </c:pt>
                <c:pt idx="2">
                  <c:v>25515000</c:v>
                </c:pt>
                <c:pt idx="3">
                  <c:v>25515000</c:v>
                </c:pt>
                <c:pt idx="4">
                  <c:v>36450000</c:v>
                </c:pt>
                <c:pt idx="5">
                  <c:v>32805000</c:v>
                </c:pt>
                <c:pt idx="6">
                  <c:v>29160000</c:v>
                </c:pt>
                <c:pt idx="7">
                  <c:v>29160000</c:v>
                </c:pt>
                <c:pt idx="8">
                  <c:v>29160000</c:v>
                </c:pt>
                <c:pt idx="9">
                  <c:v>36450000</c:v>
                </c:pt>
                <c:pt idx="10">
                  <c:v>51030000</c:v>
                </c:pt>
                <c:pt idx="11">
                  <c:v>21870000</c:v>
                </c:pt>
              </c:numCache>
            </c:numRef>
          </c:val>
          <c:extLst>
            <c:ext xmlns:c16="http://schemas.microsoft.com/office/drawing/2014/chart" uri="{C3380CC4-5D6E-409C-BE32-E72D297353CC}">
              <c16:uniqueId val="{00000000-6690-403C-A270-4F5AA9F041A9}"/>
            </c:ext>
          </c:extLst>
        </c:ser>
        <c:dLbls>
          <c:showLegendKey val="0"/>
          <c:showVal val="0"/>
          <c:showCatName val="0"/>
          <c:showSerName val="0"/>
          <c:showPercent val="0"/>
          <c:showBubbleSize val="0"/>
        </c:dLbls>
        <c:axId val="576722216"/>
        <c:axId val="1"/>
      </c:areaChart>
      <c:dateAx>
        <c:axId val="576722216"/>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333333"/>
                </a:solidFill>
                <a:latin typeface="Arial"/>
                <a:ea typeface="Arial"/>
                <a:cs typeface="Arial"/>
              </a:defRPr>
            </a:pPr>
            <a:endParaRPr lang="es-CO"/>
          </a:p>
        </c:txPr>
        <c:crossAx val="1"/>
        <c:crosses val="autoZero"/>
        <c:auto val="1"/>
        <c:lblOffset val="100"/>
        <c:baseTimeUnit val="months"/>
        <c:majorUnit val="1"/>
        <c:majorTimeUnit val="months"/>
        <c:minorUnit val="1"/>
        <c:minorTimeUnit val="days"/>
      </c:dateAx>
      <c:valAx>
        <c:axId val="1"/>
        <c:scaling>
          <c:orientation val="minMax"/>
        </c:scaling>
        <c:delete val="0"/>
        <c:axPos val="l"/>
        <c:majorGridlines>
          <c:spPr>
            <a:ln w="3175">
              <a:solidFill>
                <a:srgbClr val="FF6600"/>
              </a:solidFill>
              <a:prstDash val="solid"/>
            </a:ln>
          </c:spPr>
        </c:majorGridlines>
        <c:numFmt formatCode="#,##0_);\(#,##0\)"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333333"/>
                </a:solidFill>
                <a:latin typeface="Arial"/>
                <a:ea typeface="Arial"/>
                <a:cs typeface="Arial"/>
              </a:defRPr>
            </a:pPr>
            <a:endParaRPr lang="es-CO"/>
          </a:p>
        </c:txPr>
        <c:crossAx val="576722216"/>
        <c:crosses val="autoZero"/>
        <c:crossBetween val="midCat"/>
        <c:dispUnits>
          <c:builtInUnit val="millions"/>
          <c:dispUnitsLbl>
            <c:layout>
              <c:manualLayout>
                <c:xMode val="edge"/>
                <c:yMode val="edge"/>
                <c:x val="2.6965261516248472E-2"/>
                <c:y val="3.4601307660573025E-2"/>
              </c:manualLayout>
            </c:layout>
            <c:spPr>
              <a:noFill/>
              <a:ln w="25400">
                <a:noFill/>
              </a:ln>
            </c:spPr>
            <c:txPr>
              <a:bodyPr rot="-5400000" vert="horz"/>
              <a:lstStyle/>
              <a:p>
                <a:pPr algn="ctr">
                  <a:defRPr sz="1200" b="1" i="0" u="none" strike="noStrike" baseline="0">
                    <a:solidFill>
                      <a:srgbClr val="333333"/>
                    </a:solidFill>
                    <a:latin typeface="Arial"/>
                    <a:ea typeface="Arial"/>
                    <a:cs typeface="Arial"/>
                  </a:defRPr>
                </a:pPr>
                <a:endParaRPr lang="es-CO"/>
              </a:p>
            </c:txPr>
          </c:dispUnitsLbl>
        </c:dispUnits>
      </c:valAx>
      <c:spPr>
        <a:solidFill>
          <a:srgbClr val="FFBB2D"/>
        </a:solidFill>
        <a:ln w="25400">
          <a:noFill/>
        </a:ln>
      </c:spPr>
    </c:plotArea>
    <c:plotVisOnly val="1"/>
    <c:dispBlanksAs val="zero"/>
    <c:showDLblsOverMax val="0"/>
  </c:chart>
  <c:spPr>
    <a:solidFill>
      <a:srgbClr val="FFBB2D"/>
    </a:solidFill>
    <a:ln w="9525">
      <a:noFill/>
    </a:ln>
  </c:spPr>
  <c:txPr>
    <a:bodyPr/>
    <a:lstStyle/>
    <a:p>
      <a:pPr>
        <a:defRPr sz="12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6"/>
      <c:rotY val="20"/>
      <c:depthPercent val="100"/>
      <c:rAngAx val="1"/>
    </c:view3D>
    <c:floor>
      <c:thickness val="0"/>
      <c:spPr>
        <a:solidFill>
          <a:srgbClr val="FFBB2D"/>
        </a:solidFill>
        <a:ln w="9525">
          <a:noFill/>
        </a:ln>
      </c:spPr>
    </c:floor>
    <c:sideWall>
      <c:thickness val="0"/>
      <c:spPr>
        <a:solidFill>
          <a:srgbClr val="FFBB2D"/>
        </a:solidFill>
        <a:ln w="25400">
          <a:noFill/>
        </a:ln>
      </c:spPr>
    </c:sideWall>
    <c:backWall>
      <c:thickness val="0"/>
      <c:spPr>
        <a:solidFill>
          <a:srgbClr val="FFBB2D"/>
        </a:solidFill>
        <a:ln w="25400">
          <a:noFill/>
        </a:ln>
      </c:spPr>
    </c:backWall>
    <c:plotArea>
      <c:layout>
        <c:manualLayout>
          <c:layoutTarget val="inner"/>
          <c:xMode val="edge"/>
          <c:yMode val="edge"/>
          <c:x val="0.18563676899667717"/>
          <c:y val="3.3290246916437935E-2"/>
          <c:w val="0.78205268081194346"/>
          <c:h val="0.9"/>
        </c:manualLayout>
      </c:layout>
      <c:bar3DChart>
        <c:barDir val="col"/>
        <c:grouping val="clustered"/>
        <c:varyColors val="0"/>
        <c:ser>
          <c:idx val="0"/>
          <c:order val="0"/>
          <c:tx>
            <c:strRef>
              <c:f>VISUAL!$A$52</c:f>
              <c:strCache>
                <c:ptCount val="1"/>
                <c:pt idx="0">
                  <c:v>AÑO 1</c:v>
                </c:pt>
              </c:strCache>
            </c:strRef>
          </c:tx>
          <c:spPr>
            <a:gradFill rotWithShape="0">
              <a:gsLst>
                <a:gs pos="0">
                  <a:srgbClr val="FF0000"/>
                </a:gs>
                <a:gs pos="100000">
                  <a:srgbClr val="FFC131"/>
                </a:gs>
              </a:gsLst>
              <a:path path="rect">
                <a:fillToRect l="100000" b="100000"/>
              </a:path>
            </a:gradFill>
            <a:ln w="12700">
              <a:solidFill>
                <a:srgbClr val="000000"/>
              </a:solidFill>
              <a:prstDash val="solid"/>
            </a:ln>
          </c:spPr>
          <c:invertIfNegative val="0"/>
          <c:dLbls>
            <c:dLbl>
              <c:idx val="0"/>
              <c:layout>
                <c:manualLayout>
                  <c:x val="-3.4213687911080325E-3"/>
                  <c:y val="0.18659626646654426"/>
                </c:manualLayout>
              </c:layout>
              <c:spPr>
                <a:noFill/>
                <a:ln w="25400">
                  <a:noFill/>
                </a:ln>
              </c:spPr>
              <c:txPr>
                <a:bodyPr/>
                <a:lstStyle/>
                <a:p>
                  <a:pPr>
                    <a:defRPr sz="1100" b="1" i="0" u="none" strike="noStrike" baseline="0">
                      <a:solidFill>
                        <a:srgbClr val="333333"/>
                      </a:solidFill>
                      <a:latin typeface="Arial"/>
                      <a:ea typeface="Arial"/>
                      <a:cs typeface="Arial"/>
                    </a:defRPr>
                  </a:pPr>
                  <a:endParaRPr lang="es-CO"/>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7B8C-43AE-A26C-218300383886}"/>
                </c:ext>
              </c:extLst>
            </c:dLbl>
            <c:spPr>
              <a:noFill/>
              <a:ln w="25400">
                <a:noFill/>
              </a:ln>
            </c:spPr>
            <c:txPr>
              <a:bodyPr wrap="square" lIns="38100" tIns="19050" rIns="38100" bIns="19050" anchor="ctr">
                <a:spAutoFit/>
              </a:bodyPr>
              <a:lstStyle/>
              <a:p>
                <a:pPr>
                  <a:defRPr sz="1100" b="1" i="0" u="none" strike="noStrike" baseline="0">
                    <a:solidFill>
                      <a:srgbClr val="333333"/>
                    </a:solidFill>
                    <a:latin typeface="Arial"/>
                    <a:ea typeface="Arial"/>
                    <a:cs typeface="Arial"/>
                  </a:defRPr>
                </a:pPr>
                <a:endParaRPr lang="es-C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VISUAL!$B$52</c:f>
              <c:numCache>
                <c:formatCode>#,##0_);\(#,##0\)</c:formatCode>
                <c:ptCount val="1"/>
                <c:pt idx="0">
                  <c:v>364500000</c:v>
                </c:pt>
              </c:numCache>
            </c:numRef>
          </c:val>
          <c:extLst>
            <c:ext xmlns:c16="http://schemas.microsoft.com/office/drawing/2014/chart" uri="{C3380CC4-5D6E-409C-BE32-E72D297353CC}">
              <c16:uniqueId val="{00000001-7B8C-43AE-A26C-218300383886}"/>
            </c:ext>
          </c:extLst>
        </c:ser>
        <c:ser>
          <c:idx val="1"/>
          <c:order val="1"/>
          <c:tx>
            <c:strRef>
              <c:f>VISUAL!$A$53</c:f>
              <c:strCache>
                <c:ptCount val="1"/>
                <c:pt idx="0">
                  <c:v>AÑO 2</c:v>
                </c:pt>
              </c:strCache>
            </c:strRef>
          </c:tx>
          <c:spPr>
            <a:gradFill rotWithShape="0">
              <a:gsLst>
                <a:gs pos="0">
                  <a:srgbClr val="FFFFFF"/>
                </a:gs>
                <a:gs pos="100000">
                  <a:srgbClr val="FFC131"/>
                </a:gs>
              </a:gsLst>
              <a:path path="rect">
                <a:fillToRect l="100000" b="100000"/>
              </a:path>
            </a:gradFill>
            <a:ln w="12700">
              <a:solidFill>
                <a:srgbClr val="000000"/>
              </a:solidFill>
              <a:prstDash val="solid"/>
            </a:ln>
          </c:spPr>
          <c:invertIfNegative val="0"/>
          <c:dLbls>
            <c:dLbl>
              <c:idx val="0"/>
              <c:layout>
                <c:manualLayout>
                  <c:x val="-5.0592099325407443E-5"/>
                  <c:y val="0.24045672414094171"/>
                </c:manualLayout>
              </c:layout>
              <c:spPr>
                <a:noFill/>
                <a:ln w="25400">
                  <a:noFill/>
                </a:ln>
              </c:spPr>
              <c:txPr>
                <a:bodyPr/>
                <a:lstStyle/>
                <a:p>
                  <a:pPr>
                    <a:defRPr sz="1400" b="1" i="0" u="none" strike="noStrike" baseline="0">
                      <a:solidFill>
                        <a:srgbClr val="333333"/>
                      </a:solidFill>
                      <a:latin typeface="Arial"/>
                      <a:ea typeface="Arial"/>
                      <a:cs typeface="Arial"/>
                    </a:defRPr>
                  </a:pPr>
                  <a:endParaRPr lang="es-CO"/>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7B8C-43AE-A26C-218300383886}"/>
                </c:ext>
              </c:extLst>
            </c:dLbl>
            <c:spPr>
              <a:noFill/>
              <a:ln w="25400">
                <a:noFill/>
              </a:ln>
            </c:spPr>
            <c:txPr>
              <a:bodyPr wrap="square" lIns="38100" tIns="19050" rIns="38100" bIns="19050" anchor="ctr">
                <a:spAutoFit/>
              </a:bodyPr>
              <a:lstStyle/>
              <a:p>
                <a:pPr>
                  <a:defRPr sz="1400" b="1" i="0" u="none" strike="noStrike" baseline="0">
                    <a:solidFill>
                      <a:srgbClr val="333333"/>
                    </a:solidFill>
                    <a:latin typeface="Arial"/>
                    <a:ea typeface="Arial"/>
                    <a:cs typeface="Arial"/>
                  </a:defRPr>
                </a:pPr>
                <a:endParaRPr lang="es-C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VISUAL!$B$53</c:f>
              <c:numCache>
                <c:formatCode>#,##0_);\(#,##0\)</c:formatCode>
                <c:ptCount val="1"/>
                <c:pt idx="0">
                  <c:v>414174330</c:v>
                </c:pt>
              </c:numCache>
            </c:numRef>
          </c:val>
          <c:extLst>
            <c:ext xmlns:c16="http://schemas.microsoft.com/office/drawing/2014/chart" uri="{C3380CC4-5D6E-409C-BE32-E72D297353CC}">
              <c16:uniqueId val="{00000003-7B8C-43AE-A26C-218300383886}"/>
            </c:ext>
          </c:extLst>
        </c:ser>
        <c:ser>
          <c:idx val="2"/>
          <c:order val="2"/>
          <c:tx>
            <c:strRef>
              <c:f>VISUAL!$A$54</c:f>
              <c:strCache>
                <c:ptCount val="1"/>
                <c:pt idx="0">
                  <c:v>AÑO 3</c:v>
                </c:pt>
              </c:strCache>
            </c:strRef>
          </c:tx>
          <c:spPr>
            <a:gradFill rotWithShape="0">
              <a:gsLst>
                <a:gs pos="0">
                  <a:srgbClr val="333399"/>
                </a:gs>
                <a:gs pos="100000">
                  <a:srgbClr val="FFC131"/>
                </a:gs>
              </a:gsLst>
              <a:path path="rect">
                <a:fillToRect l="100000" b="100000"/>
              </a:path>
            </a:gradFill>
            <a:ln w="12700">
              <a:solidFill>
                <a:srgbClr val="000000"/>
              </a:solidFill>
              <a:prstDash val="solid"/>
            </a:ln>
          </c:spPr>
          <c:invertIfNegative val="0"/>
          <c:dLbls>
            <c:dLbl>
              <c:idx val="0"/>
              <c:layout>
                <c:manualLayout>
                  <c:x val="2.4103075468734237E-3"/>
                  <c:y val="0.32276274490932561"/>
                </c:manualLayout>
              </c:layout>
              <c:spPr>
                <a:noFill/>
                <a:ln w="25400">
                  <a:noFill/>
                </a:ln>
              </c:spPr>
              <c:txPr>
                <a:bodyPr/>
                <a:lstStyle/>
                <a:p>
                  <a:pPr>
                    <a:defRPr sz="1400" b="1" i="0" u="none" strike="noStrike" baseline="0">
                      <a:solidFill>
                        <a:srgbClr val="333333"/>
                      </a:solidFill>
                      <a:latin typeface="Arial"/>
                      <a:ea typeface="Arial"/>
                      <a:cs typeface="Arial"/>
                    </a:defRPr>
                  </a:pPr>
                  <a:endParaRPr lang="es-CO"/>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7B8C-43AE-A26C-218300383886}"/>
                </c:ext>
              </c:extLst>
            </c:dLbl>
            <c:spPr>
              <a:noFill/>
              <a:ln w="25400">
                <a:noFill/>
              </a:ln>
            </c:spPr>
            <c:txPr>
              <a:bodyPr wrap="square" lIns="38100" tIns="19050" rIns="38100" bIns="19050" anchor="ctr">
                <a:spAutoFit/>
              </a:bodyPr>
              <a:lstStyle/>
              <a:p>
                <a:pPr>
                  <a:defRPr sz="1400" b="1" i="0" u="none" strike="noStrike" baseline="0">
                    <a:solidFill>
                      <a:srgbClr val="333333"/>
                    </a:solidFill>
                    <a:latin typeface="Arial"/>
                    <a:ea typeface="Arial"/>
                    <a:cs typeface="Arial"/>
                  </a:defRPr>
                </a:pPr>
                <a:endParaRPr lang="es-CO"/>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VISUAL!$B$54</c:f>
              <c:numCache>
                <c:formatCode>#,##0_);\(#,##0\)</c:formatCode>
                <c:ptCount val="1"/>
                <c:pt idx="0">
                  <c:v>484461045.89999998</c:v>
                </c:pt>
              </c:numCache>
            </c:numRef>
          </c:val>
          <c:extLst>
            <c:ext xmlns:c16="http://schemas.microsoft.com/office/drawing/2014/chart" uri="{C3380CC4-5D6E-409C-BE32-E72D297353CC}">
              <c16:uniqueId val="{00000005-7B8C-43AE-A26C-218300383886}"/>
            </c:ext>
          </c:extLst>
        </c:ser>
        <c:dLbls>
          <c:showLegendKey val="0"/>
          <c:showVal val="0"/>
          <c:showCatName val="0"/>
          <c:showSerName val="0"/>
          <c:showPercent val="0"/>
          <c:showBubbleSize val="0"/>
        </c:dLbls>
        <c:gapWidth val="150"/>
        <c:shape val="box"/>
        <c:axId val="576715328"/>
        <c:axId val="1"/>
        <c:axId val="0"/>
      </c:bar3DChart>
      <c:catAx>
        <c:axId val="576715328"/>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_);\(#,##0\)" sourceLinked="1"/>
        <c:majorTickMark val="out"/>
        <c:minorTickMark val="none"/>
        <c:tickLblPos val="nextTo"/>
        <c:spPr>
          <a:ln w="3175">
            <a:solidFill>
              <a:srgbClr val="000000"/>
            </a:solidFill>
            <a:prstDash val="solid"/>
          </a:ln>
        </c:spPr>
        <c:txPr>
          <a:bodyPr rot="0" vert="horz"/>
          <a:lstStyle/>
          <a:p>
            <a:pPr>
              <a:defRPr sz="1025" b="1" i="0" u="none" strike="noStrike" baseline="0">
                <a:solidFill>
                  <a:srgbClr val="333333"/>
                </a:solidFill>
                <a:latin typeface="Arial"/>
                <a:ea typeface="Arial"/>
                <a:cs typeface="Arial"/>
              </a:defRPr>
            </a:pPr>
            <a:endParaRPr lang="es-CO"/>
          </a:p>
        </c:txPr>
        <c:crossAx val="576715328"/>
        <c:crosses val="autoZero"/>
        <c:crossBetween val="between"/>
      </c:valAx>
      <c:spPr>
        <a:solidFill>
          <a:srgbClr val="FFBB2D"/>
        </a:solidFill>
        <a:ln w="25400">
          <a:noFill/>
        </a:ln>
      </c:spPr>
    </c:plotArea>
    <c:plotVisOnly val="1"/>
    <c:dispBlanksAs val="gap"/>
    <c:showDLblsOverMax val="0"/>
  </c:chart>
  <c:spPr>
    <a:solidFill>
      <a:srgbClr val="FFBB2D"/>
    </a:solidFill>
    <a:ln w="9525">
      <a:noFill/>
    </a:ln>
  </c:spPr>
  <c:txPr>
    <a:bodyPr/>
    <a:lstStyle/>
    <a:p>
      <a:pPr>
        <a:defRPr sz="1025" b="0"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FF0000"/>
                </a:solidFill>
                <a:latin typeface="Arial"/>
                <a:ea typeface="Arial"/>
                <a:cs typeface="Arial"/>
              </a:defRPr>
            </a:pPr>
            <a:r>
              <a:rPr lang="es-CO"/>
              <a:t>PARTICIPACION EN VENTAS</a:t>
            </a:r>
          </a:p>
        </c:rich>
      </c:tx>
      <c:layout>
        <c:manualLayout>
          <c:xMode val="edge"/>
          <c:yMode val="edge"/>
          <c:x val="0.26769179714604641"/>
          <c:y val="4.31467191601049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1082019731760707"/>
          <c:y val="0.16494657644573429"/>
          <c:w val="0.82836456604208353"/>
          <c:h val="0.65533708752666242"/>
        </c:manualLayout>
      </c:layout>
      <c:pie3DChart>
        <c:varyColors val="1"/>
        <c:ser>
          <c:idx val="0"/>
          <c:order val="0"/>
          <c:tx>
            <c:strRef>
              <c:f>VISUAL!$B$64</c:f>
              <c:strCache>
                <c:ptCount val="1"/>
                <c:pt idx="0">
                  <c:v>364.500.000</c:v>
                </c:pt>
              </c:strCache>
            </c:strRef>
          </c:tx>
          <c:dPt>
            <c:idx val="0"/>
            <c:bubble3D val="0"/>
            <c:extLst>
              <c:ext xmlns:c16="http://schemas.microsoft.com/office/drawing/2014/chart" uri="{C3380CC4-5D6E-409C-BE32-E72D297353CC}">
                <c16:uniqueId val="{00000000-C547-46F3-A7E4-10C585A2D37E}"/>
              </c:ext>
            </c:extLst>
          </c:dPt>
          <c:dPt>
            <c:idx val="1"/>
            <c:bubble3D val="0"/>
            <c:extLst>
              <c:ext xmlns:c16="http://schemas.microsoft.com/office/drawing/2014/chart" uri="{C3380CC4-5D6E-409C-BE32-E72D297353CC}">
                <c16:uniqueId val="{00000001-C547-46F3-A7E4-10C585A2D37E}"/>
              </c:ext>
            </c:extLst>
          </c:dPt>
          <c:dPt>
            <c:idx val="2"/>
            <c:bubble3D val="0"/>
            <c:extLst>
              <c:ext xmlns:c16="http://schemas.microsoft.com/office/drawing/2014/chart" uri="{C3380CC4-5D6E-409C-BE32-E72D297353CC}">
                <c16:uniqueId val="{00000002-C547-46F3-A7E4-10C585A2D37E}"/>
              </c:ext>
            </c:extLst>
          </c:dPt>
          <c:dPt>
            <c:idx val="3"/>
            <c:bubble3D val="0"/>
            <c:extLst>
              <c:ext xmlns:c16="http://schemas.microsoft.com/office/drawing/2014/chart" uri="{C3380CC4-5D6E-409C-BE32-E72D297353CC}">
                <c16:uniqueId val="{00000003-C547-46F3-A7E4-10C585A2D37E}"/>
              </c:ext>
            </c:extLst>
          </c:dPt>
          <c:dPt>
            <c:idx val="4"/>
            <c:bubble3D val="0"/>
            <c:extLst>
              <c:ext xmlns:c16="http://schemas.microsoft.com/office/drawing/2014/chart" uri="{C3380CC4-5D6E-409C-BE32-E72D297353CC}">
                <c16:uniqueId val="{00000004-C547-46F3-A7E4-10C585A2D37E}"/>
              </c:ext>
            </c:extLst>
          </c:dPt>
          <c:dPt>
            <c:idx val="5"/>
            <c:bubble3D val="0"/>
            <c:extLst>
              <c:ext xmlns:c16="http://schemas.microsoft.com/office/drawing/2014/chart" uri="{C3380CC4-5D6E-409C-BE32-E72D297353CC}">
                <c16:uniqueId val="{00000005-C547-46F3-A7E4-10C585A2D37E}"/>
              </c:ext>
            </c:extLst>
          </c:dPt>
          <c:dPt>
            <c:idx val="6"/>
            <c:bubble3D val="0"/>
            <c:extLst>
              <c:ext xmlns:c16="http://schemas.microsoft.com/office/drawing/2014/chart" uri="{C3380CC4-5D6E-409C-BE32-E72D297353CC}">
                <c16:uniqueId val="{00000006-C547-46F3-A7E4-10C585A2D37E}"/>
              </c:ext>
            </c:extLst>
          </c:dPt>
          <c:dPt>
            <c:idx val="7"/>
            <c:bubble3D val="0"/>
            <c:extLst>
              <c:ext xmlns:c16="http://schemas.microsoft.com/office/drawing/2014/chart" uri="{C3380CC4-5D6E-409C-BE32-E72D297353CC}">
                <c16:uniqueId val="{00000007-C547-46F3-A7E4-10C585A2D37E}"/>
              </c:ext>
            </c:extLst>
          </c:dPt>
          <c:dPt>
            <c:idx val="8"/>
            <c:bubble3D val="0"/>
            <c:extLst>
              <c:ext xmlns:c16="http://schemas.microsoft.com/office/drawing/2014/chart" uri="{C3380CC4-5D6E-409C-BE32-E72D297353CC}">
                <c16:uniqueId val="{00000008-C547-46F3-A7E4-10C585A2D37E}"/>
              </c:ext>
            </c:extLst>
          </c:dPt>
          <c:dPt>
            <c:idx val="9"/>
            <c:bubble3D val="0"/>
            <c:extLst>
              <c:ext xmlns:c16="http://schemas.microsoft.com/office/drawing/2014/chart" uri="{C3380CC4-5D6E-409C-BE32-E72D297353CC}">
                <c16:uniqueId val="{00000009-C547-46F3-A7E4-10C585A2D37E}"/>
              </c:ext>
            </c:extLst>
          </c:dPt>
          <c:dPt>
            <c:idx val="10"/>
            <c:bubble3D val="0"/>
            <c:extLst>
              <c:ext xmlns:c16="http://schemas.microsoft.com/office/drawing/2014/chart" uri="{C3380CC4-5D6E-409C-BE32-E72D297353CC}">
                <c16:uniqueId val="{0000000A-C547-46F3-A7E4-10C585A2D37E}"/>
              </c:ext>
            </c:extLst>
          </c:dPt>
          <c:dPt>
            <c:idx val="11"/>
            <c:bubble3D val="0"/>
            <c:extLst>
              <c:ext xmlns:c16="http://schemas.microsoft.com/office/drawing/2014/chart" uri="{C3380CC4-5D6E-409C-BE32-E72D297353CC}">
                <c16:uniqueId val="{0000000B-C547-46F3-A7E4-10C585A2D37E}"/>
              </c:ext>
            </c:extLst>
          </c:dPt>
          <c:dLbls>
            <c:spPr>
              <a:noFill/>
              <a:ln>
                <a:noFill/>
              </a:ln>
              <a:effectLst/>
            </c:spPr>
            <c:txPr>
              <a:bodyPr wrap="square" lIns="38100" tIns="19050" rIns="38100" bIns="19050" anchor="ctr">
                <a:spAutoFit/>
              </a:bodyPr>
              <a:lstStyle/>
              <a:p>
                <a:pPr>
                  <a:defRPr sz="1200" b="0" i="0" u="none" strike="noStrike" baseline="0">
                    <a:solidFill>
                      <a:srgbClr val="333333"/>
                    </a:solidFill>
                    <a:latin typeface="Arial"/>
                    <a:ea typeface="Arial"/>
                    <a:cs typeface="Arial"/>
                  </a:defRPr>
                </a:pPr>
                <a:endParaRPr lang="es-CO"/>
              </a:p>
            </c:txPr>
            <c:dLblPos val="outEnd"/>
            <c:showLegendKey val="0"/>
            <c:showVal val="0"/>
            <c:showCatName val="1"/>
            <c:showSerName val="0"/>
            <c:showPercent val="1"/>
            <c:showBubbleSize val="0"/>
            <c:showLeaderLines val="1"/>
            <c:leaderLines>
              <c:spPr>
                <a:ln w="3175">
                  <a:solidFill>
                    <a:srgbClr val="000000"/>
                  </a:solidFill>
                  <a:prstDash val="solid"/>
                </a:ln>
              </c:spPr>
            </c:leaderLines>
            <c:extLst>
              <c:ext xmlns:c15="http://schemas.microsoft.com/office/drawing/2012/chart" uri="{CE6537A1-D6FC-4f65-9D91-7224C49458BB}"/>
            </c:extLst>
          </c:dLbls>
          <c:val>
            <c:numRef>
              <c:f>VISUAL!$B$64:$B$75</c:f>
              <c:numCache>
                <c:formatCode>#,##0_);\(#,##0\)</c:formatCode>
                <c:ptCount val="12"/>
                <c:pt idx="0">
                  <c:v>364500000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C547-46F3-A7E4-10C585A2D37E}"/>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BB2D"/>
    </a:solidFill>
    <a:ln w="9525">
      <a:noFill/>
    </a:ln>
  </c:spPr>
  <c:txPr>
    <a:bodyPr/>
    <a:lstStyle/>
    <a:p>
      <a:pPr>
        <a:defRPr sz="1200" b="0" i="0" u="none" strike="noStrike" baseline="0">
          <a:solidFill>
            <a:srgbClr val="333333"/>
          </a:solidFill>
          <a:latin typeface="Arial"/>
          <a:ea typeface="Arial"/>
          <a:cs typeface="Arial"/>
        </a:defRPr>
      </a:pPr>
      <a:endParaRPr lang="es-CO"/>
    </a:p>
  </c:txPr>
  <c:printSettings>
    <c:headerFooter alignWithMargins="0"/>
    <c:pageMargins b="1" l="0.75000000000000022" r="0.75000000000000022" t="1" header="0" footer="0"/>
    <c:pageSetup paperSize="9" orientation="landscape" horizontalDpi="0"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8003158781182313"/>
          <c:y val="1.2189769883415736E-2"/>
        </c:manualLayout>
      </c:layout>
      <c:overlay val="0"/>
      <c:spPr>
        <a:noFill/>
        <a:ln w="25400">
          <a:noFill/>
        </a:ln>
      </c:spPr>
      <c:txPr>
        <a:bodyPr/>
        <a:lstStyle/>
        <a:p>
          <a:pPr>
            <a:defRPr sz="1400" b="1" i="0" u="none" strike="noStrike" baseline="0">
              <a:solidFill>
                <a:srgbClr val="FF0000"/>
              </a:solidFill>
              <a:latin typeface="Arial"/>
              <a:ea typeface="Arial"/>
              <a:cs typeface="Arial"/>
            </a:defRPr>
          </a:pPr>
          <a:endParaRPr lang="es-CO"/>
        </a:p>
      </c:txPr>
    </c:title>
    <c:autoTitleDeleted val="0"/>
    <c:view3D>
      <c:rotX val="15"/>
      <c:rotY val="50"/>
      <c:rAngAx val="0"/>
      <c:perspective val="0"/>
    </c:view3D>
    <c:floor>
      <c:thickness val="0"/>
    </c:floor>
    <c:sideWall>
      <c:thickness val="0"/>
    </c:sideWall>
    <c:backWall>
      <c:thickness val="0"/>
    </c:backWall>
    <c:plotArea>
      <c:layout>
        <c:manualLayout>
          <c:layoutTarget val="inner"/>
          <c:xMode val="edge"/>
          <c:yMode val="edge"/>
          <c:x val="2.0053684468757643E-2"/>
          <c:y val="0.16494657644573427"/>
          <c:w val="0.91913113565182247"/>
          <c:h val="0.72496157094504565"/>
        </c:manualLayout>
      </c:layout>
      <c:pie3DChart>
        <c:varyColors val="1"/>
        <c:ser>
          <c:idx val="0"/>
          <c:order val="0"/>
          <c:tx>
            <c:strRef>
              <c:f>VISUAL!$A$82</c:f>
              <c:strCache>
                <c:ptCount val="1"/>
                <c:pt idx="0">
                  <c:v>COMPOSICION DE LOS COSTOS FIJOS</c:v>
                </c:pt>
              </c:strCache>
            </c:strRef>
          </c:tx>
          <c:spPr>
            <a:solidFill>
              <a:srgbClr val="9999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0-8A09-4B7A-B40C-DDAD6315A60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8A09-4B7A-B40C-DDAD6315A60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8A09-4B7A-B40C-DDAD6315A60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8A09-4B7A-B40C-DDAD6315A60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8A09-4B7A-B40C-DDAD6315A608}"/>
              </c:ext>
            </c:extLst>
          </c:dPt>
          <c:dLbls>
            <c:dLbl>
              <c:idx val="3"/>
              <c:layout>
                <c:manualLayout>
                  <c:x val="-4.5383262545568639E-3"/>
                  <c:y val="-0.12764507177636811"/>
                </c:manualLayout>
              </c:layout>
              <c:numFmt formatCode="0%" sourceLinked="0"/>
              <c:spPr>
                <a:noFill/>
                <a:ln w="25400">
                  <a:noFill/>
                </a:ln>
              </c:spPr>
              <c:txPr>
                <a:bodyPr/>
                <a:lstStyle/>
                <a:p>
                  <a:pPr algn="ctr" rtl="0">
                    <a:defRPr sz="900" b="1" i="0" u="none" strike="noStrike" baseline="0">
                      <a:solidFill>
                        <a:srgbClr val="333333"/>
                      </a:solidFill>
                      <a:latin typeface="Arial"/>
                      <a:ea typeface="Arial"/>
                      <a:cs typeface="Arial"/>
                    </a:defRPr>
                  </a:pPr>
                  <a:endParaRPr lang="es-CO"/>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09-4B7A-B40C-DDAD6315A608}"/>
                </c:ext>
              </c:extLst>
            </c:dLbl>
            <c:numFmt formatCode="0%" sourceLinked="0"/>
            <c:spPr>
              <a:noFill/>
              <a:ln w="25400">
                <a:noFill/>
              </a:ln>
            </c:spPr>
            <c:txPr>
              <a:bodyPr wrap="square" lIns="38100" tIns="19050" rIns="38100" bIns="19050" anchor="ctr">
                <a:spAutoFit/>
              </a:bodyPr>
              <a:lstStyle/>
              <a:p>
                <a:pPr algn="ctr" rtl="0">
                  <a:defRPr sz="900" b="1" i="0" u="none" strike="noStrike" baseline="0">
                    <a:solidFill>
                      <a:srgbClr val="333333"/>
                    </a:solidFill>
                    <a:latin typeface="Arial"/>
                    <a:ea typeface="Arial"/>
                    <a:cs typeface="Arial"/>
                  </a:defRPr>
                </a:pPr>
                <a:endParaRPr lang="es-CO"/>
              </a:p>
            </c:txPr>
            <c:dLblPos val="outEnd"/>
            <c:showLegendKey val="0"/>
            <c:showVal val="0"/>
            <c:showCatName val="1"/>
            <c:showSerName val="0"/>
            <c:showPercent val="1"/>
            <c:showBubbleSize val="0"/>
            <c:showLeaderLines val="1"/>
            <c:leaderLines>
              <c:spPr>
                <a:ln w="3175">
                  <a:solidFill>
                    <a:srgbClr val="000000"/>
                  </a:solidFill>
                  <a:prstDash val="solid"/>
                </a:ln>
              </c:spPr>
            </c:leaderLines>
            <c:extLst>
              <c:ext xmlns:c15="http://schemas.microsoft.com/office/drawing/2012/chart" uri="{CE6537A1-D6FC-4f65-9D91-7224C49458BB}"/>
            </c:extLst>
          </c:dLbls>
          <c:cat>
            <c:strRef>
              <c:f>VISUAL!$A$84:$A$88</c:f>
              <c:strCache>
                <c:ptCount val="5"/>
                <c:pt idx="0">
                  <c:v>MANO DE OBRA</c:v>
                </c:pt>
                <c:pt idx="1">
                  <c:v>COSTOS DE PRODUCCION</c:v>
                </c:pt>
                <c:pt idx="2">
                  <c:v>GASTOS ADMINISTRATIVOS</c:v>
                </c:pt>
                <c:pt idx="3">
                  <c:v>CREDITOS</c:v>
                </c:pt>
                <c:pt idx="4">
                  <c:v>DEPRECIACION</c:v>
                </c:pt>
              </c:strCache>
            </c:strRef>
          </c:cat>
          <c:val>
            <c:numRef>
              <c:f>VISUAL!$C$84:$C$88</c:f>
              <c:numCache>
                <c:formatCode>_ "$"\ * #,##0_ ;_ "$"\ * \-#,##0_ ;_ "$"\ * "-"_ ;_ @_ </c:formatCode>
                <c:ptCount val="5"/>
                <c:pt idx="0">
                  <c:v>42000000</c:v>
                </c:pt>
                <c:pt idx="1">
                  <c:v>29100000</c:v>
                </c:pt>
                <c:pt idx="2">
                  <c:v>46544000</c:v>
                </c:pt>
                <c:pt idx="3">
                  <c:v>0</c:v>
                </c:pt>
                <c:pt idx="4">
                  <c:v>5535000</c:v>
                </c:pt>
              </c:numCache>
            </c:numRef>
          </c:val>
          <c:extLst>
            <c:ext xmlns:c16="http://schemas.microsoft.com/office/drawing/2014/chart" uri="{C3380CC4-5D6E-409C-BE32-E72D297353CC}">
              <c16:uniqueId val="{00000005-8A09-4B7A-B40C-DDAD6315A608}"/>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BB2D"/>
    </a:solidFill>
    <a:ln w="9525">
      <a:noFill/>
    </a:ln>
  </c:spPr>
  <c:txPr>
    <a:bodyPr/>
    <a:lstStyle/>
    <a:p>
      <a:pPr>
        <a:defRPr sz="1200" b="0"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0000"/>
                </a:solidFill>
                <a:latin typeface="Arial"/>
                <a:ea typeface="Arial"/>
                <a:cs typeface="Arial"/>
              </a:defRPr>
            </a:pPr>
            <a:r>
              <a:rPr lang="es-CO"/>
              <a:t>PUNTO DE EQUILIBRIO VS VENTAS  HORIZONTE DEL PROYECTO</a:t>
            </a:r>
          </a:p>
        </c:rich>
      </c:tx>
      <c:layout>
        <c:manualLayout>
          <c:xMode val="edge"/>
          <c:yMode val="edge"/>
          <c:x val="0.12511955589394655"/>
          <c:y val="4.1126929133858271E-2"/>
        </c:manualLayout>
      </c:layout>
      <c:overlay val="0"/>
      <c:spPr>
        <a:noFill/>
        <a:ln w="25400">
          <a:noFill/>
        </a:ln>
      </c:spPr>
    </c:title>
    <c:autoTitleDeleted val="0"/>
    <c:plotArea>
      <c:layout>
        <c:manualLayout>
          <c:layoutTarget val="inner"/>
          <c:xMode val="edge"/>
          <c:yMode val="edge"/>
          <c:x val="7.1787929104540127E-2"/>
          <c:y val="0.21881590986581165"/>
          <c:w val="0.91001757188402332"/>
          <c:h val="0.66931925370718859"/>
        </c:manualLayout>
      </c:layout>
      <c:barChart>
        <c:barDir val="col"/>
        <c:grouping val="clustered"/>
        <c:varyColors val="0"/>
        <c:ser>
          <c:idx val="1"/>
          <c:order val="0"/>
          <c:tx>
            <c:strRef>
              <c:f>ayuda!$H$49</c:f>
              <c:strCache>
                <c:ptCount val="1"/>
                <c:pt idx="0">
                  <c:v>VENTAS</c:v>
                </c:pt>
              </c:strCache>
            </c:strRef>
          </c:tx>
          <c:spPr>
            <a:solidFill>
              <a:srgbClr val="FF0000">
                <a:alpha val="51000"/>
              </a:srgbClr>
            </a:solidFill>
            <a:ln w="38100">
              <a:noFill/>
              <a:prstDash val="solid"/>
            </a:ln>
            <a:scene3d>
              <a:camera prst="orthographicFront"/>
              <a:lightRig rig="threePt" dir="t">
                <a:rot lat="0" lon="0" rev="0"/>
              </a:lightRig>
            </a:scene3d>
            <a:sp3d>
              <a:bevelT w="0" h="0"/>
              <a:bevelB w="0" h="0"/>
            </a:sp3d>
          </c:spPr>
          <c:invertIfNegative val="0"/>
          <c:cat>
            <c:strRef>
              <c:f>ayuda!$G$50:$G$85</c:f>
              <c:strCache>
                <c:ptCount val="36"/>
                <c:pt idx="0">
                  <c:v>MES 1</c:v>
                </c:pt>
                <c:pt idx="1">
                  <c:v>MES 2</c:v>
                </c:pt>
                <c:pt idx="2">
                  <c:v>MES 3</c:v>
                </c:pt>
                <c:pt idx="3">
                  <c:v>MES 4</c:v>
                </c:pt>
                <c:pt idx="4">
                  <c:v>MES 5</c:v>
                </c:pt>
                <c:pt idx="5">
                  <c:v>MES 6</c:v>
                </c:pt>
                <c:pt idx="6">
                  <c:v>MES 7</c:v>
                </c:pt>
                <c:pt idx="7">
                  <c:v>MES 8</c:v>
                </c:pt>
                <c:pt idx="8">
                  <c:v>MES 9</c:v>
                </c:pt>
                <c:pt idx="9">
                  <c:v>MES 10</c:v>
                </c:pt>
                <c:pt idx="10">
                  <c:v>MES 11</c:v>
                </c:pt>
                <c:pt idx="11">
                  <c:v>MES 12</c:v>
                </c:pt>
                <c:pt idx="12">
                  <c:v>MES 13</c:v>
                </c:pt>
                <c:pt idx="13">
                  <c:v>MES 14</c:v>
                </c:pt>
                <c:pt idx="14">
                  <c:v>MES 15</c:v>
                </c:pt>
                <c:pt idx="15">
                  <c:v>MES 16</c:v>
                </c:pt>
                <c:pt idx="16">
                  <c:v>MES 17</c:v>
                </c:pt>
                <c:pt idx="17">
                  <c:v>MES 18</c:v>
                </c:pt>
                <c:pt idx="18">
                  <c:v>MES 19</c:v>
                </c:pt>
                <c:pt idx="19">
                  <c:v>MES 20</c:v>
                </c:pt>
                <c:pt idx="20">
                  <c:v>MES 21</c:v>
                </c:pt>
                <c:pt idx="21">
                  <c:v>MES 22</c:v>
                </c:pt>
                <c:pt idx="22">
                  <c:v>MES 23</c:v>
                </c:pt>
                <c:pt idx="23">
                  <c:v>MES 24</c:v>
                </c:pt>
                <c:pt idx="24">
                  <c:v>MES 25</c:v>
                </c:pt>
                <c:pt idx="25">
                  <c:v>MES 26</c:v>
                </c:pt>
                <c:pt idx="26">
                  <c:v>MES 27</c:v>
                </c:pt>
                <c:pt idx="27">
                  <c:v>MES 28</c:v>
                </c:pt>
                <c:pt idx="28">
                  <c:v>MES 29</c:v>
                </c:pt>
                <c:pt idx="29">
                  <c:v>MES 30</c:v>
                </c:pt>
                <c:pt idx="30">
                  <c:v>MES 31</c:v>
                </c:pt>
                <c:pt idx="31">
                  <c:v>MES 32</c:v>
                </c:pt>
                <c:pt idx="32">
                  <c:v>MES 33</c:v>
                </c:pt>
                <c:pt idx="33">
                  <c:v>MES 34</c:v>
                </c:pt>
                <c:pt idx="34">
                  <c:v>MES 35</c:v>
                </c:pt>
                <c:pt idx="35">
                  <c:v>MES 36</c:v>
                </c:pt>
              </c:strCache>
            </c:strRef>
          </c:cat>
          <c:val>
            <c:numRef>
              <c:f>ayuda!$H$50:$H$85</c:f>
              <c:numCache>
                <c:formatCode>#,##0.00</c:formatCode>
                <c:ptCount val="36"/>
                <c:pt idx="0">
                  <c:v>21870000</c:v>
                </c:pt>
                <c:pt idx="1">
                  <c:v>25515000</c:v>
                </c:pt>
                <c:pt idx="2">
                  <c:v>25515000</c:v>
                </c:pt>
                <c:pt idx="3">
                  <c:v>25515000</c:v>
                </c:pt>
                <c:pt idx="4">
                  <c:v>36450000</c:v>
                </c:pt>
                <c:pt idx="5">
                  <c:v>32805000</c:v>
                </c:pt>
                <c:pt idx="6">
                  <c:v>29160000</c:v>
                </c:pt>
                <c:pt idx="7">
                  <c:v>29160000</c:v>
                </c:pt>
                <c:pt idx="8">
                  <c:v>29160000</c:v>
                </c:pt>
                <c:pt idx="9">
                  <c:v>36450000</c:v>
                </c:pt>
                <c:pt idx="10">
                  <c:v>51030000</c:v>
                </c:pt>
                <c:pt idx="11">
                  <c:v>21870000</c:v>
                </c:pt>
                <c:pt idx="12">
                  <c:v>24138000</c:v>
                </c:pt>
                <c:pt idx="13">
                  <c:v>28161000</c:v>
                </c:pt>
                <c:pt idx="14">
                  <c:v>28161000</c:v>
                </c:pt>
                <c:pt idx="15">
                  <c:v>28161000</c:v>
                </c:pt>
                <c:pt idx="16">
                  <c:v>40203000</c:v>
                </c:pt>
                <c:pt idx="17">
                  <c:v>36180000</c:v>
                </c:pt>
                <c:pt idx="18">
                  <c:v>32157000</c:v>
                </c:pt>
                <c:pt idx="19">
                  <c:v>32157000</c:v>
                </c:pt>
                <c:pt idx="20">
                  <c:v>32157000</c:v>
                </c:pt>
                <c:pt idx="21">
                  <c:v>40203000</c:v>
                </c:pt>
                <c:pt idx="22">
                  <c:v>56295000</c:v>
                </c:pt>
                <c:pt idx="23">
                  <c:v>24138000</c:v>
                </c:pt>
                <c:pt idx="24">
                  <c:v>27405000</c:v>
                </c:pt>
                <c:pt idx="25">
                  <c:v>31968000</c:v>
                </c:pt>
                <c:pt idx="26">
                  <c:v>31968000</c:v>
                </c:pt>
                <c:pt idx="27">
                  <c:v>31968000</c:v>
                </c:pt>
                <c:pt idx="28">
                  <c:v>45657000</c:v>
                </c:pt>
                <c:pt idx="29">
                  <c:v>41094000</c:v>
                </c:pt>
                <c:pt idx="30">
                  <c:v>36531000</c:v>
                </c:pt>
                <c:pt idx="31">
                  <c:v>36531000</c:v>
                </c:pt>
                <c:pt idx="32">
                  <c:v>36531000</c:v>
                </c:pt>
                <c:pt idx="33">
                  <c:v>45657000</c:v>
                </c:pt>
                <c:pt idx="34">
                  <c:v>63936000</c:v>
                </c:pt>
                <c:pt idx="35">
                  <c:v>27405000</c:v>
                </c:pt>
              </c:numCache>
            </c:numRef>
          </c:val>
          <c:extLst>
            <c:ext xmlns:c16="http://schemas.microsoft.com/office/drawing/2014/chart" uri="{C3380CC4-5D6E-409C-BE32-E72D297353CC}">
              <c16:uniqueId val="{00000000-6A7A-4E85-938D-0763FE58D8A7}"/>
            </c:ext>
          </c:extLst>
        </c:ser>
        <c:dLbls>
          <c:showLegendKey val="0"/>
          <c:showVal val="0"/>
          <c:showCatName val="0"/>
          <c:showSerName val="0"/>
          <c:showPercent val="0"/>
          <c:showBubbleSize val="0"/>
        </c:dLbls>
        <c:gapWidth val="15"/>
        <c:overlap val="-100"/>
        <c:axId val="576721232"/>
        <c:axId val="1"/>
      </c:barChart>
      <c:lineChart>
        <c:grouping val="standard"/>
        <c:varyColors val="0"/>
        <c:ser>
          <c:idx val="0"/>
          <c:order val="1"/>
          <c:tx>
            <c:strRef>
              <c:f>ayuda!$I$49</c:f>
              <c:strCache>
                <c:ptCount val="1"/>
                <c:pt idx="0">
                  <c:v>PUNTO DE EQUILIBRIO</c:v>
                </c:pt>
              </c:strCache>
            </c:strRef>
          </c:tx>
          <c:spPr>
            <a:ln w="47625" cap="sq">
              <a:bevel/>
            </a:ln>
          </c:spPr>
          <c:marker>
            <c:symbol val="none"/>
          </c:marker>
          <c:cat>
            <c:strRef>
              <c:f>ayuda!$G$50:$G$85</c:f>
              <c:strCache>
                <c:ptCount val="36"/>
                <c:pt idx="0">
                  <c:v>MES 1</c:v>
                </c:pt>
                <c:pt idx="1">
                  <c:v>MES 2</c:v>
                </c:pt>
                <c:pt idx="2">
                  <c:v>MES 3</c:v>
                </c:pt>
                <c:pt idx="3">
                  <c:v>MES 4</c:v>
                </c:pt>
                <c:pt idx="4">
                  <c:v>MES 5</c:v>
                </c:pt>
                <c:pt idx="5">
                  <c:v>MES 6</c:v>
                </c:pt>
                <c:pt idx="6">
                  <c:v>MES 7</c:v>
                </c:pt>
                <c:pt idx="7">
                  <c:v>MES 8</c:v>
                </c:pt>
                <c:pt idx="8">
                  <c:v>MES 9</c:v>
                </c:pt>
                <c:pt idx="9">
                  <c:v>MES 10</c:v>
                </c:pt>
                <c:pt idx="10">
                  <c:v>MES 11</c:v>
                </c:pt>
                <c:pt idx="11">
                  <c:v>MES 12</c:v>
                </c:pt>
                <c:pt idx="12">
                  <c:v>MES 13</c:v>
                </c:pt>
                <c:pt idx="13">
                  <c:v>MES 14</c:v>
                </c:pt>
                <c:pt idx="14">
                  <c:v>MES 15</c:v>
                </c:pt>
                <c:pt idx="15">
                  <c:v>MES 16</c:v>
                </c:pt>
                <c:pt idx="16">
                  <c:v>MES 17</c:v>
                </c:pt>
                <c:pt idx="17">
                  <c:v>MES 18</c:v>
                </c:pt>
                <c:pt idx="18">
                  <c:v>MES 19</c:v>
                </c:pt>
                <c:pt idx="19">
                  <c:v>MES 20</c:v>
                </c:pt>
                <c:pt idx="20">
                  <c:v>MES 21</c:v>
                </c:pt>
                <c:pt idx="21">
                  <c:v>MES 22</c:v>
                </c:pt>
                <c:pt idx="22">
                  <c:v>MES 23</c:v>
                </c:pt>
                <c:pt idx="23">
                  <c:v>MES 24</c:v>
                </c:pt>
                <c:pt idx="24">
                  <c:v>MES 25</c:v>
                </c:pt>
                <c:pt idx="25">
                  <c:v>MES 26</c:v>
                </c:pt>
                <c:pt idx="26">
                  <c:v>MES 27</c:v>
                </c:pt>
                <c:pt idx="27">
                  <c:v>MES 28</c:v>
                </c:pt>
                <c:pt idx="28">
                  <c:v>MES 29</c:v>
                </c:pt>
                <c:pt idx="29">
                  <c:v>MES 30</c:v>
                </c:pt>
                <c:pt idx="30">
                  <c:v>MES 31</c:v>
                </c:pt>
                <c:pt idx="31">
                  <c:v>MES 32</c:v>
                </c:pt>
                <c:pt idx="32">
                  <c:v>MES 33</c:v>
                </c:pt>
                <c:pt idx="33">
                  <c:v>MES 34</c:v>
                </c:pt>
                <c:pt idx="34">
                  <c:v>MES 35</c:v>
                </c:pt>
                <c:pt idx="35">
                  <c:v>MES 36</c:v>
                </c:pt>
              </c:strCache>
            </c:strRef>
          </c:cat>
          <c:val>
            <c:numRef>
              <c:f>ayuda!$I$50:$I$85</c:f>
              <c:numCache>
                <c:formatCode>#,##0.00</c:formatCode>
                <c:ptCount val="36"/>
                <c:pt idx="0">
                  <c:v>18920962.839775205</c:v>
                </c:pt>
                <c:pt idx="1">
                  <c:v>18920962.839775205</c:v>
                </c:pt>
                <c:pt idx="2">
                  <c:v>18920962.839775205</c:v>
                </c:pt>
                <c:pt idx="3">
                  <c:v>18920962.839775205</c:v>
                </c:pt>
                <c:pt idx="4">
                  <c:v>18920962.839775205</c:v>
                </c:pt>
                <c:pt idx="5">
                  <c:v>18920962.839775205</c:v>
                </c:pt>
                <c:pt idx="6">
                  <c:v>18920962.839775205</c:v>
                </c:pt>
                <c:pt idx="7">
                  <c:v>18920962.839775205</c:v>
                </c:pt>
                <c:pt idx="8">
                  <c:v>18920962.839775205</c:v>
                </c:pt>
                <c:pt idx="9">
                  <c:v>18920962.839775205</c:v>
                </c:pt>
                <c:pt idx="10">
                  <c:v>18920962.839775205</c:v>
                </c:pt>
                <c:pt idx="11">
                  <c:v>18920962.839775205</c:v>
                </c:pt>
                <c:pt idx="12">
                  <c:v>18920962.839775205</c:v>
                </c:pt>
                <c:pt idx="13">
                  <c:v>18920962.839775205</c:v>
                </c:pt>
                <c:pt idx="14">
                  <c:v>18920962.839775205</c:v>
                </c:pt>
                <c:pt idx="15">
                  <c:v>18920962.839775205</c:v>
                </c:pt>
                <c:pt idx="16">
                  <c:v>18920962.839775205</c:v>
                </c:pt>
                <c:pt idx="17">
                  <c:v>18920962.839775205</c:v>
                </c:pt>
                <c:pt idx="18">
                  <c:v>18920962.839775205</c:v>
                </c:pt>
                <c:pt idx="19">
                  <c:v>18920962.839775205</c:v>
                </c:pt>
                <c:pt idx="20">
                  <c:v>18920962.839775205</c:v>
                </c:pt>
                <c:pt idx="21">
                  <c:v>18920962.839775205</c:v>
                </c:pt>
                <c:pt idx="22">
                  <c:v>18920962.839775205</c:v>
                </c:pt>
                <c:pt idx="23">
                  <c:v>18920962.839775205</c:v>
                </c:pt>
                <c:pt idx="24">
                  <c:v>18920962.839775205</c:v>
                </c:pt>
                <c:pt idx="25">
                  <c:v>18920962.839775205</c:v>
                </c:pt>
                <c:pt idx="26">
                  <c:v>18920962.839775205</c:v>
                </c:pt>
                <c:pt idx="27">
                  <c:v>18920962.839775205</c:v>
                </c:pt>
                <c:pt idx="28">
                  <c:v>18920962.839775205</c:v>
                </c:pt>
                <c:pt idx="29">
                  <c:v>18920962.839775205</c:v>
                </c:pt>
                <c:pt idx="30">
                  <c:v>18920962.839775205</c:v>
                </c:pt>
                <c:pt idx="31">
                  <c:v>18920962.839775205</c:v>
                </c:pt>
                <c:pt idx="32">
                  <c:v>18920962.839775205</c:v>
                </c:pt>
                <c:pt idx="33">
                  <c:v>18920962.839775205</c:v>
                </c:pt>
                <c:pt idx="34">
                  <c:v>18920962.839775205</c:v>
                </c:pt>
                <c:pt idx="35">
                  <c:v>18920962.839775205</c:v>
                </c:pt>
              </c:numCache>
            </c:numRef>
          </c:val>
          <c:smooth val="0"/>
          <c:extLst>
            <c:ext xmlns:c16="http://schemas.microsoft.com/office/drawing/2014/chart" uri="{C3380CC4-5D6E-409C-BE32-E72D297353CC}">
              <c16:uniqueId val="{00000001-6A7A-4E85-938D-0763FE58D8A7}"/>
            </c:ext>
          </c:extLst>
        </c:ser>
        <c:dLbls>
          <c:showLegendKey val="0"/>
          <c:showVal val="0"/>
          <c:showCatName val="0"/>
          <c:showSerName val="0"/>
          <c:showPercent val="0"/>
          <c:showBubbleSize val="0"/>
        </c:dLbls>
        <c:marker val="1"/>
        <c:smooth val="0"/>
        <c:axId val="576721232"/>
        <c:axId val="1"/>
      </c:lineChart>
      <c:catAx>
        <c:axId val="576721232"/>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7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FF6600"/>
              </a:solidFill>
              <a:prstDash val="lgDashDot"/>
            </a:ln>
          </c:spPr>
        </c:majorGridlines>
        <c:numFmt formatCode="\$\ #,##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333333"/>
                </a:solidFill>
                <a:latin typeface="Arial"/>
                <a:ea typeface="Arial"/>
                <a:cs typeface="Arial"/>
              </a:defRPr>
            </a:pPr>
            <a:endParaRPr lang="es-CO"/>
          </a:p>
        </c:txPr>
        <c:crossAx val="576721232"/>
        <c:crosses val="autoZero"/>
        <c:crossBetween val="between"/>
        <c:dispUnits>
          <c:builtInUnit val="millions"/>
          <c:dispUnitsLbl>
            <c:layout>
              <c:manualLayout>
                <c:xMode val="edge"/>
                <c:yMode val="edge"/>
                <c:x val="3.27827159584511E-2"/>
                <c:y val="5.5423282701944541E-2"/>
              </c:manualLayout>
            </c:layout>
            <c:spPr>
              <a:noFill/>
              <a:ln w="25400">
                <a:noFill/>
              </a:ln>
            </c:spPr>
            <c:txPr>
              <a:bodyPr rot="-5400000" vert="horz"/>
              <a:lstStyle/>
              <a:p>
                <a:pPr algn="ctr">
                  <a:defRPr sz="1050" b="1" i="0" u="none" strike="noStrike" baseline="0">
                    <a:solidFill>
                      <a:srgbClr val="333333"/>
                    </a:solidFill>
                    <a:latin typeface="Arial"/>
                    <a:ea typeface="Arial"/>
                    <a:cs typeface="Arial"/>
                  </a:defRPr>
                </a:pPr>
                <a:endParaRPr lang="es-CO"/>
              </a:p>
            </c:txPr>
          </c:dispUnitsLbl>
        </c:dispUnits>
      </c:valAx>
      <c:spPr>
        <a:solidFill>
          <a:srgbClr val="FFBB2D"/>
        </a:solidFill>
        <a:ln w="25400">
          <a:noFill/>
        </a:ln>
      </c:spPr>
    </c:plotArea>
    <c:plotVisOnly val="1"/>
    <c:dispBlanksAs val="gap"/>
    <c:showDLblsOverMax val="0"/>
  </c:chart>
  <c:spPr>
    <a:solidFill>
      <a:srgbClr val="FFBB2D"/>
    </a:solidFill>
    <a:ln w="9525">
      <a:noFill/>
    </a:ln>
  </c:spPr>
  <c:txPr>
    <a:bodyPr/>
    <a:lstStyle/>
    <a:p>
      <a:pPr>
        <a:defRPr sz="1200" b="0"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41397107097097"/>
          <c:y val="7.7234048199580879E-2"/>
          <c:w val="0.84197041419667851"/>
          <c:h val="0.67508279167041074"/>
        </c:manualLayout>
      </c:layout>
      <c:barChart>
        <c:barDir val="col"/>
        <c:grouping val="clustered"/>
        <c:varyColors val="0"/>
        <c:ser>
          <c:idx val="0"/>
          <c:order val="0"/>
          <c:tx>
            <c:strRef>
              <c:f>VISUAL!$A$191</c:f>
              <c:strCache>
                <c:ptCount val="1"/>
                <c:pt idx="0">
                  <c:v>VENTAS</c:v>
                </c:pt>
              </c:strCache>
            </c:strRef>
          </c:tx>
          <c:spPr>
            <a:solidFill>
              <a:srgbClr val="9999FF"/>
            </a:solidFill>
            <a:ln w="12700">
              <a:solidFill>
                <a:srgbClr val="000000"/>
              </a:solidFill>
              <a:prstDash val="solid"/>
            </a:ln>
          </c:spPr>
          <c:invertIfNegative val="0"/>
          <c:cat>
            <c:strRef>
              <c:f>VISUAL!$B$190:$C$190</c:f>
              <c:strCache>
                <c:ptCount val="2"/>
                <c:pt idx="0">
                  <c:v>AÑO 2 VS. 1</c:v>
                </c:pt>
                <c:pt idx="1">
                  <c:v>AÑO 3 VS. 2</c:v>
                </c:pt>
              </c:strCache>
            </c:strRef>
          </c:cat>
          <c:val>
            <c:numRef>
              <c:f>VISUAL!$B$191:$C$191</c:f>
              <c:numCache>
                <c:formatCode>0.00%</c:formatCode>
                <c:ptCount val="2"/>
                <c:pt idx="0">
                  <c:v>0.1362807407407407</c:v>
                </c:pt>
                <c:pt idx="1">
                  <c:v>0.16970321627610274</c:v>
                </c:pt>
              </c:numCache>
            </c:numRef>
          </c:val>
          <c:extLst>
            <c:ext xmlns:c16="http://schemas.microsoft.com/office/drawing/2014/chart" uri="{C3380CC4-5D6E-409C-BE32-E72D297353CC}">
              <c16:uniqueId val="{00000000-B48A-4950-844D-08DC322EF0D5}"/>
            </c:ext>
          </c:extLst>
        </c:ser>
        <c:ser>
          <c:idx val="1"/>
          <c:order val="1"/>
          <c:tx>
            <c:strRef>
              <c:f>VISUAL!$A$192</c:f>
              <c:strCache>
                <c:ptCount val="1"/>
                <c:pt idx="0">
                  <c:v>COSTO DE VENTAS</c:v>
                </c:pt>
              </c:strCache>
            </c:strRef>
          </c:tx>
          <c:spPr>
            <a:solidFill>
              <a:srgbClr val="993366"/>
            </a:solidFill>
            <a:ln w="12700">
              <a:solidFill>
                <a:srgbClr val="000000"/>
              </a:solidFill>
              <a:prstDash val="solid"/>
            </a:ln>
          </c:spPr>
          <c:invertIfNegative val="0"/>
          <c:cat>
            <c:strRef>
              <c:f>VISUAL!$B$190:$C$190</c:f>
              <c:strCache>
                <c:ptCount val="2"/>
                <c:pt idx="0">
                  <c:v>AÑO 2 VS. 1</c:v>
                </c:pt>
                <c:pt idx="1">
                  <c:v>AÑO 3 VS. 2</c:v>
                </c:pt>
              </c:strCache>
            </c:strRef>
          </c:cat>
          <c:val>
            <c:numRef>
              <c:f>VISUAL!$B$192:$C$192</c:f>
              <c:numCache>
                <c:formatCode>0.00%</c:formatCode>
                <c:ptCount val="2"/>
                <c:pt idx="0">
                  <c:v>0.15324860142057961</c:v>
                </c:pt>
                <c:pt idx="1">
                  <c:v>0.17045816238833611</c:v>
                </c:pt>
              </c:numCache>
            </c:numRef>
          </c:val>
          <c:extLst>
            <c:ext xmlns:c16="http://schemas.microsoft.com/office/drawing/2014/chart" uri="{C3380CC4-5D6E-409C-BE32-E72D297353CC}">
              <c16:uniqueId val="{00000001-B48A-4950-844D-08DC322EF0D5}"/>
            </c:ext>
          </c:extLst>
        </c:ser>
        <c:ser>
          <c:idx val="2"/>
          <c:order val="2"/>
          <c:tx>
            <c:strRef>
              <c:f>VISUAL!$A$193</c:f>
              <c:strCache>
                <c:ptCount val="1"/>
                <c:pt idx="0">
                  <c:v>GASTOS ADMINISTRATIVOS</c:v>
                </c:pt>
              </c:strCache>
            </c:strRef>
          </c:tx>
          <c:spPr>
            <a:solidFill>
              <a:srgbClr val="FFFFCC"/>
            </a:solidFill>
            <a:ln w="12700">
              <a:solidFill>
                <a:srgbClr val="000000"/>
              </a:solidFill>
              <a:prstDash val="solid"/>
            </a:ln>
          </c:spPr>
          <c:invertIfNegative val="0"/>
          <c:cat>
            <c:strRef>
              <c:f>VISUAL!$B$190:$C$190</c:f>
              <c:strCache>
                <c:ptCount val="2"/>
                <c:pt idx="0">
                  <c:v>AÑO 2 VS. 1</c:v>
                </c:pt>
                <c:pt idx="1">
                  <c:v>AÑO 3 VS. 2</c:v>
                </c:pt>
              </c:strCache>
            </c:strRef>
          </c:cat>
          <c:val>
            <c:numRef>
              <c:f>VISUAL!$B$193:$C$193</c:f>
              <c:numCache>
                <c:formatCode>0.00%</c:formatCode>
                <c:ptCount val="2"/>
                <c:pt idx="0">
                  <c:v>0.11254554829838437</c:v>
                </c:pt>
                <c:pt idx="1">
                  <c:v>0.10129846634913231</c:v>
                </c:pt>
              </c:numCache>
            </c:numRef>
          </c:val>
          <c:extLst>
            <c:ext xmlns:c16="http://schemas.microsoft.com/office/drawing/2014/chart" uri="{C3380CC4-5D6E-409C-BE32-E72D297353CC}">
              <c16:uniqueId val="{00000002-B48A-4950-844D-08DC322EF0D5}"/>
            </c:ext>
          </c:extLst>
        </c:ser>
        <c:ser>
          <c:idx val="3"/>
          <c:order val="3"/>
          <c:tx>
            <c:strRef>
              <c:f>VISUAL!$A$194</c:f>
              <c:strCache>
                <c:ptCount val="1"/>
                <c:pt idx="0">
                  <c:v>UTILIDAD NETA</c:v>
                </c:pt>
              </c:strCache>
            </c:strRef>
          </c:tx>
          <c:spPr>
            <a:solidFill>
              <a:srgbClr val="CCFFFF"/>
            </a:solidFill>
            <a:ln w="12700">
              <a:solidFill>
                <a:srgbClr val="000000"/>
              </a:solidFill>
              <a:prstDash val="solid"/>
            </a:ln>
          </c:spPr>
          <c:invertIfNegative val="0"/>
          <c:cat>
            <c:strRef>
              <c:f>VISUAL!$B$190:$C$190</c:f>
              <c:strCache>
                <c:ptCount val="2"/>
                <c:pt idx="0">
                  <c:v>AÑO 2 VS. 1</c:v>
                </c:pt>
                <c:pt idx="1">
                  <c:v>AÑO 3 VS. 2</c:v>
                </c:pt>
              </c:strCache>
            </c:strRef>
          </c:cat>
          <c:val>
            <c:numRef>
              <c:f>VISUAL!$B$194:$C$194</c:f>
              <c:numCache>
                <c:formatCode>0.00%</c:formatCode>
                <c:ptCount val="2"/>
                <c:pt idx="0">
                  <c:v>9.679466366770062E-2</c:v>
                </c:pt>
                <c:pt idx="1">
                  <c:v>-9.2145193369870149E-2</c:v>
                </c:pt>
              </c:numCache>
            </c:numRef>
          </c:val>
          <c:extLst>
            <c:ext xmlns:c16="http://schemas.microsoft.com/office/drawing/2014/chart" uri="{C3380CC4-5D6E-409C-BE32-E72D297353CC}">
              <c16:uniqueId val="{00000003-B48A-4950-844D-08DC322EF0D5}"/>
            </c:ext>
          </c:extLst>
        </c:ser>
        <c:dLbls>
          <c:showLegendKey val="0"/>
          <c:showVal val="0"/>
          <c:showCatName val="0"/>
          <c:showSerName val="0"/>
          <c:showPercent val="0"/>
          <c:showBubbleSize val="0"/>
        </c:dLbls>
        <c:gapWidth val="150"/>
        <c:axId val="537318280"/>
        <c:axId val="1"/>
      </c:barChart>
      <c:catAx>
        <c:axId val="537318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333333"/>
                </a:solidFill>
                <a:latin typeface="Arial"/>
                <a:ea typeface="Arial"/>
                <a:cs typeface="Arial"/>
              </a:defRPr>
            </a:pPr>
            <a:endParaRPr lang="es-CO"/>
          </a:p>
        </c:txPr>
        <c:crossAx val="537318280"/>
        <c:crosses val="autoZero"/>
        <c:crossBetween val="between"/>
      </c:valAx>
      <c:spPr>
        <a:solidFill>
          <a:srgbClr val="FFBB2D"/>
        </a:solidFill>
        <a:ln w="25400">
          <a:noFill/>
        </a:ln>
      </c:spPr>
    </c:plotArea>
    <c:legend>
      <c:legendPos val="r"/>
      <c:layout>
        <c:manualLayout>
          <c:xMode val="edge"/>
          <c:yMode val="edge"/>
          <c:x val="7.800320856221267E-2"/>
          <c:y val="0.84240807438502363"/>
          <c:w val="0.82371297540291266"/>
          <c:h val="0.1260749977230764"/>
        </c:manualLayout>
      </c:layout>
      <c:overlay val="0"/>
      <c:spPr>
        <a:solidFill>
          <a:srgbClr val="FFBB2D"/>
        </a:solidFill>
        <a:ln w="25400">
          <a:noFill/>
        </a:ln>
      </c:spPr>
      <c:txPr>
        <a:bodyPr/>
        <a:lstStyle/>
        <a:p>
          <a:pPr>
            <a:defRPr sz="630" b="0" i="0" u="none" strike="noStrike" baseline="0">
              <a:solidFill>
                <a:srgbClr val="333333"/>
              </a:solidFill>
              <a:latin typeface="Arial"/>
              <a:ea typeface="Arial"/>
              <a:cs typeface="Arial"/>
            </a:defRPr>
          </a:pPr>
          <a:endParaRPr lang="es-CO"/>
        </a:p>
      </c:txPr>
    </c:legend>
    <c:plotVisOnly val="1"/>
    <c:dispBlanksAs val="gap"/>
    <c:showDLblsOverMax val="0"/>
  </c:chart>
  <c:spPr>
    <a:solidFill>
      <a:srgbClr val="FFBB2D"/>
    </a:solidFill>
    <a:ln w="9525">
      <a:noFill/>
    </a:ln>
  </c:spPr>
  <c:txPr>
    <a:bodyPr/>
    <a:lstStyle/>
    <a:p>
      <a:pPr>
        <a:defRPr sz="1025" b="0" i="0" u="none" strike="noStrike" baseline="0">
          <a:solidFill>
            <a:srgbClr val="333333"/>
          </a:solidFill>
          <a:latin typeface="Arial"/>
          <a:ea typeface="Arial"/>
          <a:cs typeface="Arial"/>
        </a:defRPr>
      </a:pPr>
      <a:endParaRPr lang="es-CO"/>
    </a:p>
  </c:txPr>
  <c:printSettings>
    <c:headerFooter alignWithMargins="0"/>
    <c:pageMargins b="1" l="0.75" r="0.75" t="1" header="0" footer="0"/>
    <c:pageSetup paperSize="9" orientation="landscape"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VTAS'!$A$2</c:f>
          <c:strCache>
            <c:ptCount val="1"/>
          </c:strCache>
        </c:strRef>
      </c:tx>
      <c:overlay val="0"/>
      <c:spPr>
        <a:noFill/>
        <a:ln w="25400">
          <a:noFill/>
        </a:ln>
      </c:spPr>
      <c:txPr>
        <a:bodyPr/>
        <a:lstStyle/>
        <a:p>
          <a:pPr>
            <a:defRPr sz="12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FF6600"/>
              </a:solidFill>
              <a:prstDash val="solid"/>
            </a:ln>
          </c:spPr>
          <c:marker>
            <c:symbol val="none"/>
          </c:marker>
          <c:val>
            <c:numRef>
              <c:f>'GRAFIC VTAS'!$B$2:$AL$2</c:f>
              <c:numCache>
                <c:formatCode>General</c:formatCode>
                <c:ptCount val="37"/>
              </c:numCache>
            </c:numRef>
          </c:val>
          <c:smooth val="1"/>
          <c:extLst>
            <c:ext xmlns:c16="http://schemas.microsoft.com/office/drawing/2014/chart" uri="{C3380CC4-5D6E-409C-BE32-E72D297353CC}">
              <c16:uniqueId val="{00000000-458D-4FF8-84A3-BBA20D06149E}"/>
            </c:ext>
          </c:extLst>
        </c:ser>
        <c:dLbls>
          <c:showLegendKey val="0"/>
          <c:showVal val="0"/>
          <c:showCatName val="0"/>
          <c:showSerName val="0"/>
          <c:showPercent val="0"/>
          <c:showBubbleSize val="0"/>
        </c:dLbls>
        <c:smooth val="0"/>
        <c:axId val="473013432"/>
        <c:axId val="1"/>
      </c:lineChart>
      <c:catAx>
        <c:axId val="473013432"/>
        <c:scaling>
          <c:orientation val="minMax"/>
        </c:scaling>
        <c:delete val="0"/>
        <c:axPos val="b"/>
        <c:title>
          <c:tx>
            <c:rich>
              <a:bodyPr/>
              <a:lstStyle/>
              <a:p>
                <a:pPr>
                  <a:defRPr sz="12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333333"/>
                </a:solidFill>
                <a:latin typeface="Arial"/>
                <a:ea typeface="Arial"/>
                <a:cs typeface="Arial"/>
              </a:defRPr>
            </a:pPr>
            <a:endParaRPr lang="es-CO"/>
          </a:p>
        </c:txPr>
        <c:crossAx val="473013432"/>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200" b="1" i="0" u="none" strike="noStrike" baseline="0">
          <a:solidFill>
            <a:srgbClr val="333333"/>
          </a:solidFill>
          <a:latin typeface="Arial"/>
          <a:ea typeface="Arial"/>
          <a:cs typeface="Arial"/>
        </a:defRPr>
      </a:pPr>
      <a:endParaRPr lang="es-CO"/>
    </a:p>
  </c:txPr>
  <c:printSettings>
    <c:headerFooter alignWithMargins="0"/>
    <c:pageMargins b="0.98425196850393704" l="0.74803149606299213" r="0.74803149606299213" t="0.98425196850393704" header="0" footer="0"/>
    <c:pageSetup orientation="landscape" horizontalDpi="0" verticalDpi="0"/>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5"/>
      <c:hPercent val="51"/>
      <c:rotY val="40"/>
      <c:depthPercent val="100"/>
      <c:rAngAx val="1"/>
    </c:view3D>
    <c:floor>
      <c:thickness val="0"/>
      <c:spPr>
        <a:solidFill>
          <a:srgbClr val="FFBB2D"/>
        </a:solidFill>
        <a:ln w="9525">
          <a:noFill/>
        </a:ln>
      </c:spPr>
    </c:floor>
    <c:sideWall>
      <c:thickness val="0"/>
      <c:spPr>
        <a:solidFill>
          <a:srgbClr val="FFBB2D"/>
        </a:solidFill>
        <a:ln w="25400">
          <a:noFill/>
        </a:ln>
      </c:spPr>
    </c:sideWall>
    <c:backWall>
      <c:thickness val="0"/>
      <c:spPr>
        <a:solidFill>
          <a:srgbClr val="FFBB2D"/>
        </a:solidFill>
        <a:ln w="25400">
          <a:noFill/>
        </a:ln>
      </c:spPr>
    </c:backWall>
    <c:plotArea>
      <c:layout>
        <c:manualLayout>
          <c:layoutTarget val="inner"/>
          <c:xMode val="edge"/>
          <c:yMode val="edge"/>
          <c:x val="6.4492759872704852E-4"/>
          <c:y val="9.5342508533518416E-4"/>
          <c:w val="0.8187548082896754"/>
          <c:h val="0.91167192429022081"/>
        </c:manualLayout>
      </c:layout>
      <c:bar3DChart>
        <c:barDir val="col"/>
        <c:grouping val="standard"/>
        <c:varyColors val="0"/>
        <c:ser>
          <c:idx val="0"/>
          <c:order val="0"/>
          <c:tx>
            <c:strRef>
              <c:f>VISUAL!$B$206</c:f>
              <c:strCache>
                <c:ptCount val="1"/>
                <c:pt idx="0">
                  <c:v>CARTERA</c:v>
                </c:pt>
              </c:strCache>
            </c:strRef>
          </c:tx>
          <c:spPr>
            <a:solidFill>
              <a:srgbClr val="9999FF"/>
            </a:solidFill>
            <a:ln w="12700">
              <a:solidFill>
                <a:srgbClr val="000000"/>
              </a:solidFill>
              <a:prstDash val="solid"/>
            </a:ln>
          </c:spPr>
          <c:invertIfNegative val="0"/>
          <c:dLbls>
            <c:dLbl>
              <c:idx val="0"/>
              <c:layout>
                <c:manualLayout>
                  <c:x val="4.7026068692755933E-2"/>
                  <c:y val="0.17670715450789476"/>
                </c:manualLayout>
              </c:layout>
              <c:numFmt formatCode="0.0%" sourceLinked="0"/>
              <c:spPr>
                <a:noFill/>
                <a:ln w="25400">
                  <a:noFill/>
                </a:ln>
              </c:spPr>
              <c:txPr>
                <a:bodyPr/>
                <a:lstStyle/>
                <a:p>
                  <a:pPr algn="ctr" rtl="0">
                    <a:defRPr sz="1075" b="0" i="0" u="none" strike="noStrike" baseline="0">
                      <a:solidFill>
                        <a:srgbClr val="333333"/>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87-4376-BF3B-73AD17339797}"/>
                </c:ext>
              </c:extLst>
            </c:dLbl>
            <c:dLbl>
              <c:idx val="1"/>
              <c:layout>
                <c:manualLayout>
                  <c:x val="3.5642638687335471E-2"/>
                  <c:y val="-8.6744992838040363E-3"/>
                </c:manualLayout>
              </c:layout>
              <c:numFmt formatCode="0.0%" sourceLinked="0"/>
              <c:spPr>
                <a:noFill/>
                <a:ln w="25400">
                  <a:noFill/>
                </a:ln>
              </c:spPr>
              <c:txPr>
                <a:bodyPr/>
                <a:lstStyle/>
                <a:p>
                  <a:pPr algn="ctr" rtl="0">
                    <a:defRPr sz="1075" b="0" i="0" u="none" strike="noStrike" baseline="0">
                      <a:solidFill>
                        <a:srgbClr val="333333"/>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87-4376-BF3B-73AD17339797}"/>
                </c:ext>
              </c:extLst>
            </c:dLbl>
            <c:dLbl>
              <c:idx val="2"/>
              <c:layout>
                <c:manualLayout>
                  <c:x val="3.5542747138639898E-2"/>
                  <c:y val="-1.813822168128032E-2"/>
                </c:manualLayout>
              </c:layout>
              <c:numFmt formatCode="0.0%" sourceLinked="0"/>
              <c:spPr>
                <a:noFill/>
                <a:ln w="25400">
                  <a:noFill/>
                </a:ln>
              </c:spPr>
              <c:txPr>
                <a:bodyPr/>
                <a:lstStyle/>
                <a:p>
                  <a:pPr algn="ctr" rtl="0">
                    <a:defRPr sz="1075" b="0" i="0" u="none" strike="noStrike" baseline="0">
                      <a:solidFill>
                        <a:srgbClr val="333333"/>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87-4376-BF3B-73AD17339797}"/>
                </c:ext>
              </c:extLst>
            </c:dLbl>
            <c:dLbl>
              <c:idx val="3"/>
              <c:layout>
                <c:manualLayout>
                  <c:x val="3.2206604521333539E-2"/>
                  <c:y val="-2.3653510188197373E-3"/>
                </c:manualLayout>
              </c:layout>
              <c:numFmt formatCode="0.0%" sourceLinked="0"/>
              <c:spPr>
                <a:noFill/>
                <a:ln w="25400">
                  <a:noFill/>
                </a:ln>
              </c:spPr>
              <c:txPr>
                <a:bodyPr/>
                <a:lstStyle/>
                <a:p>
                  <a:pPr algn="ctr" rtl="0">
                    <a:defRPr sz="1075" b="0" i="0" u="none" strike="noStrike" baseline="0">
                      <a:solidFill>
                        <a:srgbClr val="333333"/>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87-4376-BF3B-73AD17339797}"/>
                </c:ext>
              </c:extLst>
            </c:dLbl>
            <c:dLbl>
              <c:idx val="4"/>
              <c:layout>
                <c:manualLayout>
                  <c:x val="3.2106882854315288E-2"/>
                  <c:y val="-8.6744992838040363E-3"/>
                </c:manualLayout>
              </c:layout>
              <c:numFmt formatCode="0.0%" sourceLinked="0"/>
              <c:spPr>
                <a:noFill/>
                <a:ln w="25400">
                  <a:noFill/>
                </a:ln>
              </c:spPr>
              <c:txPr>
                <a:bodyPr/>
                <a:lstStyle/>
                <a:p>
                  <a:pPr algn="ctr" rtl="0">
                    <a:defRPr sz="1075" b="0" i="0" u="none" strike="noStrike" baseline="0">
                      <a:solidFill>
                        <a:srgbClr val="333333"/>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87-4376-BF3B-73AD17339797}"/>
                </c:ext>
              </c:extLst>
            </c:dLbl>
            <c:dLbl>
              <c:idx val="5"/>
              <c:layout>
                <c:manualLayout>
                  <c:x val="4.1715744511451935E-2"/>
                  <c:y val="-1.813822168128032E-2"/>
                </c:manualLayout>
              </c:layout>
              <c:numFmt formatCode="0.0%" sourceLinked="0"/>
              <c:spPr>
                <a:noFill/>
                <a:ln w="25400">
                  <a:noFill/>
                </a:ln>
              </c:spPr>
              <c:txPr>
                <a:bodyPr/>
                <a:lstStyle/>
                <a:p>
                  <a:pPr algn="ctr" rtl="0">
                    <a:defRPr sz="1075" b="0" i="0" u="none" strike="noStrike" baseline="0">
                      <a:solidFill>
                        <a:srgbClr val="333333"/>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87-4376-BF3B-73AD17339797}"/>
                </c:ext>
              </c:extLst>
            </c:dLbl>
            <c:numFmt formatCode="0.0%" sourceLinked="0"/>
            <c:spPr>
              <a:noFill/>
              <a:ln w="25400">
                <a:noFill/>
              </a:ln>
            </c:spPr>
            <c:txPr>
              <a:bodyPr wrap="square" lIns="38100" tIns="19050" rIns="38100" bIns="19050" anchor="ctr">
                <a:spAutoFit/>
              </a:bodyPr>
              <a:lstStyle/>
              <a:p>
                <a:pPr algn="ctr" rtl="0">
                  <a:defRPr sz="1075" b="0" i="0" u="none" strike="noStrike" baseline="0">
                    <a:solidFill>
                      <a:srgbClr val="333333"/>
                    </a:solidFill>
                    <a:latin typeface="Arial"/>
                    <a:ea typeface="Arial"/>
                    <a:cs typeface="Aria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VISUAL!$A$207:$A$212</c:f>
              <c:strCache>
                <c:ptCount val="6"/>
                <c:pt idx="0">
                  <c:v>CONTADO</c:v>
                </c:pt>
                <c:pt idx="1">
                  <c:v>30 DIAS</c:v>
                </c:pt>
                <c:pt idx="2">
                  <c:v>60 DIAS</c:v>
                </c:pt>
                <c:pt idx="3">
                  <c:v>90 DIAS</c:v>
                </c:pt>
                <c:pt idx="4">
                  <c:v>120 DIAS</c:v>
                </c:pt>
                <c:pt idx="5">
                  <c:v>150 DIAS</c:v>
                </c:pt>
              </c:strCache>
            </c:strRef>
          </c:cat>
          <c:val>
            <c:numRef>
              <c:f>VISUAL!$B$207:$B$212</c:f>
              <c:numCache>
                <c:formatCode>0%</c:formatCode>
                <c:ptCount val="6"/>
                <c:pt idx="0">
                  <c:v>0.1</c:v>
                </c:pt>
                <c:pt idx="1">
                  <c:v>0</c:v>
                </c:pt>
                <c:pt idx="2">
                  <c:v>0</c:v>
                </c:pt>
                <c:pt idx="3">
                  <c:v>0.8</c:v>
                </c:pt>
                <c:pt idx="4">
                  <c:v>0.1</c:v>
                </c:pt>
                <c:pt idx="5" formatCode="0.00%">
                  <c:v>0</c:v>
                </c:pt>
              </c:numCache>
            </c:numRef>
          </c:val>
          <c:extLst>
            <c:ext xmlns:c16="http://schemas.microsoft.com/office/drawing/2014/chart" uri="{C3380CC4-5D6E-409C-BE32-E72D297353CC}">
              <c16:uniqueId val="{00000006-E287-4376-BF3B-73AD17339797}"/>
            </c:ext>
          </c:extLst>
        </c:ser>
        <c:ser>
          <c:idx val="1"/>
          <c:order val="1"/>
          <c:tx>
            <c:strRef>
              <c:f>VISUAL!$C$206</c:f>
              <c:strCache>
                <c:ptCount val="1"/>
                <c:pt idx="0">
                  <c:v>PROVEEDORES</c:v>
                </c:pt>
              </c:strCache>
            </c:strRef>
          </c:tx>
          <c:spPr>
            <a:solidFill>
              <a:srgbClr val="993366"/>
            </a:solidFill>
            <a:ln w="12700">
              <a:solidFill>
                <a:srgbClr val="000000"/>
              </a:solidFill>
              <a:prstDash val="solid"/>
            </a:ln>
          </c:spPr>
          <c:invertIfNegative val="0"/>
          <c:dLbls>
            <c:dLbl>
              <c:idx val="0"/>
              <c:layout>
                <c:manualLayout>
                  <c:x val="7.8638319402017653E-2"/>
                  <c:y val="0.1195827020045207"/>
                </c:manualLayout>
              </c:layout>
              <c:numFmt formatCode="0.0%" sourceLinked="0"/>
              <c:spPr>
                <a:noFill/>
                <a:ln w="25400">
                  <a:noFill/>
                </a:ln>
              </c:spPr>
              <c:txPr>
                <a:bodyPr/>
                <a:lstStyle/>
                <a:p>
                  <a:pPr algn="ctr" rtl="0">
                    <a:defRPr sz="1075" b="0"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87-4376-BF3B-73AD17339797}"/>
                </c:ext>
              </c:extLst>
            </c:dLbl>
            <c:dLbl>
              <c:idx val="1"/>
              <c:layout>
                <c:manualLayout>
                  <c:x val="3.8128629779100552E-2"/>
                  <c:y val="-2.7944393386157874E-2"/>
                </c:manualLayout>
              </c:layout>
              <c:numFmt formatCode="0.0%" sourceLinked="0"/>
              <c:spPr>
                <a:noFill/>
                <a:ln w="25400">
                  <a:noFill/>
                </a:ln>
              </c:spPr>
              <c:txPr>
                <a:bodyPr/>
                <a:lstStyle/>
                <a:p>
                  <a:pPr algn="ctr" rtl="0">
                    <a:defRPr sz="1075" b="0"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87-4376-BF3B-73AD17339797}"/>
                </c:ext>
              </c:extLst>
            </c:dLbl>
            <c:dLbl>
              <c:idx val="2"/>
              <c:layout>
                <c:manualLayout>
                  <c:x val="4.9355616970542547E-2"/>
                  <c:y val="-2.7944393386157874E-2"/>
                </c:manualLayout>
              </c:layout>
              <c:numFmt formatCode="0.0%" sourceLinked="0"/>
              <c:spPr>
                <a:noFill/>
                <a:ln w="25400">
                  <a:noFill/>
                </a:ln>
              </c:spPr>
              <c:txPr>
                <a:bodyPr/>
                <a:lstStyle/>
                <a:p>
                  <a:pPr algn="ctr" rtl="0">
                    <a:defRPr sz="1075" b="0"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287-4376-BF3B-73AD17339797}"/>
                </c:ext>
              </c:extLst>
            </c:dLbl>
            <c:dLbl>
              <c:idx val="3"/>
              <c:layout>
                <c:manualLayout>
                  <c:x val="5.2492146372135055E-2"/>
                  <c:y val="-1.53260968561895E-2"/>
                </c:manualLayout>
              </c:layout>
              <c:numFmt formatCode="0.0%" sourceLinked="0"/>
              <c:spPr>
                <a:noFill/>
                <a:ln w="25400">
                  <a:noFill/>
                </a:ln>
              </c:spPr>
              <c:txPr>
                <a:bodyPr/>
                <a:lstStyle/>
                <a:p>
                  <a:pPr algn="ctr" rtl="0">
                    <a:defRPr sz="1075" b="0"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287-4376-BF3B-73AD17339797}"/>
                </c:ext>
              </c:extLst>
            </c:dLbl>
            <c:numFmt formatCode="0.0%" sourceLinked="0"/>
            <c:spPr>
              <a:noFill/>
              <a:ln w="25400">
                <a:noFill/>
              </a:ln>
            </c:spPr>
            <c:txPr>
              <a:bodyPr wrap="square" lIns="38100" tIns="19050" rIns="38100" bIns="19050" anchor="ctr">
                <a:spAutoFit/>
              </a:bodyPr>
              <a:lstStyle/>
              <a:p>
                <a:pPr algn="ctr" rtl="0">
                  <a:defRPr sz="1075" b="0"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VISUAL!$A$207:$A$212</c:f>
              <c:strCache>
                <c:ptCount val="6"/>
                <c:pt idx="0">
                  <c:v>CONTADO</c:v>
                </c:pt>
                <c:pt idx="1">
                  <c:v>30 DIAS</c:v>
                </c:pt>
                <c:pt idx="2">
                  <c:v>60 DIAS</c:v>
                </c:pt>
                <c:pt idx="3">
                  <c:v>90 DIAS</c:v>
                </c:pt>
                <c:pt idx="4">
                  <c:v>120 DIAS</c:v>
                </c:pt>
                <c:pt idx="5">
                  <c:v>150 DIAS</c:v>
                </c:pt>
              </c:strCache>
            </c:strRef>
          </c:cat>
          <c:val>
            <c:numRef>
              <c:f>VISUAL!$C$207:$C$212</c:f>
              <c:numCache>
                <c:formatCode>0.00%</c:formatCode>
                <c:ptCount val="6"/>
                <c:pt idx="0">
                  <c:v>1</c:v>
                </c:pt>
                <c:pt idx="1">
                  <c:v>0</c:v>
                </c:pt>
                <c:pt idx="2">
                  <c:v>0</c:v>
                </c:pt>
                <c:pt idx="3">
                  <c:v>0</c:v>
                </c:pt>
              </c:numCache>
            </c:numRef>
          </c:val>
          <c:extLst>
            <c:ext xmlns:c16="http://schemas.microsoft.com/office/drawing/2014/chart" uri="{C3380CC4-5D6E-409C-BE32-E72D297353CC}">
              <c16:uniqueId val="{0000000B-E287-4376-BF3B-73AD17339797}"/>
            </c:ext>
          </c:extLst>
        </c:ser>
        <c:dLbls>
          <c:showLegendKey val="0"/>
          <c:showVal val="0"/>
          <c:showCatName val="0"/>
          <c:showSerName val="0"/>
          <c:showPercent val="0"/>
          <c:showBubbleSize val="0"/>
        </c:dLbls>
        <c:gapWidth val="0"/>
        <c:gapDepth val="0"/>
        <c:shape val="cylinder"/>
        <c:axId val="537312048"/>
        <c:axId val="1"/>
        <c:axId val="2"/>
      </c:bar3DChart>
      <c:catAx>
        <c:axId val="53731204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7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1"/>
        <c:axPos val="l"/>
        <c:numFmt formatCode="0%" sourceLinked="1"/>
        <c:majorTickMark val="out"/>
        <c:minorTickMark val="none"/>
        <c:tickLblPos val="nextTo"/>
        <c:crossAx val="537312048"/>
        <c:crosses val="autoZero"/>
        <c:crossBetween val="between"/>
      </c:valAx>
      <c:serAx>
        <c:axId val="2"/>
        <c:scaling>
          <c:orientation val="minMax"/>
        </c:scaling>
        <c:delete val="0"/>
        <c:axPos val="b"/>
        <c:numFmt formatCode="General" sourceLinked="1"/>
        <c:majorTickMark val="out"/>
        <c:minorTickMark val="none"/>
        <c:tickLblPos val="low"/>
        <c:spPr>
          <a:ln w="3175">
            <a:solidFill>
              <a:srgbClr val="FFBB2D"/>
            </a:solidFill>
            <a:prstDash val="solid"/>
          </a:ln>
        </c:spPr>
        <c:txPr>
          <a:bodyPr rot="0" vert="horz"/>
          <a:lstStyle/>
          <a:p>
            <a:pPr>
              <a:defRPr sz="1100" b="1" i="0" u="none" strike="noStrike" baseline="0">
                <a:solidFill>
                  <a:srgbClr val="FF0000"/>
                </a:solidFill>
                <a:latin typeface="Arial Narrow"/>
                <a:ea typeface="Arial Narrow"/>
                <a:cs typeface="Arial Narrow"/>
              </a:defRPr>
            </a:pPr>
            <a:endParaRPr lang="es-CO"/>
          </a:p>
        </c:txPr>
        <c:crossAx val="1"/>
        <c:crosses val="autoZero"/>
        <c:tickLblSkip val="1"/>
        <c:tickMarkSkip val="1"/>
      </c:serAx>
      <c:spPr>
        <a:solidFill>
          <a:srgbClr val="FFBB2D"/>
        </a:solidFill>
        <a:ln w="25400">
          <a:noFill/>
        </a:ln>
      </c:spPr>
    </c:plotArea>
    <c:plotVisOnly val="1"/>
    <c:dispBlanksAs val="gap"/>
    <c:showDLblsOverMax val="0"/>
  </c:chart>
  <c:spPr>
    <a:solidFill>
      <a:srgbClr val="FFBB2D"/>
    </a:solidFill>
    <a:ln w="9525">
      <a:noFill/>
    </a:ln>
  </c:spPr>
  <c:txPr>
    <a:bodyPr/>
    <a:lstStyle/>
    <a:p>
      <a:pPr>
        <a:defRPr sz="1025" b="0" i="0" u="none" strike="noStrike" baseline="0">
          <a:solidFill>
            <a:srgbClr val="333333"/>
          </a:solidFill>
          <a:latin typeface="Arial"/>
          <a:ea typeface="Arial"/>
          <a:cs typeface="Arial"/>
        </a:defRPr>
      </a:pPr>
      <a:endParaRPr lang="es-CO"/>
    </a:p>
  </c:txPr>
  <c:printSettings>
    <c:headerFooter alignWithMargins="0"/>
    <c:pageMargins b="1" l="0.75" r="0.75" t="1" header="0.5" footer="0.5"/>
    <c:pageSetup paperSize="9" orientation="landscape" horizontalDpi="0" verticalDpi="0"/>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0000"/>
                </a:solidFill>
                <a:latin typeface="Arial"/>
                <a:ea typeface="Arial"/>
                <a:cs typeface="Arial"/>
              </a:defRPr>
            </a:pPr>
            <a:r>
              <a:rPr lang="es-CO"/>
              <a:t>RAZON CORRIENTE</a:t>
            </a:r>
          </a:p>
        </c:rich>
      </c:tx>
      <c:layout>
        <c:manualLayout>
          <c:xMode val="edge"/>
          <c:yMode val="edge"/>
          <c:x val="0.36446954864094583"/>
          <c:y val="3.5587239292249356E-2"/>
        </c:manualLayout>
      </c:layout>
      <c:overlay val="0"/>
      <c:spPr>
        <a:noFill/>
        <a:ln w="25400">
          <a:noFill/>
        </a:ln>
      </c:spPr>
    </c:title>
    <c:autoTitleDeleted val="0"/>
    <c:view3D>
      <c:rotX val="45"/>
      <c:hPercent val="50"/>
      <c:rotY val="0"/>
      <c:depthPercent val="20"/>
      <c:rAngAx val="0"/>
      <c:perspective val="0"/>
    </c:view3D>
    <c:floor>
      <c:thickness val="0"/>
      <c:spPr>
        <a:solidFill>
          <a:srgbClr val="C0C0C0"/>
        </a:solidFill>
        <a:ln w="3175">
          <a:solidFill>
            <a:srgbClr val="00000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2.2531530744514167E-2"/>
          <c:y val="0.18916712196507665"/>
          <c:w val="0.95598066158867256"/>
          <c:h val="0.66743871334847804"/>
        </c:manualLayout>
      </c:layout>
      <c:bar3DChart>
        <c:barDir val="col"/>
        <c:grouping val="clustered"/>
        <c:varyColors val="0"/>
        <c:ser>
          <c:idx val="0"/>
          <c:order val="0"/>
          <c:tx>
            <c:strRef>
              <c:f>ayuda!$B$191</c:f>
              <c:strCache>
                <c:ptCount val="1"/>
                <c:pt idx="0">
                  <c:v>razon corriente</c:v>
                </c:pt>
              </c:strCache>
            </c:strRef>
          </c:tx>
          <c:spPr>
            <a:solidFill>
              <a:srgbClr val="9999FF"/>
            </a:solidFill>
            <a:ln w="12700">
              <a:solidFill>
                <a:srgbClr val="000000"/>
              </a:solidFill>
              <a:prstDash val="solid"/>
            </a:ln>
          </c:spPr>
          <c:invertIfNegative val="0"/>
          <c:dLbls>
            <c:dLbl>
              <c:idx val="0"/>
              <c:layout>
                <c:manualLayout>
                  <c:x val="-5.9159608005245681E-3"/>
                  <c:y val="-5.2325309870074124E-2"/>
                </c:manualLayout>
              </c:layout>
              <c:numFmt formatCode="#,##0.00_ ;[Red]\-#,##0.00\ " sourceLinked="0"/>
              <c:spPr>
                <a:noFill/>
                <a:ln w="25400">
                  <a:noFill/>
                </a:ln>
              </c:spPr>
              <c:txPr>
                <a:bodyPr/>
                <a:lstStyle/>
                <a:p>
                  <a:pPr algn="ctr" rtl="0">
                    <a:defRPr sz="1200" b="1"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22-42F2-A8D4-D1FC04A7EDF2}"/>
                </c:ext>
              </c:extLst>
            </c:dLbl>
            <c:dLbl>
              <c:idx val="1"/>
              <c:layout>
                <c:manualLayout>
                  <c:x val="5.180675473007003E-4"/>
                  <c:y val="0.1256106331904242"/>
                </c:manualLayout>
              </c:layout>
              <c:numFmt formatCode="#,##0.00_ ;[Red]\-#,##0.00\ " sourceLinked="0"/>
              <c:spPr>
                <a:noFill/>
                <a:ln w="25400">
                  <a:noFill/>
                </a:ln>
              </c:spPr>
              <c:txPr>
                <a:bodyPr/>
                <a:lstStyle/>
                <a:p>
                  <a:pPr algn="ctr" rtl="0">
                    <a:defRPr sz="1200" b="1"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22-42F2-A8D4-D1FC04A7EDF2}"/>
                </c:ext>
              </c:extLst>
            </c:dLbl>
            <c:dLbl>
              <c:idx val="2"/>
              <c:layout>
                <c:manualLayout>
                  <c:x val="-9.5497170178660707E-3"/>
                  <c:y val="-0.12060189985148655"/>
                </c:manualLayout>
              </c:layout>
              <c:numFmt formatCode="#,##0.00_ ;[Red]\-#,##0.00\ " sourceLinked="0"/>
              <c:spPr>
                <a:noFill/>
                <a:ln w="25400">
                  <a:noFill/>
                </a:ln>
              </c:spPr>
              <c:txPr>
                <a:bodyPr/>
                <a:lstStyle/>
                <a:p>
                  <a:pPr algn="ctr" rtl="0">
                    <a:defRPr sz="1200" b="1"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22-42F2-A8D4-D1FC04A7EDF2}"/>
                </c:ext>
              </c:extLst>
            </c:dLbl>
            <c:dLbl>
              <c:idx val="3"/>
              <c:layout>
                <c:manualLayout>
                  <c:x val="-1.4608922433986078E-3"/>
                  <c:y val="-8.8527848609671125E-2"/>
                </c:manualLayout>
              </c:layout>
              <c:numFmt formatCode="#,##0.00_ ;[Red]\-#,##0.00\ " sourceLinked="0"/>
              <c:spPr>
                <a:noFill/>
                <a:ln w="25400">
                  <a:noFill/>
                </a:ln>
              </c:spPr>
              <c:txPr>
                <a:bodyPr/>
                <a:lstStyle/>
                <a:p>
                  <a:pPr algn="ctr" rtl="0">
                    <a:defRPr sz="1200" b="1"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22-42F2-A8D4-D1FC04A7EDF2}"/>
                </c:ext>
              </c:extLst>
            </c:dLbl>
            <c:numFmt formatCode="#,##0.00_ ;[Red]\-#,##0.00\ " sourceLinked="0"/>
            <c:spPr>
              <a:noFill/>
              <a:ln w="25400">
                <a:noFill/>
              </a:ln>
            </c:spPr>
            <c:txPr>
              <a:bodyPr wrap="square" lIns="38100" tIns="19050" rIns="38100" bIns="19050" anchor="ctr">
                <a:spAutoFit/>
              </a:bodyPr>
              <a:lstStyle/>
              <a:p>
                <a:pPr algn="ctr" rtl="0">
                  <a:defRPr sz="1200" b="1" i="0" u="none" strike="noStrike" baseline="0">
                    <a:solidFill>
                      <a:srgbClr val="FFFFFF"/>
                    </a:solidFill>
                    <a:latin typeface="Arial"/>
                    <a:ea typeface="Arial"/>
                    <a:cs typeface="Aria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ayuda!$C$190:$F$190</c:f>
              <c:strCache>
                <c:ptCount val="4"/>
                <c:pt idx="0">
                  <c:v>AÑO 0</c:v>
                </c:pt>
                <c:pt idx="1">
                  <c:v>AÑO 1</c:v>
                </c:pt>
                <c:pt idx="2">
                  <c:v>AÑO 2</c:v>
                </c:pt>
                <c:pt idx="3">
                  <c:v>AÑO 3</c:v>
                </c:pt>
              </c:strCache>
            </c:strRef>
          </c:cat>
          <c:val>
            <c:numRef>
              <c:f>ayuda!$C$191:$F$191</c:f>
              <c:numCache>
                <c:formatCode>#,##0.00</c:formatCode>
                <c:ptCount val="4"/>
                <c:pt idx="0">
                  <c:v>0</c:v>
                </c:pt>
                <c:pt idx="1">
                  <c:v>0</c:v>
                </c:pt>
                <c:pt idx="2">
                  <c:v>0</c:v>
                </c:pt>
                <c:pt idx="3">
                  <c:v>13.81657086176565</c:v>
                </c:pt>
              </c:numCache>
            </c:numRef>
          </c:val>
          <c:extLst>
            <c:ext xmlns:c16="http://schemas.microsoft.com/office/drawing/2014/chart" uri="{C3380CC4-5D6E-409C-BE32-E72D297353CC}">
              <c16:uniqueId val="{00000004-7122-42F2-A8D4-D1FC04A7EDF2}"/>
            </c:ext>
          </c:extLst>
        </c:ser>
        <c:dLbls>
          <c:showLegendKey val="0"/>
          <c:showVal val="0"/>
          <c:showCatName val="0"/>
          <c:showSerName val="0"/>
          <c:showPercent val="0"/>
          <c:showBubbleSize val="0"/>
        </c:dLbls>
        <c:gapWidth val="40"/>
        <c:gapDepth val="0"/>
        <c:shape val="cylinder"/>
        <c:axId val="537313688"/>
        <c:axId val="1"/>
        <c:axId val="0"/>
      </c:bar3DChart>
      <c:catAx>
        <c:axId val="53731368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1"/>
      </c:catAx>
      <c:valAx>
        <c:axId val="1"/>
        <c:scaling>
          <c:orientation val="minMax"/>
        </c:scaling>
        <c:delete val="1"/>
        <c:axPos val="l"/>
        <c:numFmt formatCode="#,##0.00" sourceLinked="1"/>
        <c:majorTickMark val="out"/>
        <c:minorTickMark val="none"/>
        <c:tickLblPos val="nextTo"/>
        <c:crossAx val="537313688"/>
        <c:crosses val="autoZero"/>
        <c:crossBetween val="between"/>
      </c:valAx>
      <c:spPr>
        <a:noFill/>
        <a:ln w="25400">
          <a:noFill/>
        </a:ln>
      </c:spPr>
    </c:plotArea>
    <c:plotVisOnly val="1"/>
    <c:dispBlanksAs val="gap"/>
    <c:showDLblsOverMax val="0"/>
  </c:chart>
  <c:spPr>
    <a:solidFill>
      <a:srgbClr val="FFBB2D"/>
    </a:solidFill>
    <a:ln w="9525">
      <a:noFill/>
    </a:ln>
  </c:spPr>
  <c:txPr>
    <a:bodyPr/>
    <a:lstStyle/>
    <a:p>
      <a:pPr>
        <a:defRPr sz="1000" b="0" i="0" u="none" strike="noStrike" baseline="0">
          <a:solidFill>
            <a:srgbClr val="333333"/>
          </a:solidFill>
          <a:latin typeface="Arial"/>
          <a:ea typeface="Arial"/>
          <a:cs typeface="Arial"/>
        </a:defRPr>
      </a:pPr>
      <a:endParaRPr lang="es-CO"/>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0000"/>
                </a:solidFill>
                <a:latin typeface="Arial"/>
                <a:ea typeface="Arial"/>
                <a:cs typeface="Arial"/>
              </a:defRPr>
            </a:pPr>
            <a:r>
              <a:rPr lang="es-CO"/>
              <a:t>NIVEL DE ENDEUDAMIENTO</a:t>
            </a:r>
          </a:p>
        </c:rich>
      </c:tx>
      <c:layout>
        <c:manualLayout>
          <c:xMode val="edge"/>
          <c:yMode val="edge"/>
          <c:x val="0.28564487578587561"/>
          <c:y val="1.975624334086952E-2"/>
        </c:manualLayout>
      </c:layout>
      <c:overlay val="0"/>
      <c:spPr>
        <a:noFill/>
        <a:ln w="25400">
          <a:noFill/>
        </a:ln>
      </c:spPr>
    </c:title>
    <c:autoTitleDeleted val="0"/>
    <c:view3D>
      <c:rotX val="15"/>
      <c:hPercent val="46"/>
      <c:rotY val="20"/>
      <c:depthPercent val="160"/>
      <c:rAngAx val="1"/>
    </c:view3D>
    <c:floor>
      <c:thickness val="0"/>
      <c:spPr>
        <a:gradFill rotWithShape="0">
          <a:gsLst>
            <a:gs pos="0">
              <a:srgbClr val="FF6600"/>
            </a:gs>
            <a:gs pos="100000">
              <a:srgbClr val="FFBB2D"/>
            </a:gs>
          </a:gsLst>
          <a:path path="rect">
            <a:fillToRect l="100000" b="100000"/>
          </a:path>
        </a:gradFill>
        <a:ln w="3175">
          <a:solidFill>
            <a:srgbClr val="00000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7.8267495575849319E-2"/>
          <c:y val="0.17780435925509697"/>
          <c:w val="0.88809648041167799"/>
          <c:h val="0.68816872378361604"/>
        </c:manualLayout>
      </c:layout>
      <c:bar3DChart>
        <c:barDir val="col"/>
        <c:grouping val="clustered"/>
        <c:varyColors val="0"/>
        <c:ser>
          <c:idx val="0"/>
          <c:order val="0"/>
          <c:tx>
            <c:strRef>
              <c:f>ayuda!$B$192</c:f>
              <c:strCache>
                <c:ptCount val="1"/>
                <c:pt idx="0">
                  <c:v>Nivel de endeudamiento</c:v>
                </c:pt>
              </c:strCache>
            </c:strRef>
          </c:tx>
          <c:spPr>
            <a:solidFill>
              <a:srgbClr val="9999FF"/>
            </a:solidFill>
            <a:ln w="12700">
              <a:solidFill>
                <a:srgbClr val="000000"/>
              </a:solidFill>
              <a:prstDash val="solid"/>
            </a:ln>
          </c:spPr>
          <c:invertIfNegative val="0"/>
          <c:dLbls>
            <c:dLbl>
              <c:idx val="0"/>
              <c:layout>
                <c:manualLayout>
                  <c:x val="3.4571740238459291E-2"/>
                  <c:y val="-0.11298086279959406"/>
                </c:manualLayout>
              </c:layout>
              <c:numFmt formatCode="0.00%" sourceLinked="0"/>
              <c:spPr>
                <a:noFill/>
                <a:ln w="25400">
                  <a:noFill/>
                </a:ln>
              </c:spPr>
              <c:txPr>
                <a:bodyPr/>
                <a:lstStyle/>
                <a:p>
                  <a:pPr algn="ctr" rtl="0">
                    <a:defRPr sz="1200" b="1" i="0" u="none" strike="noStrike" baseline="0">
                      <a:solidFill>
                        <a:srgbClr val="800000"/>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1C-4574-954C-CD99A7B9F8C6}"/>
                </c:ext>
              </c:extLst>
            </c:dLbl>
            <c:dLbl>
              <c:idx val="1"/>
              <c:layout>
                <c:manualLayout>
                  <c:x val="5.4817082969890886E-2"/>
                  <c:y val="-9.4547740711538666E-2"/>
                </c:manualLayout>
              </c:layout>
              <c:numFmt formatCode="0.00%" sourceLinked="0"/>
              <c:spPr>
                <a:noFill/>
                <a:ln w="25400">
                  <a:noFill/>
                </a:ln>
              </c:spPr>
              <c:txPr>
                <a:bodyPr/>
                <a:lstStyle/>
                <a:p>
                  <a:pPr algn="ctr" rtl="0">
                    <a:defRPr sz="1200" b="1" i="0" u="none" strike="noStrike" baseline="0">
                      <a:solidFill>
                        <a:srgbClr val="800000"/>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1C-4574-954C-CD99A7B9F8C6}"/>
                </c:ext>
              </c:extLst>
            </c:dLbl>
            <c:dLbl>
              <c:idx val="2"/>
              <c:layout>
                <c:manualLayout>
                  <c:x val="3.3550642830263294E-2"/>
                  <c:y val="0.1755840253002478"/>
                </c:manualLayout>
              </c:layout>
              <c:numFmt formatCode="0.00%" sourceLinked="0"/>
              <c:spPr>
                <a:noFill/>
                <a:ln w="25400">
                  <a:noFill/>
                </a:ln>
              </c:spPr>
              <c:txPr>
                <a:bodyPr/>
                <a:lstStyle/>
                <a:p>
                  <a:pPr algn="ctr" rtl="0">
                    <a:defRPr sz="1200" b="1" i="0" u="none" strike="noStrike" baseline="0">
                      <a:solidFill>
                        <a:srgbClr val="800000"/>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1C-4574-954C-CD99A7B9F8C6}"/>
                </c:ext>
              </c:extLst>
            </c:dLbl>
            <c:dLbl>
              <c:idx val="3"/>
              <c:layout>
                <c:manualLayout>
                  <c:x val="4.4428502698505686E-2"/>
                  <c:y val="0.17941075853421046"/>
                </c:manualLayout>
              </c:layout>
              <c:numFmt formatCode="0.00%" sourceLinked="0"/>
              <c:spPr>
                <a:noFill/>
                <a:ln w="25400">
                  <a:noFill/>
                </a:ln>
              </c:spPr>
              <c:txPr>
                <a:bodyPr/>
                <a:lstStyle/>
                <a:p>
                  <a:pPr algn="ctr" rtl="0">
                    <a:defRPr sz="1200" b="1" i="0" u="none" strike="noStrike" baseline="0">
                      <a:solidFill>
                        <a:srgbClr val="800000"/>
                      </a:solidFill>
                      <a:latin typeface="Arial"/>
                      <a:ea typeface="Arial"/>
                      <a:cs typeface="Aria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1C-4574-954C-CD99A7B9F8C6}"/>
                </c:ext>
              </c:extLst>
            </c:dLbl>
            <c:numFmt formatCode="0.00%" sourceLinked="0"/>
            <c:spPr>
              <a:noFill/>
              <a:ln w="25400">
                <a:noFill/>
              </a:ln>
            </c:spPr>
            <c:txPr>
              <a:bodyPr wrap="square" lIns="38100" tIns="19050" rIns="38100" bIns="19050" anchor="ctr">
                <a:spAutoFit/>
              </a:bodyPr>
              <a:lstStyle/>
              <a:p>
                <a:pPr algn="ctr" rtl="0">
                  <a:defRPr sz="1200" b="1" i="0" u="none" strike="noStrike" baseline="0">
                    <a:solidFill>
                      <a:srgbClr val="800000"/>
                    </a:solidFill>
                    <a:latin typeface="Arial"/>
                    <a:ea typeface="Arial"/>
                    <a:cs typeface="Aria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ayuda!$C$190:$F$190</c:f>
              <c:strCache>
                <c:ptCount val="4"/>
                <c:pt idx="0">
                  <c:v>AÑO 0</c:v>
                </c:pt>
                <c:pt idx="1">
                  <c:v>AÑO 1</c:v>
                </c:pt>
                <c:pt idx="2">
                  <c:v>AÑO 2</c:v>
                </c:pt>
                <c:pt idx="3">
                  <c:v>AÑO 3</c:v>
                </c:pt>
              </c:strCache>
            </c:strRef>
          </c:cat>
          <c:val>
            <c:numRef>
              <c:f>ayuda!$C$192:$F$192</c:f>
              <c:numCache>
                <c:formatCode>#,##0.00</c:formatCode>
                <c:ptCount val="4"/>
                <c:pt idx="0">
                  <c:v>0</c:v>
                </c:pt>
                <c:pt idx="1">
                  <c:v>0</c:v>
                </c:pt>
                <c:pt idx="2">
                  <c:v>0</c:v>
                </c:pt>
                <c:pt idx="3">
                  <c:v>6.6406350165245445E-2</c:v>
                </c:pt>
              </c:numCache>
            </c:numRef>
          </c:val>
          <c:extLst>
            <c:ext xmlns:c16="http://schemas.microsoft.com/office/drawing/2014/chart" uri="{C3380CC4-5D6E-409C-BE32-E72D297353CC}">
              <c16:uniqueId val="{00000004-181C-4574-954C-CD99A7B9F8C6}"/>
            </c:ext>
          </c:extLst>
        </c:ser>
        <c:dLbls>
          <c:showLegendKey val="0"/>
          <c:showVal val="0"/>
          <c:showCatName val="0"/>
          <c:showSerName val="0"/>
          <c:showPercent val="0"/>
          <c:showBubbleSize val="0"/>
        </c:dLbls>
        <c:gapWidth val="50"/>
        <c:gapDepth val="0"/>
        <c:shape val="cylinder"/>
        <c:axId val="537354368"/>
        <c:axId val="1"/>
        <c:axId val="0"/>
      </c:bar3DChart>
      <c:catAx>
        <c:axId val="53735436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75"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75" b="1" i="0" u="none" strike="noStrike" baseline="0">
                <a:solidFill>
                  <a:srgbClr val="333333"/>
                </a:solidFill>
                <a:latin typeface="Arial"/>
                <a:ea typeface="Arial"/>
                <a:cs typeface="Arial"/>
              </a:defRPr>
            </a:pPr>
            <a:endParaRPr lang="es-CO"/>
          </a:p>
        </c:txPr>
        <c:crossAx val="537354368"/>
        <c:crosses val="autoZero"/>
        <c:crossBetween val="between"/>
      </c:valAx>
      <c:spPr>
        <a:solidFill>
          <a:srgbClr val="FFBB2D"/>
        </a:solidFill>
        <a:ln w="25400">
          <a:noFill/>
        </a:ln>
      </c:spPr>
    </c:plotArea>
    <c:plotVisOnly val="1"/>
    <c:dispBlanksAs val="gap"/>
    <c:showDLblsOverMax val="0"/>
  </c:chart>
  <c:spPr>
    <a:solidFill>
      <a:srgbClr val="FFBB2D"/>
    </a:solidFill>
    <a:ln w="9525">
      <a:noFill/>
    </a:ln>
  </c:spPr>
  <c:txPr>
    <a:bodyPr/>
    <a:lstStyle/>
    <a:p>
      <a:pPr>
        <a:defRPr sz="1075" b="0"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VTAS'!$A$3</c:f>
          <c:strCache>
            <c:ptCount val="1"/>
          </c:strCache>
        </c:strRef>
      </c:tx>
      <c:overlay val="0"/>
      <c:spPr>
        <a:noFill/>
        <a:ln w="25400">
          <a:noFill/>
        </a:ln>
      </c:spPr>
      <c:txPr>
        <a:bodyPr/>
        <a:lstStyle/>
        <a:p>
          <a:pPr>
            <a:defRPr sz="12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008000"/>
              </a:solidFill>
              <a:prstDash val="solid"/>
            </a:ln>
          </c:spPr>
          <c:marker>
            <c:symbol val="none"/>
          </c:marker>
          <c:val>
            <c:numRef>
              <c:f>'GRAFIC VTAS'!$B$3:$AL$3</c:f>
              <c:numCache>
                <c:formatCode>General</c:formatCode>
                <c:ptCount val="37"/>
              </c:numCache>
            </c:numRef>
          </c:val>
          <c:smooth val="1"/>
          <c:extLst>
            <c:ext xmlns:c16="http://schemas.microsoft.com/office/drawing/2014/chart" uri="{C3380CC4-5D6E-409C-BE32-E72D297353CC}">
              <c16:uniqueId val="{00000000-14A1-4EA2-973C-C6C32999A6A5}"/>
            </c:ext>
          </c:extLst>
        </c:ser>
        <c:dLbls>
          <c:showLegendKey val="0"/>
          <c:showVal val="0"/>
          <c:showCatName val="0"/>
          <c:showSerName val="0"/>
          <c:showPercent val="0"/>
          <c:showBubbleSize val="0"/>
        </c:dLbls>
        <c:smooth val="0"/>
        <c:axId val="539715216"/>
        <c:axId val="1"/>
      </c:lineChart>
      <c:catAx>
        <c:axId val="539715216"/>
        <c:scaling>
          <c:orientation val="minMax"/>
        </c:scaling>
        <c:delete val="0"/>
        <c:axPos val="b"/>
        <c:title>
          <c:tx>
            <c:rich>
              <a:bodyPr/>
              <a:lstStyle/>
              <a:p>
                <a:pPr>
                  <a:defRPr sz="12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333333"/>
                </a:solidFill>
                <a:latin typeface="Arial"/>
                <a:ea typeface="Arial"/>
                <a:cs typeface="Arial"/>
              </a:defRPr>
            </a:pPr>
            <a:endParaRPr lang="es-CO"/>
          </a:p>
        </c:txPr>
        <c:crossAx val="539715216"/>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2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VTAS'!$A$4</c:f>
          <c:strCache>
            <c:ptCount val="1"/>
          </c:strCache>
        </c:strRef>
      </c:tx>
      <c:overlay val="0"/>
      <c:spPr>
        <a:noFill/>
        <a:ln w="25400">
          <a:noFill/>
        </a:ln>
      </c:spPr>
      <c:txPr>
        <a:bodyPr/>
        <a:lstStyle/>
        <a:p>
          <a:pPr>
            <a:defRPr sz="10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333333"/>
              </a:solidFill>
              <a:prstDash val="solid"/>
            </a:ln>
          </c:spPr>
          <c:marker>
            <c:symbol val="none"/>
          </c:marker>
          <c:val>
            <c:numRef>
              <c:f>'GRAFIC VTAS'!$B$4:$AL$4</c:f>
              <c:numCache>
                <c:formatCode>General</c:formatCode>
                <c:ptCount val="37"/>
              </c:numCache>
            </c:numRef>
          </c:val>
          <c:smooth val="1"/>
          <c:extLst>
            <c:ext xmlns:c16="http://schemas.microsoft.com/office/drawing/2014/chart" uri="{C3380CC4-5D6E-409C-BE32-E72D297353CC}">
              <c16:uniqueId val="{00000000-0DCB-423F-AAA4-E93CCCC91D4F}"/>
            </c:ext>
          </c:extLst>
        </c:ser>
        <c:dLbls>
          <c:showLegendKey val="0"/>
          <c:showVal val="0"/>
          <c:showCatName val="0"/>
          <c:showSerName val="0"/>
          <c:showPercent val="0"/>
          <c:showBubbleSize val="0"/>
        </c:dLbls>
        <c:smooth val="0"/>
        <c:axId val="539716200"/>
        <c:axId val="1"/>
      </c:lineChart>
      <c:catAx>
        <c:axId val="539716200"/>
        <c:scaling>
          <c:orientation val="minMax"/>
        </c:scaling>
        <c:delete val="0"/>
        <c:axPos val="b"/>
        <c:title>
          <c:tx>
            <c:rich>
              <a:bodyPr/>
              <a:lstStyle/>
              <a:p>
                <a:pPr>
                  <a:defRPr sz="10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539716200"/>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0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VTAS'!$A$5</c:f>
          <c:strCache>
            <c:ptCount val="1"/>
          </c:strCache>
        </c:strRef>
      </c:tx>
      <c:overlay val="0"/>
      <c:spPr>
        <a:noFill/>
        <a:ln w="25400">
          <a:noFill/>
        </a:ln>
      </c:spPr>
      <c:txPr>
        <a:bodyPr/>
        <a:lstStyle/>
        <a:p>
          <a:pPr>
            <a:defRPr sz="1000" b="0"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0000FF"/>
              </a:solidFill>
              <a:prstDash val="solid"/>
            </a:ln>
          </c:spPr>
          <c:marker>
            <c:symbol val="none"/>
          </c:marker>
          <c:val>
            <c:numRef>
              <c:f>'GRAFIC VTAS'!$B$5:$AL$5</c:f>
              <c:numCache>
                <c:formatCode>General</c:formatCode>
                <c:ptCount val="37"/>
              </c:numCache>
            </c:numRef>
          </c:val>
          <c:smooth val="1"/>
          <c:extLst>
            <c:ext xmlns:c16="http://schemas.microsoft.com/office/drawing/2014/chart" uri="{C3380CC4-5D6E-409C-BE32-E72D297353CC}">
              <c16:uniqueId val="{00000000-2FC4-40C3-A107-ED64F28A7EF0}"/>
            </c:ext>
          </c:extLst>
        </c:ser>
        <c:dLbls>
          <c:showLegendKey val="0"/>
          <c:showVal val="0"/>
          <c:showCatName val="0"/>
          <c:showSerName val="0"/>
          <c:showPercent val="0"/>
          <c:showBubbleSize val="0"/>
        </c:dLbls>
        <c:smooth val="0"/>
        <c:axId val="541186792"/>
        <c:axId val="1"/>
      </c:lineChart>
      <c:catAx>
        <c:axId val="541186792"/>
        <c:scaling>
          <c:orientation val="minMax"/>
        </c:scaling>
        <c:delete val="0"/>
        <c:axPos val="b"/>
        <c:title>
          <c:tx>
            <c:rich>
              <a:bodyPr/>
              <a:lstStyle/>
              <a:p>
                <a:pPr>
                  <a:defRPr sz="1000" b="0"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333333"/>
                </a:solidFill>
                <a:latin typeface="Arial"/>
                <a:ea typeface="Arial"/>
                <a:cs typeface="Arial"/>
              </a:defRPr>
            </a:pPr>
            <a:endParaRPr lang="es-CO"/>
          </a:p>
        </c:txPr>
        <c:crossAx val="541186792"/>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000" b="0"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VTAS'!$A$6</c:f>
          <c:strCache>
            <c:ptCount val="1"/>
          </c:strCache>
        </c:strRef>
      </c:tx>
      <c:overlay val="0"/>
      <c:spPr>
        <a:noFill/>
        <a:ln w="25400">
          <a:noFill/>
        </a:ln>
      </c:spPr>
      <c:txPr>
        <a:bodyPr/>
        <a:lstStyle/>
        <a:p>
          <a:pPr>
            <a:defRPr sz="10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800080"/>
              </a:solidFill>
              <a:prstDash val="solid"/>
            </a:ln>
          </c:spPr>
          <c:marker>
            <c:symbol val="none"/>
          </c:marker>
          <c:val>
            <c:numRef>
              <c:f>'GRAFIC VTAS'!$B$6:$AL$6</c:f>
              <c:numCache>
                <c:formatCode>General</c:formatCode>
                <c:ptCount val="37"/>
              </c:numCache>
            </c:numRef>
          </c:val>
          <c:smooth val="1"/>
          <c:extLst>
            <c:ext xmlns:c16="http://schemas.microsoft.com/office/drawing/2014/chart" uri="{C3380CC4-5D6E-409C-BE32-E72D297353CC}">
              <c16:uniqueId val="{00000000-04B9-4E41-8DB1-FCBA113E0D62}"/>
            </c:ext>
          </c:extLst>
        </c:ser>
        <c:dLbls>
          <c:showLegendKey val="0"/>
          <c:showVal val="0"/>
          <c:showCatName val="0"/>
          <c:showSerName val="0"/>
          <c:showPercent val="0"/>
          <c:showBubbleSize val="0"/>
        </c:dLbls>
        <c:smooth val="0"/>
        <c:axId val="541184496"/>
        <c:axId val="1"/>
      </c:lineChart>
      <c:catAx>
        <c:axId val="541184496"/>
        <c:scaling>
          <c:orientation val="minMax"/>
        </c:scaling>
        <c:delete val="0"/>
        <c:axPos val="b"/>
        <c:title>
          <c:tx>
            <c:rich>
              <a:bodyPr/>
              <a:lstStyle/>
              <a:p>
                <a:pPr>
                  <a:defRPr sz="10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541184496"/>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0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VTAS'!$A$7</c:f>
          <c:strCache>
            <c:ptCount val="1"/>
          </c:strCache>
        </c:strRef>
      </c:tx>
      <c:overlay val="0"/>
      <c:spPr>
        <a:noFill/>
        <a:ln w="25400">
          <a:noFill/>
        </a:ln>
      </c:spPr>
      <c:txPr>
        <a:bodyPr/>
        <a:lstStyle/>
        <a:p>
          <a:pPr>
            <a:defRPr sz="10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FF00FF"/>
              </a:solidFill>
              <a:prstDash val="solid"/>
            </a:ln>
          </c:spPr>
          <c:marker>
            <c:symbol val="none"/>
          </c:marker>
          <c:val>
            <c:numRef>
              <c:f>'GRAFIC VTAS'!$B$7:$AL$7</c:f>
              <c:numCache>
                <c:formatCode>General</c:formatCode>
                <c:ptCount val="37"/>
              </c:numCache>
            </c:numRef>
          </c:val>
          <c:smooth val="1"/>
          <c:extLst>
            <c:ext xmlns:c16="http://schemas.microsoft.com/office/drawing/2014/chart" uri="{C3380CC4-5D6E-409C-BE32-E72D297353CC}">
              <c16:uniqueId val="{00000000-3DAA-48C5-95EA-C89BD54B8750}"/>
            </c:ext>
          </c:extLst>
        </c:ser>
        <c:dLbls>
          <c:showLegendKey val="0"/>
          <c:showVal val="0"/>
          <c:showCatName val="0"/>
          <c:showSerName val="0"/>
          <c:showPercent val="0"/>
          <c:showBubbleSize val="0"/>
        </c:dLbls>
        <c:smooth val="0"/>
        <c:axId val="474935752"/>
        <c:axId val="1"/>
      </c:lineChart>
      <c:catAx>
        <c:axId val="474935752"/>
        <c:scaling>
          <c:orientation val="minMax"/>
        </c:scaling>
        <c:delete val="0"/>
        <c:axPos val="b"/>
        <c:title>
          <c:tx>
            <c:rich>
              <a:bodyPr/>
              <a:lstStyle/>
              <a:p>
                <a:pPr>
                  <a:defRPr sz="10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474935752"/>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0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VTAS'!$A$8</c:f>
          <c:strCache>
            <c:ptCount val="1"/>
          </c:strCache>
        </c:strRef>
      </c:tx>
      <c:overlay val="0"/>
      <c:spPr>
        <a:noFill/>
        <a:ln w="25400">
          <a:noFill/>
        </a:ln>
      </c:spPr>
      <c:txPr>
        <a:bodyPr/>
        <a:lstStyle/>
        <a:p>
          <a:pPr>
            <a:defRPr sz="10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spPr>
            <a:ln w="38100">
              <a:solidFill>
                <a:srgbClr val="800000"/>
              </a:solidFill>
              <a:prstDash val="solid"/>
            </a:ln>
          </c:spPr>
          <c:marker>
            <c:symbol val="none"/>
          </c:marker>
          <c:val>
            <c:numRef>
              <c:f>'GRAFIC VTAS'!$B$8:$AL$8</c:f>
              <c:numCache>
                <c:formatCode>General</c:formatCode>
                <c:ptCount val="37"/>
              </c:numCache>
            </c:numRef>
          </c:val>
          <c:smooth val="1"/>
          <c:extLst>
            <c:ext xmlns:c16="http://schemas.microsoft.com/office/drawing/2014/chart" uri="{C3380CC4-5D6E-409C-BE32-E72D297353CC}">
              <c16:uniqueId val="{00000000-EA24-43D5-BB4D-05648C0DC0D1}"/>
            </c:ext>
          </c:extLst>
        </c:ser>
        <c:dLbls>
          <c:showLegendKey val="0"/>
          <c:showVal val="0"/>
          <c:showCatName val="0"/>
          <c:showSerName val="0"/>
          <c:showPercent val="0"/>
          <c:showBubbleSize val="0"/>
        </c:dLbls>
        <c:smooth val="0"/>
        <c:axId val="474934440"/>
        <c:axId val="1"/>
      </c:lineChart>
      <c:catAx>
        <c:axId val="474934440"/>
        <c:scaling>
          <c:orientation val="minMax"/>
        </c:scaling>
        <c:delete val="0"/>
        <c:axPos val="b"/>
        <c:title>
          <c:tx>
            <c:rich>
              <a:bodyPr/>
              <a:lstStyle/>
              <a:p>
                <a:pPr>
                  <a:defRPr sz="10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474934440"/>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0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'GRAFIC VTAS'!$A$9</c:f>
          <c:strCache>
            <c:ptCount val="1"/>
          </c:strCache>
        </c:strRef>
      </c:tx>
      <c:overlay val="0"/>
      <c:spPr>
        <a:noFill/>
        <a:ln w="25400">
          <a:noFill/>
        </a:ln>
      </c:spPr>
      <c:txPr>
        <a:bodyPr/>
        <a:lstStyle/>
        <a:p>
          <a:pPr>
            <a:defRPr sz="1000" b="1" i="0" u="none" strike="noStrike" baseline="0">
              <a:solidFill>
                <a:srgbClr val="333333"/>
              </a:solidFill>
              <a:latin typeface="Arial"/>
              <a:ea typeface="Arial"/>
              <a:cs typeface="Arial"/>
            </a:defRPr>
          </a:pPr>
          <a:endParaRPr lang="es-CO"/>
        </a:p>
      </c:txPr>
    </c:title>
    <c:autoTitleDeleted val="0"/>
    <c:plotArea>
      <c:layout/>
      <c:lineChart>
        <c:grouping val="standard"/>
        <c:varyColors val="0"/>
        <c:ser>
          <c:idx val="0"/>
          <c:order val="0"/>
          <c:tx>
            <c:strRef>
              <c:f>'GRAFIC VTAS'!$B$9</c:f>
              <c:strCache>
                <c:ptCount val="1"/>
              </c:strCache>
            </c:strRef>
          </c:tx>
          <c:spPr>
            <a:ln w="38100">
              <a:solidFill>
                <a:srgbClr val="666699"/>
              </a:solidFill>
              <a:prstDash val="solid"/>
            </a:ln>
          </c:spPr>
          <c:marker>
            <c:symbol val="none"/>
          </c:marker>
          <c:val>
            <c:numRef>
              <c:f>'GRAFIC VTAS'!$C$9:$AL$9</c:f>
              <c:numCache>
                <c:formatCode>General</c:formatCode>
                <c:ptCount val="36"/>
              </c:numCache>
            </c:numRef>
          </c:val>
          <c:smooth val="1"/>
          <c:extLst>
            <c:ext xmlns:c16="http://schemas.microsoft.com/office/drawing/2014/chart" uri="{C3380CC4-5D6E-409C-BE32-E72D297353CC}">
              <c16:uniqueId val="{00000000-747A-40FB-B545-9B019673F4C3}"/>
            </c:ext>
          </c:extLst>
        </c:ser>
        <c:dLbls>
          <c:showLegendKey val="0"/>
          <c:showVal val="0"/>
          <c:showCatName val="0"/>
          <c:showSerName val="0"/>
          <c:showPercent val="0"/>
          <c:showBubbleSize val="0"/>
        </c:dLbls>
        <c:smooth val="0"/>
        <c:axId val="474947400"/>
        <c:axId val="1"/>
      </c:lineChart>
      <c:catAx>
        <c:axId val="474947400"/>
        <c:scaling>
          <c:orientation val="minMax"/>
        </c:scaling>
        <c:delete val="0"/>
        <c:axPos val="b"/>
        <c:title>
          <c:tx>
            <c:rich>
              <a:bodyPr/>
              <a:lstStyle/>
              <a:p>
                <a:pPr>
                  <a:defRPr sz="1000" b="1" i="0" u="none" strike="noStrike" baseline="0">
                    <a:solidFill>
                      <a:srgbClr val="333333"/>
                    </a:solidFill>
                    <a:latin typeface="Arial"/>
                    <a:ea typeface="Arial"/>
                    <a:cs typeface="Arial"/>
                  </a:defRPr>
                </a:pPr>
                <a:r>
                  <a:rPr lang="es-CO"/>
                  <a:t>MESES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333333"/>
                    </a:solidFill>
                    <a:latin typeface="Arial"/>
                    <a:ea typeface="Arial"/>
                    <a:cs typeface="Arial"/>
                  </a:defRPr>
                </a:pPr>
                <a:r>
                  <a:rPr lang="es-CO"/>
                  <a:t>VENTAS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333333"/>
                </a:solidFill>
                <a:latin typeface="Arial"/>
                <a:ea typeface="Arial"/>
                <a:cs typeface="Arial"/>
              </a:defRPr>
            </a:pPr>
            <a:endParaRPr lang="es-CO"/>
          </a:p>
        </c:txPr>
        <c:crossAx val="474947400"/>
        <c:crosses val="autoZero"/>
        <c:crossBetween val="between"/>
      </c:valAx>
      <c:spPr>
        <a:gradFill rotWithShape="0">
          <a:gsLst>
            <a:gs pos="0">
              <a:srgbClr val="C0C0C0"/>
            </a:gs>
            <a:gs pos="100000">
              <a:srgbClr val="00CCFF"/>
            </a:gs>
          </a:gsLst>
          <a:path path="rect">
            <a:fillToRect r="100000" b="100000"/>
          </a:path>
        </a:gradFill>
        <a:ln w="3175">
          <a:solidFill>
            <a:srgbClr val="FFFFFF"/>
          </a:solidFill>
          <a:prstDash val="solid"/>
        </a:ln>
      </c:spPr>
    </c:plotArea>
    <c:plotVisOnly val="1"/>
    <c:dispBlanksAs val="gap"/>
    <c:showDLblsOverMax val="0"/>
  </c:chart>
  <c:spPr>
    <a:gradFill rotWithShape="0">
      <a:gsLst>
        <a:gs pos="0">
          <a:srgbClr val="C0C0C0"/>
        </a:gs>
        <a:gs pos="100000">
          <a:srgbClr val="00CCFF"/>
        </a:gs>
      </a:gsLst>
      <a:path path="rect">
        <a:fillToRect r="100000" b="100000"/>
      </a:path>
    </a:gradFill>
    <a:ln w="3175">
      <a:solidFill>
        <a:srgbClr val="FFFFFF"/>
      </a:solidFill>
      <a:prstDash val="solid"/>
    </a:ln>
  </c:spPr>
  <c:txPr>
    <a:bodyPr/>
    <a:lstStyle/>
    <a:p>
      <a:pPr>
        <a:defRPr sz="1000" b="1" i="0" u="none" strike="noStrike" baseline="0">
          <a:solidFill>
            <a:srgbClr val="333333"/>
          </a:solidFill>
          <a:latin typeface="Arial"/>
          <a:ea typeface="Arial"/>
          <a:cs typeface="Arial"/>
        </a:defRPr>
      </a:pPr>
      <a:endParaRPr lang="es-CO"/>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6.emf"/><Relationship Id="rId1" Type="http://schemas.openxmlformats.org/officeDocument/2006/relationships/image" Target="../media/image7.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781050</xdr:colOff>
      <xdr:row>0</xdr:row>
      <xdr:rowOff>133350</xdr:rowOff>
    </xdr:from>
    <xdr:to>
      <xdr:col>10</xdr:col>
      <xdr:colOff>276225</xdr:colOff>
      <xdr:row>26</xdr:row>
      <xdr:rowOff>133350</xdr:rowOff>
    </xdr:to>
    <xdr:pic macro="[0]!Imagen1_AlHacerClic">
      <xdr:nvPicPr>
        <xdr:cNvPr id="4380" name="Picture 1" descr="plan">
          <a:extLst>
            <a:ext uri="{FF2B5EF4-FFF2-40B4-BE49-F238E27FC236}">
              <a16:creationId xmlns:a16="http://schemas.microsoft.com/office/drawing/2014/main" id="{AB28A634-9764-4FEA-8DD1-8BC6988EF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133350"/>
          <a:ext cx="7867650" cy="52578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9525</xdr:colOff>
      <xdr:row>0</xdr:row>
      <xdr:rowOff>28575</xdr:rowOff>
    </xdr:from>
    <xdr:to>
      <xdr:col>0</xdr:col>
      <xdr:colOff>3238500</xdr:colOff>
      <xdr:row>2</xdr:row>
      <xdr:rowOff>66675</xdr:rowOff>
    </xdr:to>
    <xdr:pic>
      <xdr:nvPicPr>
        <xdr:cNvPr id="2513071" name="Picture 1" descr="logo-interna">
          <a:extLst>
            <a:ext uri="{FF2B5EF4-FFF2-40B4-BE49-F238E27FC236}">
              <a16:creationId xmlns:a16="http://schemas.microsoft.com/office/drawing/2014/main" id="{C3948514-47BD-4FC2-AFBE-D8E265965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8575"/>
          <a:ext cx="322897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9525</xdr:colOff>
          <xdr:row>1</xdr:row>
          <xdr:rowOff>0</xdr:rowOff>
        </xdr:from>
        <xdr:to>
          <xdr:col>5</xdr:col>
          <xdr:colOff>9525</xdr:colOff>
          <xdr:row>2</xdr:row>
          <xdr:rowOff>19050</xdr:rowOff>
        </xdr:to>
        <xdr:sp macro="" textlink="">
          <xdr:nvSpPr>
            <xdr:cNvPr id="2512898" name="CommandButton1" hidden="1">
              <a:extLst>
                <a:ext uri="{63B3BB69-23CF-44E3-9099-C40C66FF867C}">
                  <a14:compatExt spid="_x0000_s2512898"/>
                </a:ext>
                <a:ext uri="{FF2B5EF4-FFF2-40B4-BE49-F238E27FC236}">
                  <a16:creationId xmlns:a16="http://schemas.microsoft.com/office/drawing/2014/main" id="{B71D7A0C-5524-44A4-BA6C-CCF5C15DD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19050</xdr:colOff>
      <xdr:row>12</xdr:row>
      <xdr:rowOff>19050</xdr:rowOff>
    </xdr:from>
    <xdr:to>
      <xdr:col>37</xdr:col>
      <xdr:colOff>0</xdr:colOff>
      <xdr:row>35</xdr:row>
      <xdr:rowOff>133350</xdr:rowOff>
    </xdr:to>
    <xdr:graphicFrame macro="">
      <xdr:nvGraphicFramePr>
        <xdr:cNvPr id="6017249" name="Chart 1">
          <a:extLst>
            <a:ext uri="{FF2B5EF4-FFF2-40B4-BE49-F238E27FC236}">
              <a16:creationId xmlns:a16="http://schemas.microsoft.com/office/drawing/2014/main" id="{C0334504-D57C-4E40-8E3D-251DB71DF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36</xdr:row>
      <xdr:rowOff>19050</xdr:rowOff>
    </xdr:from>
    <xdr:to>
      <xdr:col>37</xdr:col>
      <xdr:colOff>0</xdr:colOff>
      <xdr:row>60</xdr:row>
      <xdr:rowOff>0</xdr:rowOff>
    </xdr:to>
    <xdr:graphicFrame macro="">
      <xdr:nvGraphicFramePr>
        <xdr:cNvPr id="6017250" name="Chart 2">
          <a:extLst>
            <a:ext uri="{FF2B5EF4-FFF2-40B4-BE49-F238E27FC236}">
              <a16:creationId xmlns:a16="http://schemas.microsoft.com/office/drawing/2014/main" id="{0849A783-C747-43D4-A6E8-FD6072090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60</xdr:row>
      <xdr:rowOff>9525</xdr:rowOff>
    </xdr:from>
    <xdr:to>
      <xdr:col>36</xdr:col>
      <xdr:colOff>238125</xdr:colOff>
      <xdr:row>83</xdr:row>
      <xdr:rowOff>142875</xdr:rowOff>
    </xdr:to>
    <xdr:graphicFrame macro="">
      <xdr:nvGraphicFramePr>
        <xdr:cNvPr id="6017251" name="Chart 3">
          <a:extLst>
            <a:ext uri="{FF2B5EF4-FFF2-40B4-BE49-F238E27FC236}">
              <a16:creationId xmlns:a16="http://schemas.microsoft.com/office/drawing/2014/main" id="{8382D6C4-A6EE-47E6-B50E-A042C73C8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84</xdr:row>
      <xdr:rowOff>0</xdr:rowOff>
    </xdr:from>
    <xdr:to>
      <xdr:col>37</xdr:col>
      <xdr:colOff>0</xdr:colOff>
      <xdr:row>108</xdr:row>
      <xdr:rowOff>0</xdr:rowOff>
    </xdr:to>
    <xdr:graphicFrame macro="">
      <xdr:nvGraphicFramePr>
        <xdr:cNvPr id="6017252" name="Chart 4">
          <a:extLst>
            <a:ext uri="{FF2B5EF4-FFF2-40B4-BE49-F238E27FC236}">
              <a16:creationId xmlns:a16="http://schemas.microsoft.com/office/drawing/2014/main" id="{3123E72C-DEE1-4156-921E-2E5178A38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108</xdr:row>
      <xdr:rowOff>0</xdr:rowOff>
    </xdr:from>
    <xdr:to>
      <xdr:col>37</xdr:col>
      <xdr:colOff>9525</xdr:colOff>
      <xdr:row>132</xdr:row>
      <xdr:rowOff>9525</xdr:rowOff>
    </xdr:to>
    <xdr:graphicFrame macro="">
      <xdr:nvGraphicFramePr>
        <xdr:cNvPr id="6017253" name="Chart 5">
          <a:extLst>
            <a:ext uri="{FF2B5EF4-FFF2-40B4-BE49-F238E27FC236}">
              <a16:creationId xmlns:a16="http://schemas.microsoft.com/office/drawing/2014/main" id="{CFF60F36-F71B-4251-BD98-D9FE7D5EF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132</xdr:row>
      <xdr:rowOff>0</xdr:rowOff>
    </xdr:from>
    <xdr:to>
      <xdr:col>37</xdr:col>
      <xdr:colOff>19050</xdr:colOff>
      <xdr:row>156</xdr:row>
      <xdr:rowOff>19050</xdr:rowOff>
    </xdr:to>
    <xdr:graphicFrame macro="">
      <xdr:nvGraphicFramePr>
        <xdr:cNvPr id="6017254" name="Chart 6">
          <a:extLst>
            <a:ext uri="{FF2B5EF4-FFF2-40B4-BE49-F238E27FC236}">
              <a16:creationId xmlns:a16="http://schemas.microsoft.com/office/drawing/2014/main" id="{3197A0E0-E8D6-4887-A5C4-67D2416BC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0</xdr:rowOff>
    </xdr:from>
    <xdr:to>
      <xdr:col>37</xdr:col>
      <xdr:colOff>28575</xdr:colOff>
      <xdr:row>180</xdr:row>
      <xdr:rowOff>28575</xdr:rowOff>
    </xdr:to>
    <xdr:graphicFrame macro="">
      <xdr:nvGraphicFramePr>
        <xdr:cNvPr id="6017255" name="Chart 7">
          <a:extLst>
            <a:ext uri="{FF2B5EF4-FFF2-40B4-BE49-F238E27FC236}">
              <a16:creationId xmlns:a16="http://schemas.microsoft.com/office/drawing/2014/main" id="{C3983DB5-0470-4424-9A61-0FD0A551B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180</xdr:row>
      <xdr:rowOff>0</xdr:rowOff>
    </xdr:from>
    <xdr:to>
      <xdr:col>37</xdr:col>
      <xdr:colOff>38100</xdr:colOff>
      <xdr:row>204</xdr:row>
      <xdr:rowOff>38100</xdr:rowOff>
    </xdr:to>
    <xdr:graphicFrame macro="">
      <xdr:nvGraphicFramePr>
        <xdr:cNvPr id="6017256" name="Chart 8">
          <a:extLst>
            <a:ext uri="{FF2B5EF4-FFF2-40B4-BE49-F238E27FC236}">
              <a16:creationId xmlns:a16="http://schemas.microsoft.com/office/drawing/2014/main" id="{7506C71C-4EAB-434B-ADAF-24CAB1AA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204</xdr:row>
      <xdr:rowOff>0</xdr:rowOff>
    </xdr:from>
    <xdr:to>
      <xdr:col>37</xdr:col>
      <xdr:colOff>47625</xdr:colOff>
      <xdr:row>228</xdr:row>
      <xdr:rowOff>47625</xdr:rowOff>
    </xdr:to>
    <xdr:graphicFrame macro="">
      <xdr:nvGraphicFramePr>
        <xdr:cNvPr id="6017257" name="Chart 9">
          <a:extLst>
            <a:ext uri="{FF2B5EF4-FFF2-40B4-BE49-F238E27FC236}">
              <a16:creationId xmlns:a16="http://schemas.microsoft.com/office/drawing/2014/main" id="{133924DD-2CF0-47D4-8D18-1125E2DFA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228</xdr:row>
      <xdr:rowOff>0</xdr:rowOff>
    </xdr:from>
    <xdr:to>
      <xdr:col>37</xdr:col>
      <xdr:colOff>57150</xdr:colOff>
      <xdr:row>252</xdr:row>
      <xdr:rowOff>57150</xdr:rowOff>
    </xdr:to>
    <xdr:graphicFrame macro="">
      <xdr:nvGraphicFramePr>
        <xdr:cNvPr id="6017258" name="Chart 10">
          <a:extLst>
            <a:ext uri="{FF2B5EF4-FFF2-40B4-BE49-F238E27FC236}">
              <a16:creationId xmlns:a16="http://schemas.microsoft.com/office/drawing/2014/main" id="{6A8B6E3C-1026-48BD-AA82-F600AFABD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252</xdr:row>
      <xdr:rowOff>0</xdr:rowOff>
    </xdr:from>
    <xdr:to>
      <xdr:col>37</xdr:col>
      <xdr:colOff>66675</xdr:colOff>
      <xdr:row>276</xdr:row>
      <xdr:rowOff>66675</xdr:rowOff>
    </xdr:to>
    <xdr:graphicFrame macro="">
      <xdr:nvGraphicFramePr>
        <xdr:cNvPr id="6017259" name="Chart 11">
          <a:extLst>
            <a:ext uri="{FF2B5EF4-FFF2-40B4-BE49-F238E27FC236}">
              <a16:creationId xmlns:a16="http://schemas.microsoft.com/office/drawing/2014/main" id="{B8E57326-B67F-48F9-B731-431E86FF2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276</xdr:row>
      <xdr:rowOff>28575</xdr:rowOff>
    </xdr:from>
    <xdr:to>
      <xdr:col>37</xdr:col>
      <xdr:colOff>76200</xdr:colOff>
      <xdr:row>300</xdr:row>
      <xdr:rowOff>104775</xdr:rowOff>
    </xdr:to>
    <xdr:graphicFrame macro="">
      <xdr:nvGraphicFramePr>
        <xdr:cNvPr id="6017260" name="Chart 12">
          <a:extLst>
            <a:ext uri="{FF2B5EF4-FFF2-40B4-BE49-F238E27FC236}">
              <a16:creationId xmlns:a16="http://schemas.microsoft.com/office/drawing/2014/main" id="{1A8BBA30-A0CD-4BBD-AEDF-C2113F3CF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0</xdr:col>
      <xdr:colOff>0</xdr:colOff>
      <xdr:row>0</xdr:row>
      <xdr:rowOff>0</xdr:rowOff>
    </xdr:from>
    <xdr:to>
      <xdr:col>12</xdr:col>
      <xdr:colOff>152400</xdr:colOff>
      <xdr:row>301</xdr:row>
      <xdr:rowOff>38100</xdr:rowOff>
    </xdr:to>
    <xdr:pic>
      <xdr:nvPicPr>
        <xdr:cNvPr id="6017261" name="Picture 13" descr="logo-interna">
          <a:extLst>
            <a:ext uri="{FF2B5EF4-FFF2-40B4-BE49-F238E27FC236}">
              <a16:creationId xmlns:a16="http://schemas.microsoft.com/office/drawing/2014/main" id="{41295481-BB3D-41AE-BB62-426B5BC5964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0"/>
          <a:ext cx="31051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c:userShapes xmlns:c="http://schemas.openxmlformats.org/drawingml/2006/chart">
  <cdr:relSizeAnchor xmlns:cdr="http://schemas.openxmlformats.org/drawingml/2006/chartDrawing">
    <cdr:from>
      <cdr:x>0.46682</cdr:x>
      <cdr:y>0.51196</cdr:y>
    </cdr:from>
    <cdr:to>
      <cdr:x>0.47474</cdr:x>
      <cdr:y>0.53372</cdr:y>
    </cdr:to>
    <cdr:sp macro="" textlink="'GRAFIC VTAS'!$A$2">
      <cdr:nvSpPr>
        <cdr:cNvPr id="3073" name="Text Box 1"/>
        <cdr:cNvSpPr txBox="1">
          <a:spLocks xmlns:a="http://schemas.openxmlformats.org/drawingml/2006/main" noChangeArrowheads="1" noTextEdit="1"/>
        </cdr:cNvSpPr>
      </cdr:nvSpPr>
      <cdr:spPr bwMode="auto">
        <a:xfrm xmlns:a="http://schemas.openxmlformats.org/drawingml/2006/main">
          <a:off x="3919588" y="378662"/>
          <a:ext cx="79094" cy="1595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endParaRPr lang="es-CO"/>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657225</xdr:colOff>
      <xdr:row>0</xdr:row>
      <xdr:rowOff>266700</xdr:rowOff>
    </xdr:from>
    <xdr:to>
      <xdr:col>5</xdr:col>
      <xdr:colOff>295084</xdr:colOff>
      <xdr:row>1</xdr:row>
      <xdr:rowOff>266700</xdr:rowOff>
    </xdr:to>
    <xdr:sp macro="" textlink="H2">
      <xdr:nvSpPr>
        <xdr:cNvPr id="6146" name="Text Box 2">
          <a:extLst>
            <a:ext uri="{FF2B5EF4-FFF2-40B4-BE49-F238E27FC236}">
              <a16:creationId xmlns:a16="http://schemas.microsoft.com/office/drawing/2014/main" id="{FBA219D6-F2B5-4296-BEB4-BF26EB45E1F1}"/>
            </a:ext>
          </a:extLst>
        </xdr:cNvPr>
        <xdr:cNvSpPr txBox="1">
          <a:spLocks noChangeArrowheads="1" noTextEdit="1"/>
        </xdr:cNvSpPr>
      </xdr:nvSpPr>
      <xdr:spPr bwMode="auto">
        <a:xfrm>
          <a:off x="3228975" y="266700"/>
          <a:ext cx="5372100" cy="295275"/>
        </a:xfrm>
        <a:prstGeom prst="rect">
          <a:avLst/>
        </a:prstGeom>
        <a:noFill/>
        <a:ln w="9525">
          <a:noFill/>
          <a:miter lim="800000"/>
          <a:headEnd/>
          <a:tailEnd/>
        </a:ln>
      </xdr:spPr>
      <xdr:txBody>
        <a:bodyPr vertOverflow="clip" wrap="square" lIns="36576" tIns="32004" rIns="0" bIns="0" anchor="t" upright="1"/>
        <a:lstStyle/>
        <a:p>
          <a:pPr algn="l" rtl="0">
            <a:defRPr sz="1000"/>
          </a:pPr>
          <a:fld id="{7F705395-F063-45AC-B410-635F9694E06F}" type="TxLink">
            <a:rPr lang="es-ES" sz="1600" b="1" i="0" u="sng" strike="noStrike" baseline="0">
              <a:solidFill>
                <a:srgbClr val="333333"/>
              </a:solidFill>
              <a:latin typeface="Arial"/>
              <a:cs typeface="Arial"/>
            </a:rPr>
            <a:t>PROYECTO:  TUBE TEES</a:t>
          </a:fld>
          <a:endParaRPr lang="es-ES" sz="1600" b="1" i="0" u="sng" strike="noStrike" baseline="0">
            <a:solidFill>
              <a:srgbClr val="333333"/>
            </a:solidFill>
            <a:latin typeface="Arial"/>
            <a:cs typeface="Arial"/>
          </a:endParaRPr>
        </a:p>
      </xdr:txBody>
    </xdr:sp>
    <xdr:clientData/>
  </xdr:twoCellAnchor>
  <xdr:twoCellAnchor editAs="absolute">
    <xdr:from>
      <xdr:col>1</xdr:col>
      <xdr:colOff>704850</xdr:colOff>
      <xdr:row>1</xdr:row>
      <xdr:rowOff>314325</xdr:rowOff>
    </xdr:from>
    <xdr:to>
      <xdr:col>5</xdr:col>
      <xdr:colOff>342709</xdr:colOff>
      <xdr:row>2</xdr:row>
      <xdr:rowOff>257175</xdr:rowOff>
    </xdr:to>
    <xdr:sp macro="" textlink="H3">
      <xdr:nvSpPr>
        <xdr:cNvPr id="6150" name="Text Box 6">
          <a:extLst>
            <a:ext uri="{FF2B5EF4-FFF2-40B4-BE49-F238E27FC236}">
              <a16:creationId xmlns:a16="http://schemas.microsoft.com/office/drawing/2014/main" id="{132E8DC5-F95D-4C1D-9E9D-295E64616BDC}"/>
            </a:ext>
          </a:extLst>
        </xdr:cNvPr>
        <xdr:cNvSpPr txBox="1">
          <a:spLocks noChangeArrowheads="1" noTextEdit="1"/>
        </xdr:cNvSpPr>
      </xdr:nvSpPr>
      <xdr:spPr bwMode="auto">
        <a:xfrm>
          <a:off x="3276600" y="609600"/>
          <a:ext cx="5372100" cy="295275"/>
        </a:xfrm>
        <a:prstGeom prst="rect">
          <a:avLst/>
        </a:prstGeom>
        <a:noFill/>
        <a:ln w="9525">
          <a:noFill/>
          <a:miter lim="800000"/>
          <a:headEnd/>
          <a:tailEnd/>
        </a:ln>
      </xdr:spPr>
      <xdr:txBody>
        <a:bodyPr vertOverflow="clip" wrap="square" lIns="36576" tIns="32004" rIns="0" bIns="0" anchor="t" upright="1"/>
        <a:lstStyle/>
        <a:p>
          <a:pPr algn="l" rtl="0">
            <a:defRPr sz="1000"/>
          </a:pPr>
          <a:fld id="{9D3DFD36-7D71-4948-BA37-E44C1359FF06}" type="TxLink">
            <a:rPr lang="es-ES" sz="1600" b="1" i="0" u="none" strike="noStrike" baseline="0">
              <a:solidFill>
                <a:srgbClr val="333333"/>
              </a:solidFill>
              <a:latin typeface="Arial"/>
              <a:cs typeface="Arial"/>
            </a:rPr>
            <a:t>SOCIOS:  JORGE FLOREZ / LIZETH PAJARO / </a:t>
          </a:fld>
          <a:endParaRPr lang="es-ES" sz="1600" b="1" i="0" u="none" strike="noStrike" baseline="0">
            <a:solidFill>
              <a:srgbClr val="333333"/>
            </a:solidFill>
            <a:latin typeface="Arial"/>
            <a:cs typeface="Arial"/>
          </a:endParaRPr>
        </a:p>
      </xdr:txBody>
    </xdr:sp>
    <xdr:clientData/>
  </xdr:twoCellAnchor>
  <xdr:twoCellAnchor>
    <xdr:from>
      <xdr:col>5</xdr:col>
      <xdr:colOff>66675</xdr:colOff>
      <xdr:row>12</xdr:row>
      <xdr:rowOff>38100</xdr:rowOff>
    </xdr:from>
    <xdr:to>
      <xdr:col>8</xdr:col>
      <xdr:colOff>1228725</xdr:colOff>
      <xdr:row>26</xdr:row>
      <xdr:rowOff>123825</xdr:rowOff>
    </xdr:to>
    <xdr:graphicFrame macro="">
      <xdr:nvGraphicFramePr>
        <xdr:cNvPr id="6189262" name="Chart 7">
          <a:extLst>
            <a:ext uri="{FF2B5EF4-FFF2-40B4-BE49-F238E27FC236}">
              <a16:creationId xmlns:a16="http://schemas.microsoft.com/office/drawing/2014/main" id="{4DD94BFF-DAA6-43DC-A90B-59B78AD76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xdr:from>
      <xdr:col>3</xdr:col>
      <xdr:colOff>107950</xdr:colOff>
      <xdr:row>30</xdr:row>
      <xdr:rowOff>168275</xdr:rowOff>
    </xdr:from>
    <xdr:to>
      <xdr:col>8</xdr:col>
      <xdr:colOff>1231900</xdr:colOff>
      <xdr:row>44</xdr:row>
      <xdr:rowOff>63500</xdr:rowOff>
    </xdr:to>
    <xdr:graphicFrame macro="">
      <xdr:nvGraphicFramePr>
        <xdr:cNvPr id="6189263" name="Chart 8">
          <a:extLst>
            <a:ext uri="{FF2B5EF4-FFF2-40B4-BE49-F238E27FC236}">
              <a16:creationId xmlns:a16="http://schemas.microsoft.com/office/drawing/2014/main" id="{C6C14A0B-03C1-4680-BD9E-37C6695A6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49</xdr:row>
      <xdr:rowOff>149225</xdr:rowOff>
    </xdr:from>
    <xdr:to>
      <xdr:col>8</xdr:col>
      <xdr:colOff>1228725</xdr:colOff>
      <xdr:row>58</xdr:row>
      <xdr:rowOff>301625</xdr:rowOff>
    </xdr:to>
    <xdr:graphicFrame macro="">
      <xdr:nvGraphicFramePr>
        <xdr:cNvPr id="6189264" name="Chart 9">
          <a:extLst>
            <a:ext uri="{FF2B5EF4-FFF2-40B4-BE49-F238E27FC236}">
              <a16:creationId xmlns:a16="http://schemas.microsoft.com/office/drawing/2014/main" id="{138CF75C-212E-4694-BE84-E9C5CD176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66675</xdr:colOff>
      <xdr:row>60</xdr:row>
      <xdr:rowOff>146050</xdr:rowOff>
    </xdr:from>
    <xdr:to>
      <xdr:col>8</xdr:col>
      <xdr:colOff>1162050</xdr:colOff>
      <xdr:row>79</xdr:row>
      <xdr:rowOff>98425</xdr:rowOff>
    </xdr:to>
    <xdr:graphicFrame macro="">
      <xdr:nvGraphicFramePr>
        <xdr:cNvPr id="6189265" name="Chart 10">
          <a:extLst>
            <a:ext uri="{FF2B5EF4-FFF2-40B4-BE49-F238E27FC236}">
              <a16:creationId xmlns:a16="http://schemas.microsoft.com/office/drawing/2014/main" id="{E09BA86B-7866-43DD-B1CE-82C8A2B1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PrintsWithSheet="0"/>
  </xdr:twoCellAnchor>
  <xdr:twoCellAnchor>
    <xdr:from>
      <xdr:col>3</xdr:col>
      <xdr:colOff>107950</xdr:colOff>
      <xdr:row>81</xdr:row>
      <xdr:rowOff>209550</xdr:rowOff>
    </xdr:from>
    <xdr:to>
      <xdr:col>8</xdr:col>
      <xdr:colOff>1089025</xdr:colOff>
      <xdr:row>93</xdr:row>
      <xdr:rowOff>266700</xdr:rowOff>
    </xdr:to>
    <xdr:graphicFrame macro="">
      <xdr:nvGraphicFramePr>
        <xdr:cNvPr id="6189266" name="Chart 11">
          <a:extLst>
            <a:ext uri="{FF2B5EF4-FFF2-40B4-BE49-F238E27FC236}">
              <a16:creationId xmlns:a16="http://schemas.microsoft.com/office/drawing/2014/main" id="{7F0035CD-CD1F-42EB-B80F-E995F01CF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PrintsWithSheet="0"/>
  </xdr:twoCellAnchor>
  <xdr:twoCellAnchor>
    <xdr:from>
      <xdr:col>5</xdr:col>
      <xdr:colOff>66675</xdr:colOff>
      <xdr:row>117</xdr:row>
      <xdr:rowOff>161925</xdr:rowOff>
    </xdr:from>
    <xdr:to>
      <xdr:col>11</xdr:col>
      <xdr:colOff>419100</xdr:colOff>
      <xdr:row>137</xdr:row>
      <xdr:rowOff>276225</xdr:rowOff>
    </xdr:to>
    <xdr:graphicFrame macro="">
      <xdr:nvGraphicFramePr>
        <xdr:cNvPr id="6189267" name="Chart 14">
          <a:extLst>
            <a:ext uri="{FF2B5EF4-FFF2-40B4-BE49-F238E27FC236}">
              <a16:creationId xmlns:a16="http://schemas.microsoft.com/office/drawing/2014/main" id="{80EC311B-DBA4-4769-A201-DC4553FE6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PrintsWithSheet="0"/>
  </xdr:twoCellAnchor>
  <xdr:twoCellAnchor>
    <xdr:from>
      <xdr:col>4</xdr:col>
      <xdr:colOff>66675</xdr:colOff>
      <xdr:row>187</xdr:row>
      <xdr:rowOff>165100</xdr:rowOff>
    </xdr:from>
    <xdr:to>
      <xdr:col>7</xdr:col>
      <xdr:colOff>523875</xdr:colOff>
      <xdr:row>201</xdr:row>
      <xdr:rowOff>50800</xdr:rowOff>
    </xdr:to>
    <xdr:graphicFrame macro="">
      <xdr:nvGraphicFramePr>
        <xdr:cNvPr id="6189268" name="Chart 25">
          <a:extLst>
            <a:ext uri="{FF2B5EF4-FFF2-40B4-BE49-F238E27FC236}">
              <a16:creationId xmlns:a16="http://schemas.microsoft.com/office/drawing/2014/main" id="{D8E6978D-6A50-414A-A4CE-B250343F2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PrintsWithSheet="0"/>
  </xdr:twoCellAnchor>
  <xdr:twoCellAnchor>
    <xdr:from>
      <xdr:col>3</xdr:col>
      <xdr:colOff>107950</xdr:colOff>
      <xdr:row>203</xdr:row>
      <xdr:rowOff>79375</xdr:rowOff>
    </xdr:from>
    <xdr:to>
      <xdr:col>7</xdr:col>
      <xdr:colOff>565150</xdr:colOff>
      <xdr:row>219</xdr:row>
      <xdr:rowOff>60325</xdr:rowOff>
    </xdr:to>
    <xdr:graphicFrame macro="">
      <xdr:nvGraphicFramePr>
        <xdr:cNvPr id="6189269" name="Chart 26">
          <a:extLst>
            <a:ext uri="{FF2B5EF4-FFF2-40B4-BE49-F238E27FC236}">
              <a16:creationId xmlns:a16="http://schemas.microsoft.com/office/drawing/2014/main" id="{565DA896-1683-486F-B4E9-59FD8A64B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66675</xdr:colOff>
      <xdr:row>312</xdr:row>
      <xdr:rowOff>225425</xdr:rowOff>
    </xdr:from>
    <xdr:to>
      <xdr:col>9</xdr:col>
      <xdr:colOff>276225</xdr:colOff>
      <xdr:row>328</xdr:row>
      <xdr:rowOff>158750</xdr:rowOff>
    </xdr:to>
    <xdr:graphicFrame macro="">
      <xdr:nvGraphicFramePr>
        <xdr:cNvPr id="6189270" name="Chart 27">
          <a:extLst>
            <a:ext uri="{FF2B5EF4-FFF2-40B4-BE49-F238E27FC236}">
              <a16:creationId xmlns:a16="http://schemas.microsoft.com/office/drawing/2014/main" id="{98F134FC-ADBA-4F2B-BE20-3DB7F30DF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66675</xdr:colOff>
      <xdr:row>330</xdr:row>
      <xdr:rowOff>187325</xdr:rowOff>
    </xdr:from>
    <xdr:to>
      <xdr:col>9</xdr:col>
      <xdr:colOff>276225</xdr:colOff>
      <xdr:row>337</xdr:row>
      <xdr:rowOff>511175</xdr:rowOff>
    </xdr:to>
    <xdr:graphicFrame macro="">
      <xdr:nvGraphicFramePr>
        <xdr:cNvPr id="6189271" name="Chart 28">
          <a:extLst>
            <a:ext uri="{FF2B5EF4-FFF2-40B4-BE49-F238E27FC236}">
              <a16:creationId xmlns:a16="http://schemas.microsoft.com/office/drawing/2014/main" id="{0A50111E-532C-4F64-9561-9FC566CC8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absolute">
        <xdr:from>
          <xdr:col>5</xdr:col>
          <xdr:colOff>0</xdr:colOff>
          <xdr:row>0</xdr:row>
          <xdr:rowOff>152400</xdr:rowOff>
        </xdr:from>
        <xdr:to>
          <xdr:col>5</xdr:col>
          <xdr:colOff>1352550</xdr:colOff>
          <xdr:row>1</xdr:row>
          <xdr:rowOff>285750</xdr:rowOff>
        </xdr:to>
        <xdr:sp macro="" textlink="">
          <xdr:nvSpPr>
            <xdr:cNvPr id="6173" name="CommandButton1" hidden="1">
              <a:extLst>
                <a:ext uri="{63B3BB69-23CF-44E3-9099-C40C66FF867C}">
                  <a14:compatExt spid="_x0000_s6173"/>
                </a:ext>
                <a:ext uri="{FF2B5EF4-FFF2-40B4-BE49-F238E27FC236}">
                  <a16:creationId xmlns:a16="http://schemas.microsoft.com/office/drawing/2014/main" id="{FC0A6B1E-302E-4EB0-BCE4-6C1B4E2357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47625</xdr:colOff>
          <xdr:row>158</xdr:row>
          <xdr:rowOff>171450</xdr:rowOff>
        </xdr:from>
        <xdr:to>
          <xdr:col>6</xdr:col>
          <xdr:colOff>228600</xdr:colOff>
          <xdr:row>161</xdr:row>
          <xdr:rowOff>76200</xdr:rowOff>
        </xdr:to>
        <xdr:sp macro="" textlink="">
          <xdr:nvSpPr>
            <xdr:cNvPr id="6174" name="CommandButton2" hidden="1">
              <a:extLst>
                <a:ext uri="{63B3BB69-23CF-44E3-9099-C40C66FF867C}">
                  <a14:compatExt spid="_x0000_s6174"/>
                </a:ext>
                <a:ext uri="{FF2B5EF4-FFF2-40B4-BE49-F238E27FC236}">
                  <a16:creationId xmlns:a16="http://schemas.microsoft.com/office/drawing/2014/main" id="{C32BC1A8-C162-4D81-82CD-A74AE19C67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0</xdr:colOff>
          <xdr:row>260</xdr:row>
          <xdr:rowOff>171450</xdr:rowOff>
        </xdr:from>
        <xdr:to>
          <xdr:col>6</xdr:col>
          <xdr:colOff>1171575</xdr:colOff>
          <xdr:row>262</xdr:row>
          <xdr:rowOff>180975</xdr:rowOff>
        </xdr:to>
        <xdr:sp macro="" textlink="">
          <xdr:nvSpPr>
            <xdr:cNvPr id="6178" name="CommandButton3" hidden="1">
              <a:extLst>
                <a:ext uri="{63B3BB69-23CF-44E3-9099-C40C66FF867C}">
                  <a14:compatExt spid="_x0000_s6178"/>
                </a:ext>
                <a:ext uri="{FF2B5EF4-FFF2-40B4-BE49-F238E27FC236}">
                  <a16:creationId xmlns:a16="http://schemas.microsoft.com/office/drawing/2014/main" id="{274366F6-5214-4B14-9B70-FDE2C7CD166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9525</xdr:colOff>
          <xdr:row>14</xdr:row>
          <xdr:rowOff>228600</xdr:rowOff>
        </xdr:from>
        <xdr:to>
          <xdr:col>1</xdr:col>
          <xdr:colOff>323850</xdr:colOff>
          <xdr:row>26</xdr:row>
          <xdr:rowOff>0</xdr:rowOff>
        </xdr:to>
        <xdr:sp macro="" textlink="">
          <xdr:nvSpPr>
            <xdr:cNvPr id="6599" name="ScrollBar1" hidden="1">
              <a:extLst>
                <a:ext uri="{63B3BB69-23CF-44E3-9099-C40C66FF867C}">
                  <a14:compatExt spid="_x0000_s6599"/>
                </a:ext>
                <a:ext uri="{FF2B5EF4-FFF2-40B4-BE49-F238E27FC236}">
                  <a16:creationId xmlns:a16="http://schemas.microsoft.com/office/drawing/2014/main" id="{ED6AC49D-8B91-45C4-9435-8FCD2CCF93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3.vml"/><Relationship Id="rId7" Type="http://schemas.openxmlformats.org/officeDocument/2006/relationships/image" Target="../media/image5.emf"/><Relationship Id="rId12" Type="http://schemas.openxmlformats.org/officeDocument/2006/relationships/comments" Target="../comments2.xml"/><Relationship Id="rId2" Type="http://schemas.openxmlformats.org/officeDocument/2006/relationships/drawing" Target="../drawings/drawing5.xml"/><Relationship Id="rId1" Type="http://schemas.openxmlformats.org/officeDocument/2006/relationships/printerSettings" Target="../printerSettings/printerSettings8.bin"/><Relationship Id="rId6" Type="http://schemas.openxmlformats.org/officeDocument/2006/relationships/control" Target="../activeX/activeX3.xml"/><Relationship Id="rId11" Type="http://schemas.openxmlformats.org/officeDocument/2006/relationships/image" Target="../media/image7.emf"/><Relationship Id="rId5" Type="http://schemas.openxmlformats.org/officeDocument/2006/relationships/image" Target="../media/image4.emf"/><Relationship Id="rId10" Type="http://schemas.openxmlformats.org/officeDocument/2006/relationships/control" Target="../activeX/activeX5.xml"/><Relationship Id="rId4" Type="http://schemas.openxmlformats.org/officeDocument/2006/relationships/control" Target="../activeX/activeX2.xml"/><Relationship Id="rId9" Type="http://schemas.openxmlformats.org/officeDocument/2006/relationships/image" Target="../media/image6.emf"/></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dimension ref="A1:O420"/>
  <sheetViews>
    <sheetView workbookViewId="0">
      <selection activeCell="A11" sqref="A11"/>
    </sheetView>
  </sheetViews>
  <sheetFormatPr baseColWidth="10" defaultColWidth="12.5703125" defaultRowHeight="12" zeroHeight="1"/>
  <cols>
    <col min="1" max="1" width="12.42578125" style="174" customWidth="1"/>
    <col min="2" max="16384" width="12.5703125" style="174"/>
  </cols>
  <sheetData>
    <row r="1" spans="1:4" ht="114" customHeight="1">
      <c r="A1" s="943" t="s">
        <v>780</v>
      </c>
    </row>
    <row r="2" spans="1:4"/>
    <row r="3" spans="1:4"/>
    <row r="4" spans="1:4">
      <c r="B4" s="174" t="s">
        <v>596</v>
      </c>
    </row>
    <row r="5" spans="1:4"/>
    <row r="6" spans="1:4">
      <c r="B6" s="174" t="s">
        <v>596</v>
      </c>
      <c r="C6" s="174" t="s">
        <v>596</v>
      </c>
      <c r="D6" s="174" t="s">
        <v>596</v>
      </c>
    </row>
    <row r="7" spans="1:4" ht="16.5" customHeight="1">
      <c r="A7" s="293"/>
      <c r="B7" s="174" t="s">
        <v>834</v>
      </c>
      <c r="C7" s="174">
        <v>1</v>
      </c>
    </row>
    <row r="8" spans="1:4" ht="11.25" customHeight="1"/>
    <row r="9" spans="1:4" ht="11.25" customHeight="1"/>
    <row r="10" spans="1:4" ht="11.25" customHeight="1">
      <c r="A10" s="292" t="s">
        <v>760</v>
      </c>
    </row>
    <row r="11" spans="1:4" ht="11.25" customHeight="1">
      <c r="A11" s="293"/>
    </row>
    <row r="12" spans="1:4" ht="11.25" customHeight="1"/>
    <row r="13" spans="1:4" ht="11.25" customHeight="1"/>
    <row r="14" spans="1:4">
      <c r="A14" s="174" t="s">
        <v>830</v>
      </c>
    </row>
    <row r="15" spans="1:4">
      <c r="A15" s="174" t="s">
        <v>831</v>
      </c>
    </row>
    <row r="16" spans="1:4">
      <c r="A16" s="174" t="s">
        <v>596</v>
      </c>
    </row>
    <row r="17" spans="1:2">
      <c r="A17" s="174" t="s">
        <v>596</v>
      </c>
    </row>
    <row r="18" spans="1:2">
      <c r="A18" s="174" t="s">
        <v>596</v>
      </c>
    </row>
    <row r="19" spans="1:2">
      <c r="A19" s="174" t="s">
        <v>596</v>
      </c>
    </row>
    <row r="20" spans="1:2">
      <c r="A20" s="174" t="s">
        <v>596</v>
      </c>
    </row>
    <row r="21" spans="1:2">
      <c r="A21" s="174" t="s">
        <v>596</v>
      </c>
    </row>
    <row r="22" spans="1:2">
      <c r="A22" s="174" t="s">
        <v>596</v>
      </c>
    </row>
    <row r="23" spans="1:2">
      <c r="A23" s="174" t="s">
        <v>596</v>
      </c>
    </row>
    <row r="24" spans="1:2">
      <c r="A24" s="174" t="s">
        <v>596</v>
      </c>
    </row>
    <row r="25" spans="1:2">
      <c r="A25" s="174" t="s">
        <v>596</v>
      </c>
    </row>
    <row r="26" spans="1:2"/>
    <row r="27" spans="1:2"/>
    <row r="28" spans="1:2"/>
    <row r="29" spans="1:2"/>
    <row r="30" spans="1:2"/>
    <row r="31" spans="1:2">
      <c r="A31" s="174" t="s">
        <v>596</v>
      </c>
      <c r="B31" s="300">
        <v>0</v>
      </c>
    </row>
    <row r="32" spans="1:2">
      <c r="A32" s="174" t="s">
        <v>596</v>
      </c>
      <c r="B32" s="300">
        <v>0</v>
      </c>
    </row>
    <row r="33" spans="1:2">
      <c r="A33" s="174" t="s">
        <v>596</v>
      </c>
      <c r="B33" s="300">
        <v>0</v>
      </c>
    </row>
    <row r="34" spans="1:2">
      <c r="A34" s="174" t="s">
        <v>596</v>
      </c>
      <c r="B34" s="300">
        <v>0</v>
      </c>
    </row>
    <row r="35" spans="1:2">
      <c r="A35" s="174" t="s">
        <v>596</v>
      </c>
      <c r="B35" s="300">
        <v>0</v>
      </c>
    </row>
    <row r="36" spans="1:2">
      <c r="A36" s="174" t="s">
        <v>596</v>
      </c>
      <c r="B36" s="300">
        <v>0</v>
      </c>
    </row>
    <row r="37" spans="1:2">
      <c r="A37" s="174" t="s">
        <v>596</v>
      </c>
      <c r="B37" s="300">
        <v>0</v>
      </c>
    </row>
    <row r="38" spans="1:2" hidden="1">
      <c r="A38" s="174" t="s">
        <v>596</v>
      </c>
      <c r="B38" s="300">
        <v>0</v>
      </c>
    </row>
    <row r="39" spans="1:2" hidden="1">
      <c r="A39" s="174" t="s">
        <v>596</v>
      </c>
      <c r="B39" s="300">
        <v>0</v>
      </c>
    </row>
    <row r="40" spans="1:2" hidden="1">
      <c r="A40" s="174" t="s">
        <v>596</v>
      </c>
      <c r="B40" s="300">
        <v>0</v>
      </c>
    </row>
    <row r="41" spans="1:2" hidden="1">
      <c r="A41" s="174" t="s">
        <v>596</v>
      </c>
      <c r="B41" s="300">
        <v>0</v>
      </c>
    </row>
    <row r="42" spans="1:2" hidden="1">
      <c r="A42" s="174" t="s">
        <v>596</v>
      </c>
      <c r="B42" s="300">
        <v>0</v>
      </c>
    </row>
    <row r="43" spans="1:2" hidden="1"/>
    <row r="44" spans="1:2" hidden="1"/>
    <row r="45" spans="1:2" hidden="1"/>
    <row r="46" spans="1:2" hidden="1"/>
    <row r="47" spans="1:2" hidden="1"/>
    <row r="48" spans="1:2" hidden="1"/>
    <row r="49" spans="1:1" hidden="1"/>
    <row r="50" spans="1:1" hidden="1"/>
    <row r="51" spans="1:1" hidden="1"/>
    <row r="52" spans="1:1" hidden="1"/>
    <row r="53" spans="1:1" hidden="1"/>
    <row r="54" spans="1:1" hidden="1"/>
    <row r="55" spans="1:1" hidden="1"/>
    <row r="56" spans="1:1" hidden="1"/>
    <row r="57" spans="1:1" hidden="1"/>
    <row r="58" spans="1:1" hidden="1"/>
    <row r="59" spans="1:1" hidden="1"/>
    <row r="60" spans="1:1" hidden="1"/>
    <row r="61" spans="1:1" hidden="1"/>
    <row r="62" spans="1:1" hidden="1"/>
    <row r="63" spans="1:1" hidden="1"/>
    <row r="64" spans="1:1" hidden="1">
      <c r="A64" s="174" t="s">
        <v>596</v>
      </c>
    </row>
    <row r="65" spans="1:2" hidden="1">
      <c r="A65" s="174" t="s">
        <v>596</v>
      </c>
    </row>
    <row r="66" spans="1:2" hidden="1">
      <c r="A66" s="174" t="s">
        <v>596</v>
      </c>
    </row>
    <row r="67" spans="1:2" hidden="1">
      <c r="A67" s="174" t="s">
        <v>596</v>
      </c>
    </row>
    <row r="68" spans="1:2" hidden="1">
      <c r="A68" s="174" t="s">
        <v>596</v>
      </c>
    </row>
    <row r="69" spans="1:2" hidden="1">
      <c r="A69" s="174" t="s">
        <v>596</v>
      </c>
    </row>
    <row r="70" spans="1:2" hidden="1">
      <c r="A70" s="174" t="s">
        <v>596</v>
      </c>
    </row>
    <row r="71" spans="1:2" hidden="1">
      <c r="A71" s="174" t="s">
        <v>596</v>
      </c>
    </row>
    <row r="72" spans="1:2" hidden="1">
      <c r="A72" s="174" t="s">
        <v>596</v>
      </c>
    </row>
    <row r="73" spans="1:2" hidden="1">
      <c r="A73" s="174" t="s">
        <v>596</v>
      </c>
    </row>
    <row r="74" spans="1:2" hidden="1">
      <c r="A74" s="174" t="s">
        <v>596</v>
      </c>
    </row>
    <row r="75" spans="1:2" hidden="1">
      <c r="A75" s="174" t="s">
        <v>596</v>
      </c>
    </row>
    <row r="76" spans="1:2" hidden="1"/>
    <row r="77" spans="1:2" hidden="1">
      <c r="B77" s="174" t="s">
        <v>17</v>
      </c>
    </row>
    <row r="78" spans="1:2" hidden="1">
      <c r="B78" s="174">
        <v>2008</v>
      </c>
    </row>
    <row r="79" spans="1:2" hidden="1"/>
    <row r="80" spans="1:2" hidden="1"/>
    <row r="81" spans="1:1" hidden="1">
      <c r="A81" s="174" t="s">
        <v>596</v>
      </c>
    </row>
    <row r="82" spans="1:1" hidden="1">
      <c r="A82" s="174" t="s">
        <v>596</v>
      </c>
    </row>
    <row r="83" spans="1:1" hidden="1">
      <c r="A83" s="174" t="s">
        <v>596</v>
      </c>
    </row>
    <row r="84" spans="1:1" hidden="1">
      <c r="A84" s="174" t="s">
        <v>596</v>
      </c>
    </row>
    <row r="85" spans="1:1" hidden="1">
      <c r="A85" s="174" t="s">
        <v>596</v>
      </c>
    </row>
    <row r="86" spans="1:1" hidden="1">
      <c r="A86" s="174" t="s">
        <v>596</v>
      </c>
    </row>
    <row r="87" spans="1:1" hidden="1">
      <c r="A87" s="174" t="s">
        <v>596</v>
      </c>
    </row>
    <row r="88" spans="1:1" hidden="1">
      <c r="A88" s="174" t="s">
        <v>596</v>
      </c>
    </row>
    <row r="89" spans="1:1" hidden="1">
      <c r="A89" s="174" t="s">
        <v>596</v>
      </c>
    </row>
    <row r="90" spans="1:1" hidden="1">
      <c r="A90" s="174" t="s">
        <v>596</v>
      </c>
    </row>
    <row r="91" spans="1:1" hidden="1">
      <c r="A91" s="174" t="s">
        <v>596</v>
      </c>
    </row>
    <row r="92" spans="1:1" hidden="1">
      <c r="A92" s="174" t="s">
        <v>596</v>
      </c>
    </row>
    <row r="93" spans="1:1" hidden="1"/>
    <row r="94" spans="1:1" hidden="1"/>
    <row r="95" spans="1:1" hidden="1"/>
    <row r="96" spans="1:1"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spans="11:11" hidden="1"/>
    <row r="306" spans="11:11" hidden="1"/>
    <row r="307" spans="11:11" hidden="1"/>
    <row r="308" spans="11:11" hidden="1"/>
    <row r="309" spans="11:11" hidden="1"/>
    <row r="310" spans="11:11" hidden="1"/>
    <row r="311" spans="11:11" hidden="1">
      <c r="K311" s="300">
        <v>0</v>
      </c>
    </row>
    <row r="312" spans="11:11" hidden="1">
      <c r="K312" s="300">
        <v>0</v>
      </c>
    </row>
    <row r="313" spans="11:11" hidden="1">
      <c r="K313" s="300">
        <v>0</v>
      </c>
    </row>
    <row r="314" spans="11:11" hidden="1">
      <c r="K314" s="300">
        <v>0</v>
      </c>
    </row>
    <row r="315" spans="11:11" hidden="1">
      <c r="K315" s="300">
        <v>0</v>
      </c>
    </row>
    <row r="316" spans="11:11" hidden="1">
      <c r="K316" s="300">
        <v>0</v>
      </c>
    </row>
    <row r="317" spans="11:11" hidden="1">
      <c r="K317" s="300">
        <v>0</v>
      </c>
    </row>
    <row r="318" spans="11:11" hidden="1">
      <c r="K318" s="300">
        <v>0</v>
      </c>
    </row>
    <row r="319" spans="11:11" hidden="1">
      <c r="K319" s="300">
        <v>0</v>
      </c>
    </row>
    <row r="320" spans="11:11" hidden="1">
      <c r="K320" s="300">
        <v>0</v>
      </c>
    </row>
    <row r="321" spans="11:11" hidden="1">
      <c r="K321" s="300">
        <v>0</v>
      </c>
    </row>
    <row r="322" spans="11:11" hidden="1">
      <c r="K322" s="300">
        <v>0</v>
      </c>
    </row>
    <row r="323" spans="11:11" hidden="1"/>
    <row r="324" spans="11:11" hidden="1"/>
    <row r="325" spans="11:11" hidden="1"/>
    <row r="326" spans="11:11" hidden="1"/>
    <row r="327" spans="11:11" hidden="1"/>
    <row r="328" spans="11:11" hidden="1"/>
    <row r="329" spans="11:11" hidden="1"/>
    <row r="330" spans="11:11" hidden="1"/>
    <row r="331" spans="11:11" hidden="1"/>
    <row r="332" spans="11:11" hidden="1"/>
    <row r="333" spans="11:11" hidden="1"/>
    <row r="334" spans="11:11" hidden="1"/>
    <row r="335" spans="11:11" hidden="1"/>
    <row r="336" spans="11:11"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spans="1:15" hidden="1"/>
    <row r="354" spans="1:15" hidden="1"/>
    <row r="355" spans="1:15" hidden="1"/>
    <row r="356" spans="1:15" hidden="1"/>
    <row r="357" spans="1:15" hidden="1"/>
    <row r="358" spans="1:15" hidden="1"/>
    <row r="359" spans="1:15" hidden="1"/>
    <row r="360" spans="1:15" hidden="1"/>
    <row r="361" spans="1:15" hidden="1"/>
    <row r="362" spans="1:15" hidden="1"/>
    <row r="363" spans="1:15" hidden="1"/>
    <row r="364" spans="1:15" hidden="1"/>
    <row r="365" spans="1:15" hidden="1"/>
    <row r="366" spans="1:15" hidden="1"/>
    <row r="367" spans="1:15" hidden="1"/>
    <row r="368" spans="1:15" hidden="1">
      <c r="A368" s="174" t="s">
        <v>7</v>
      </c>
      <c r="O368" s="174">
        <v>5000000</v>
      </c>
    </row>
    <row r="369" spans="1:1" hidden="1">
      <c r="A369" s="174" t="s">
        <v>8</v>
      </c>
    </row>
    <row r="370" spans="1:1" hidden="1"/>
    <row r="371" spans="1:1" hidden="1"/>
    <row r="372" spans="1:1" hidden="1"/>
    <row r="373" spans="1:1" hidden="1"/>
    <row r="374" spans="1:1" hidden="1"/>
    <row r="375" spans="1:1" hidden="1"/>
    <row r="376" spans="1:1" hidden="1"/>
    <row r="377" spans="1:1" hidden="1"/>
    <row r="378" spans="1:1" hidden="1"/>
    <row r="379" spans="1:1" hidden="1"/>
    <row r="380" spans="1:1" hidden="1"/>
    <row r="381" spans="1:1" hidden="1"/>
    <row r="382" spans="1:1" hidden="1"/>
    <row r="383" spans="1:1" hidden="1"/>
    <row r="384" spans="1:1"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spans="1:5" hidden="1"/>
    <row r="402" spans="1:5" hidden="1"/>
    <row r="403" spans="1:5" hidden="1"/>
    <row r="404" spans="1:5" hidden="1"/>
    <row r="405" spans="1:5" hidden="1"/>
    <row r="406" spans="1:5" hidden="1"/>
    <row r="407" spans="1:5" hidden="1"/>
    <row r="408" spans="1:5" hidden="1">
      <c r="A408" s="174">
        <v>4</v>
      </c>
      <c r="C408" s="174">
        <v>10</v>
      </c>
    </row>
    <row r="409" spans="1:5" hidden="1"/>
    <row r="410" spans="1:5" hidden="1"/>
    <row r="411" spans="1:5" hidden="1"/>
    <row r="412" spans="1:5" hidden="1">
      <c r="E412" s="174">
        <v>0.5</v>
      </c>
    </row>
    <row r="413" spans="1:5" hidden="1"/>
    <row r="414" spans="1:5" hidden="1">
      <c r="E414" s="174">
        <v>1</v>
      </c>
    </row>
    <row r="416" spans="1:5" hidden="1">
      <c r="E416" s="174">
        <v>0.5</v>
      </c>
    </row>
    <row r="420" spans="5:5" hidden="1">
      <c r="E420" s="174">
        <v>1</v>
      </c>
    </row>
  </sheetData>
  <sheetProtection password="902B" sheet="1" objects="1" scenarios="1" selectLockedCells="1" selectUnlockedCells="1"/>
  <phoneticPr fontId="62" type="noConversion"/>
  <pageMargins left="0.75" right="0.75" top="1" bottom="1" header="0" footer="0"/>
  <pageSetup paperSize="9" orientation="portrait" horizontalDpi="0" verticalDpi="0"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F51"/>
  <sheetViews>
    <sheetView zoomScale="120" zoomScaleNormal="100" workbookViewId="0">
      <selection sqref="A1:IV65536"/>
    </sheetView>
  </sheetViews>
  <sheetFormatPr baseColWidth="10" defaultRowHeight="12.75"/>
  <cols>
    <col min="1" max="1" width="43.5703125" customWidth="1"/>
    <col min="2" max="2" width="17.85546875" customWidth="1"/>
    <col min="3" max="3" width="19.140625" customWidth="1"/>
    <col min="4" max="4" width="17.85546875" customWidth="1"/>
    <col min="5" max="5" width="14.28515625" bestFit="1" customWidth="1"/>
  </cols>
  <sheetData>
    <row r="1" spans="1:6" ht="17.25" customHeight="1">
      <c r="A1" s="1159" t="s">
        <v>863</v>
      </c>
      <c r="B1" s="1159"/>
      <c r="C1" s="1159"/>
      <c r="D1" s="1159"/>
      <c r="E1" s="781"/>
      <c r="F1" s="781"/>
    </row>
    <row r="2" spans="1:6" ht="13.5" thickBot="1"/>
    <row r="3" spans="1:6">
      <c r="A3" s="794"/>
      <c r="B3" s="795" t="s">
        <v>600</v>
      </c>
      <c r="C3" s="795" t="s">
        <v>601</v>
      </c>
      <c r="D3" s="796" t="s">
        <v>602</v>
      </c>
    </row>
    <row r="4" spans="1:6">
      <c r="A4" s="797"/>
      <c r="B4" s="791" t="s">
        <v>864</v>
      </c>
      <c r="C4" s="791" t="s">
        <v>864</v>
      </c>
      <c r="D4" s="798" t="s">
        <v>864</v>
      </c>
    </row>
    <row r="5" spans="1:6">
      <c r="A5" s="799" t="str">
        <f>+VISUAL!A160</f>
        <v>VENTAS</v>
      </c>
      <c r="B5" s="792">
        <f>+VISUAL!C160</f>
        <v>364500000</v>
      </c>
      <c r="C5" s="792">
        <f>+VISUAL!D160</f>
        <v>414174330</v>
      </c>
      <c r="D5" s="800">
        <f>+VISUAL!E160</f>
        <v>484461045.89999998</v>
      </c>
    </row>
    <row r="6" spans="1:6">
      <c r="A6" s="799" t="str">
        <f>+VISUAL!A169</f>
        <v>TOTAL COSTO DE VENTAS</v>
      </c>
      <c r="B6" s="792">
        <f ca="1">+VISUAL!C169</f>
        <v>238635000</v>
      </c>
      <c r="C6" s="792">
        <f ca="1">+VISUAL!D169</f>
        <v>275205480</v>
      </c>
      <c r="D6" s="800">
        <f ca="1">+VISUAL!E169</f>
        <v>322116500.39999998</v>
      </c>
    </row>
    <row r="7" spans="1:6">
      <c r="A7" s="801" t="str">
        <f>+VISUAL!A170</f>
        <v>UTILIDAD BRUTA (Ventas - costo de ventas)</v>
      </c>
      <c r="B7" s="793">
        <f ca="1">+VISUAL!C170</f>
        <v>125865000</v>
      </c>
      <c r="C7" s="793">
        <f ca="1">+VISUAL!D170</f>
        <v>138968850</v>
      </c>
      <c r="D7" s="802">
        <f ca="1">+VISUAL!E170</f>
        <v>162344545.5</v>
      </c>
      <c r="F7" s="790"/>
    </row>
    <row r="8" spans="1:6">
      <c r="A8" s="799" t="str">
        <f>+VISUAL!A171</f>
        <v>GASTOS ADMINISTRATIVOS</v>
      </c>
      <c r="B8" s="792">
        <f>+VISUAL!C171</f>
        <v>46544000</v>
      </c>
      <c r="C8" s="792">
        <f>+VISUAL!D171</f>
        <v>51782320</v>
      </c>
      <c r="D8" s="800">
        <f>+VISUAL!E171</f>
        <v>57027789.600000001</v>
      </c>
    </row>
    <row r="9" spans="1:6">
      <c r="A9" s="799" t="str">
        <f>+VISUAL!A172</f>
        <v>GASTOS DE VENTAS</v>
      </c>
      <c r="B9" s="792">
        <f>+VISUAL!C172</f>
        <v>4753080</v>
      </c>
      <c r="C9" s="792">
        <f>+VISUAL!D172</f>
        <v>5400833.2631999999</v>
      </c>
      <c r="D9" s="800">
        <f>+VISUAL!E172</f>
        <v>6317372.0385359991</v>
      </c>
    </row>
    <row r="10" spans="1:6">
      <c r="A10" s="801" t="str">
        <f>+VISUAL!A173</f>
        <v>UTILIDAD OPERACIONAL (utilidad bruta- G.F.)</v>
      </c>
      <c r="B10" s="793">
        <f ca="1">+VISUAL!C173</f>
        <v>74567920</v>
      </c>
      <c r="C10" s="793">
        <f ca="1">+VISUAL!D173</f>
        <v>81785696.7368</v>
      </c>
      <c r="D10" s="802">
        <f ca="1">+VISUAL!E173</f>
        <v>98999383.861464009</v>
      </c>
    </row>
    <row r="11" spans="1:6">
      <c r="A11" s="799" t="str">
        <f>+VISUAL!A177</f>
        <v>UTILIDAD ANTES DE IMPUESTOS (U.O. - Otr G.)</v>
      </c>
      <c r="B11" s="792">
        <f ca="1">+VISUAL!C177</f>
        <v>74567920</v>
      </c>
      <c r="C11" s="792">
        <f ca="1">+VISUAL!D177</f>
        <v>81785696.7368</v>
      </c>
      <c r="D11" s="800">
        <f ca="1">+VISUAL!E177</f>
        <v>98999383.861464009</v>
      </c>
    </row>
    <row r="12" spans="1:6">
      <c r="A12" s="799" t="str">
        <f>+VISUAL!A178</f>
        <v>IMPUESTOS</v>
      </c>
      <c r="B12" s="792">
        <f ca="1">+VISUAL!C178</f>
        <v>0</v>
      </c>
      <c r="C12" s="792">
        <f ca="1">+VISUAL!D178</f>
        <v>0</v>
      </c>
      <c r="D12" s="800">
        <f ca="1">+VISUAL!E178</f>
        <v>24749845.965366002</v>
      </c>
    </row>
    <row r="13" spans="1:6" ht="13.5" thickBot="1">
      <c r="A13" s="803" t="str">
        <f>+VISUAL!A179</f>
        <v>UTILIDAD NETA</v>
      </c>
      <c r="B13" s="804">
        <f ca="1">+VISUAL!C179</f>
        <v>74567920</v>
      </c>
      <c r="C13" s="804">
        <f ca="1">+VISUAL!D179</f>
        <v>81785696.7368</v>
      </c>
      <c r="D13" s="805">
        <f ca="1">+VISUAL!E179</f>
        <v>74249537.896098003</v>
      </c>
    </row>
    <row r="14" spans="1:6" ht="13.5" thickBot="1">
      <c r="B14" s="785"/>
      <c r="C14" s="785"/>
      <c r="D14" s="785"/>
    </row>
    <row r="15" spans="1:6" ht="15">
      <c r="A15" s="769" t="s">
        <v>865</v>
      </c>
      <c r="B15" s="786">
        <f ca="1">+VISUAL!B303</f>
        <v>40035920</v>
      </c>
      <c r="C15" s="786">
        <f ca="1">+VISUAL!C303</f>
        <v>73511232.996799946</v>
      </c>
      <c r="D15" s="787">
        <f ca="1">+VISUAL!D303</f>
        <v>84994676.841264069</v>
      </c>
    </row>
    <row r="16" spans="1:6" ht="15.75" thickBot="1">
      <c r="A16" s="770" t="s">
        <v>866</v>
      </c>
      <c r="B16" s="788">
        <f ca="1">+'inversion af'!B201</f>
        <v>117350000</v>
      </c>
      <c r="C16" s="788">
        <f ca="1">+'inversion af'!C201</f>
        <v>0</v>
      </c>
      <c r="D16" s="789">
        <f ca="1">+'inversion af'!D201</f>
        <v>0</v>
      </c>
    </row>
    <row r="17" spans="1:4" ht="15" thickBot="1">
      <c r="A17" s="734"/>
      <c r="B17" s="783"/>
      <c r="C17" s="783"/>
      <c r="D17" s="783"/>
    </row>
    <row r="18" spans="1:4" ht="15">
      <c r="A18" s="771" t="s">
        <v>38</v>
      </c>
      <c r="B18" s="774">
        <f ca="1">+VISUAL!C179/VISUAL!C324</f>
        <v>0.38854068447594681</v>
      </c>
      <c r="C18" s="774">
        <f ca="1">+VISUAL!D179/VISUAL!D324</f>
        <v>0.29881116556617193</v>
      </c>
      <c r="D18" s="780">
        <f ca="1">+VISUAL!E179/VISUAL!E324</f>
        <v>0.19921905049573629</v>
      </c>
    </row>
    <row r="19" spans="1:4" ht="15">
      <c r="A19" s="772" t="s">
        <v>39</v>
      </c>
      <c r="B19" s="775">
        <f ca="1">+VISUAL!C179/VISUAL!C335</f>
        <v>0.38854068447594681</v>
      </c>
      <c r="C19" s="775">
        <f ca="1">+VISUAL!D179/VISUAL!D335</f>
        <v>0.29881116556617188</v>
      </c>
      <c r="D19" s="777">
        <f ca="1">+VISUAL!E179/VISUAL!E335</f>
        <v>0.21338946610337156</v>
      </c>
    </row>
    <row r="20" spans="1:4" ht="15.75" thickBot="1">
      <c r="A20" s="773" t="s">
        <v>40</v>
      </c>
      <c r="B20" s="776">
        <f ca="1">+B13/B5</f>
        <v>0.2045759122085048</v>
      </c>
      <c r="C20" s="779">
        <f ca="1">+C13/C5</f>
        <v>0.19746684140661253</v>
      </c>
      <c r="D20" s="778">
        <f ca="1">+D13/D5</f>
        <v>0.15326214259014795</v>
      </c>
    </row>
    <row r="21" spans="1:4" ht="15">
      <c r="A21" s="773" t="s">
        <v>41</v>
      </c>
      <c r="B21" s="777">
        <f ca="1">+VISUAL!B330/VISUAL!B324</f>
        <v>0</v>
      </c>
      <c r="C21" s="782"/>
      <c r="D21" s="782"/>
    </row>
    <row r="22" spans="1:4" ht="15">
      <c r="A22" s="772" t="s">
        <v>36</v>
      </c>
      <c r="B22" s="768">
        <f ca="1">+VISUAL!E118</f>
        <v>227051554.07730246</v>
      </c>
      <c r="C22" s="767"/>
      <c r="D22" s="767"/>
    </row>
    <row r="23" spans="1:4" ht="15">
      <c r="A23" s="772" t="s">
        <v>35</v>
      </c>
      <c r="B23" s="784" t="str">
        <f ca="1">+ayuda!C193</f>
        <v>EN EL AÑO 2</v>
      </c>
      <c r="C23" s="767"/>
      <c r="D23" s="767"/>
    </row>
    <row r="24" spans="1:4" ht="15">
      <c r="A24" s="772" t="s">
        <v>867</v>
      </c>
      <c r="B24" s="777">
        <f ca="1">+ayuda!B168</f>
        <v>0.27645194567714526</v>
      </c>
      <c r="C24" s="767"/>
      <c r="D24" s="767"/>
    </row>
    <row r="25" spans="1:4" ht="15">
      <c r="A25" s="772" t="s">
        <v>868</v>
      </c>
      <c r="B25" s="768">
        <f ca="1">+ayuda!B169</f>
        <v>5243199.6606791764</v>
      </c>
      <c r="C25" s="767"/>
      <c r="D25" s="767"/>
    </row>
    <row r="26" spans="1:4" ht="13.5" thickBot="1">
      <c r="A26" s="806" t="s">
        <v>37</v>
      </c>
      <c r="B26" s="778">
        <f>+ayuda!C169</f>
        <v>0.25</v>
      </c>
      <c r="C26" s="767"/>
      <c r="D26" s="767"/>
    </row>
    <row r="29" spans="1:4" ht="55.5" customHeight="1">
      <c r="A29" s="1160" t="str">
        <f ca="1">+ayuda!A10</f>
        <v>LA INVERSIÓN TOTAL PARA A LA REALIZACIÓN DEL PROYECTO ES DE  $117.350.000. SE APORTA EL 100% CON RECURSOS PROPIOS. DE LA INVERSIÓN SE DESTINA  PARA CAPITAL DE TRABAJO EL 59,65% Y PARA ACTIVOS FIJOS EL 40,35%</v>
      </c>
      <c r="B29" s="1160"/>
      <c r="C29" s="1160"/>
      <c r="D29" s="1160"/>
    </row>
    <row r="30" spans="1:4" ht="48" customHeight="1">
      <c r="A30" s="1160" t="str">
        <f>+ayuda!A20</f>
        <v xml:space="preserve">LAS VENTAS INICIAN EN EL MES 2 DEL 2014. EN EL PRIMER AÑO SE ESPERA VENDER 364,5 MILLONES DE PESOS. SE CONFÍA TENER LA MAYOR VENTA EN EL MES 11 DE LA PROYECCIÓN, POR VALOR DE 51,03 MILLONES DE PESOS. </v>
      </c>
      <c r="B30" s="1160"/>
      <c r="C30" s="1160"/>
      <c r="D30" s="1160"/>
    </row>
    <row r="31" spans="1:4" ht="58.5" customHeight="1">
      <c r="A31" s="1160" t="str">
        <f>+ayuda!A29</f>
        <v>EN EL SEGUNDO AÑO SE PRESUPUESTA INCREMENTAN LAS VENTAS EN UN 13,63% TENIENDO VENTAS PROMEDIO MENSUALES DE 34,51 MILLONES DE PESOS. PARA EL TERCER AÑO SE ESPERA TENER VENTAS POR 484,46 MILLONES DE PESOS. CORRESPONDIENTE A UN CRECIMIENTO DEL 16,97%  CON RESPECTO AL AÑO ANTERIOR</v>
      </c>
      <c r="B31" s="1160"/>
      <c r="C31" s="1160"/>
      <c r="D31" s="1160"/>
    </row>
    <row r="32" spans="1:4" ht="53.25" customHeight="1">
      <c r="A32" s="1160" t="str">
        <f>+ayuda!A38</f>
        <v>EL PRODUCTO DE MAYOR VENTA EN EL AÑO 1 ES CAMISETAS EL CUAL PARTICIPA CON UN 100%. EL PRODUCTO DE MENOR PARTICIPACIÓN EN EL PORTAFOLIO ES CAMISETAS CON UNA CONTRIBUCIÓN DE SOLO EL 100%</v>
      </c>
      <c r="B32" s="1160"/>
      <c r="C32" s="1160"/>
      <c r="D32" s="1160"/>
    </row>
    <row r="33" spans="1:4" ht="87" customHeight="1">
      <c r="A33" s="1160" t="str">
        <f ca="1">+ayuda!A48</f>
        <v xml:space="preserve">LOS COSTOS Y GASTOS FIJOS DEL PRIMER AÑO, ASCIENDEN A $123.179.000, SE DESTINAN 42 MILLONES DE PESOS PARA MANO DE OBRA, SE ESTABLECEN 29,1 MILLONES DE PESOS EN COSTOS DE PRODUCCION, SE CALCULAN 46,544 MILLONES DE PESOS PARA GASTOS ADMINISTRATIVOS, NO SE ESTUDIAN CREDITOS. SE CONTABILIZAN 5,535 MILLONES DE PESOS PARA DEPRECIACION </v>
      </c>
      <c r="B33" s="1160"/>
      <c r="C33" s="1160"/>
      <c r="D33" s="1160"/>
    </row>
    <row r="34" spans="1:4" ht="68.25" customHeight="1">
      <c r="A34" s="1160" t="str">
        <f>+ayuda!A66</f>
        <v xml:space="preserve">EL MARGEN DE CONTRIBUCIÓN DE LA EMPRESA ES 54,25% LO CUAL SE INTERPRETA ASÍ: POR CADA PESO QUE VENDA LA EMPRESA SE OBTIENEN 54 CENTAVOS PARA CUBRIR LOS COSTOS Y GASTOS FIJOS DE LA EMPRESA Y GENERAR UTILIDAD. EL PRODUCTO CON MAYOR MARGEN DE CONTRIBUCIÓN ES CAMISETAS, CAMISETAS ES EL PRODUCTO DE MENOR MARGEN DE CONTRIBUCIÓN.  </v>
      </c>
      <c r="B34" s="1160"/>
      <c r="C34" s="1160"/>
      <c r="D34" s="1160"/>
    </row>
    <row r="35" spans="1:4" ht="84" customHeight="1">
      <c r="A35" s="1160" t="str">
        <f ca="1">+ayuda!A78</f>
        <v>TENIENDO EN CUENTA LA ESTRUCTURA DE COSTOS Y GASTOS FIJOS Y EL MARGEN DE CONTRIBUCIÓN DE LA EMPRESA, SE LLEGA  A LA CONCLUSIÓN QUE LA ORGANIZACIÓN REQUIERE VENDER $227.051.554 AL AÑO PARA NO PERDER NI GANAR DINERO. SE REQUIEREN VENTAS MENSUALES PROMEDIO DE 18,9 MILLONES DE PESOS. AL ANALIZAR LAS PROYECCIONES DE VENTAS SE DETERMINA QUE LA EMPRESA, EN EL PRIMER AÑO, ALCANZA EL PUNTO DE EQUILIBRIO.</v>
      </c>
      <c r="B35" s="1160"/>
      <c r="C35" s="1160"/>
      <c r="D35" s="1160"/>
    </row>
    <row r="36" spans="1:4" ht="65.25" customHeight="1">
      <c r="A36" s="1160" t="str">
        <f ca="1">+ayuda!A99</f>
        <v>EL ESTADO DE PERDIDAS Y GANANCIAS PROYECTADO PARA EL PRIMER AÑO, MUESTRA QUE LAS METAS DE VENTAS  SON SUFICIENTES PARA CUBRIR LOS COSTOS Y GASTOS TOTALES. LA RENTABILIDAD SOBRE VENTAS DEL PROYECTO ES DE 1,69% MENSUAL</v>
      </c>
      <c r="B36" s="1160"/>
      <c r="C36" s="1160"/>
      <c r="D36" s="1160"/>
    </row>
    <row r="37" spans="1:4" ht="88.5" customHeight="1">
      <c r="A37" s="1160" t="str">
        <f ca="1">+ayuda!A115</f>
        <v>EL ESTADO DE RESULTADOS EN EL PRIMER AÑO, MUESTRA UNA UTILIDAD POR 74,57 MILLONES DE PESOS. LA RENTABILIDAD BRUTA ES DEL 34,53% ANUAL. SE ACONSEJA REVISAR CON DETENIMIENTO LOS PRECIOS DE VENTA, LA PROYECCION DE VENTA Y LOS COSTOS VARIABLES. LA RENTABILIDAD OPERACIONAL ES DEL 20,46% ANUAL. SE SUGIERE REPASAR LA ESTRUCTURA DE COSTOS Y GASTOS FIJOS. LA RENTABILIDAD SOBRE VENTAS ES DE 20,46% ANUAL. LA CUAL SE CONSIDERA ACEPTABLE</v>
      </c>
      <c r="B37" s="1160"/>
      <c r="C37" s="1160"/>
      <c r="D37" s="1160"/>
    </row>
    <row r="38" spans="1:4" ht="53.25" customHeight="1">
      <c r="A38" s="1160" t="str">
        <f ca="1">+ayuda!A126</f>
        <v xml:space="preserve">PARA EL SEGUNDO AÑO LAS VENTAS CRECEN UN 13,63% Y LOS COSTOS DE VENTAS SUBEN UN 15,32% SE HACE IMPRESCINDIBLE VERIFICAR LOS COSTOS DIRECTOS YA QUE ESTOS SE INCREMENTA POR ENCIMA DEL INCREMENTO EN VENTAS LOS GASTOS ADMINISTRATIVOS SE INCREMENTAN EN UN 11,25% </v>
      </c>
      <c r="B38" s="1160"/>
      <c r="C38" s="1160"/>
      <c r="D38" s="1160"/>
    </row>
    <row r="39" spans="1:4" ht="41.25" customHeight="1">
      <c r="A39" s="1160" t="str">
        <f ca="1">+ayuda!A132</f>
        <v>EN EL TERCER AÑO LOS COSTOS DE VENTAS SE INCREMENTAN EN UN 17,05%. MIENTRAS QUE LAS VENTAS ASCIENDE UN 16,97%. SE HACE IMPRESCINDIBLE VERIFICAR LOS COSTOS DIRECTOS YA QUE ESTOS SE INCREMENTA POR ENCIMA DEL CRECIMIENTO EN VENTAS</v>
      </c>
      <c r="B39" s="1160"/>
      <c r="C39" s="1160"/>
      <c r="D39" s="1160"/>
    </row>
    <row r="40" spans="1:4" ht="25.5" customHeight="1">
      <c r="A40" s="1160" t="str">
        <f>+ayuda!A145</f>
        <v>LA EMPRESA VENDE EL 10%  DE CONTADO,, A 90 DIAS EL 80% . SE DEBE PRESTAR ESPECIAL CUIDADO CON EL 10% . QUE SE FINANCIA A MAS DE 120 DIAS</v>
      </c>
      <c r="B40" s="1160"/>
      <c r="C40" s="1160"/>
      <c r="D40" s="1160"/>
    </row>
    <row r="41" spans="1:4" ht="37.5" customHeight="1">
      <c r="A41" s="1160" t="str">
        <f>+ayuda!A153</f>
        <v>LA EMPRESA COMPRA EL 100%  DE CONTADO,LA EMPRESA DEBE TENER PRESENTE LA CARTERA PARA QUE EL FLUJO DE EFECTIVO NO SE AFECTE</v>
      </c>
      <c r="B41" s="1160"/>
      <c r="C41" s="1160"/>
      <c r="D41" s="1160"/>
    </row>
    <row r="42" spans="1:4" ht="57" customHeight="1">
      <c r="A42" s="1160" t="str">
        <f ca="1">+ayuda!A161</f>
        <v>EL PROYECTO PRESENTA SU MENOR SUPERAVIT  EN EL MES 5 POR VALOR DE $4.128.527, ES NECESARIO QUE SE DESCUENTE DEL VALOR DE LOS INVENTARIOS, EN CASO DE SER REQUERIDOS. CON ESTE VALOR EL PROYECTO ES VIABLE.</v>
      </c>
      <c r="B42" s="1160"/>
      <c r="C42" s="1160"/>
      <c r="D42" s="1160"/>
    </row>
    <row r="43" spans="1:4" ht="105.75" customHeight="1">
      <c r="A43" s="1160" t="str">
        <f ca="1">+ayuda!A171</f>
        <v>EL PROYECTO POSEE UNA INVERSIÓN DE $117.350.000. AL PRIMER AÑO DE OPERACIÓN ARROJA UN FLUJO DE EFECTIVO DE 40,04 MILLONES, PARA EL SEGUNDO AÑO, EL VALOR ES DE 73,51 MM Y PARA EL TERCERO DE 84,99 MM. LA VIABILIDAD FINANCIERA SE DETERMINA A TRAVÉS DE TRES INDICADORES, EL PRIMERO DE ELLOS ES LA TASA INTERNA DE RETORNO O TIR LA CUAL ES DE 27,65% . SE INTERPRETA COMO: EL PROYECTO ARROJA UNA RENTABILIDAD DEL 27,65% PROMEDIO ANUAL. ESTA DENTRO DE LOS PARAMETROS DE LOS PROYECTOS.</v>
      </c>
      <c r="B43" s="1160"/>
      <c r="C43" s="1160"/>
      <c r="D43" s="1160"/>
    </row>
    <row r="44" spans="1:4" ht="84" customHeight="1">
      <c r="A44" s="1160" t="str">
        <f ca="1">+ayuda!A179</f>
        <v>EL SEGUNDO INDICADOR ES EL VALOR PRESENTE NETO, PARA SU CALCULO ES NECESARIO LA TASA DE DESCUENTO O TASA DE INTERES DE OPORTUNIDAD QUE SE SOLICITO EN LA ENTRADA DE DATOS, (OTROS PARAMETROS), DONDE USTED DIGITO EL 25%, EL VALOR ARROJADO DEL CALCULO ES $5.243.200. SE INTERPRETA COMO: EL PROYECTO ARROJA 5 MILLONES ADICIONALES AL INVERTIR LOS RECURSOS EN ESTE PROYECTO QUE EN UNO QUE RENTE, EL 25% ANUAL, POR LO TANTO SE SUGIERE CONTINUAR CON EL PROYECTO.</v>
      </c>
      <c r="B44" s="1160"/>
      <c r="C44" s="1160"/>
      <c r="D44" s="1160"/>
    </row>
    <row r="45" spans="1:4" ht="68.25" customHeight="1">
      <c r="A45" s="1160" t="str">
        <f ca="1">+ayuda!A188</f>
        <v>EL TERCER INDICADOR DE VIABILIDAD FINANCIERA ES EL PERIODO DE RECUPERACIÓN DE LA INVERSIÓN O PRI. SE CALCULA CON EL ESTADO DE RESULTADOS SUMANDO LAS UTILIDADES Y RESTANDO LA INVERSIÓN HASTA OBTENER CERO. LA INVERSIÓN ES DE $117.350.000. COMO LA SUMA DE LAS UTILIDADES DEL PRIMER Y SEGUNDO PERIODO ES SUPERIOR, SE PUEDE DECIR QUE  LA INVERSIÓN SE RECUPERA EN EL SEGUNDO AÑO.</v>
      </c>
      <c r="B45" s="1160"/>
      <c r="C45" s="1160"/>
      <c r="D45" s="1160"/>
    </row>
    <row r="46" spans="1:4" ht="96.75" customHeight="1">
      <c r="A46" s="1160" t="str">
        <f>+ayuda!A197</f>
        <v xml:space="preserve">EL BALANCE GENERAL PROYECTADO SE ANALIZA BASICAMENTE CON DOS INDICADORES, EL PRIMERO DE ELLOS ES LA RAZON DE LIQUIDEZ.  ESTE INDICADOR ES UNA BUENA MEDIDA DE LA CAPACIDAD DE PAGO DE LA EMPRESA EN EL CORTO PLAZO. ENTRE "MÁS LÍQUIDO" SEA EL ACTIVO CORRIENTE MÁS SIGNIFICATIVO ES SU RESULTADO. PARA SU ANÁLISIS DEBE TENERSE EN CUENTA LA CALIDAD Y EL CARÁCTER DE LOS ACTIVOS CORRIENTES, EN TÉRMINOS DE SU FACILIDAD DE CONVERSIÓN EN DINERO Y LAS FECHAS DE VENCIMIENTO DE LAS OBLIGACIONES EN EL PASIVO CORRIENTE. </v>
      </c>
      <c r="B46" s="1160"/>
      <c r="C46" s="1160"/>
      <c r="D46" s="1160"/>
    </row>
    <row r="47" spans="1:4" ht="64.5" customHeight="1">
      <c r="A47" s="1160" t="str">
        <f ca="1">+ayuda!A198</f>
        <v xml:space="preserve">AL TERMINAR EL PRIMER AÑO, PARA EL PROYECTO SE CONCLUYE QUE POR CADA PESO DE PASIVO CORRIENTE QUE DEBE, LA EMPRESA TIENE $0,00 PESOS DE ACTIVO LÍQUIDO  CORRIENTE PARA CUBRIRLO.   SE CONSIDERA QUE UNA RAZÓN CORRIENTE IDEAL ES SUPERIOR A  2.5  A 1, ES DECIR, QUE POR CADA PESO QUE SE ADEUDA EN EL CORTO PLAZO SE TIENEN DOS Y MEDIO PESOS COMO RESPALDO. </v>
      </c>
      <c r="B47" s="1160"/>
      <c r="C47" s="1160"/>
      <c r="D47" s="1160"/>
    </row>
    <row r="48" spans="1:4" ht="70.5" customHeight="1">
      <c r="A48" s="1160" t="str">
        <f>+ayuda!A199</f>
        <v xml:space="preserve">EL SEGUNDO INDICADOR  AYUDA A DETERMINAR LA CAPACIDAD QUE TIENE LA EMPRESA PARA CUBRIR SUS OBLIGACIONES CON TERCEROS A CORTO Y LARGO PLAZO. SE LE DENOMINA NIVEL DE ENDEUDAMIENTO. ES IMPORTANTE CONOCER LA DISCRIMINACIÓN DEL PASIVO TOTAL. UNA EMPRESA PUEDE TENER UN ENDEUDAMIENTO ALTO, PERO SI LA MAYOR PARTE DE ÉSTE ES A LARGO PLAZO ELLA NO  TENDRÁ LAS DIFICULTADES QUE HA DE SUPONER UN INDICADOR ALTO. </v>
      </c>
      <c r="B48" s="1160"/>
      <c r="C48" s="1160"/>
      <c r="D48" s="1160"/>
    </row>
    <row r="49" spans="1:4" ht="39.75" customHeight="1">
      <c r="A49" s="1160" t="str">
        <f ca="1">+ayuda!A200</f>
        <v>EN EL MOMENTO DE ARRANQUE DE LA EMPRESA SE OBSERVA  QUE NO POSEE NIVEL DE ENDEUDAMIENTO LO CUAL SE CONSIDERA FAVORABLE PARA SU OPERACIÓN Y VIABILIDAD</v>
      </c>
      <c r="B49" s="1160"/>
      <c r="C49" s="1160"/>
      <c r="D49" s="1160"/>
    </row>
    <row r="50" spans="1:4" ht="77.25" customHeight="1">
      <c r="A50" s="1160" t="str">
        <f ca="1">+ayuda!A201</f>
        <v xml:space="preserve">AL TERMINAR EL PRIMER AÑO,  EL 0%  DE LOS ACTIVOS ESTÁN RESPALDADOS  CON RECURSOS DE LOS ACREEDORES, SE CONSIDERA QUE UN NIVEL DE ENDEUDAMIENTO DEL 60% ES MANEJABLE, UN ENDEUDAMIENTO MENOR MUESTRA UNA EMPRESA EN CAPACIDAD DE CONTRAER MÁS OBLIGACIONES, MIENTRAS QUE UN ENDEUDAMIENTO MAYOR MUESTRA UNA EMPRESA A LA QUE SE LE PUEDE DIFICULTAR LA CONSECUCIÓN DE MÁS FINANCIAMIENTO. </v>
      </c>
      <c r="B50" s="1160"/>
      <c r="C50" s="1160"/>
      <c r="D50" s="1160"/>
    </row>
    <row r="51" spans="1:4" ht="34.5" customHeight="1">
      <c r="A51" s="1160" t="str">
        <f ca="1">+ayuda!A207</f>
        <v>EL PROYECTO SE FINANCIA 100% CON RECURSOS PROPIOS</v>
      </c>
      <c r="B51" s="1160"/>
      <c r="C51" s="1160"/>
      <c r="D51" s="1160"/>
    </row>
  </sheetData>
  <sheetProtection password="902B" sheet="1" objects="1" scenarios="1"/>
  <mergeCells count="24">
    <mergeCell ref="A51:D51"/>
    <mergeCell ref="A50:D50"/>
    <mergeCell ref="A49:D49"/>
    <mergeCell ref="A48:D48"/>
    <mergeCell ref="A35:D35"/>
    <mergeCell ref="A36:D36"/>
    <mergeCell ref="A45:D45"/>
    <mergeCell ref="A38:D38"/>
    <mergeCell ref="A42:D42"/>
    <mergeCell ref="A41:D41"/>
    <mergeCell ref="A47:D47"/>
    <mergeCell ref="A46:D46"/>
    <mergeCell ref="A43:D43"/>
    <mergeCell ref="A44:D44"/>
    <mergeCell ref="A37:D37"/>
    <mergeCell ref="A33:D33"/>
    <mergeCell ref="A34:D34"/>
    <mergeCell ref="A1:D1"/>
    <mergeCell ref="A29:D29"/>
    <mergeCell ref="A30:D30"/>
    <mergeCell ref="A31:D31"/>
    <mergeCell ref="A39:D39"/>
    <mergeCell ref="A40:D40"/>
    <mergeCell ref="A32:D32"/>
  </mergeCells>
  <phoneticPr fontId="62" type="noConversion"/>
  <pageMargins left="0.75" right="0.75" top="1" bottom="1" header="0" footer="0"/>
  <pageSetup scale="80" orientation="portrait" horizontalDpi="0" verticalDpi="0"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1"/>
  <dimension ref="A1:T405"/>
  <sheetViews>
    <sheetView showGridLines="0" showZeros="0" tabSelected="1" zoomScale="85" zoomScaleNormal="85" workbookViewId="0">
      <pane ySplit="3" topLeftCell="A4" activePane="bottomLeft" state="frozen"/>
      <selection pane="bottomLeft" activeCell="A117" sqref="A117"/>
    </sheetView>
  </sheetViews>
  <sheetFormatPr baseColWidth="10" defaultColWidth="12.42578125" defaultRowHeight="15" customHeight="1"/>
  <cols>
    <col min="1" max="1" width="38.5703125" style="537" customWidth="1"/>
    <col min="2" max="2" width="24.85546875" style="537" customWidth="1"/>
    <col min="3" max="3" width="19.7109375" style="537" customWidth="1"/>
    <col min="4" max="4" width="21" style="537" customWidth="1"/>
    <col min="5" max="6" width="20.5703125" style="537" customWidth="1"/>
    <col min="7" max="7" width="18.140625" style="537" customWidth="1"/>
    <col min="8" max="8" width="19.42578125" style="537" customWidth="1"/>
    <col min="9" max="9" width="18.5703125" style="537" customWidth="1"/>
    <col min="10" max="10" width="17.140625" style="537" customWidth="1"/>
    <col min="11" max="11" width="17.5703125" style="537" customWidth="1"/>
    <col min="12" max="12" width="17.7109375" style="537" customWidth="1"/>
    <col min="13" max="13" width="17.140625" style="537" customWidth="1"/>
    <col min="14" max="14" width="17.28515625" style="537" customWidth="1"/>
    <col min="15" max="16384" width="12.42578125" style="537"/>
  </cols>
  <sheetData>
    <row r="1" spans="1:18" ht="23.25" customHeight="1">
      <c r="A1" s="535"/>
      <c r="B1" s="1168" t="s">
        <v>273</v>
      </c>
      <c r="C1" s="1168"/>
      <c r="D1" s="1168"/>
      <c r="E1" s="1168"/>
      <c r="F1" s="1168"/>
      <c r="G1" s="1168"/>
      <c r="H1" s="536"/>
      <c r="I1" s="536"/>
      <c r="J1" s="646"/>
      <c r="K1" s="536"/>
      <c r="L1" s="536"/>
      <c r="M1" s="536"/>
      <c r="N1" s="536"/>
      <c r="O1" s="536"/>
      <c r="P1" s="536"/>
      <c r="Q1" s="536"/>
      <c r="R1" s="536"/>
    </row>
    <row r="2" spans="1:18" ht="27.75" customHeight="1">
      <c r="A2" s="538" t="s">
        <v>280</v>
      </c>
      <c r="B2" s="539" t="str">
        <f>+'datos de entrada'!$B$4</f>
        <v>TUBE TEES</v>
      </c>
      <c r="C2" s="540"/>
      <c r="D2" s="541"/>
      <c r="E2" s="542"/>
      <c r="F2" s="542"/>
      <c r="G2" s="542"/>
      <c r="H2" s="543" t="str">
        <f>CONCATENATE(A2,B2)</f>
        <v>PROYECTO:  TUBE TEES</v>
      </c>
      <c r="J2" s="541"/>
      <c r="K2" s="536"/>
      <c r="L2" s="536"/>
      <c r="M2" s="536"/>
      <c r="N2" s="536"/>
      <c r="O2" s="536"/>
      <c r="P2" s="536"/>
      <c r="Q2" s="536"/>
      <c r="R2" s="536"/>
    </row>
    <row r="3" spans="1:18" ht="25.5" customHeight="1">
      <c r="A3" s="538" t="s">
        <v>279</v>
      </c>
      <c r="B3" s="544" t="str">
        <f>+'datos de entrada'!B5</f>
        <v xml:space="preserve">JORGE FLOREZ / LIZETH PAJARO / </v>
      </c>
      <c r="C3" s="545"/>
      <c r="D3" s="545"/>
      <c r="E3" s="545"/>
      <c r="H3" s="543" t="str">
        <f>CONCATENATE(A3,B3)</f>
        <v xml:space="preserve">SOCIOS:  JORGE FLOREZ / LIZETH PAJARO / </v>
      </c>
      <c r="I3" s="536"/>
      <c r="J3" s="646"/>
      <c r="K3" s="536"/>
      <c r="L3" s="536"/>
      <c r="M3" s="536"/>
      <c r="N3" s="536"/>
      <c r="O3" s="536"/>
      <c r="P3" s="536"/>
      <c r="Q3" s="536"/>
      <c r="R3" s="536"/>
    </row>
    <row r="4" spans="1:18" ht="8.25" customHeight="1">
      <c r="H4" s="536"/>
      <c r="I4" s="536"/>
      <c r="J4" s="646"/>
      <c r="K4" s="536"/>
      <c r="L4" s="536"/>
      <c r="M4" s="536"/>
      <c r="N4" s="536"/>
      <c r="O4" s="536"/>
      <c r="P4" s="536"/>
      <c r="Q4" s="536"/>
      <c r="R4" s="536"/>
    </row>
    <row r="5" spans="1:18" ht="7.5" customHeight="1">
      <c r="H5" s="536"/>
      <c r="I5" s="536"/>
      <c r="J5" s="646"/>
      <c r="K5" s="536"/>
      <c r="L5" s="536"/>
      <c r="M5" s="536"/>
      <c r="N5" s="536"/>
      <c r="O5" s="536"/>
      <c r="P5" s="536"/>
      <c r="Q5" s="536"/>
      <c r="R5" s="536"/>
    </row>
    <row r="6" spans="1:18" ht="9.75" customHeight="1">
      <c r="H6" s="536"/>
      <c r="I6" s="536"/>
      <c r="J6" s="646"/>
      <c r="K6" s="536"/>
      <c r="L6" s="536"/>
      <c r="M6" s="536"/>
      <c r="N6" s="536"/>
      <c r="O6" s="536"/>
      <c r="P6" s="536"/>
      <c r="Q6" s="536"/>
      <c r="R6" s="536"/>
    </row>
    <row r="7" spans="1:18" ht="22.5" customHeight="1" thickBot="1">
      <c r="A7" s="546" t="s">
        <v>282</v>
      </c>
      <c r="H7" s="536"/>
      <c r="I7" s="536"/>
      <c r="J7" s="646"/>
      <c r="K7" s="536"/>
      <c r="L7" s="536"/>
      <c r="M7" s="536"/>
      <c r="N7" s="536"/>
      <c r="O7" s="536"/>
      <c r="P7" s="536"/>
      <c r="Q7" s="536"/>
      <c r="R7" s="536"/>
    </row>
    <row r="8" spans="1:18" ht="30" customHeight="1" thickBot="1">
      <c r="A8" s="536"/>
      <c r="B8" s="1212" t="s">
        <v>47</v>
      </c>
      <c r="C8" s="1202"/>
      <c r="D8" s="1202" t="s">
        <v>48</v>
      </c>
      <c r="E8" s="1202"/>
      <c r="F8" s="1202" t="s">
        <v>423</v>
      </c>
      <c r="G8" s="1202"/>
      <c r="H8" s="1202" t="s">
        <v>49</v>
      </c>
      <c r="I8" s="1202"/>
      <c r="J8" s="646"/>
      <c r="K8" s="536"/>
      <c r="L8" s="536"/>
      <c r="M8" s="536"/>
      <c r="N8" s="536"/>
      <c r="O8" s="536"/>
      <c r="P8" s="536"/>
      <c r="Q8" s="536"/>
      <c r="R8" s="536"/>
    </row>
    <row r="9" spans="1:18" ht="15.75">
      <c r="A9" s="549" t="s">
        <v>657</v>
      </c>
      <c r="B9" s="550">
        <f ca="1">+'inver y financ'!B88</f>
        <v>47350000</v>
      </c>
      <c r="C9" s="551">
        <f ca="1">IF(B$11=0,0,B9/B$11)</f>
        <v>0.40349382190029826</v>
      </c>
      <c r="D9" s="552">
        <f ca="1">+'inver y financ'!D88</f>
        <v>0</v>
      </c>
      <c r="E9" s="553">
        <f ca="1">IF(D$11=0,0,D9/D$11)</f>
        <v>0</v>
      </c>
      <c r="F9" s="552">
        <f ca="1">+'inver y financ'!F88</f>
        <v>0</v>
      </c>
      <c r="G9" s="551">
        <f ca="1">IF(F$11=0,0,+F9/F$11)</f>
        <v>0</v>
      </c>
      <c r="H9" s="552">
        <f ca="1">B9+D9+F9</f>
        <v>47350000</v>
      </c>
      <c r="I9" s="551">
        <f ca="1">IF(H$11=0,0,H9/H$11)</f>
        <v>0.40349382190029826</v>
      </c>
      <c r="J9" s="646"/>
      <c r="K9" s="536"/>
      <c r="L9" s="536"/>
      <c r="M9" s="536"/>
      <c r="N9" s="536"/>
      <c r="O9" s="536"/>
      <c r="P9" s="536"/>
      <c r="Q9" s="536"/>
      <c r="R9" s="536"/>
    </row>
    <row r="10" spans="1:18" ht="15.75">
      <c r="A10" s="554" t="s">
        <v>661</v>
      </c>
      <c r="B10" s="555">
        <f>+'inver y financ'!D28</f>
        <v>70000000</v>
      </c>
      <c r="C10" s="556">
        <f ca="1">IF(B$11=0,0,B10/B$11)</f>
        <v>0.59650617809970174</v>
      </c>
      <c r="D10" s="557">
        <f>SUM('inver y financ'!D52:'inver y financ'!D54)</f>
        <v>0</v>
      </c>
      <c r="E10" s="558">
        <f ca="1">IF(D$11=0,0,D10/D$11)</f>
        <v>0</v>
      </c>
      <c r="F10" s="557">
        <f>+'inver y financ'!F89</f>
        <v>0</v>
      </c>
      <c r="G10" s="556">
        <f ca="1">IF(F$11=0,0,+F10/F$11)</f>
        <v>0</v>
      </c>
      <c r="H10" s="557">
        <f>B10+D10+F10</f>
        <v>70000000</v>
      </c>
      <c r="I10" s="556">
        <f ca="1">IF(H$11=0,0,H10/H$11)</f>
        <v>0.59650617809970174</v>
      </c>
      <c r="J10" s="646"/>
      <c r="K10" s="536"/>
      <c r="L10" s="536"/>
      <c r="M10" s="536"/>
      <c r="N10" s="536"/>
      <c r="O10" s="536"/>
      <c r="P10" s="536"/>
      <c r="Q10" s="536"/>
      <c r="R10" s="536"/>
    </row>
    <row r="11" spans="1:18" ht="16.5" thickBot="1">
      <c r="A11" s="559" t="s">
        <v>278</v>
      </c>
      <c r="B11" s="1200">
        <f ca="1">B9+B10</f>
        <v>117350000</v>
      </c>
      <c r="C11" s="1201"/>
      <c r="D11" s="1205">
        <f ca="1">D9+D10</f>
        <v>0</v>
      </c>
      <c r="E11" s="1206"/>
      <c r="F11" s="1205">
        <f ca="1">F9+F10</f>
        <v>0</v>
      </c>
      <c r="G11" s="1206"/>
      <c r="H11" s="1207">
        <f ca="1">H9+H10</f>
        <v>117350000</v>
      </c>
      <c r="I11" s="1208"/>
      <c r="J11" s="646"/>
      <c r="K11" s="536"/>
      <c r="L11" s="536"/>
      <c r="M11" s="536"/>
      <c r="N11" s="536"/>
      <c r="O11" s="536"/>
      <c r="P11" s="536"/>
      <c r="Q11" s="536"/>
      <c r="R11" s="536"/>
    </row>
    <row r="12" spans="1:18" ht="16.5" thickBot="1">
      <c r="A12" s="560" t="s">
        <v>50</v>
      </c>
      <c r="B12" s="1209">
        <f ca="1">B11/$H$11</f>
        <v>1</v>
      </c>
      <c r="C12" s="1210"/>
      <c r="D12" s="1210">
        <f ca="1">D11/$H$11</f>
        <v>0</v>
      </c>
      <c r="E12" s="1210"/>
      <c r="F12" s="1210">
        <f ca="1">F11/$H$11</f>
        <v>0</v>
      </c>
      <c r="G12" s="1211"/>
      <c r="H12" s="1199"/>
      <c r="I12" s="1199"/>
      <c r="J12" s="646"/>
      <c r="K12" s="536"/>
      <c r="L12" s="536"/>
      <c r="M12" s="536"/>
      <c r="N12" s="536"/>
      <c r="O12" s="536"/>
      <c r="P12" s="536"/>
      <c r="Q12" s="536"/>
      <c r="R12" s="536"/>
    </row>
    <row r="13" spans="1:18" ht="22.5" customHeight="1" thickBot="1">
      <c r="A13" s="1175" t="s">
        <v>657</v>
      </c>
      <c r="B13" s="1175"/>
      <c r="C13" s="1175"/>
      <c r="D13" s="1175"/>
      <c r="E13" s="561">
        <v>11</v>
      </c>
      <c r="H13" s="562"/>
      <c r="I13" s="536"/>
      <c r="J13" s="646"/>
      <c r="K13" s="536"/>
      <c r="L13" s="536"/>
      <c r="M13" s="536"/>
      <c r="N13" s="536"/>
      <c r="O13" s="536"/>
      <c r="P13" s="536"/>
      <c r="Q13" s="536"/>
      <c r="R13" s="536"/>
    </row>
    <row r="14" spans="1:18" ht="16.5" thickBot="1">
      <c r="A14" s="1203" t="s">
        <v>833</v>
      </c>
      <c r="B14" s="1176" t="str">
        <f>VLOOKUP(E13,'inversion af'!F196:G204,2,FALSE)</f>
        <v>TOTAL</v>
      </c>
      <c r="C14" s="1177"/>
      <c r="H14" s="562"/>
      <c r="I14" s="536"/>
      <c r="J14" s="646"/>
      <c r="K14" s="536"/>
      <c r="L14" s="536"/>
      <c r="M14" s="536"/>
      <c r="N14" s="536"/>
      <c r="O14" s="536"/>
      <c r="P14" s="536"/>
      <c r="Q14" s="536"/>
      <c r="R14" s="536"/>
    </row>
    <row r="15" spans="1:18" ht="16.5" thickBot="1">
      <c r="A15" s="1204"/>
      <c r="B15" s="563" t="s">
        <v>410</v>
      </c>
      <c r="C15" s="563" t="s">
        <v>411</v>
      </c>
      <c r="D15" s="563" t="s">
        <v>412</v>
      </c>
      <c r="E15" s="563" t="s">
        <v>49</v>
      </c>
      <c r="F15" s="564"/>
      <c r="G15" s="564"/>
      <c r="H15" s="562"/>
      <c r="I15" s="536"/>
      <c r="J15" s="646"/>
      <c r="K15" s="536"/>
      <c r="L15" s="536"/>
      <c r="M15" s="536"/>
      <c r="N15" s="536"/>
      <c r="O15" s="536"/>
      <c r="P15" s="536"/>
      <c r="Q15" s="536"/>
      <c r="R15" s="536"/>
    </row>
    <row r="16" spans="1:18" ht="15" customHeight="1" thickBot="1">
      <c r="A16" s="565" t="s">
        <v>623</v>
      </c>
      <c r="B16" s="566">
        <f ca="1">VLOOKUP($A16,'inversion af'!$A$95:$K$103,$E$13,FALSE)</f>
        <v>0</v>
      </c>
      <c r="C16" s="566">
        <f ca="1">VLOOKUP($A16,'inversion af'!$A$106:$K$114,$E$13,FALSE)</f>
        <v>0</v>
      </c>
      <c r="D16" s="566">
        <f ca="1">VLOOKUP($A16,'inversion af'!$A$117:$K$125,$E$13,FALSE)</f>
        <v>0</v>
      </c>
      <c r="E16" s="567">
        <f ca="1">SUM(B16:D16)</f>
        <v>0</v>
      </c>
      <c r="F16" s="562"/>
      <c r="G16" s="562"/>
      <c r="H16" s="562"/>
      <c r="I16" s="562"/>
      <c r="J16" s="1048"/>
      <c r="K16" s="562">
        <f>+H21</f>
        <v>0</v>
      </c>
      <c r="L16" s="562"/>
      <c r="M16" s="536"/>
      <c r="N16" s="536"/>
      <c r="O16" s="536"/>
      <c r="P16" s="536"/>
      <c r="Q16" s="536"/>
      <c r="R16" s="536"/>
    </row>
    <row r="17" spans="1:18" ht="15" customHeight="1" thickBot="1">
      <c r="A17" s="565" t="s">
        <v>624</v>
      </c>
      <c r="B17" s="568">
        <f ca="1">VLOOKUP($A17,'inversion af'!$A$95:$K$103,$E$13,FALSE)</f>
        <v>0</v>
      </c>
      <c r="C17" s="568">
        <f ca="1">VLOOKUP($A17,'inversion af'!$A$106:$K$114,$E$13,FALSE)</f>
        <v>0</v>
      </c>
      <c r="D17" s="568">
        <f ca="1">VLOOKUP($A17,'inversion af'!$A$117:$K$125,$E$13,FALSE)</f>
        <v>0</v>
      </c>
      <c r="E17" s="569">
        <f t="shared" ref="E17:E25" ca="1" si="0">SUM(B17:D17)</f>
        <v>0</v>
      </c>
      <c r="F17" s="562"/>
      <c r="G17" s="562"/>
      <c r="H17" s="562"/>
      <c r="I17" s="562"/>
      <c r="J17" s="1048"/>
      <c r="K17" s="562"/>
      <c r="L17" s="562"/>
      <c r="M17" s="536"/>
      <c r="N17" s="536"/>
      <c r="O17" s="536"/>
      <c r="P17" s="536"/>
      <c r="Q17" s="536"/>
      <c r="R17" s="536"/>
    </row>
    <row r="18" spans="1:18" ht="15" customHeight="1" thickBot="1">
      <c r="A18" s="565" t="s">
        <v>625</v>
      </c>
      <c r="B18" s="568">
        <f ca="1">VLOOKUP($A18,'inversion af'!$A$95:$K$103,$E$13,FALSE)</f>
        <v>30800000</v>
      </c>
      <c r="C18" s="568">
        <f ca="1">VLOOKUP($A18,'inversion af'!$A$106:$K$114,$E$13,FALSE)</f>
        <v>0</v>
      </c>
      <c r="D18" s="568">
        <f ca="1">VLOOKUP($A18,'inversion af'!$A$117:$K$125,$E$13,FALSE)</f>
        <v>0</v>
      </c>
      <c r="E18" s="569">
        <f t="shared" ca="1" si="0"/>
        <v>30800000</v>
      </c>
      <c r="F18" s="562"/>
      <c r="G18" s="562"/>
      <c r="H18" s="562"/>
      <c r="I18" s="562"/>
      <c r="J18" s="1048"/>
      <c r="K18" s="562"/>
      <c r="L18" s="562"/>
      <c r="M18" s="536"/>
      <c r="N18" s="536"/>
      <c r="O18" s="536"/>
      <c r="P18" s="536"/>
      <c r="Q18" s="536"/>
      <c r="R18" s="536"/>
    </row>
    <row r="19" spans="1:18" ht="15" customHeight="1" thickBot="1">
      <c r="A19" s="565" t="s">
        <v>626</v>
      </c>
      <c r="B19" s="568">
        <f ca="1">VLOOKUP($A19,'inversion af'!$A$95:$K$103,$E$13,FALSE)</f>
        <v>0</v>
      </c>
      <c r="C19" s="568">
        <f ca="1">VLOOKUP($A19,'inversion af'!$A$106:$K$114,$E$13,FALSE)</f>
        <v>0</v>
      </c>
      <c r="D19" s="568">
        <f ca="1">VLOOKUP($A19,'inversion af'!$A$117:$K$125,$E$13,FALSE)</f>
        <v>0</v>
      </c>
      <c r="E19" s="569">
        <f t="shared" ca="1" si="0"/>
        <v>0</v>
      </c>
      <c r="F19" s="562"/>
      <c r="G19" s="562"/>
      <c r="H19" s="562"/>
      <c r="I19" s="562"/>
      <c r="J19" s="1048"/>
      <c r="K19" s="562"/>
      <c r="L19" s="562"/>
      <c r="M19" s="536"/>
      <c r="N19" s="536"/>
      <c r="O19" s="536"/>
      <c r="P19" s="536"/>
      <c r="Q19" s="536"/>
      <c r="R19" s="536"/>
    </row>
    <row r="20" spans="1:18" ht="15" customHeight="1" thickBot="1">
      <c r="A20" s="565" t="s">
        <v>627</v>
      </c>
      <c r="B20" s="568">
        <f ca="1">VLOOKUP($A20,'inversion af'!$A$95:$K$103,$E$13,FALSE)</f>
        <v>8000000</v>
      </c>
      <c r="C20" s="568">
        <f ca="1">VLOOKUP($A20,'inversion af'!$A$106:$K$114,$E$13,FALSE)</f>
        <v>0</v>
      </c>
      <c r="D20" s="568">
        <f ca="1">VLOOKUP($A20,'inversion af'!$A$117:$K$125,$E$13,FALSE)</f>
        <v>0</v>
      </c>
      <c r="E20" s="569">
        <f t="shared" ca="1" si="0"/>
        <v>8000000</v>
      </c>
      <c r="F20" s="562"/>
      <c r="G20" s="562"/>
      <c r="H20" s="562"/>
      <c r="I20" s="562"/>
      <c r="J20" s="1048"/>
      <c r="K20" s="562"/>
      <c r="L20" s="562"/>
      <c r="M20" s="536"/>
      <c r="N20" s="536"/>
      <c r="O20" s="536"/>
      <c r="P20" s="536"/>
      <c r="Q20" s="536"/>
      <c r="R20" s="536"/>
    </row>
    <row r="21" spans="1:18" ht="15" customHeight="1" thickBot="1">
      <c r="A21" s="565" t="s">
        <v>628</v>
      </c>
      <c r="B21" s="568">
        <f ca="1">VLOOKUP($A21,'inversion af'!$A$95:$K$103,$E$13,FALSE)</f>
        <v>8550000</v>
      </c>
      <c r="C21" s="568">
        <f ca="1">VLOOKUP($A21,'inversion af'!$A$106:$K$114,$E$13,FALSE)</f>
        <v>0</v>
      </c>
      <c r="D21" s="568">
        <f ca="1">VLOOKUP($A21,'inversion af'!$A$117:$K$125,$E$13,FALSE)</f>
        <v>0</v>
      </c>
      <c r="E21" s="569">
        <f t="shared" ca="1" si="0"/>
        <v>8550000</v>
      </c>
      <c r="F21" s="562"/>
      <c r="G21" s="562"/>
      <c r="H21" s="562"/>
      <c r="I21" s="562"/>
      <c r="J21" s="1048"/>
      <c r="K21" s="562"/>
      <c r="L21" s="562"/>
      <c r="M21" s="536"/>
      <c r="N21" s="536"/>
      <c r="O21" s="536"/>
      <c r="P21" s="536"/>
      <c r="Q21" s="536"/>
      <c r="R21" s="536"/>
    </row>
    <row r="22" spans="1:18" ht="15" customHeight="1" thickBot="1">
      <c r="A22" s="565" t="s">
        <v>629</v>
      </c>
      <c r="B22" s="568">
        <f ca="1">VLOOKUP($A22,'inversion af'!$A$95:$K$103,$E$13,FALSE)</f>
        <v>0</v>
      </c>
      <c r="C22" s="568">
        <f ca="1">VLOOKUP($A22,'inversion af'!$A$106:$K$114,$E$13,FALSE)</f>
        <v>0</v>
      </c>
      <c r="D22" s="568">
        <f ca="1">VLOOKUP($A22,'inversion af'!$A$117:$K$125,$E$13,FALSE)</f>
        <v>0</v>
      </c>
      <c r="E22" s="569">
        <f t="shared" ca="1" si="0"/>
        <v>0</v>
      </c>
      <c r="F22" s="562"/>
      <c r="G22" s="562"/>
      <c r="H22" s="562"/>
      <c r="I22" s="562"/>
      <c r="J22" s="1048"/>
      <c r="K22" s="562"/>
      <c r="L22" s="562"/>
      <c r="M22" s="536"/>
      <c r="N22" s="536"/>
      <c r="O22" s="536"/>
      <c r="P22" s="536"/>
      <c r="Q22" s="536"/>
      <c r="R22" s="536"/>
    </row>
    <row r="23" spans="1:18" ht="16.5" thickBot="1">
      <c r="A23" s="565" t="s">
        <v>630</v>
      </c>
      <c r="B23" s="568">
        <f ca="1">VLOOKUP($A23,'inversion af'!$A$95:$K$103,$E$13,FALSE)</f>
        <v>0</v>
      </c>
      <c r="C23" s="568">
        <f ca="1">VLOOKUP($A23,'inversion af'!$A$106:$K$114,$E$13,FALSE)</f>
        <v>0</v>
      </c>
      <c r="D23" s="568">
        <f ca="1">VLOOKUP($A23,'inversion af'!$A$117:$K$125,$E$13,FALSE)</f>
        <v>0</v>
      </c>
      <c r="E23" s="569">
        <f t="shared" ca="1" si="0"/>
        <v>0</v>
      </c>
      <c r="F23" s="562"/>
      <c r="G23" s="562"/>
      <c r="H23" s="562"/>
      <c r="I23" s="562"/>
      <c r="J23" s="1048"/>
      <c r="K23" s="562"/>
      <c r="L23" s="562"/>
      <c r="M23" s="536"/>
      <c r="N23" s="536"/>
      <c r="O23" s="536"/>
      <c r="P23" s="536"/>
      <c r="Q23" s="536"/>
      <c r="R23" s="536"/>
    </row>
    <row r="24" spans="1:18" ht="16.5" thickBot="1">
      <c r="A24" s="565" t="s">
        <v>631</v>
      </c>
      <c r="B24" s="568">
        <f ca="1">VLOOKUP($A24,'inversion af'!$A$95:$K$103,$E$13,FALSE)</f>
        <v>0</v>
      </c>
      <c r="C24" s="568">
        <f ca="1">VLOOKUP($A24,'inversion af'!$A$106:$K$114,$E$13,FALSE)</f>
        <v>0</v>
      </c>
      <c r="D24" s="568">
        <f ca="1">VLOOKUP($A24,'inversion af'!$A$117:$K$125,$E$13,FALSE)</f>
        <v>0</v>
      </c>
      <c r="E24" s="569">
        <f t="shared" ca="1" si="0"/>
        <v>0</v>
      </c>
      <c r="F24" s="562"/>
      <c r="G24" s="562"/>
      <c r="H24" s="562"/>
      <c r="I24" s="562"/>
      <c r="J24" s="1048"/>
      <c r="K24" s="562"/>
      <c r="L24" s="562"/>
      <c r="M24" s="536"/>
      <c r="N24" s="536"/>
      <c r="O24" s="536"/>
      <c r="P24" s="536"/>
      <c r="Q24" s="536"/>
      <c r="R24" s="536"/>
    </row>
    <row r="25" spans="1:18" ht="16.5" thickBot="1">
      <c r="A25" s="570" t="s">
        <v>661</v>
      </c>
      <c r="B25" s="571">
        <f>VLOOKUP($B15,'inversion af'!$A$177:$K$177,$E$13,FALSE)</f>
        <v>70000000</v>
      </c>
      <c r="C25" s="571">
        <f>VLOOKUP($C15,'inversion af'!$A$178:$K$178,$E$13,FALSE)</f>
        <v>0</v>
      </c>
      <c r="D25" s="571">
        <f>VLOOKUP($D15,'inversion af'!$A$179:$K$179,$E$13,FALSE)</f>
        <v>0</v>
      </c>
      <c r="E25" s="572">
        <f t="shared" si="0"/>
        <v>70000000</v>
      </c>
      <c r="F25" s="562"/>
      <c r="G25" s="562"/>
      <c r="H25" s="562"/>
      <c r="I25" s="562"/>
      <c r="J25" s="1048"/>
      <c r="K25" s="562"/>
      <c r="L25" s="562"/>
      <c r="M25" s="536"/>
      <c r="N25" s="536"/>
      <c r="O25" s="536"/>
      <c r="P25" s="536"/>
      <c r="Q25" s="536"/>
      <c r="R25" s="536"/>
    </row>
    <row r="26" spans="1:18" ht="16.5" thickBot="1">
      <c r="A26" s="573" t="s">
        <v>49</v>
      </c>
      <c r="B26" s="574">
        <f ca="1">SUM(B16:B25)</f>
        <v>117350000</v>
      </c>
      <c r="C26" s="574">
        <f ca="1">SUM(C16:C25)</f>
        <v>0</v>
      </c>
      <c r="D26" s="574">
        <f ca="1">SUM(D16:D25)</f>
        <v>0</v>
      </c>
      <c r="E26" s="574">
        <f ca="1">SUM(E16:E25)</f>
        <v>117350000</v>
      </c>
      <c r="F26" s="562"/>
      <c r="G26" s="562"/>
      <c r="H26" s="562"/>
      <c r="I26" s="562"/>
      <c r="J26" s="1048"/>
      <c r="K26" s="562"/>
      <c r="L26" s="562"/>
      <c r="M26" s="536"/>
      <c r="N26" s="536"/>
      <c r="O26" s="536"/>
      <c r="P26" s="536"/>
      <c r="Q26" s="536"/>
      <c r="R26" s="536"/>
    </row>
    <row r="27" spans="1:18">
      <c r="A27" s="562"/>
      <c r="B27" s="562"/>
      <c r="C27" s="562"/>
      <c r="D27" s="562"/>
      <c r="E27" s="562"/>
      <c r="F27" s="562"/>
      <c r="G27" s="562"/>
      <c r="H27" s="562"/>
      <c r="I27" s="562"/>
      <c r="J27" s="1048"/>
      <c r="K27" s="562"/>
      <c r="L27" s="562"/>
      <c r="M27" s="536"/>
      <c r="N27" s="536"/>
      <c r="O27" s="536"/>
      <c r="P27" s="536"/>
      <c r="Q27" s="536"/>
      <c r="R27" s="536"/>
    </row>
    <row r="28" spans="1:18">
      <c r="A28" s="562"/>
      <c r="B28" s="562"/>
      <c r="C28" s="562"/>
      <c r="D28" s="562"/>
      <c r="E28" s="562"/>
      <c r="F28" s="562"/>
      <c r="G28" s="562"/>
      <c r="H28" s="562"/>
      <c r="I28" s="562"/>
      <c r="J28" s="1048"/>
      <c r="K28" s="562"/>
      <c r="L28" s="562"/>
      <c r="M28" s="536"/>
      <c r="N28" s="536"/>
      <c r="O28" s="536"/>
      <c r="P28" s="536"/>
      <c r="Q28" s="536"/>
      <c r="R28" s="536"/>
    </row>
    <row r="29" spans="1:18" ht="64.5" customHeight="1">
      <c r="A29" s="1171" t="str">
        <f ca="1">+ayuda!A10</f>
        <v>LA INVERSIÓN TOTAL PARA A LA REALIZACIÓN DEL PROYECTO ES DE  $117.350.000. SE APORTA EL 100% CON RECURSOS PROPIOS. DE LA INVERSIÓN SE DESTINA  PARA CAPITAL DE TRABAJO EL 59,65% Y PARA ACTIVOS FIJOS EL 40,35%</v>
      </c>
      <c r="B29" s="1172"/>
      <c r="C29" s="1172"/>
      <c r="D29" s="1172"/>
      <c r="E29" s="1172"/>
      <c r="F29" s="576"/>
      <c r="G29" s="576"/>
      <c r="H29" s="562"/>
      <c r="I29" s="577"/>
      <c r="J29" s="1049"/>
      <c r="K29" s="536"/>
      <c r="L29" s="536"/>
      <c r="M29" s="536"/>
      <c r="N29" s="536"/>
      <c r="O29" s="536"/>
      <c r="P29" s="536"/>
      <c r="Q29" s="536"/>
      <c r="R29" s="536"/>
    </row>
    <row r="30" spans="1:18" ht="15.75">
      <c r="A30" s="579"/>
      <c r="B30" s="576"/>
      <c r="C30" s="576"/>
      <c r="D30" s="576"/>
      <c r="E30" s="576"/>
      <c r="F30" s="576"/>
      <c r="G30" s="576"/>
      <c r="H30" s="562"/>
      <c r="I30" s="577"/>
      <c r="J30" s="1049"/>
      <c r="K30" s="536"/>
      <c r="L30" s="536"/>
      <c r="M30" s="536"/>
      <c r="N30" s="536"/>
      <c r="O30" s="536"/>
      <c r="P30" s="536"/>
      <c r="Q30" s="536"/>
      <c r="R30" s="536"/>
    </row>
    <row r="31" spans="1:18" ht="15" customHeight="1">
      <c r="A31" s="580" t="s">
        <v>281</v>
      </c>
      <c r="B31" s="536"/>
      <c r="C31" s="536"/>
      <c r="D31" s="576"/>
      <c r="E31" s="576"/>
      <c r="F31" s="576"/>
      <c r="G31" s="576"/>
      <c r="H31" s="577"/>
      <c r="I31" s="577"/>
      <c r="J31" s="1049"/>
      <c r="K31" s="536"/>
      <c r="L31" s="536"/>
      <c r="M31" s="536"/>
      <c r="N31" s="536"/>
      <c r="O31" s="536"/>
      <c r="P31" s="536"/>
      <c r="Q31" s="536"/>
      <c r="R31" s="536"/>
    </row>
    <row r="32" spans="1:18" ht="18">
      <c r="A32" s="581" t="s">
        <v>62</v>
      </c>
      <c r="B32" s="582" t="s">
        <v>63</v>
      </c>
      <c r="C32" s="582" t="s">
        <v>64</v>
      </c>
      <c r="H32" s="577"/>
      <c r="I32" s="577"/>
      <c r="J32" s="1049"/>
      <c r="K32" s="536"/>
      <c r="L32" s="536"/>
      <c r="M32" s="536"/>
      <c r="N32" s="536"/>
      <c r="O32" s="536"/>
      <c r="P32" s="536"/>
      <c r="Q32" s="536"/>
      <c r="R32" s="536"/>
    </row>
    <row r="33" spans="1:18" ht="15.75">
      <c r="A33" s="583">
        <f>+'datos de entrada'!B79</f>
        <v>41683</v>
      </c>
      <c r="B33" s="584">
        <f>+ventas!B42</f>
        <v>21870000</v>
      </c>
      <c r="C33" s="585">
        <f t="shared" ref="C33:C44" si="1">B33/$B$52</f>
        <v>0.06</v>
      </c>
      <c r="D33" s="586">
        <v>1</v>
      </c>
      <c r="E33" s="587"/>
      <c r="F33" s="588"/>
      <c r="G33" s="588"/>
      <c r="H33" s="577"/>
      <c r="I33" s="577"/>
      <c r="J33" s="1049"/>
      <c r="K33" s="536"/>
      <c r="L33" s="536"/>
      <c r="M33" s="536"/>
      <c r="N33" s="536"/>
      <c r="O33" s="536"/>
      <c r="P33" s="536"/>
      <c r="Q33" s="536"/>
      <c r="R33" s="536"/>
    </row>
    <row r="34" spans="1:18" ht="15.75">
      <c r="A34" s="589">
        <f>+'datos de entrada'!C79</f>
        <v>41713</v>
      </c>
      <c r="B34" s="584">
        <f>+ventas!C42</f>
        <v>25515000</v>
      </c>
      <c r="C34" s="585">
        <f t="shared" si="1"/>
        <v>7.0000000000000007E-2</v>
      </c>
      <c r="D34" s="586">
        <v>2</v>
      </c>
      <c r="E34" s="587"/>
      <c r="F34" s="588"/>
      <c r="G34" s="588"/>
      <c r="H34" s="577"/>
      <c r="I34" s="577"/>
      <c r="J34" s="1049"/>
      <c r="K34" s="536"/>
      <c r="L34" s="536"/>
      <c r="M34" s="536"/>
      <c r="N34" s="536"/>
      <c r="O34" s="536"/>
      <c r="P34" s="536"/>
      <c r="Q34" s="536"/>
      <c r="R34" s="536"/>
    </row>
    <row r="35" spans="1:18" ht="15.75">
      <c r="A35" s="589">
        <f>+'datos de entrada'!D79</f>
        <v>41743</v>
      </c>
      <c r="B35" s="584">
        <f>+ventas!D42</f>
        <v>25515000</v>
      </c>
      <c r="C35" s="585">
        <f t="shared" si="1"/>
        <v>7.0000000000000007E-2</v>
      </c>
      <c r="D35" s="586">
        <v>3</v>
      </c>
      <c r="E35" s="587"/>
      <c r="F35" s="588"/>
      <c r="G35" s="588"/>
      <c r="H35" s="577"/>
      <c r="I35" s="577"/>
      <c r="J35" s="1049"/>
      <c r="K35" s="536"/>
      <c r="L35" s="536"/>
      <c r="M35" s="536"/>
      <c r="N35" s="536"/>
      <c r="O35" s="536"/>
      <c r="P35" s="536"/>
      <c r="Q35" s="536"/>
      <c r="R35" s="536"/>
    </row>
    <row r="36" spans="1:18" ht="15.75">
      <c r="A36" s="589">
        <f>+'datos de entrada'!E79</f>
        <v>41773</v>
      </c>
      <c r="B36" s="584">
        <f>+ventas!E42</f>
        <v>25515000</v>
      </c>
      <c r="C36" s="585">
        <f t="shared" si="1"/>
        <v>7.0000000000000007E-2</v>
      </c>
      <c r="D36" s="586">
        <v>4</v>
      </c>
      <c r="E36" s="587"/>
      <c r="F36" s="588"/>
      <c r="G36" s="588"/>
      <c r="H36" s="577"/>
      <c r="I36" s="577"/>
      <c r="J36" s="1049"/>
      <c r="K36" s="536"/>
      <c r="L36" s="536"/>
      <c r="M36" s="536"/>
      <c r="N36" s="536"/>
      <c r="O36" s="536"/>
      <c r="P36" s="536"/>
      <c r="Q36" s="536"/>
      <c r="R36" s="536"/>
    </row>
    <row r="37" spans="1:18" ht="15.75">
      <c r="A37" s="589">
        <f>+'datos de entrada'!F79</f>
        <v>41803</v>
      </c>
      <c r="B37" s="584">
        <f>+ventas!F42</f>
        <v>36450000</v>
      </c>
      <c r="C37" s="585">
        <f t="shared" si="1"/>
        <v>0.1</v>
      </c>
      <c r="D37" s="586">
        <v>5</v>
      </c>
      <c r="E37" s="587"/>
      <c r="F37" s="588"/>
      <c r="G37" s="588"/>
      <c r="H37" s="577"/>
      <c r="I37" s="577"/>
      <c r="J37" s="1049"/>
      <c r="K37" s="536"/>
      <c r="L37" s="536"/>
      <c r="M37" s="536"/>
      <c r="N37" s="536"/>
      <c r="O37" s="536"/>
      <c r="P37" s="536"/>
      <c r="Q37" s="536"/>
      <c r="R37" s="536"/>
    </row>
    <row r="38" spans="1:18" ht="15.75">
      <c r="A38" s="589">
        <f>+'datos de entrada'!G79</f>
        <v>41833</v>
      </c>
      <c r="B38" s="584">
        <f>+ventas!G42</f>
        <v>32805000</v>
      </c>
      <c r="C38" s="585">
        <f t="shared" si="1"/>
        <v>0.09</v>
      </c>
      <c r="D38" s="586">
        <v>6</v>
      </c>
      <c r="E38" s="587"/>
      <c r="F38" s="588"/>
      <c r="G38" s="588"/>
      <c r="H38" s="577"/>
      <c r="I38" s="577"/>
      <c r="J38" s="1049"/>
      <c r="K38" s="536"/>
      <c r="L38" s="536"/>
      <c r="M38" s="536"/>
      <c r="N38" s="536"/>
      <c r="O38" s="536"/>
      <c r="P38" s="536"/>
      <c r="Q38" s="536"/>
      <c r="R38" s="536"/>
    </row>
    <row r="39" spans="1:18" ht="15.75">
      <c r="A39" s="589">
        <f>+'datos de entrada'!H79</f>
        <v>41863</v>
      </c>
      <c r="B39" s="584">
        <f>+ventas!H42</f>
        <v>29160000</v>
      </c>
      <c r="C39" s="585">
        <f t="shared" si="1"/>
        <v>0.08</v>
      </c>
      <c r="D39" s="586">
        <v>7</v>
      </c>
      <c r="E39" s="587"/>
      <c r="F39" s="588"/>
      <c r="G39" s="588"/>
      <c r="H39" s="577"/>
      <c r="I39" s="577"/>
      <c r="J39" s="1049"/>
      <c r="K39" s="536"/>
      <c r="L39" s="536"/>
      <c r="M39" s="536"/>
      <c r="N39" s="536"/>
      <c r="O39" s="536"/>
      <c r="P39" s="536"/>
      <c r="Q39" s="536"/>
      <c r="R39" s="536"/>
    </row>
    <row r="40" spans="1:18" ht="15.75">
      <c r="A40" s="589">
        <f>+'datos de entrada'!I79</f>
        <v>41893</v>
      </c>
      <c r="B40" s="584">
        <f>+ventas!I42</f>
        <v>29160000</v>
      </c>
      <c r="C40" s="585">
        <f t="shared" si="1"/>
        <v>0.08</v>
      </c>
      <c r="D40" s="586">
        <v>8</v>
      </c>
      <c r="E40" s="587"/>
      <c r="F40" s="588"/>
      <c r="G40" s="588"/>
      <c r="H40" s="577"/>
      <c r="I40" s="577"/>
      <c r="J40" s="1049"/>
      <c r="K40" s="536"/>
      <c r="L40" s="536"/>
      <c r="M40" s="536"/>
      <c r="N40" s="536"/>
      <c r="O40" s="536"/>
      <c r="P40" s="536"/>
      <c r="Q40" s="536"/>
      <c r="R40" s="536"/>
    </row>
    <row r="41" spans="1:18">
      <c r="A41" s="583">
        <f>+'datos de entrada'!J79</f>
        <v>41923</v>
      </c>
      <c r="B41" s="584">
        <f>+ventas!J42</f>
        <v>29160000</v>
      </c>
      <c r="C41" s="585">
        <f t="shared" si="1"/>
        <v>0.08</v>
      </c>
      <c r="D41" s="586">
        <v>9</v>
      </c>
      <c r="E41" s="587"/>
      <c r="F41" s="588"/>
      <c r="G41" s="588"/>
      <c r="J41" s="1049"/>
      <c r="K41" s="536"/>
      <c r="L41" s="536"/>
      <c r="M41" s="536"/>
      <c r="N41" s="536"/>
      <c r="O41" s="536"/>
      <c r="P41" s="536"/>
      <c r="Q41" s="536"/>
      <c r="R41" s="536"/>
    </row>
    <row r="42" spans="1:18" ht="15.75">
      <c r="A42" s="589">
        <f>+'datos de entrada'!K79</f>
        <v>41953</v>
      </c>
      <c r="B42" s="584">
        <f>+ventas!K42</f>
        <v>36450000</v>
      </c>
      <c r="C42" s="585">
        <f t="shared" si="1"/>
        <v>0.1</v>
      </c>
      <c r="D42" s="586">
        <v>10</v>
      </c>
      <c r="E42" s="587"/>
      <c r="F42" s="588"/>
      <c r="G42" s="588"/>
      <c r="H42" s="577"/>
      <c r="I42" s="577"/>
      <c r="J42" s="1049"/>
      <c r="K42" s="536"/>
      <c r="L42" s="536"/>
      <c r="M42" s="536"/>
      <c r="N42" s="536"/>
      <c r="O42" s="536"/>
      <c r="P42" s="536"/>
      <c r="Q42" s="536"/>
      <c r="R42" s="536"/>
    </row>
    <row r="43" spans="1:18" ht="15.75">
      <c r="A43" s="589">
        <f>+'datos de entrada'!L79</f>
        <v>41983</v>
      </c>
      <c r="B43" s="584">
        <f>+ventas!L42</f>
        <v>51030000</v>
      </c>
      <c r="C43" s="585">
        <f t="shared" si="1"/>
        <v>0.14000000000000001</v>
      </c>
      <c r="D43" s="586">
        <v>11</v>
      </c>
      <c r="E43" s="587"/>
      <c r="F43" s="588"/>
      <c r="G43" s="588"/>
      <c r="H43" s="577"/>
      <c r="I43" s="577"/>
      <c r="J43" s="1049"/>
      <c r="K43" s="536"/>
      <c r="L43" s="536"/>
      <c r="M43" s="536"/>
      <c r="N43" s="536"/>
      <c r="O43" s="536"/>
      <c r="P43" s="536"/>
      <c r="Q43" s="536"/>
      <c r="R43" s="536"/>
    </row>
    <row r="44" spans="1:18" ht="15.75">
      <c r="A44" s="589">
        <f>+'datos de entrada'!M79</f>
        <v>42013</v>
      </c>
      <c r="B44" s="584">
        <f>+ventas!M42</f>
        <v>21870000</v>
      </c>
      <c r="C44" s="585">
        <f t="shared" si="1"/>
        <v>0.06</v>
      </c>
      <c r="D44" s="586">
        <v>12</v>
      </c>
      <c r="E44" s="587"/>
      <c r="F44" s="588"/>
      <c r="G44" s="588"/>
      <c r="H44" s="577"/>
      <c r="I44" s="577"/>
      <c r="J44" s="1049"/>
      <c r="K44" s="536"/>
      <c r="L44" s="536"/>
      <c r="M44" s="536"/>
      <c r="N44" s="536"/>
      <c r="O44" s="536"/>
      <c r="P44" s="536"/>
      <c r="Q44" s="536"/>
      <c r="R44" s="536"/>
    </row>
    <row r="45" spans="1:18" ht="15.75">
      <c r="A45" s="590"/>
      <c r="B45" s="590"/>
      <c r="C45" s="590"/>
      <c r="D45" s="577"/>
      <c r="E45" s="577"/>
      <c r="F45" s="577"/>
      <c r="G45" s="577"/>
      <c r="H45" s="577"/>
      <c r="I45" s="577"/>
      <c r="J45" s="1049"/>
      <c r="K45" s="536"/>
      <c r="L45" s="536"/>
      <c r="M45" s="536"/>
      <c r="N45" s="536"/>
      <c r="O45" s="536"/>
      <c r="P45" s="536"/>
      <c r="Q45" s="536"/>
      <c r="R45" s="536"/>
    </row>
    <row r="46" spans="1:18" ht="15.75" customHeight="1">
      <c r="A46" s="1171" t="str">
        <f>+ayuda!A20</f>
        <v xml:space="preserve">LAS VENTAS INICIAN EN EL MES 2 DEL 2014. EN EL PRIMER AÑO SE ESPERA VENDER 364,5 MILLONES DE PESOS. SE CONFÍA TENER LA MAYOR VENTA EN EL MES 11 DE LA PROYECCIÓN, POR VALOR DE 51,03 MILLONES DE PESOS. </v>
      </c>
      <c r="B46" s="1172"/>
      <c r="C46" s="1172"/>
      <c r="D46" s="1172"/>
      <c r="E46" s="1172"/>
      <c r="F46" s="577"/>
      <c r="G46" s="577"/>
      <c r="H46" s="577"/>
      <c r="I46" s="577"/>
      <c r="J46" s="1049"/>
      <c r="K46" s="536"/>
      <c r="L46" s="536"/>
      <c r="M46" s="536"/>
      <c r="N46" s="536"/>
      <c r="O46" s="536"/>
      <c r="P46" s="536"/>
      <c r="Q46" s="536"/>
      <c r="R46" s="536"/>
    </row>
    <row r="47" spans="1:18" ht="17.25" customHeight="1">
      <c r="A47" s="1172"/>
      <c r="B47" s="1172"/>
      <c r="C47" s="1172"/>
      <c r="D47" s="1172"/>
      <c r="E47" s="1172"/>
      <c r="F47" s="577"/>
      <c r="G47" s="577"/>
      <c r="H47" s="577"/>
      <c r="I47" s="577"/>
      <c r="J47" s="1049"/>
      <c r="K47" s="536"/>
      <c r="L47" s="536"/>
      <c r="M47" s="536"/>
      <c r="N47" s="536"/>
      <c r="O47" s="536"/>
      <c r="P47" s="536"/>
      <c r="Q47" s="536"/>
      <c r="R47" s="536"/>
    </row>
    <row r="48" spans="1:18" ht="18.75" customHeight="1">
      <c r="A48" s="1172"/>
      <c r="B48" s="1172"/>
      <c r="C48" s="1172"/>
      <c r="D48" s="1172"/>
      <c r="E48" s="1172"/>
      <c r="F48" s="577"/>
      <c r="G48" s="577"/>
      <c r="H48" s="577"/>
      <c r="I48" s="577"/>
      <c r="J48" s="1049"/>
      <c r="K48" s="536"/>
      <c r="L48" s="536"/>
      <c r="M48" s="536"/>
      <c r="N48" s="536"/>
      <c r="O48" s="536"/>
      <c r="P48" s="536"/>
      <c r="Q48" s="536"/>
      <c r="R48" s="536"/>
    </row>
    <row r="49" spans="1:18" ht="12.75" customHeight="1">
      <c r="A49" s="577" t="s">
        <v>596</v>
      </c>
      <c r="B49" s="577"/>
      <c r="C49" s="577"/>
      <c r="D49" s="577"/>
      <c r="E49" s="577"/>
      <c r="F49" s="577"/>
      <c r="G49" s="577"/>
      <c r="H49" s="577"/>
      <c r="I49" s="577"/>
      <c r="J49" s="1049"/>
      <c r="K49" s="536"/>
      <c r="L49" s="536"/>
      <c r="M49" s="536"/>
      <c r="N49" s="536"/>
      <c r="O49" s="536"/>
      <c r="P49" s="536"/>
      <c r="Q49" s="536"/>
      <c r="R49" s="536"/>
    </row>
    <row r="50" spans="1:18" ht="18.75" thickBot="1">
      <c r="A50" s="591" t="s">
        <v>300</v>
      </c>
      <c r="B50" s="592"/>
      <c r="C50" s="592"/>
      <c r="D50" s="577"/>
      <c r="E50" s="577"/>
      <c r="F50" s="577"/>
      <c r="G50" s="577"/>
      <c r="H50" s="577"/>
      <c r="I50" s="577"/>
      <c r="J50" s="578"/>
      <c r="K50" s="536"/>
      <c r="L50" s="536"/>
      <c r="M50" s="536"/>
      <c r="N50" s="536"/>
      <c r="O50" s="536"/>
      <c r="P50" s="536"/>
      <c r="Q50" s="536"/>
      <c r="R50" s="536"/>
    </row>
    <row r="51" spans="1:18" ht="20.25" customHeight="1">
      <c r="A51" s="593" t="s">
        <v>62</v>
      </c>
      <c r="B51" s="594" t="s">
        <v>63</v>
      </c>
      <c r="C51" s="595" t="s">
        <v>65</v>
      </c>
      <c r="D51" s="1192" t="s">
        <v>288</v>
      </c>
      <c r="E51" s="577"/>
      <c r="F51" s="577"/>
      <c r="G51" s="577"/>
      <c r="H51" s="577"/>
      <c r="I51" s="577"/>
      <c r="J51" s="578"/>
      <c r="K51" s="536"/>
      <c r="L51" s="536"/>
      <c r="M51" s="536"/>
      <c r="N51" s="536"/>
      <c r="O51" s="536"/>
      <c r="P51" s="536"/>
      <c r="Q51" s="536"/>
      <c r="R51" s="536"/>
    </row>
    <row r="52" spans="1:18" ht="18.75" thickBot="1">
      <c r="A52" s="596" t="s">
        <v>600</v>
      </c>
      <c r="B52" s="597">
        <f>+ventas!B64</f>
        <v>364500000</v>
      </c>
      <c r="C52" s="598">
        <f>B52/12</f>
        <v>30375000</v>
      </c>
      <c r="D52" s="1193"/>
      <c r="E52" s="577"/>
      <c r="F52" s="577"/>
      <c r="G52" s="577"/>
      <c r="H52" s="577"/>
      <c r="I52" s="577"/>
      <c r="J52" s="578"/>
      <c r="K52" s="536"/>
      <c r="L52" s="536"/>
      <c r="M52" s="536"/>
      <c r="N52" s="536"/>
      <c r="O52" s="536"/>
      <c r="P52" s="536"/>
      <c r="Q52" s="536"/>
      <c r="R52" s="536"/>
    </row>
    <row r="53" spans="1:18" ht="18.75" thickBot="1">
      <c r="A53" s="596" t="s">
        <v>601</v>
      </c>
      <c r="B53" s="597">
        <f>+ventas!C64</f>
        <v>414174330</v>
      </c>
      <c r="C53" s="598">
        <f>B53/12</f>
        <v>34514527.5</v>
      </c>
      <c r="D53" s="599">
        <f>+B53/B52-1</f>
        <v>0.1362807407407407</v>
      </c>
      <c r="E53" s="577"/>
      <c r="F53" s="577"/>
      <c r="G53" s="577"/>
      <c r="H53" s="577"/>
      <c r="I53" s="577"/>
      <c r="J53" s="578"/>
      <c r="K53" s="536"/>
      <c r="L53" s="536"/>
      <c r="M53" s="536"/>
      <c r="N53" s="536"/>
      <c r="O53" s="536"/>
      <c r="P53" s="536"/>
      <c r="Q53" s="536"/>
      <c r="R53" s="536"/>
    </row>
    <row r="54" spans="1:18" ht="18.75" thickBot="1">
      <c r="A54" s="600" t="s">
        <v>602</v>
      </c>
      <c r="B54" s="601">
        <f>+ventas!D64</f>
        <v>484461045.89999998</v>
      </c>
      <c r="C54" s="602">
        <f>B54/12</f>
        <v>40371753.824999996</v>
      </c>
      <c r="D54" s="603">
        <f>+B54/B53-1</f>
        <v>0.16970321627610274</v>
      </c>
      <c r="E54" s="577"/>
      <c r="F54" s="577"/>
      <c r="G54" s="577"/>
      <c r="H54" s="577"/>
      <c r="I54" s="577"/>
      <c r="J54" s="578"/>
      <c r="K54" s="536"/>
      <c r="L54" s="536"/>
      <c r="M54" s="536"/>
      <c r="N54" s="536"/>
      <c r="O54" s="536"/>
      <c r="P54" s="536"/>
      <c r="Q54" s="536"/>
      <c r="R54" s="536"/>
    </row>
    <row r="55" spans="1:18" ht="12.75" customHeight="1">
      <c r="A55" s="604" t="s">
        <v>596</v>
      </c>
      <c r="B55" s="605"/>
      <c r="C55" s="605"/>
      <c r="D55" s="577"/>
      <c r="E55" s="577"/>
      <c r="F55" s="577"/>
      <c r="G55" s="577"/>
      <c r="H55" s="577"/>
      <c r="I55" s="577"/>
      <c r="J55" s="578"/>
      <c r="K55" s="536"/>
      <c r="L55" s="536"/>
      <c r="M55" s="536"/>
      <c r="N55" s="536"/>
      <c r="O55" s="536"/>
      <c r="P55" s="536"/>
      <c r="Q55" s="536"/>
      <c r="R55" s="536"/>
    </row>
    <row r="56" spans="1:18" ht="27" customHeight="1">
      <c r="A56" s="1194" t="str">
        <f>+ayuda!A29</f>
        <v>EN EL SEGUNDO AÑO SE PRESUPUESTA INCREMENTAN LAS VENTAS EN UN 13,63% TENIENDO VENTAS PROMEDIO MENSUALES DE 34,51 MILLONES DE PESOS. PARA EL TERCER AÑO SE ESPERA TENER VENTAS POR 484,46 MILLONES DE PESOS. CORRESPONDIENTE A UN CRECIMIENTO DEL 16,97%  CON RESPECTO AL AÑO ANTERIOR</v>
      </c>
      <c r="B56" s="1194"/>
      <c r="C56" s="1194"/>
      <c r="D56" s="1194"/>
      <c r="E56" s="577"/>
      <c r="F56" s="577"/>
      <c r="G56" s="577"/>
      <c r="H56" s="577"/>
      <c r="I56" s="577"/>
      <c r="J56" s="578"/>
      <c r="K56" s="536"/>
      <c r="L56" s="536"/>
      <c r="M56" s="536"/>
      <c r="N56" s="536"/>
      <c r="O56" s="536"/>
      <c r="P56" s="536"/>
      <c r="Q56" s="536"/>
      <c r="R56" s="536"/>
    </row>
    <row r="57" spans="1:18" ht="24" customHeight="1">
      <c r="A57" s="1194"/>
      <c r="B57" s="1194"/>
      <c r="C57" s="1194"/>
      <c r="D57" s="1194"/>
      <c r="E57" s="577"/>
      <c r="F57" s="577"/>
      <c r="G57" s="577"/>
      <c r="H57" s="577"/>
      <c r="I57" s="577"/>
      <c r="J57" s="578"/>
      <c r="K57" s="536"/>
      <c r="L57" s="536"/>
      <c r="M57" s="536"/>
      <c r="N57" s="536"/>
      <c r="O57" s="536"/>
      <c r="P57" s="536"/>
      <c r="Q57" s="536"/>
      <c r="R57" s="536"/>
    </row>
    <row r="58" spans="1:18" ht="24" customHeight="1">
      <c r="A58" s="1194"/>
      <c r="B58" s="1194"/>
      <c r="C58" s="1194"/>
      <c r="D58" s="1194"/>
      <c r="E58" s="577"/>
      <c r="F58" s="577"/>
      <c r="G58" s="577"/>
      <c r="H58" s="577"/>
      <c r="I58" s="577"/>
      <c r="J58" s="578"/>
      <c r="K58" s="536"/>
      <c r="L58" s="536"/>
      <c r="M58" s="536"/>
      <c r="N58" s="536"/>
      <c r="O58" s="536"/>
      <c r="P58" s="536"/>
      <c r="Q58" s="536"/>
      <c r="R58" s="536"/>
    </row>
    <row r="59" spans="1:18" ht="24" customHeight="1">
      <c r="A59" s="1194"/>
      <c r="B59" s="1194"/>
      <c r="C59" s="1194"/>
      <c r="D59" s="1194"/>
      <c r="E59" s="577"/>
      <c r="F59" s="577"/>
      <c r="G59" s="577"/>
      <c r="H59" s="577"/>
      <c r="I59" s="577"/>
      <c r="J59" s="578"/>
      <c r="K59" s="536"/>
      <c r="L59" s="536"/>
      <c r="M59" s="536"/>
      <c r="N59" s="536"/>
      <c r="O59" s="536"/>
      <c r="P59" s="536"/>
      <c r="Q59" s="536"/>
      <c r="R59" s="536"/>
    </row>
    <row r="60" spans="1:18" ht="23.25" customHeight="1">
      <c r="A60" s="606"/>
      <c r="B60" s="606"/>
      <c r="C60" s="606"/>
      <c r="D60" s="606"/>
      <c r="E60" s="577"/>
      <c r="F60" s="577"/>
      <c r="G60" s="577"/>
      <c r="H60" s="577"/>
      <c r="I60" s="577"/>
      <c r="J60" s="578"/>
      <c r="K60" s="536"/>
      <c r="L60" s="536"/>
      <c r="M60" s="536"/>
      <c r="N60" s="536"/>
      <c r="O60" s="536"/>
      <c r="P60" s="536"/>
      <c r="Q60" s="536"/>
      <c r="R60" s="536"/>
    </row>
    <row r="61" spans="1:18" ht="18.75" thickBot="1">
      <c r="A61" s="607" t="s">
        <v>69</v>
      </c>
      <c r="B61" s="605"/>
      <c r="C61" s="605"/>
      <c r="D61" s="605"/>
      <c r="E61" s="605"/>
      <c r="F61" s="577"/>
      <c r="G61" s="577"/>
      <c r="H61" s="577"/>
      <c r="I61" s="577"/>
      <c r="J61" s="578"/>
      <c r="K61" s="536"/>
      <c r="L61" s="536"/>
      <c r="M61" s="536"/>
      <c r="N61" s="536"/>
      <c r="O61" s="536"/>
      <c r="P61" s="536"/>
      <c r="Q61" s="536"/>
      <c r="R61" s="536"/>
    </row>
    <row r="62" spans="1:18" ht="15.75">
      <c r="A62" s="1197" t="s">
        <v>671</v>
      </c>
      <c r="B62" s="1195" t="s">
        <v>70</v>
      </c>
      <c r="C62" s="1195"/>
      <c r="D62" s="1195" t="s">
        <v>71</v>
      </c>
      <c r="E62" s="1196"/>
      <c r="F62" s="577"/>
      <c r="G62" s="577"/>
      <c r="H62" s="577"/>
      <c r="I62" s="577"/>
      <c r="J62" s="578"/>
      <c r="K62" s="536"/>
      <c r="L62" s="536"/>
      <c r="M62" s="536"/>
      <c r="N62" s="536"/>
      <c r="O62" s="536"/>
      <c r="P62" s="536"/>
      <c r="Q62" s="536"/>
      <c r="R62" s="536"/>
    </row>
    <row r="63" spans="1:18" ht="15.75">
      <c r="A63" s="1198"/>
      <c r="B63" s="608" t="s">
        <v>72</v>
      </c>
      <c r="C63" s="608" t="s">
        <v>64</v>
      </c>
      <c r="D63" s="608" t="s">
        <v>72</v>
      </c>
      <c r="E63" s="609" t="s">
        <v>64</v>
      </c>
      <c r="F63" s="577"/>
      <c r="G63" s="577"/>
      <c r="H63" s="577"/>
      <c r="I63" s="577"/>
      <c r="J63" s="578"/>
      <c r="K63" s="536"/>
      <c r="L63" s="536"/>
      <c r="M63" s="536"/>
      <c r="N63" s="536"/>
      <c r="O63" s="536"/>
      <c r="P63" s="536"/>
      <c r="Q63" s="536"/>
      <c r="R63" s="536"/>
    </row>
    <row r="64" spans="1:18" ht="15.75" customHeight="1">
      <c r="A64" s="610" t="str">
        <f t="shared" ref="A64:A75" si="2">A98</f>
        <v>CAMISETAS</v>
      </c>
      <c r="B64" s="584">
        <f>+ventas!B50</f>
        <v>364500000</v>
      </c>
      <c r="C64" s="585">
        <f t="shared" ref="C64:C75" si="3">B64/$B$52</f>
        <v>1</v>
      </c>
      <c r="D64" s="584">
        <f>+ventas!B10</f>
        <v>13500</v>
      </c>
      <c r="E64" s="611">
        <f t="shared" ref="E64:E75" si="4">D64/D$76</f>
        <v>1</v>
      </c>
      <c r="F64" s="612" t="str">
        <f t="shared" ref="F64:F75" si="5">A64</f>
        <v>CAMISETAS</v>
      </c>
      <c r="G64" s="612" t="str">
        <f t="shared" ref="G64:G75" si="6">MID(+A64,1,10)</f>
        <v>CAMISETAS</v>
      </c>
      <c r="H64" s="613"/>
      <c r="I64" s="577"/>
      <c r="J64" s="578"/>
      <c r="K64" s="536"/>
      <c r="L64" s="536"/>
      <c r="M64" s="536"/>
      <c r="N64" s="536"/>
      <c r="O64" s="536"/>
      <c r="P64" s="536"/>
      <c r="Q64" s="536"/>
      <c r="R64" s="536"/>
    </row>
    <row r="65" spans="1:18" ht="15.75" customHeight="1">
      <c r="A65" s="610" t="str">
        <f t="shared" si="2"/>
        <v/>
      </c>
      <c r="B65" s="584">
        <f>+ventas!B51</f>
        <v>0</v>
      </c>
      <c r="C65" s="585">
        <f t="shared" si="3"/>
        <v>0</v>
      </c>
      <c r="D65" s="584">
        <f>+ventas!B11</f>
        <v>0</v>
      </c>
      <c r="E65" s="611">
        <f t="shared" si="4"/>
        <v>0</v>
      </c>
      <c r="F65" s="612" t="str">
        <f t="shared" si="5"/>
        <v/>
      </c>
      <c r="G65" s="612" t="str">
        <f t="shared" si="6"/>
        <v/>
      </c>
      <c r="H65" s="613"/>
      <c r="I65" s="577"/>
      <c r="J65" s="578"/>
      <c r="K65" s="536"/>
      <c r="L65" s="536"/>
      <c r="M65" s="536"/>
      <c r="N65" s="536"/>
      <c r="O65" s="536"/>
      <c r="P65" s="536"/>
      <c r="Q65" s="536"/>
      <c r="R65" s="536"/>
    </row>
    <row r="66" spans="1:18" ht="15.75" customHeight="1">
      <c r="A66" s="610" t="str">
        <f t="shared" si="2"/>
        <v/>
      </c>
      <c r="B66" s="584">
        <f>+ventas!B52</f>
        <v>0</v>
      </c>
      <c r="C66" s="585">
        <f t="shared" si="3"/>
        <v>0</v>
      </c>
      <c r="D66" s="584">
        <f>+ventas!B12</f>
        <v>0</v>
      </c>
      <c r="E66" s="611">
        <f t="shared" si="4"/>
        <v>0</v>
      </c>
      <c r="F66" s="612" t="str">
        <f t="shared" si="5"/>
        <v/>
      </c>
      <c r="G66" s="612" t="str">
        <f t="shared" si="6"/>
        <v/>
      </c>
      <c r="H66" s="613"/>
      <c r="I66" s="577"/>
      <c r="J66" s="578"/>
      <c r="K66" s="536"/>
      <c r="L66" s="536"/>
      <c r="M66" s="536"/>
      <c r="N66" s="536"/>
      <c r="O66" s="536"/>
      <c r="P66" s="536"/>
      <c r="Q66" s="536"/>
      <c r="R66" s="536"/>
    </row>
    <row r="67" spans="1:18" ht="15.75" customHeight="1">
      <c r="A67" s="610" t="str">
        <f t="shared" si="2"/>
        <v/>
      </c>
      <c r="B67" s="584">
        <f>+ventas!B53</f>
        <v>0</v>
      </c>
      <c r="C67" s="585">
        <f t="shared" si="3"/>
        <v>0</v>
      </c>
      <c r="D67" s="584">
        <f>+ventas!B13</f>
        <v>0</v>
      </c>
      <c r="E67" s="611">
        <f t="shared" si="4"/>
        <v>0</v>
      </c>
      <c r="F67" s="612" t="str">
        <f t="shared" si="5"/>
        <v/>
      </c>
      <c r="G67" s="612" t="str">
        <f t="shared" si="6"/>
        <v/>
      </c>
      <c r="H67" s="613"/>
      <c r="I67" s="577"/>
      <c r="J67" s="578"/>
      <c r="K67" s="536"/>
      <c r="L67" s="536"/>
      <c r="M67" s="536"/>
      <c r="N67" s="536"/>
      <c r="O67" s="536"/>
      <c r="P67" s="536"/>
      <c r="Q67" s="536"/>
      <c r="R67" s="536"/>
    </row>
    <row r="68" spans="1:18" ht="15.75" customHeight="1">
      <c r="A68" s="610" t="str">
        <f t="shared" si="2"/>
        <v/>
      </c>
      <c r="B68" s="584">
        <f>+ventas!B54</f>
        <v>0</v>
      </c>
      <c r="C68" s="585">
        <f t="shared" si="3"/>
        <v>0</v>
      </c>
      <c r="D68" s="584">
        <f>+ventas!B14</f>
        <v>0</v>
      </c>
      <c r="E68" s="611">
        <f t="shared" si="4"/>
        <v>0</v>
      </c>
      <c r="F68" s="612" t="str">
        <f t="shared" si="5"/>
        <v/>
      </c>
      <c r="G68" s="612" t="str">
        <f t="shared" si="6"/>
        <v/>
      </c>
      <c r="H68" s="613"/>
      <c r="I68" s="577"/>
      <c r="J68" s="578"/>
      <c r="K68" s="536"/>
      <c r="L68" s="536"/>
      <c r="M68" s="536"/>
      <c r="N68" s="536"/>
      <c r="O68" s="536"/>
      <c r="P68" s="536"/>
      <c r="Q68" s="536"/>
      <c r="R68" s="536"/>
    </row>
    <row r="69" spans="1:18" ht="15.75" customHeight="1">
      <c r="A69" s="610" t="str">
        <f t="shared" si="2"/>
        <v/>
      </c>
      <c r="B69" s="584">
        <f>+ventas!B55</f>
        <v>0</v>
      </c>
      <c r="C69" s="585">
        <f t="shared" si="3"/>
        <v>0</v>
      </c>
      <c r="D69" s="584">
        <f>+ventas!B15</f>
        <v>0</v>
      </c>
      <c r="E69" s="611">
        <f t="shared" si="4"/>
        <v>0</v>
      </c>
      <c r="F69" s="612" t="str">
        <f t="shared" si="5"/>
        <v/>
      </c>
      <c r="G69" s="612" t="str">
        <f t="shared" si="6"/>
        <v/>
      </c>
      <c r="H69" s="613"/>
      <c r="I69" s="577"/>
      <c r="J69" s="578"/>
      <c r="K69" s="536"/>
      <c r="L69" s="536"/>
      <c r="M69" s="536"/>
      <c r="N69" s="536"/>
      <c r="O69" s="536"/>
      <c r="P69" s="536"/>
      <c r="Q69" s="536"/>
      <c r="R69" s="536"/>
    </row>
    <row r="70" spans="1:18" ht="15.75" customHeight="1">
      <c r="A70" s="610" t="str">
        <f t="shared" si="2"/>
        <v/>
      </c>
      <c r="B70" s="584">
        <f>+ventas!B56</f>
        <v>0</v>
      </c>
      <c r="C70" s="585">
        <f t="shared" si="3"/>
        <v>0</v>
      </c>
      <c r="D70" s="584">
        <f>+ventas!B16</f>
        <v>0</v>
      </c>
      <c r="E70" s="611">
        <f t="shared" si="4"/>
        <v>0</v>
      </c>
      <c r="F70" s="612" t="str">
        <f t="shared" si="5"/>
        <v/>
      </c>
      <c r="G70" s="612" t="str">
        <f t="shared" si="6"/>
        <v/>
      </c>
      <c r="H70" s="613"/>
      <c r="I70" s="577"/>
      <c r="J70" s="578"/>
      <c r="K70" s="536"/>
      <c r="L70" s="536"/>
      <c r="M70" s="536"/>
      <c r="N70" s="536"/>
      <c r="O70" s="536"/>
      <c r="P70" s="536"/>
      <c r="Q70" s="536"/>
      <c r="R70" s="536"/>
    </row>
    <row r="71" spans="1:18" ht="15.75" customHeight="1">
      <c r="A71" s="610" t="str">
        <f t="shared" si="2"/>
        <v/>
      </c>
      <c r="B71" s="584">
        <f>+ventas!B57</f>
        <v>0</v>
      </c>
      <c r="C71" s="585">
        <f t="shared" si="3"/>
        <v>0</v>
      </c>
      <c r="D71" s="584">
        <f>+ventas!B17</f>
        <v>0</v>
      </c>
      <c r="E71" s="611">
        <f t="shared" si="4"/>
        <v>0</v>
      </c>
      <c r="F71" s="612" t="str">
        <f t="shared" si="5"/>
        <v/>
      </c>
      <c r="G71" s="612" t="str">
        <f t="shared" si="6"/>
        <v/>
      </c>
      <c r="H71" s="613"/>
      <c r="I71" s="577"/>
      <c r="J71" s="578"/>
      <c r="K71" s="536"/>
      <c r="L71" s="536"/>
      <c r="M71" s="536"/>
      <c r="N71" s="536"/>
      <c r="O71" s="536"/>
      <c r="P71" s="536"/>
      <c r="Q71" s="536"/>
      <c r="R71" s="536"/>
    </row>
    <row r="72" spans="1:18" ht="15.75" customHeight="1">
      <c r="A72" s="610" t="str">
        <f t="shared" si="2"/>
        <v/>
      </c>
      <c r="B72" s="584">
        <f>+ventas!B58</f>
        <v>0</v>
      </c>
      <c r="C72" s="585">
        <f t="shared" si="3"/>
        <v>0</v>
      </c>
      <c r="D72" s="584">
        <f>+ventas!B18</f>
        <v>0</v>
      </c>
      <c r="E72" s="611">
        <f t="shared" si="4"/>
        <v>0</v>
      </c>
      <c r="F72" s="612" t="str">
        <f t="shared" si="5"/>
        <v/>
      </c>
      <c r="G72" s="612" t="str">
        <f t="shared" si="6"/>
        <v/>
      </c>
      <c r="H72" s="613"/>
      <c r="I72" s="577"/>
      <c r="J72" s="578"/>
      <c r="K72" s="536"/>
      <c r="L72" s="536"/>
      <c r="M72" s="536"/>
      <c r="N72" s="536"/>
      <c r="O72" s="536"/>
      <c r="P72" s="536"/>
      <c r="Q72" s="536"/>
      <c r="R72" s="536"/>
    </row>
    <row r="73" spans="1:18" ht="15.75" customHeight="1">
      <c r="A73" s="610" t="str">
        <f t="shared" si="2"/>
        <v/>
      </c>
      <c r="B73" s="584">
        <f>+ventas!B59</f>
        <v>0</v>
      </c>
      <c r="C73" s="585">
        <f t="shared" si="3"/>
        <v>0</v>
      </c>
      <c r="D73" s="584">
        <f>+ventas!B19</f>
        <v>0</v>
      </c>
      <c r="E73" s="611">
        <f t="shared" si="4"/>
        <v>0</v>
      </c>
      <c r="F73" s="612" t="str">
        <f t="shared" si="5"/>
        <v/>
      </c>
      <c r="G73" s="612" t="str">
        <f t="shared" si="6"/>
        <v/>
      </c>
      <c r="H73" s="613"/>
      <c r="I73" s="577"/>
      <c r="J73" s="578"/>
      <c r="K73" s="536"/>
      <c r="L73" s="536"/>
      <c r="M73" s="536"/>
      <c r="N73" s="536"/>
      <c r="O73" s="536"/>
      <c r="P73" s="536"/>
      <c r="Q73" s="536"/>
      <c r="R73" s="536"/>
    </row>
    <row r="74" spans="1:18" ht="15.75" customHeight="1">
      <c r="A74" s="610" t="str">
        <f t="shared" si="2"/>
        <v/>
      </c>
      <c r="B74" s="584">
        <f>+ventas!B60</f>
        <v>0</v>
      </c>
      <c r="C74" s="585">
        <f t="shared" si="3"/>
        <v>0</v>
      </c>
      <c r="D74" s="584">
        <f>+ventas!B20</f>
        <v>0</v>
      </c>
      <c r="E74" s="611">
        <f t="shared" si="4"/>
        <v>0</v>
      </c>
      <c r="F74" s="612" t="str">
        <f t="shared" si="5"/>
        <v/>
      </c>
      <c r="G74" s="612" t="str">
        <f t="shared" si="6"/>
        <v/>
      </c>
      <c r="H74" s="613"/>
      <c r="I74" s="577"/>
      <c r="J74" s="578"/>
      <c r="K74" s="536"/>
      <c r="L74" s="536"/>
      <c r="M74" s="536"/>
      <c r="N74" s="536"/>
      <c r="O74" s="536"/>
      <c r="P74" s="536"/>
      <c r="Q74" s="536"/>
      <c r="R74" s="536"/>
    </row>
    <row r="75" spans="1:18" ht="15.75" customHeight="1" thickBot="1">
      <c r="A75" s="614" t="str">
        <f t="shared" si="2"/>
        <v/>
      </c>
      <c r="B75" s="615">
        <f>+ventas!B61</f>
        <v>0</v>
      </c>
      <c r="C75" s="616">
        <f t="shared" si="3"/>
        <v>0</v>
      </c>
      <c r="D75" s="615">
        <f>+ventas!B21</f>
        <v>0</v>
      </c>
      <c r="E75" s="617">
        <f t="shared" si="4"/>
        <v>0</v>
      </c>
      <c r="F75" s="612" t="str">
        <f t="shared" si="5"/>
        <v/>
      </c>
      <c r="G75" s="612" t="str">
        <f t="shared" si="6"/>
        <v/>
      </c>
      <c r="H75" s="613"/>
      <c r="I75" s="577"/>
      <c r="J75" s="578"/>
      <c r="K75" s="536"/>
      <c r="L75" s="536"/>
      <c r="M75" s="536"/>
      <c r="N75" s="536"/>
      <c r="O75" s="536"/>
      <c r="P75" s="536"/>
      <c r="Q75" s="536"/>
      <c r="R75" s="536"/>
    </row>
    <row r="76" spans="1:18" ht="16.5" thickBot="1">
      <c r="A76" s="618" t="s">
        <v>49</v>
      </c>
      <c r="B76" s="619">
        <f>SUM(B64:B75)</f>
        <v>364500000</v>
      </c>
      <c r="C76" s="620">
        <f>SUM(C64:C75)</f>
        <v>1</v>
      </c>
      <c r="D76" s="619">
        <f>SUM(D64:D75)</f>
        <v>13500</v>
      </c>
      <c r="E76" s="621">
        <f>SUM(E64:E75)</f>
        <v>1</v>
      </c>
      <c r="F76" s="577"/>
      <c r="G76" s="577"/>
      <c r="H76" s="577"/>
      <c r="I76" s="577"/>
      <c r="J76" s="578"/>
      <c r="K76" s="536"/>
      <c r="L76" s="536"/>
      <c r="M76" s="536"/>
      <c r="N76" s="536"/>
      <c r="O76" s="536"/>
      <c r="P76" s="536"/>
      <c r="Q76" s="536"/>
      <c r="R76" s="536"/>
    </row>
    <row r="77" spans="1:18" ht="12.75" customHeight="1">
      <c r="A77" s="577"/>
      <c r="B77" s="577"/>
      <c r="C77" s="577"/>
      <c r="D77" s="577"/>
      <c r="E77" s="577"/>
      <c r="F77" s="577"/>
      <c r="G77" s="577"/>
      <c r="H77" s="577"/>
      <c r="I77" s="577"/>
      <c r="J77" s="578"/>
      <c r="K77" s="536"/>
      <c r="L77" s="536"/>
      <c r="M77" s="536"/>
      <c r="N77" s="536"/>
      <c r="O77" s="536"/>
      <c r="P77" s="536"/>
      <c r="Q77" s="536"/>
      <c r="R77" s="536"/>
    </row>
    <row r="78" spans="1:18" ht="18" customHeight="1">
      <c r="A78" s="1171" t="str">
        <f>+ayuda!A38</f>
        <v>EL PRODUCTO DE MAYOR VENTA EN EL AÑO 1 ES CAMISETAS EL CUAL PARTICIPA CON UN 100%. EL PRODUCTO DE MENOR PARTICIPACIÓN EN EL PORTAFOLIO ES CAMISETAS CON UNA CONTRIBUCIÓN DE SOLO EL 100%</v>
      </c>
      <c r="B78" s="1172"/>
      <c r="C78" s="1172"/>
      <c r="D78" s="1172"/>
      <c r="E78" s="1172"/>
      <c r="F78" s="577"/>
      <c r="G78" s="577"/>
      <c r="H78" s="577"/>
      <c r="I78" s="577"/>
      <c r="J78" s="578"/>
      <c r="K78" s="536"/>
      <c r="L78" s="536"/>
      <c r="M78" s="536"/>
      <c r="N78" s="536"/>
      <c r="O78" s="536"/>
      <c r="P78" s="536"/>
      <c r="Q78" s="536"/>
      <c r="R78" s="536"/>
    </row>
    <row r="79" spans="1:18" ht="17.25" customHeight="1">
      <c r="A79" s="1172"/>
      <c r="B79" s="1172"/>
      <c r="C79" s="1172"/>
      <c r="D79" s="1172"/>
      <c r="E79" s="1172"/>
      <c r="F79" s="577"/>
      <c r="G79" s="577"/>
      <c r="H79" s="577"/>
      <c r="I79" s="577"/>
      <c r="J79" s="578"/>
      <c r="K79" s="536"/>
      <c r="L79" s="536"/>
      <c r="M79" s="536"/>
      <c r="N79" s="536"/>
      <c r="O79" s="536"/>
      <c r="P79" s="536"/>
      <c r="Q79" s="536"/>
      <c r="R79" s="536"/>
    </row>
    <row r="80" spans="1:18" ht="19.5" customHeight="1">
      <c r="A80" s="1172"/>
      <c r="B80" s="1172"/>
      <c r="C80" s="1172"/>
      <c r="D80" s="1172"/>
      <c r="E80" s="1172"/>
      <c r="F80" s="577"/>
      <c r="G80" s="577"/>
      <c r="H80" s="577"/>
      <c r="I80" s="577"/>
      <c r="J80" s="578"/>
      <c r="K80" s="536"/>
      <c r="L80" s="536"/>
      <c r="M80" s="536"/>
      <c r="N80" s="536"/>
      <c r="O80" s="536"/>
      <c r="P80" s="536"/>
      <c r="Q80" s="536"/>
      <c r="R80" s="536"/>
    </row>
    <row r="81" spans="1:18" ht="21.75" customHeight="1">
      <c r="A81" s="622"/>
      <c r="B81" s="577"/>
      <c r="C81" s="577"/>
      <c r="D81" s="577"/>
      <c r="E81" s="577"/>
      <c r="F81" s="577"/>
      <c r="G81" s="577"/>
      <c r="H81" s="577"/>
      <c r="I81" s="577"/>
      <c r="J81" s="578"/>
      <c r="K81" s="536"/>
      <c r="L81" s="536"/>
      <c r="M81" s="536"/>
      <c r="N81" s="536"/>
      <c r="O81" s="536"/>
      <c r="P81" s="536"/>
      <c r="Q81" s="536"/>
      <c r="R81" s="536"/>
    </row>
    <row r="82" spans="1:18" ht="18.75" thickBot="1">
      <c r="A82" s="580" t="s">
        <v>299</v>
      </c>
      <c r="B82" s="536"/>
      <c r="C82" s="536"/>
      <c r="D82" s="577"/>
      <c r="E82" s="577"/>
      <c r="F82" s="577"/>
      <c r="G82" s="577"/>
      <c r="H82" s="577"/>
      <c r="I82" s="577"/>
      <c r="J82" s="578"/>
      <c r="K82" s="536"/>
      <c r="L82" s="536"/>
      <c r="M82" s="536"/>
      <c r="N82" s="536"/>
      <c r="O82" s="536"/>
      <c r="P82" s="536"/>
      <c r="Q82" s="536"/>
      <c r="R82" s="536"/>
    </row>
    <row r="83" spans="1:18" ht="16.5" thickBot="1">
      <c r="A83" s="623" t="s">
        <v>59</v>
      </c>
      <c r="B83" s="624" t="s">
        <v>683</v>
      </c>
      <c r="C83" s="625" t="s">
        <v>60</v>
      </c>
      <c r="D83" s="577"/>
      <c r="E83" s="577"/>
      <c r="F83" s="577"/>
      <c r="G83" s="577"/>
      <c r="H83" s="577"/>
      <c r="I83" s="577"/>
      <c r="J83" s="578"/>
      <c r="K83" s="536"/>
      <c r="L83" s="536"/>
      <c r="M83" s="536"/>
      <c r="N83" s="536"/>
      <c r="O83" s="536"/>
      <c r="P83" s="536"/>
      <c r="Q83" s="536"/>
      <c r="R83" s="536"/>
    </row>
    <row r="84" spans="1:18" ht="15.75">
      <c r="A84" s="626" t="str">
        <f>+'cost fijos'!A103</f>
        <v>MANO DE OBRA</v>
      </c>
      <c r="B84" s="627">
        <f>+'cost fijos'!B103</f>
        <v>3500000</v>
      </c>
      <c r="C84" s="628">
        <f>+'cost fijos'!C103</f>
        <v>42000000</v>
      </c>
      <c r="D84" s="577"/>
      <c r="E84" s="577"/>
      <c r="F84" s="577"/>
      <c r="G84" s="577"/>
      <c r="H84" s="577"/>
      <c r="I84" s="577"/>
      <c r="J84" s="578"/>
      <c r="K84" s="536"/>
      <c r="L84" s="536"/>
      <c r="M84" s="536"/>
      <c r="N84" s="536"/>
      <c r="O84" s="536"/>
      <c r="P84" s="536"/>
      <c r="Q84" s="536"/>
      <c r="R84" s="536"/>
    </row>
    <row r="85" spans="1:18" ht="15.75">
      <c r="A85" s="629" t="str">
        <f>+'cost fijos'!A104</f>
        <v>COSTOS DE PRODUCCION</v>
      </c>
      <c r="B85" s="557">
        <f>+'cost fijos'!B104</f>
        <v>2425000</v>
      </c>
      <c r="C85" s="630">
        <f>+'cost fijos'!C104</f>
        <v>29100000</v>
      </c>
      <c r="D85" s="577"/>
      <c r="E85" s="577"/>
      <c r="F85" s="577"/>
      <c r="G85" s="577"/>
      <c r="H85" s="577"/>
      <c r="I85" s="577"/>
      <c r="J85" s="578"/>
      <c r="K85" s="536"/>
      <c r="L85" s="536"/>
      <c r="M85" s="536"/>
      <c r="N85" s="536"/>
      <c r="O85" s="536"/>
      <c r="P85" s="536"/>
      <c r="Q85" s="536"/>
      <c r="R85" s="536"/>
    </row>
    <row r="86" spans="1:18" ht="15.75">
      <c r="A86" s="629" t="str">
        <f>+'cost fijos'!A105</f>
        <v>GASTOS ADMINISTRATIVOS</v>
      </c>
      <c r="B86" s="557">
        <f>+'cost fijos'!B105</f>
        <v>3878666.6666666665</v>
      </c>
      <c r="C86" s="630">
        <f>+'cost fijos'!C105</f>
        <v>46544000</v>
      </c>
      <c r="D86" s="577"/>
      <c r="E86" s="577"/>
      <c r="F86" s="577"/>
      <c r="G86" s="577"/>
      <c r="H86" s="577"/>
      <c r="I86" s="577"/>
      <c r="J86" s="578"/>
      <c r="K86" s="536"/>
      <c r="L86" s="536"/>
      <c r="M86" s="536"/>
      <c r="N86" s="536"/>
      <c r="O86" s="536"/>
      <c r="P86" s="536"/>
      <c r="Q86" s="536"/>
      <c r="R86" s="536"/>
    </row>
    <row r="87" spans="1:18" ht="15.75">
      <c r="A87" s="631" t="s">
        <v>61</v>
      </c>
      <c r="B87" s="557">
        <f>AVERAGE('inver y financ'!D250:D262)</f>
        <v>0</v>
      </c>
      <c r="C87" s="630">
        <f>SUM('inver y financ'!D250:D261)</f>
        <v>0</v>
      </c>
      <c r="D87" s="577"/>
      <c r="E87" s="577"/>
      <c r="F87" s="577"/>
      <c r="G87" s="577"/>
      <c r="H87" s="577"/>
      <c r="I87" s="577"/>
      <c r="J87" s="578"/>
      <c r="K87" s="536"/>
      <c r="L87" s="536"/>
      <c r="M87" s="536"/>
      <c r="N87" s="536"/>
      <c r="O87" s="536"/>
      <c r="P87" s="536"/>
      <c r="Q87" s="536"/>
      <c r="R87" s="536"/>
    </row>
    <row r="88" spans="1:18" ht="15.75">
      <c r="A88" s="631" t="s">
        <v>212</v>
      </c>
      <c r="B88" s="557">
        <f ca="1">+'cost fijos'!B106</f>
        <v>461250</v>
      </c>
      <c r="C88" s="630">
        <f ca="1">+'cost fijos'!C106</f>
        <v>5535000</v>
      </c>
      <c r="D88" s="577"/>
      <c r="E88" s="577"/>
      <c r="F88" s="577"/>
      <c r="G88" s="577"/>
      <c r="H88" s="577"/>
      <c r="I88" s="577"/>
      <c r="J88" s="578"/>
      <c r="K88" s="536"/>
      <c r="L88" s="536"/>
      <c r="M88" s="536"/>
      <c r="N88" s="536"/>
      <c r="O88" s="536"/>
      <c r="P88" s="536"/>
      <c r="Q88" s="536"/>
      <c r="R88" s="536"/>
    </row>
    <row r="89" spans="1:18" ht="16.5" thickBot="1">
      <c r="A89" s="632" t="s">
        <v>49</v>
      </c>
      <c r="B89" s="633">
        <f>SUM(B84:B87)</f>
        <v>9803666.666666666</v>
      </c>
      <c r="C89" s="634">
        <f ca="1">SUM(C84:C88)</f>
        <v>123179000</v>
      </c>
      <c r="D89" s="577"/>
      <c r="E89" s="577"/>
      <c r="F89" s="577"/>
      <c r="G89" s="577"/>
      <c r="H89" s="577"/>
      <c r="I89" s="577"/>
      <c r="J89" s="578"/>
      <c r="K89" s="536"/>
      <c r="L89" s="536"/>
      <c r="M89" s="536"/>
      <c r="N89" s="536"/>
      <c r="O89" s="536"/>
      <c r="P89" s="536"/>
      <c r="Q89" s="536"/>
      <c r="R89" s="536"/>
    </row>
    <row r="90" spans="1:18" ht="45" customHeight="1">
      <c r="A90" s="1178" t="str">
        <f ca="1">+ayuda!A48</f>
        <v xml:space="preserve">LOS COSTOS Y GASTOS FIJOS DEL PRIMER AÑO, ASCIENDEN A $123.179.000, SE DESTINAN 42 MILLONES DE PESOS PARA MANO DE OBRA, SE ESTABLECEN 29,1 MILLONES DE PESOS EN COSTOS DE PRODUCCION, SE CALCULAN 46,544 MILLONES DE PESOS PARA GASTOS ADMINISTRATIVOS, NO SE ESTUDIAN CREDITOS. SE CONTABILIZAN 5,535 MILLONES DE PESOS PARA DEPRECIACION </v>
      </c>
      <c r="B90" s="1179"/>
      <c r="C90" s="1179"/>
      <c r="D90" s="577"/>
      <c r="E90" s="577"/>
      <c r="F90" s="577"/>
      <c r="G90" s="577"/>
      <c r="H90" s="577"/>
      <c r="I90" s="577"/>
      <c r="J90" s="578"/>
      <c r="K90" s="536"/>
      <c r="L90" s="536"/>
      <c r="M90" s="536"/>
      <c r="N90" s="536"/>
      <c r="O90" s="536"/>
      <c r="P90" s="536"/>
      <c r="Q90" s="536"/>
      <c r="R90" s="536"/>
    </row>
    <row r="91" spans="1:18" ht="42" customHeight="1">
      <c r="A91" s="1172"/>
      <c r="B91" s="1172"/>
      <c r="C91" s="1172"/>
      <c r="D91" s="577"/>
      <c r="E91" s="577"/>
      <c r="F91" s="577"/>
      <c r="G91" s="577"/>
      <c r="H91" s="577"/>
      <c r="I91" s="577"/>
      <c r="J91" s="578"/>
      <c r="K91" s="536"/>
      <c r="L91" s="536"/>
      <c r="M91" s="536"/>
      <c r="N91" s="536"/>
      <c r="O91" s="536"/>
      <c r="P91" s="536"/>
      <c r="Q91" s="536"/>
      <c r="R91" s="536"/>
    </row>
    <row r="92" spans="1:18" ht="18" customHeight="1">
      <c r="A92" s="1172"/>
      <c r="B92" s="1172"/>
      <c r="C92" s="1172"/>
      <c r="D92" s="577"/>
      <c r="E92" s="577"/>
      <c r="F92" s="577"/>
      <c r="G92" s="577"/>
      <c r="H92" s="577"/>
      <c r="I92" s="577"/>
      <c r="J92" s="578"/>
      <c r="K92" s="536"/>
      <c r="L92" s="536"/>
      <c r="M92" s="536"/>
      <c r="N92" s="536"/>
      <c r="O92" s="536"/>
      <c r="P92" s="536"/>
      <c r="Q92" s="536"/>
      <c r="R92" s="536"/>
    </row>
    <row r="93" spans="1:18" ht="18" customHeight="1">
      <c r="A93" s="1172"/>
      <c r="B93" s="1172"/>
      <c r="C93" s="1172"/>
      <c r="D93" s="577"/>
      <c r="E93" s="577"/>
      <c r="F93" s="577"/>
      <c r="G93" s="577"/>
      <c r="H93" s="577"/>
      <c r="I93" s="577"/>
      <c r="J93" s="578"/>
      <c r="K93" s="536"/>
      <c r="L93" s="536"/>
      <c r="M93" s="536"/>
      <c r="N93" s="536"/>
      <c r="O93" s="536"/>
      <c r="P93" s="536"/>
      <c r="Q93" s="536"/>
      <c r="R93" s="536"/>
    </row>
    <row r="94" spans="1:18" ht="24.75" customHeight="1">
      <c r="A94" s="1172"/>
      <c r="B94" s="1172"/>
      <c r="C94" s="1172"/>
      <c r="D94" s="577"/>
      <c r="E94" s="577"/>
      <c r="F94" s="577"/>
      <c r="G94" s="577"/>
      <c r="H94" s="577"/>
      <c r="I94" s="577"/>
      <c r="J94" s="578"/>
      <c r="K94" s="536"/>
      <c r="L94" s="536"/>
      <c r="M94" s="536"/>
      <c r="N94" s="536"/>
      <c r="O94" s="536"/>
      <c r="P94" s="536"/>
      <c r="Q94" s="536"/>
      <c r="R94" s="536"/>
    </row>
    <row r="95" spans="1:18" ht="24.75" customHeight="1">
      <c r="A95" s="622"/>
      <c r="B95" s="577"/>
      <c r="C95" s="577"/>
      <c r="D95" s="577"/>
      <c r="E95" s="577"/>
      <c r="F95" s="577"/>
      <c r="G95" s="577"/>
      <c r="H95" s="577"/>
      <c r="I95" s="577"/>
      <c r="J95" s="578"/>
      <c r="K95" s="536"/>
      <c r="L95" s="536"/>
      <c r="M95" s="536"/>
      <c r="N95" s="536"/>
      <c r="O95" s="536"/>
      <c r="P95" s="536"/>
      <c r="Q95" s="536"/>
      <c r="R95" s="536"/>
    </row>
    <row r="96" spans="1:18" ht="15" customHeight="1" thickBot="1">
      <c r="A96" s="1183" t="s">
        <v>272</v>
      </c>
      <c r="B96" s="1183"/>
      <c r="C96" s="536"/>
      <c r="D96" s="536"/>
      <c r="E96" s="635"/>
      <c r="F96" s="536"/>
      <c r="G96" s="536"/>
      <c r="H96" s="536"/>
      <c r="I96" s="536"/>
      <c r="K96" s="536"/>
      <c r="L96" s="536"/>
      <c r="M96" s="536"/>
      <c r="N96" s="536"/>
      <c r="O96" s="536"/>
      <c r="P96" s="536"/>
      <c r="Q96" s="536"/>
      <c r="R96" s="536"/>
    </row>
    <row r="97" spans="1:18" ht="44.25" customHeight="1" thickBot="1">
      <c r="A97" s="636" t="s">
        <v>575</v>
      </c>
      <c r="B97" s="547" t="s">
        <v>576</v>
      </c>
      <c r="C97" s="547" t="s">
        <v>237</v>
      </c>
      <c r="D97" s="547" t="s">
        <v>302</v>
      </c>
      <c r="E97" s="547" t="s">
        <v>303</v>
      </c>
      <c r="F97" s="547" t="s">
        <v>304</v>
      </c>
      <c r="G97" s="1202" t="s">
        <v>272</v>
      </c>
      <c r="H97" s="1202"/>
      <c r="I97" s="637" t="s">
        <v>305</v>
      </c>
      <c r="J97" s="548" t="s">
        <v>49</v>
      </c>
      <c r="K97" s="536"/>
      <c r="L97" s="536"/>
      <c r="M97" s="536"/>
      <c r="N97" s="536"/>
      <c r="O97" s="536"/>
      <c r="P97" s="536"/>
      <c r="Q97" s="536"/>
      <c r="R97" s="536"/>
    </row>
    <row r="98" spans="1:18" ht="15" customHeight="1">
      <c r="A98" s="638" t="str">
        <f>+ventas!A10</f>
        <v>CAMISETAS</v>
      </c>
      <c r="B98" s="639">
        <f>'datos de entrada'!J14</f>
        <v>27000</v>
      </c>
      <c r="C98" s="639">
        <f>+'cost var'!B107</f>
        <v>12000</v>
      </c>
      <c r="D98" s="639">
        <f>+'cost var'!B485</f>
        <v>0</v>
      </c>
      <c r="E98" s="639">
        <f>+('datos de entrada'!B31+'datos de entrada'!$B$328)*B98</f>
        <v>352.08</v>
      </c>
      <c r="F98" s="639">
        <f t="shared" ref="F98:F109" si="7">E98+D98+C98</f>
        <v>12352.08</v>
      </c>
      <c r="G98" s="639">
        <f t="shared" ref="G98:G109" si="8">B98-F98</f>
        <v>14647.92</v>
      </c>
      <c r="H98" s="640">
        <f t="shared" ref="H98:H109" si="9">IF(B98=0,0,G98/B98)</f>
        <v>0.54251555555555553</v>
      </c>
      <c r="I98" s="640">
        <f>+ventas!N29</f>
        <v>1</v>
      </c>
      <c r="J98" s="641">
        <f t="shared" ref="J98:J109" si="10">I98*H98</f>
        <v>0.54251555555555553</v>
      </c>
      <c r="K98" s="536"/>
      <c r="L98" s="536"/>
      <c r="M98" s="536"/>
      <c r="N98" s="536"/>
      <c r="O98" s="536"/>
      <c r="P98" s="536"/>
      <c r="Q98" s="536"/>
      <c r="R98" s="536"/>
    </row>
    <row r="99" spans="1:18" ht="15" customHeight="1">
      <c r="A99" s="642" t="str">
        <f>+ventas!A11</f>
        <v/>
      </c>
      <c r="B99" s="584">
        <f>'datos de entrada'!J15</f>
        <v>0</v>
      </c>
      <c r="C99" s="584">
        <f>+'cost var'!B108</f>
        <v>0</v>
      </c>
      <c r="D99" s="584">
        <f>+'cost var'!B486</f>
        <v>0</v>
      </c>
      <c r="E99" s="639">
        <f>+('datos de entrada'!B32+'datos de entrada'!$B$328)*B99</f>
        <v>0</v>
      </c>
      <c r="F99" s="584">
        <f t="shared" si="7"/>
        <v>0</v>
      </c>
      <c r="G99" s="584">
        <f t="shared" si="8"/>
        <v>0</v>
      </c>
      <c r="H99" s="585">
        <f t="shared" si="9"/>
        <v>0</v>
      </c>
      <c r="I99" s="585">
        <f>+ventas!N30</f>
        <v>0</v>
      </c>
      <c r="J99" s="611">
        <f t="shared" si="10"/>
        <v>0</v>
      </c>
      <c r="K99" s="536"/>
      <c r="L99" s="536"/>
      <c r="M99" s="536"/>
      <c r="N99" s="536"/>
      <c r="O99" s="536"/>
      <c r="P99" s="536"/>
      <c r="Q99" s="536"/>
      <c r="R99" s="536"/>
    </row>
    <row r="100" spans="1:18" ht="15" customHeight="1">
      <c r="A100" s="642" t="str">
        <f>+ventas!A12</f>
        <v/>
      </c>
      <c r="B100" s="584">
        <f>'datos de entrada'!J16</f>
        <v>0</v>
      </c>
      <c r="C100" s="584">
        <f>+'cost var'!B109</f>
        <v>0</v>
      </c>
      <c r="D100" s="584">
        <f>+'cost var'!B487</f>
        <v>0</v>
      </c>
      <c r="E100" s="639">
        <f>+('datos de entrada'!B33+'datos de entrada'!$B$328)*B100</f>
        <v>0</v>
      </c>
      <c r="F100" s="584">
        <f t="shared" si="7"/>
        <v>0</v>
      </c>
      <c r="G100" s="584">
        <f t="shared" si="8"/>
        <v>0</v>
      </c>
      <c r="H100" s="585">
        <f t="shared" si="9"/>
        <v>0</v>
      </c>
      <c r="I100" s="585">
        <f>+ventas!N31</f>
        <v>0</v>
      </c>
      <c r="J100" s="611">
        <f t="shared" si="10"/>
        <v>0</v>
      </c>
      <c r="K100" s="536"/>
      <c r="L100" s="536"/>
      <c r="M100" s="536"/>
      <c r="N100" s="536"/>
      <c r="O100" s="536"/>
      <c r="P100" s="536"/>
      <c r="Q100" s="536"/>
      <c r="R100" s="536"/>
    </row>
    <row r="101" spans="1:18" ht="15" customHeight="1">
      <c r="A101" s="642" t="str">
        <f>+ventas!A13</f>
        <v/>
      </c>
      <c r="B101" s="584">
        <f>'datos de entrada'!J17</f>
        <v>0</v>
      </c>
      <c r="C101" s="584">
        <f>+'cost var'!B110</f>
        <v>0</v>
      </c>
      <c r="D101" s="584">
        <f>+'cost var'!B488</f>
        <v>0</v>
      </c>
      <c r="E101" s="639">
        <f>+('datos de entrada'!B34+'datos de entrada'!$B$328)*B101</f>
        <v>0</v>
      </c>
      <c r="F101" s="584">
        <f t="shared" si="7"/>
        <v>0</v>
      </c>
      <c r="G101" s="584">
        <f t="shared" si="8"/>
        <v>0</v>
      </c>
      <c r="H101" s="585">
        <f t="shared" si="9"/>
        <v>0</v>
      </c>
      <c r="I101" s="585">
        <f>+ventas!N32</f>
        <v>0</v>
      </c>
      <c r="J101" s="611">
        <f t="shared" si="10"/>
        <v>0</v>
      </c>
      <c r="K101" s="536"/>
      <c r="L101" s="536"/>
      <c r="M101" s="536"/>
      <c r="N101" s="536"/>
      <c r="O101" s="536"/>
      <c r="P101" s="536"/>
      <c r="Q101" s="536"/>
      <c r="R101" s="536"/>
    </row>
    <row r="102" spans="1:18" ht="15" customHeight="1">
      <c r="A102" s="642" t="str">
        <f>+ventas!A14</f>
        <v/>
      </c>
      <c r="B102" s="584">
        <f>'datos de entrada'!J18</f>
        <v>0</v>
      </c>
      <c r="C102" s="584">
        <f>+'cost var'!B111</f>
        <v>0</v>
      </c>
      <c r="D102" s="584">
        <f>+'cost var'!B489</f>
        <v>0</v>
      </c>
      <c r="E102" s="639">
        <f>+('datos de entrada'!B35+'datos de entrada'!$B$328)*B102</f>
        <v>0</v>
      </c>
      <c r="F102" s="584">
        <f t="shared" si="7"/>
        <v>0</v>
      </c>
      <c r="G102" s="584">
        <f t="shared" si="8"/>
        <v>0</v>
      </c>
      <c r="H102" s="585">
        <f t="shared" si="9"/>
        <v>0</v>
      </c>
      <c r="I102" s="585">
        <f>+ventas!N33</f>
        <v>0</v>
      </c>
      <c r="J102" s="611">
        <f t="shared" si="10"/>
        <v>0</v>
      </c>
      <c r="K102" s="536"/>
      <c r="L102" s="536"/>
      <c r="M102" s="536"/>
      <c r="N102" s="536"/>
      <c r="O102" s="536"/>
      <c r="P102" s="536"/>
      <c r="Q102" s="536"/>
      <c r="R102" s="536"/>
    </row>
    <row r="103" spans="1:18" ht="15" customHeight="1">
      <c r="A103" s="642" t="str">
        <f>+ventas!A15</f>
        <v/>
      </c>
      <c r="B103" s="584">
        <f>'datos de entrada'!J19</f>
        <v>0</v>
      </c>
      <c r="C103" s="584">
        <f>+'cost var'!B112</f>
        <v>0</v>
      </c>
      <c r="D103" s="584">
        <f>+'cost var'!B490</f>
        <v>0</v>
      </c>
      <c r="E103" s="639">
        <f>+('datos de entrada'!B36+'datos de entrada'!$B$328)*B103</f>
        <v>0</v>
      </c>
      <c r="F103" s="584">
        <f t="shared" si="7"/>
        <v>0</v>
      </c>
      <c r="G103" s="584">
        <f t="shared" si="8"/>
        <v>0</v>
      </c>
      <c r="H103" s="585">
        <f t="shared" si="9"/>
        <v>0</v>
      </c>
      <c r="I103" s="585">
        <f>+ventas!N34</f>
        <v>0</v>
      </c>
      <c r="J103" s="611">
        <f t="shared" si="10"/>
        <v>0</v>
      </c>
      <c r="K103" s="536"/>
      <c r="L103" s="536"/>
      <c r="M103" s="536"/>
      <c r="N103" s="536"/>
      <c r="O103" s="536"/>
      <c r="P103" s="536"/>
      <c r="Q103" s="536"/>
      <c r="R103" s="536"/>
    </row>
    <row r="104" spans="1:18" ht="15" customHeight="1">
      <c r="A104" s="642" t="str">
        <f>+ventas!A16</f>
        <v/>
      </c>
      <c r="B104" s="584">
        <f>'datos de entrada'!J20</f>
        <v>0</v>
      </c>
      <c r="C104" s="584">
        <f>+'cost var'!B113</f>
        <v>0</v>
      </c>
      <c r="D104" s="584">
        <f>+'cost var'!B491</f>
        <v>0</v>
      </c>
      <c r="E104" s="639">
        <f>+('datos de entrada'!B37+'datos de entrada'!$B$328)*B104</f>
        <v>0</v>
      </c>
      <c r="F104" s="584">
        <f t="shared" si="7"/>
        <v>0</v>
      </c>
      <c r="G104" s="584">
        <f t="shared" si="8"/>
        <v>0</v>
      </c>
      <c r="H104" s="585">
        <f t="shared" si="9"/>
        <v>0</v>
      </c>
      <c r="I104" s="585">
        <f>+ventas!N35</f>
        <v>0</v>
      </c>
      <c r="J104" s="611">
        <f t="shared" si="10"/>
        <v>0</v>
      </c>
      <c r="K104" s="536"/>
      <c r="L104" s="536"/>
      <c r="M104" s="536"/>
      <c r="N104" s="536"/>
      <c r="O104" s="536"/>
      <c r="P104" s="536"/>
      <c r="Q104" s="536"/>
      <c r="R104" s="536"/>
    </row>
    <row r="105" spans="1:18" ht="15" customHeight="1">
      <c r="A105" s="642" t="str">
        <f>+ventas!A17</f>
        <v/>
      </c>
      <c r="B105" s="584">
        <f>'datos de entrada'!J21</f>
        <v>0</v>
      </c>
      <c r="C105" s="584">
        <f>+'cost var'!B114</f>
        <v>0</v>
      </c>
      <c r="D105" s="584">
        <f>+'cost var'!B492</f>
        <v>0</v>
      </c>
      <c r="E105" s="639">
        <f>+('datos de entrada'!B38+'datos de entrada'!$B$328)*B105</f>
        <v>0</v>
      </c>
      <c r="F105" s="584">
        <f t="shared" si="7"/>
        <v>0</v>
      </c>
      <c r="G105" s="584">
        <f t="shared" si="8"/>
        <v>0</v>
      </c>
      <c r="H105" s="585">
        <f t="shared" si="9"/>
        <v>0</v>
      </c>
      <c r="I105" s="585">
        <f>+ventas!N36</f>
        <v>0</v>
      </c>
      <c r="J105" s="611">
        <f t="shared" si="10"/>
        <v>0</v>
      </c>
      <c r="K105" s="536"/>
      <c r="L105" s="536"/>
      <c r="M105" s="536"/>
      <c r="N105" s="536"/>
      <c r="O105" s="536"/>
      <c r="P105" s="536"/>
      <c r="Q105" s="536"/>
      <c r="R105" s="536"/>
    </row>
    <row r="106" spans="1:18" ht="15" customHeight="1">
      <c r="A106" s="642" t="str">
        <f>+ventas!A18</f>
        <v/>
      </c>
      <c r="B106" s="584">
        <f>'datos de entrada'!J22</f>
        <v>0</v>
      </c>
      <c r="C106" s="584">
        <f>+'cost var'!B115</f>
        <v>0</v>
      </c>
      <c r="D106" s="584">
        <f>+'cost var'!B493</f>
        <v>0</v>
      </c>
      <c r="E106" s="639">
        <f>+('datos de entrada'!B39+'datos de entrada'!$B$328)*B106</f>
        <v>0</v>
      </c>
      <c r="F106" s="584">
        <f t="shared" si="7"/>
        <v>0</v>
      </c>
      <c r="G106" s="584">
        <f t="shared" si="8"/>
        <v>0</v>
      </c>
      <c r="H106" s="585">
        <f t="shared" si="9"/>
        <v>0</v>
      </c>
      <c r="I106" s="585">
        <f>+ventas!N37</f>
        <v>0</v>
      </c>
      <c r="J106" s="611">
        <f t="shared" si="10"/>
        <v>0</v>
      </c>
      <c r="K106" s="536"/>
      <c r="L106" s="536"/>
      <c r="M106" s="536"/>
      <c r="N106" s="536"/>
      <c r="O106" s="536"/>
      <c r="P106" s="536"/>
      <c r="Q106" s="536"/>
      <c r="R106" s="536"/>
    </row>
    <row r="107" spans="1:18" ht="15" customHeight="1">
      <c r="A107" s="642" t="str">
        <f>+ventas!A19</f>
        <v/>
      </c>
      <c r="B107" s="584">
        <f>'datos de entrada'!J23</f>
        <v>0</v>
      </c>
      <c r="C107" s="584">
        <f>+'cost var'!B116</f>
        <v>0</v>
      </c>
      <c r="D107" s="584">
        <f>+'cost var'!B494</f>
        <v>0</v>
      </c>
      <c r="E107" s="639">
        <f>+('datos de entrada'!B40+'datos de entrada'!$B$328)*B107</f>
        <v>0</v>
      </c>
      <c r="F107" s="584">
        <f t="shared" si="7"/>
        <v>0</v>
      </c>
      <c r="G107" s="584">
        <f t="shared" si="8"/>
        <v>0</v>
      </c>
      <c r="H107" s="585">
        <f t="shared" si="9"/>
        <v>0</v>
      </c>
      <c r="I107" s="585">
        <f>+ventas!N38</f>
        <v>0</v>
      </c>
      <c r="J107" s="611">
        <f t="shared" si="10"/>
        <v>0</v>
      </c>
      <c r="K107" s="536"/>
      <c r="L107" s="536"/>
      <c r="M107" s="536"/>
      <c r="N107" s="536"/>
      <c r="O107" s="536"/>
      <c r="P107" s="536"/>
      <c r="Q107" s="536"/>
      <c r="R107" s="536"/>
    </row>
    <row r="108" spans="1:18" ht="15" customHeight="1">
      <c r="A108" s="642" t="str">
        <f>+ventas!A20</f>
        <v/>
      </c>
      <c r="B108" s="584">
        <f>'datos de entrada'!J24</f>
        <v>0</v>
      </c>
      <c r="C108" s="584">
        <f>+'cost var'!B117</f>
        <v>0</v>
      </c>
      <c r="D108" s="584">
        <f>+'cost var'!B495</f>
        <v>0</v>
      </c>
      <c r="E108" s="639">
        <f>+('datos de entrada'!B41+'datos de entrada'!$B$328)*B108</f>
        <v>0</v>
      </c>
      <c r="F108" s="584">
        <f t="shared" si="7"/>
        <v>0</v>
      </c>
      <c r="G108" s="584">
        <f t="shared" si="8"/>
        <v>0</v>
      </c>
      <c r="H108" s="585">
        <f t="shared" si="9"/>
        <v>0</v>
      </c>
      <c r="I108" s="585">
        <f>+ventas!N39</f>
        <v>0</v>
      </c>
      <c r="J108" s="611">
        <f t="shared" si="10"/>
        <v>0</v>
      </c>
      <c r="K108" s="536"/>
      <c r="L108" s="536"/>
      <c r="M108" s="536"/>
      <c r="N108" s="536"/>
      <c r="O108" s="536"/>
      <c r="P108" s="536"/>
      <c r="Q108" s="536"/>
      <c r="R108" s="536"/>
    </row>
    <row r="109" spans="1:18" ht="15" customHeight="1" thickBot="1">
      <c r="A109" s="643" t="str">
        <f>+ventas!A21</f>
        <v/>
      </c>
      <c r="B109" s="615">
        <f>'datos de entrada'!J25</f>
        <v>0</v>
      </c>
      <c r="C109" s="615">
        <f>+'cost var'!B118</f>
        <v>0</v>
      </c>
      <c r="D109" s="615">
        <f>+'cost var'!B496</f>
        <v>0</v>
      </c>
      <c r="E109" s="639">
        <f>+('datos de entrada'!B42+'datos de entrada'!$B$328)*B109</f>
        <v>0</v>
      </c>
      <c r="F109" s="615">
        <f t="shared" si="7"/>
        <v>0</v>
      </c>
      <c r="G109" s="615">
        <f t="shared" si="8"/>
        <v>0</v>
      </c>
      <c r="H109" s="616">
        <f t="shared" si="9"/>
        <v>0</v>
      </c>
      <c r="I109" s="616">
        <f>+ventas!N40</f>
        <v>0</v>
      </c>
      <c r="J109" s="617">
        <f t="shared" si="10"/>
        <v>0</v>
      </c>
      <c r="K109" s="536"/>
      <c r="L109" s="536"/>
      <c r="M109" s="536"/>
      <c r="N109" s="536"/>
      <c r="O109" s="536"/>
      <c r="P109" s="536"/>
      <c r="Q109" s="536"/>
      <c r="R109" s="536"/>
    </row>
    <row r="110" spans="1:18" ht="15" customHeight="1" thickBot="1">
      <c r="A110" s="644"/>
      <c r="B110" s="644"/>
      <c r="C110" s="644"/>
      <c r="D110" s="1190" t="s">
        <v>763</v>
      </c>
      <c r="E110" s="1190"/>
      <c r="F110" s="1190"/>
      <c r="G110" s="1190"/>
      <c r="H110" s="1191"/>
      <c r="I110" s="645">
        <f>SUM(I98:I109)</f>
        <v>1</v>
      </c>
      <c r="J110" s="621">
        <f>SUM(J98:J109)</f>
        <v>0.54251555555555553</v>
      </c>
      <c r="K110" s="536"/>
      <c r="L110" s="536"/>
      <c r="M110" s="536"/>
      <c r="N110" s="536"/>
      <c r="O110" s="536"/>
      <c r="P110" s="536"/>
      <c r="Q110" s="536"/>
      <c r="R110" s="536"/>
    </row>
    <row r="111" spans="1:18" ht="15" customHeight="1">
      <c r="A111" s="1180" t="str">
        <f>+ayuda!A66</f>
        <v xml:space="preserve">EL MARGEN DE CONTRIBUCIÓN DE LA EMPRESA ES 54,25% LO CUAL SE INTERPRETA ASÍ: POR CADA PESO QUE VENDA LA EMPRESA SE OBTIENEN 54 CENTAVOS PARA CUBRIR LOS COSTOS Y GASTOS FIJOS DE LA EMPRESA Y GENERAR UTILIDAD. EL PRODUCTO CON MAYOR MARGEN DE CONTRIBUCIÓN ES CAMISETAS, CAMISETAS ES EL PRODUCTO DE MENOR MARGEN DE CONTRIBUCIÓN.  </v>
      </c>
      <c r="B111" s="1181"/>
      <c r="C111" s="1181"/>
      <c r="D111" s="1181"/>
      <c r="E111" s="1181"/>
      <c r="F111" s="1181"/>
      <c r="G111" s="646"/>
      <c r="H111" s="646"/>
      <c r="I111" s="647"/>
      <c r="J111" s="647"/>
      <c r="K111" s="536"/>
      <c r="L111" s="536"/>
      <c r="M111" s="536"/>
      <c r="N111" s="536"/>
      <c r="O111" s="536"/>
      <c r="P111" s="536"/>
      <c r="Q111" s="536"/>
      <c r="R111" s="536"/>
    </row>
    <row r="112" spans="1:18" ht="17.25" customHeight="1">
      <c r="A112" s="1181"/>
      <c r="B112" s="1181"/>
      <c r="C112" s="1181"/>
      <c r="D112" s="1181"/>
      <c r="E112" s="1181"/>
      <c r="F112" s="1181"/>
      <c r="G112" s="646"/>
      <c r="H112" s="646"/>
      <c r="I112" s="647"/>
      <c r="J112" s="647"/>
      <c r="K112" s="536"/>
      <c r="L112" s="536"/>
      <c r="M112" s="536"/>
      <c r="N112" s="536"/>
      <c r="O112" s="536"/>
      <c r="P112" s="536"/>
      <c r="Q112" s="536"/>
      <c r="R112" s="536"/>
    </row>
    <row r="113" spans="1:18" ht="23.25" customHeight="1">
      <c r="A113" s="1181"/>
      <c r="B113" s="1181"/>
      <c r="C113" s="1181"/>
      <c r="D113" s="1181"/>
      <c r="E113" s="1181"/>
      <c r="F113" s="1181"/>
      <c r="G113" s="646"/>
      <c r="H113" s="646"/>
      <c r="I113" s="647"/>
      <c r="J113" s="647"/>
      <c r="K113" s="536"/>
      <c r="L113" s="536"/>
      <c r="M113" s="536"/>
      <c r="N113" s="536"/>
      <c r="O113" s="536"/>
      <c r="P113" s="536"/>
      <c r="Q113" s="536"/>
      <c r="R113" s="536"/>
    </row>
    <row r="114" spans="1:18" ht="21" customHeight="1">
      <c r="A114" s="1181"/>
      <c r="B114" s="1181"/>
      <c r="C114" s="1181"/>
      <c r="D114" s="1181"/>
      <c r="E114" s="1181"/>
      <c r="F114" s="1181"/>
      <c r="G114" s="646"/>
      <c r="H114" s="646"/>
      <c r="I114" s="647"/>
      <c r="J114" s="647"/>
      <c r="K114" s="536"/>
      <c r="L114" s="536"/>
      <c r="M114" s="536"/>
      <c r="N114" s="536"/>
      <c r="O114" s="536"/>
      <c r="P114" s="536"/>
      <c r="Q114" s="536"/>
      <c r="R114" s="536"/>
    </row>
    <row r="115" spans="1:18" ht="15" customHeight="1">
      <c r="A115" s="648"/>
      <c r="B115" s="648"/>
      <c r="C115" s="648"/>
      <c r="D115" s="648"/>
      <c r="E115" s="649"/>
      <c r="F115" s="648"/>
      <c r="G115" s="646"/>
      <c r="H115" s="646"/>
      <c r="I115" s="647"/>
      <c r="J115" s="647"/>
      <c r="K115" s="536"/>
      <c r="L115" s="536"/>
      <c r="M115" s="536"/>
      <c r="N115" s="536"/>
      <c r="O115" s="536"/>
      <c r="P115" s="536"/>
      <c r="Q115" s="536"/>
      <c r="R115" s="536"/>
    </row>
    <row r="116" spans="1:18" ht="15" customHeight="1">
      <c r="A116" s="646"/>
      <c r="B116" s="646"/>
      <c r="C116" s="646"/>
      <c r="D116" s="646"/>
      <c r="E116" s="646"/>
      <c r="F116" s="650"/>
      <c r="G116" s="646"/>
      <c r="H116" s="646"/>
      <c r="I116" s="647"/>
      <c r="J116" s="647"/>
      <c r="K116" s="536"/>
      <c r="L116" s="536"/>
      <c r="M116" s="536"/>
      <c r="N116" s="536"/>
      <c r="O116" s="536"/>
      <c r="P116" s="536"/>
      <c r="Q116" s="536"/>
      <c r="R116" s="536"/>
    </row>
    <row r="117" spans="1:18" ht="15" customHeight="1">
      <c r="A117" s="651"/>
      <c r="B117" s="536"/>
      <c r="C117" s="536"/>
      <c r="D117" s="536"/>
      <c r="E117" s="536"/>
      <c r="F117" s="536"/>
      <c r="G117" s="536"/>
      <c r="H117" s="536"/>
      <c r="I117" s="536"/>
      <c r="J117" s="536"/>
      <c r="K117" s="536"/>
      <c r="L117" s="536"/>
      <c r="M117" s="536"/>
      <c r="N117" s="536"/>
      <c r="O117" s="536"/>
      <c r="P117" s="536"/>
      <c r="Q117" s="536"/>
      <c r="R117" s="536"/>
    </row>
    <row r="118" spans="1:18" ht="18">
      <c r="A118" s="1182" t="s">
        <v>52</v>
      </c>
      <c r="B118" s="1182"/>
      <c r="C118" s="652" t="s">
        <v>56</v>
      </c>
      <c r="D118" s="653"/>
      <c r="E118" s="654">
        <f ca="1">IF(J110=0,0,C89/J110)</f>
        <v>227051554.07730246</v>
      </c>
      <c r="J118" s="536"/>
      <c r="K118" s="536"/>
      <c r="L118" s="536"/>
      <c r="M118" s="536"/>
      <c r="N118" s="536"/>
      <c r="O118" s="536"/>
      <c r="P118" s="536"/>
      <c r="Q118" s="536"/>
      <c r="R118" s="536"/>
    </row>
    <row r="119" spans="1:18" ht="15" customHeight="1" thickBot="1">
      <c r="D119" s="536"/>
      <c r="E119" s="536"/>
      <c r="J119" s="536"/>
      <c r="K119" s="536"/>
      <c r="L119" s="536"/>
      <c r="M119" s="536"/>
      <c r="N119" s="536"/>
      <c r="O119" s="536"/>
      <c r="P119" s="536"/>
      <c r="Q119" s="536"/>
      <c r="R119" s="536"/>
    </row>
    <row r="120" spans="1:18" ht="31.5" customHeight="1">
      <c r="A120" s="655" t="s">
        <v>575</v>
      </c>
      <c r="B120" s="656" t="s">
        <v>307</v>
      </c>
      <c r="C120" s="656" t="s">
        <v>308</v>
      </c>
      <c r="D120" s="657" t="s">
        <v>310</v>
      </c>
      <c r="E120" s="658" t="s">
        <v>309</v>
      </c>
      <c r="J120" s="536"/>
      <c r="K120" s="536"/>
      <c r="L120" s="536"/>
      <c r="M120" s="536"/>
      <c r="N120" s="536"/>
      <c r="O120" s="536"/>
      <c r="P120" s="536"/>
      <c r="Q120" s="536"/>
      <c r="R120" s="536"/>
    </row>
    <row r="121" spans="1:18" ht="15" customHeight="1">
      <c r="A121" s="629" t="str">
        <f t="shared" ref="A121:A132" si="11">A98</f>
        <v>CAMISETAS</v>
      </c>
      <c r="B121" s="584">
        <f t="shared" ref="B121:B132" ca="1" si="12">$E$118*I98</f>
        <v>227051554.07730246</v>
      </c>
      <c r="C121" s="584">
        <f t="shared" ref="C121:C132" ca="1" si="13">IF(B98=0,0,B121/B98)</f>
        <v>8409.316817677869</v>
      </c>
      <c r="D121" s="584">
        <f t="shared" ref="D121:D132" ca="1" si="14">B121/12</f>
        <v>18920962.839775205</v>
      </c>
      <c r="E121" s="659">
        <f t="shared" ref="E121:E132" ca="1" si="15">C121/12</f>
        <v>700.77640147315572</v>
      </c>
      <c r="F121" s="660"/>
      <c r="J121" s="536"/>
      <c r="K121" s="536"/>
      <c r="L121" s="536"/>
      <c r="M121" s="536"/>
      <c r="N121" s="536"/>
      <c r="O121" s="536"/>
      <c r="P121" s="536"/>
      <c r="Q121" s="536"/>
      <c r="R121" s="536"/>
    </row>
    <row r="122" spans="1:18" ht="15" customHeight="1">
      <c r="A122" s="629" t="str">
        <f t="shared" si="11"/>
        <v/>
      </c>
      <c r="B122" s="584">
        <f t="shared" ca="1" si="12"/>
        <v>0</v>
      </c>
      <c r="C122" s="584">
        <f t="shared" si="13"/>
        <v>0</v>
      </c>
      <c r="D122" s="584">
        <f t="shared" ca="1" si="14"/>
        <v>0</v>
      </c>
      <c r="E122" s="659">
        <f t="shared" si="15"/>
        <v>0</v>
      </c>
      <c r="F122" s="660"/>
      <c r="J122" s="536"/>
      <c r="K122" s="536"/>
      <c r="L122" s="536"/>
      <c r="M122" s="536"/>
      <c r="N122" s="536"/>
      <c r="O122" s="536"/>
      <c r="P122" s="536"/>
      <c r="Q122" s="536"/>
      <c r="R122" s="536"/>
    </row>
    <row r="123" spans="1:18" ht="15" customHeight="1">
      <c r="A123" s="629" t="str">
        <f t="shared" si="11"/>
        <v/>
      </c>
      <c r="B123" s="584">
        <f t="shared" ca="1" si="12"/>
        <v>0</v>
      </c>
      <c r="C123" s="584">
        <f t="shared" si="13"/>
        <v>0</v>
      </c>
      <c r="D123" s="584">
        <f t="shared" ca="1" si="14"/>
        <v>0</v>
      </c>
      <c r="E123" s="659">
        <f t="shared" si="15"/>
        <v>0</v>
      </c>
      <c r="F123" s="660"/>
      <c r="J123" s="536"/>
      <c r="K123" s="536"/>
      <c r="L123" s="536"/>
      <c r="M123" s="536"/>
      <c r="N123" s="536"/>
      <c r="O123" s="536"/>
      <c r="P123" s="536"/>
      <c r="Q123" s="536"/>
      <c r="R123" s="536"/>
    </row>
    <row r="124" spans="1:18" ht="15" customHeight="1">
      <c r="A124" s="629" t="str">
        <f t="shared" si="11"/>
        <v/>
      </c>
      <c r="B124" s="584">
        <f t="shared" ca="1" si="12"/>
        <v>0</v>
      </c>
      <c r="C124" s="584">
        <f t="shared" si="13"/>
        <v>0</v>
      </c>
      <c r="D124" s="584">
        <f t="shared" ca="1" si="14"/>
        <v>0</v>
      </c>
      <c r="E124" s="659">
        <f t="shared" si="15"/>
        <v>0</v>
      </c>
      <c r="F124" s="660"/>
      <c r="J124" s="536"/>
      <c r="K124" s="536"/>
      <c r="L124" s="536"/>
      <c r="M124" s="536"/>
      <c r="N124" s="536"/>
      <c r="O124" s="536"/>
      <c r="P124" s="536"/>
      <c r="Q124" s="536"/>
      <c r="R124" s="536"/>
    </row>
    <row r="125" spans="1:18" ht="15" customHeight="1">
      <c r="A125" s="629" t="str">
        <f t="shared" si="11"/>
        <v/>
      </c>
      <c r="B125" s="584">
        <f t="shared" ca="1" si="12"/>
        <v>0</v>
      </c>
      <c r="C125" s="584">
        <f t="shared" si="13"/>
        <v>0</v>
      </c>
      <c r="D125" s="584">
        <f t="shared" ca="1" si="14"/>
        <v>0</v>
      </c>
      <c r="E125" s="659">
        <f t="shared" si="15"/>
        <v>0</v>
      </c>
      <c r="F125" s="660"/>
      <c r="J125" s="536"/>
      <c r="K125" s="536"/>
      <c r="L125" s="536"/>
      <c r="M125" s="536"/>
      <c r="N125" s="536"/>
      <c r="O125" s="536"/>
      <c r="P125" s="536"/>
      <c r="Q125" s="536"/>
      <c r="R125" s="536"/>
    </row>
    <row r="126" spans="1:18" ht="15" customHeight="1">
      <c r="A126" s="629" t="str">
        <f t="shared" si="11"/>
        <v/>
      </c>
      <c r="B126" s="584">
        <f t="shared" ca="1" si="12"/>
        <v>0</v>
      </c>
      <c r="C126" s="584">
        <f t="shared" si="13"/>
        <v>0</v>
      </c>
      <c r="D126" s="584">
        <f t="shared" ca="1" si="14"/>
        <v>0</v>
      </c>
      <c r="E126" s="659">
        <f t="shared" si="15"/>
        <v>0</v>
      </c>
      <c r="F126" s="660"/>
      <c r="J126" s="536"/>
      <c r="K126" s="536"/>
      <c r="L126" s="536"/>
      <c r="M126" s="536"/>
      <c r="N126" s="536"/>
      <c r="O126" s="536"/>
      <c r="P126" s="536"/>
      <c r="Q126" s="536"/>
      <c r="R126" s="536"/>
    </row>
    <row r="127" spans="1:18" ht="15" customHeight="1">
      <c r="A127" s="629" t="str">
        <f t="shared" si="11"/>
        <v/>
      </c>
      <c r="B127" s="584">
        <f t="shared" ca="1" si="12"/>
        <v>0</v>
      </c>
      <c r="C127" s="584">
        <f t="shared" si="13"/>
        <v>0</v>
      </c>
      <c r="D127" s="584">
        <f t="shared" ca="1" si="14"/>
        <v>0</v>
      </c>
      <c r="E127" s="659">
        <f t="shared" si="15"/>
        <v>0</v>
      </c>
      <c r="F127" s="660"/>
      <c r="J127" s="536"/>
      <c r="K127" s="536"/>
      <c r="L127" s="536"/>
      <c r="M127" s="536"/>
      <c r="N127" s="536"/>
      <c r="O127" s="536"/>
      <c r="P127" s="536"/>
      <c r="Q127" s="536"/>
      <c r="R127" s="536"/>
    </row>
    <row r="128" spans="1:18" ht="15" customHeight="1">
      <c r="A128" s="629" t="str">
        <f t="shared" si="11"/>
        <v/>
      </c>
      <c r="B128" s="584">
        <f t="shared" ca="1" si="12"/>
        <v>0</v>
      </c>
      <c r="C128" s="584">
        <f t="shared" si="13"/>
        <v>0</v>
      </c>
      <c r="D128" s="584">
        <f t="shared" ca="1" si="14"/>
        <v>0</v>
      </c>
      <c r="E128" s="659">
        <f t="shared" si="15"/>
        <v>0</v>
      </c>
      <c r="F128" s="660"/>
      <c r="J128" s="536"/>
      <c r="K128" s="536"/>
      <c r="L128" s="536"/>
      <c r="M128" s="536"/>
      <c r="N128" s="536"/>
      <c r="O128" s="536"/>
      <c r="P128" s="536"/>
      <c r="Q128" s="536"/>
      <c r="R128" s="536"/>
    </row>
    <row r="129" spans="1:18" ht="15" customHeight="1">
      <c r="A129" s="629" t="str">
        <f t="shared" si="11"/>
        <v/>
      </c>
      <c r="B129" s="584">
        <f t="shared" ca="1" si="12"/>
        <v>0</v>
      </c>
      <c r="C129" s="584">
        <f t="shared" si="13"/>
        <v>0</v>
      </c>
      <c r="D129" s="584">
        <f t="shared" ca="1" si="14"/>
        <v>0</v>
      </c>
      <c r="E129" s="659">
        <f t="shared" si="15"/>
        <v>0</v>
      </c>
      <c r="F129" s="660"/>
      <c r="J129" s="536"/>
      <c r="K129" s="536"/>
      <c r="L129" s="536"/>
      <c r="M129" s="536"/>
      <c r="N129" s="536"/>
      <c r="O129" s="536"/>
      <c r="P129" s="536"/>
      <c r="Q129" s="536"/>
      <c r="R129" s="536"/>
    </row>
    <row r="130" spans="1:18" ht="15" customHeight="1">
      <c r="A130" s="629" t="str">
        <f t="shared" si="11"/>
        <v/>
      </c>
      <c r="B130" s="584">
        <f t="shared" ca="1" si="12"/>
        <v>0</v>
      </c>
      <c r="C130" s="584">
        <f t="shared" si="13"/>
        <v>0</v>
      </c>
      <c r="D130" s="584">
        <f t="shared" ca="1" si="14"/>
        <v>0</v>
      </c>
      <c r="E130" s="659">
        <f t="shared" si="15"/>
        <v>0</v>
      </c>
      <c r="F130" s="660"/>
      <c r="J130" s="536"/>
      <c r="K130" s="536"/>
      <c r="L130" s="536"/>
      <c r="M130" s="536"/>
      <c r="N130" s="536"/>
      <c r="O130" s="536"/>
      <c r="P130" s="536"/>
      <c r="Q130" s="536"/>
      <c r="R130" s="536"/>
    </row>
    <row r="131" spans="1:18" ht="15" customHeight="1">
      <c r="A131" s="629" t="str">
        <f t="shared" si="11"/>
        <v/>
      </c>
      <c r="B131" s="584">
        <f t="shared" ca="1" si="12"/>
        <v>0</v>
      </c>
      <c r="C131" s="584">
        <f t="shared" si="13"/>
        <v>0</v>
      </c>
      <c r="D131" s="584">
        <f t="shared" ca="1" si="14"/>
        <v>0</v>
      </c>
      <c r="E131" s="659">
        <f t="shared" si="15"/>
        <v>0</v>
      </c>
      <c r="F131" s="660"/>
      <c r="J131" s="536"/>
      <c r="K131" s="536"/>
      <c r="L131" s="536"/>
      <c r="M131" s="536"/>
      <c r="N131" s="536"/>
      <c r="O131" s="536"/>
      <c r="P131" s="536"/>
      <c r="Q131" s="536"/>
      <c r="R131" s="536"/>
    </row>
    <row r="132" spans="1:18" ht="15" customHeight="1" thickBot="1">
      <c r="A132" s="661" t="str">
        <f t="shared" si="11"/>
        <v/>
      </c>
      <c r="B132" s="662">
        <f t="shared" ca="1" si="12"/>
        <v>0</v>
      </c>
      <c r="C132" s="662">
        <f t="shared" si="13"/>
        <v>0</v>
      </c>
      <c r="D132" s="662">
        <f t="shared" ca="1" si="14"/>
        <v>0</v>
      </c>
      <c r="E132" s="663">
        <f t="shared" si="15"/>
        <v>0</v>
      </c>
      <c r="F132" s="660"/>
      <c r="J132" s="536"/>
      <c r="K132" s="536"/>
      <c r="L132" s="536"/>
      <c r="M132" s="536"/>
      <c r="N132" s="536"/>
      <c r="O132" s="536"/>
      <c r="P132" s="536"/>
      <c r="Q132" s="536"/>
      <c r="R132" s="536"/>
    </row>
    <row r="133" spans="1:18" ht="33.75" customHeight="1" thickBot="1">
      <c r="A133" s="664" t="s">
        <v>306</v>
      </c>
      <c r="B133" s="665">
        <f ca="1">SUM(B121:B132)</f>
        <v>227051554.07730246</v>
      </c>
      <c r="C133" s="666" t="s">
        <v>310</v>
      </c>
      <c r="D133" s="667">
        <f ca="1">SUM(D121:D132)</f>
        <v>18920962.839775205</v>
      </c>
      <c r="E133" s="605"/>
      <c r="J133" s="536"/>
      <c r="K133" s="536"/>
      <c r="L133" s="536"/>
      <c r="M133" s="536"/>
      <c r="N133" s="536"/>
      <c r="O133" s="536"/>
      <c r="P133" s="536"/>
      <c r="Q133" s="536"/>
      <c r="R133" s="536"/>
    </row>
    <row r="134" spans="1:18" ht="25.5" customHeight="1">
      <c r="A134" s="1169" t="str">
        <f ca="1">+ayuda!A78</f>
        <v>TENIENDO EN CUENTA LA ESTRUCTURA DE COSTOS Y GASTOS FIJOS Y EL MARGEN DE CONTRIBUCIÓN DE LA EMPRESA, SE LLEGA  A LA CONCLUSIÓN QUE LA ORGANIZACIÓN REQUIERE VENDER $227.051.554 AL AÑO PARA NO PERDER NI GANAR DINERO. SE REQUIEREN VENTAS MENSUALES PROMEDIO DE 18,9 MILLONES DE PESOS. AL ANALIZAR LAS PROYECCIONES DE VENTAS SE DETERMINA QUE LA EMPRESA, EN EL PRIMER AÑO, ALCANZA EL PUNTO DE EQUILIBRIO.</v>
      </c>
      <c r="B134" s="1170"/>
      <c r="C134" s="1170"/>
      <c r="D134" s="1170"/>
      <c r="E134" s="1170"/>
      <c r="F134" s="536"/>
      <c r="G134" s="536"/>
      <c r="H134" s="536"/>
      <c r="I134" s="536"/>
      <c r="J134" s="536"/>
      <c r="K134" s="536"/>
      <c r="L134" s="536"/>
      <c r="M134" s="536"/>
      <c r="N134" s="536"/>
      <c r="O134" s="536"/>
      <c r="P134" s="536"/>
      <c r="Q134" s="536"/>
      <c r="R134" s="536"/>
    </row>
    <row r="135" spans="1:18" ht="20.25" customHeight="1">
      <c r="A135" s="1170"/>
      <c r="B135" s="1170"/>
      <c r="C135" s="1170"/>
      <c r="D135" s="1170"/>
      <c r="E135" s="1170"/>
      <c r="F135" s="536"/>
      <c r="G135" s="536"/>
      <c r="H135" s="536"/>
      <c r="I135" s="536"/>
      <c r="J135" s="536"/>
      <c r="K135" s="536"/>
      <c r="L135" s="536"/>
      <c r="M135" s="536"/>
      <c r="N135" s="536"/>
      <c r="O135" s="536"/>
      <c r="P135" s="536"/>
      <c r="Q135" s="536"/>
      <c r="R135" s="536"/>
    </row>
    <row r="136" spans="1:18" ht="23.25" customHeight="1">
      <c r="A136" s="1170"/>
      <c r="B136" s="1170"/>
      <c r="C136" s="1170"/>
      <c r="D136" s="1170"/>
      <c r="E136" s="1170"/>
      <c r="F136" s="536"/>
      <c r="G136" s="536"/>
      <c r="H136" s="536"/>
      <c r="I136" s="536"/>
      <c r="J136" s="536"/>
      <c r="K136" s="536"/>
      <c r="L136" s="536"/>
      <c r="M136" s="536"/>
      <c r="N136" s="536"/>
      <c r="O136" s="536"/>
      <c r="P136" s="536"/>
      <c r="Q136" s="536"/>
      <c r="R136" s="536"/>
    </row>
    <row r="137" spans="1:18" ht="18.75" customHeight="1">
      <c r="A137" s="1170"/>
      <c r="B137" s="1170"/>
      <c r="C137" s="1170"/>
      <c r="D137" s="1170"/>
      <c r="E137" s="1170"/>
      <c r="F137" s="536"/>
      <c r="G137" s="536"/>
      <c r="H137" s="536"/>
      <c r="I137" s="536"/>
      <c r="J137" s="536"/>
      <c r="K137" s="536"/>
      <c r="L137" s="536"/>
      <c r="M137" s="536"/>
      <c r="N137" s="536"/>
      <c r="O137" s="536"/>
      <c r="P137" s="536"/>
      <c r="Q137" s="536"/>
      <c r="R137" s="536"/>
    </row>
    <row r="138" spans="1:18" ht="25.5" customHeight="1">
      <c r="A138" s="1170"/>
      <c r="B138" s="1170"/>
      <c r="C138" s="1170"/>
      <c r="D138" s="1170"/>
      <c r="E138" s="1170"/>
      <c r="F138" s="536"/>
      <c r="G138" s="536"/>
      <c r="H138" s="536"/>
      <c r="I138" s="536"/>
      <c r="J138" s="536"/>
      <c r="K138" s="536"/>
      <c r="L138" s="536"/>
      <c r="M138" s="536"/>
      <c r="N138" s="536"/>
      <c r="O138" s="536"/>
      <c r="P138" s="536"/>
      <c r="Q138" s="536"/>
      <c r="R138" s="536"/>
    </row>
    <row r="139" spans="1:18" ht="38.25" customHeight="1">
      <c r="A139" s="575"/>
      <c r="B139" s="575"/>
      <c r="C139" s="575"/>
      <c r="D139" s="575"/>
      <c r="E139" s="575"/>
      <c r="F139" s="536"/>
      <c r="G139" s="536"/>
      <c r="H139" s="536"/>
      <c r="I139" s="536"/>
      <c r="J139" s="536"/>
      <c r="K139" s="536"/>
      <c r="L139" s="536"/>
      <c r="M139" s="536"/>
      <c r="N139" s="536"/>
      <c r="O139" s="536"/>
      <c r="P139" s="536"/>
      <c r="Q139" s="536"/>
      <c r="R139" s="536"/>
    </row>
    <row r="140" spans="1:18" ht="18.75" customHeight="1">
      <c r="A140" s="575"/>
      <c r="B140" s="575"/>
      <c r="C140" s="575"/>
      <c r="D140" s="575"/>
      <c r="E140" s="575"/>
      <c r="F140" s="536"/>
      <c r="G140" s="536"/>
      <c r="H140" s="536"/>
      <c r="I140" s="536"/>
      <c r="J140" s="536"/>
      <c r="K140" s="536"/>
      <c r="L140" s="536"/>
      <c r="M140" s="536"/>
      <c r="N140" s="536"/>
      <c r="O140" s="536"/>
      <c r="P140" s="536"/>
      <c r="Q140" s="536"/>
      <c r="R140" s="536"/>
    </row>
    <row r="141" spans="1:18" ht="25.5" customHeight="1">
      <c r="A141" s="1186"/>
      <c r="B141" s="1187"/>
      <c r="C141" s="1187"/>
      <c r="D141" s="575"/>
      <c r="E141" s="575"/>
      <c r="F141" s="536"/>
      <c r="G141" s="536"/>
      <c r="H141" s="536"/>
      <c r="I141" s="536"/>
      <c r="J141" s="536"/>
      <c r="K141" s="536"/>
      <c r="L141" s="536"/>
      <c r="M141" s="536"/>
      <c r="N141" s="536"/>
      <c r="O141" s="536"/>
      <c r="P141" s="536"/>
      <c r="Q141" s="536"/>
      <c r="R141" s="536"/>
    </row>
    <row r="142" spans="1:18" ht="17.25" customHeight="1" thickBot="1">
      <c r="A142" s="580" t="s">
        <v>337</v>
      </c>
      <c r="D142" s="536"/>
      <c r="E142" s="536"/>
      <c r="F142" s="536"/>
      <c r="G142" s="536"/>
      <c r="H142" s="536"/>
      <c r="I142" s="536"/>
      <c r="J142" s="536"/>
      <c r="K142" s="536"/>
      <c r="L142" s="536"/>
      <c r="M142" s="536"/>
      <c r="N142" s="536"/>
      <c r="O142" s="536"/>
      <c r="P142" s="536"/>
      <c r="Q142" s="536"/>
      <c r="R142" s="536"/>
    </row>
    <row r="143" spans="1:18" ht="15" customHeight="1" thickBot="1">
      <c r="A143" s="590"/>
      <c r="B143" s="668" t="s">
        <v>606</v>
      </c>
      <c r="C143" s="624" t="s">
        <v>607</v>
      </c>
      <c r="D143" s="624" t="s">
        <v>608</v>
      </c>
      <c r="E143" s="624" t="s">
        <v>609</v>
      </c>
      <c r="F143" s="624" t="s">
        <v>610</v>
      </c>
      <c r="G143" s="624" t="s">
        <v>611</v>
      </c>
      <c r="H143" s="624" t="s">
        <v>612</v>
      </c>
      <c r="I143" s="624" t="s">
        <v>613</v>
      </c>
      <c r="J143" s="624" t="s">
        <v>614</v>
      </c>
      <c r="K143" s="624" t="s">
        <v>66</v>
      </c>
      <c r="L143" s="624" t="s">
        <v>616</v>
      </c>
      <c r="M143" s="669" t="s">
        <v>617</v>
      </c>
      <c r="N143" s="536"/>
      <c r="O143" s="536"/>
      <c r="P143" s="536"/>
      <c r="Q143" s="536"/>
      <c r="R143" s="536"/>
    </row>
    <row r="144" spans="1:18" ht="15" customHeight="1">
      <c r="A144" s="670" t="s">
        <v>51</v>
      </c>
      <c r="B144" s="671">
        <f>+ventas!B42</f>
        <v>21870000</v>
      </c>
      <c r="C144" s="672">
        <f>+ventas!C42</f>
        <v>25515000</v>
      </c>
      <c r="D144" s="672">
        <f>+ventas!D42</f>
        <v>25515000</v>
      </c>
      <c r="E144" s="672">
        <f>+ventas!E42</f>
        <v>25515000</v>
      </c>
      <c r="F144" s="672">
        <f>+ventas!F42</f>
        <v>36450000</v>
      </c>
      <c r="G144" s="672">
        <f>+ventas!G42</f>
        <v>32805000</v>
      </c>
      <c r="H144" s="672">
        <f>+ventas!H42</f>
        <v>29160000</v>
      </c>
      <c r="I144" s="672">
        <f>+ventas!I42</f>
        <v>29160000</v>
      </c>
      <c r="J144" s="672">
        <f>+ventas!J42</f>
        <v>29160000</v>
      </c>
      <c r="K144" s="672">
        <f>+ventas!K42</f>
        <v>36450000</v>
      </c>
      <c r="L144" s="672">
        <f>+ventas!L42</f>
        <v>51030000</v>
      </c>
      <c r="M144" s="673">
        <f>+ventas!M42</f>
        <v>21870000</v>
      </c>
      <c r="N144" s="536"/>
      <c r="O144" s="536"/>
      <c r="P144" s="536"/>
      <c r="Q144" s="536"/>
      <c r="R144" s="536"/>
    </row>
    <row r="145" spans="1:18" ht="15" customHeight="1">
      <c r="A145" s="674" t="s">
        <v>76</v>
      </c>
      <c r="B145" s="675">
        <f ca="1">+'cost var'!B238+'cost var'!B516+'cost fijos'!H103+'cost fijos'!H104+'cost fijos'!H106</f>
        <v>16106250</v>
      </c>
      <c r="C145" s="675">
        <f ca="1">+'cost var'!C238+'cost var'!C516+'cost fijos'!I103+'cost fijos'!I104+'cost fijos'!I106</f>
        <v>17726250</v>
      </c>
      <c r="D145" s="675">
        <f ca="1">+'cost var'!D238+'cost var'!D516+'cost fijos'!J103+'cost fijos'!J104+'cost fijos'!J106</f>
        <v>17726250</v>
      </c>
      <c r="E145" s="675">
        <f ca="1">+'cost var'!E238+'cost var'!E516+'cost fijos'!K103+'cost fijos'!K104+'cost fijos'!K106</f>
        <v>17726250</v>
      </c>
      <c r="F145" s="675">
        <f ca="1">+'cost var'!F238+'cost var'!F516+'cost fijos'!L103+'cost fijos'!L104+'cost fijos'!L106</f>
        <v>22586250</v>
      </c>
      <c r="G145" s="675">
        <f ca="1">+'cost var'!G238+'cost var'!G516+'cost fijos'!M103+'cost fijos'!M104+'cost fijos'!M106</f>
        <v>20966250</v>
      </c>
      <c r="H145" s="675">
        <f ca="1">+'cost var'!H238+'cost var'!H516+'cost fijos'!N103+'cost fijos'!N104+'cost fijos'!N106</f>
        <v>19346250</v>
      </c>
      <c r="I145" s="675">
        <f ca="1">+'cost var'!I238+'cost var'!I516+'cost fijos'!O103+'cost fijos'!O104+'cost fijos'!O106</f>
        <v>19346250</v>
      </c>
      <c r="J145" s="675">
        <f ca="1">+'cost var'!J238+'cost var'!J516+'cost fijos'!P103+'cost fijos'!P104+'cost fijos'!P106</f>
        <v>19346250</v>
      </c>
      <c r="K145" s="675">
        <f ca="1">+'cost var'!K238+'cost var'!K516+'cost fijos'!Q103+'cost fijos'!Q104+'cost fijos'!Q106</f>
        <v>22586250</v>
      </c>
      <c r="L145" s="675">
        <f ca="1">+'cost var'!L238+'cost var'!L516+'cost fijos'!R103+'cost fijos'!R104+'cost fijos'!R106</f>
        <v>29066250</v>
      </c>
      <c r="M145" s="675">
        <f ca="1">+'cost var'!M238+'cost var'!M516+'cost fijos'!S103+'cost fijos'!S104+'cost fijos'!S106</f>
        <v>16106250</v>
      </c>
      <c r="N145" s="536"/>
      <c r="O145" s="536"/>
      <c r="P145" s="536"/>
      <c r="Q145" s="536"/>
      <c r="R145" s="536"/>
    </row>
    <row r="146" spans="1:18" ht="15" customHeight="1">
      <c r="A146" s="676" t="s">
        <v>77</v>
      </c>
      <c r="B146" s="677">
        <f t="shared" ref="B146:M146" ca="1" si="16">+B144-B145</f>
        <v>5763750</v>
      </c>
      <c r="C146" s="677">
        <f t="shared" ca="1" si="16"/>
        <v>7788750</v>
      </c>
      <c r="D146" s="677">
        <f t="shared" ca="1" si="16"/>
        <v>7788750</v>
      </c>
      <c r="E146" s="677">
        <f t="shared" ca="1" si="16"/>
        <v>7788750</v>
      </c>
      <c r="F146" s="677">
        <f t="shared" ca="1" si="16"/>
        <v>13863750</v>
      </c>
      <c r="G146" s="677">
        <f t="shared" ca="1" si="16"/>
        <v>11838750</v>
      </c>
      <c r="H146" s="677">
        <f t="shared" ca="1" si="16"/>
        <v>9813750</v>
      </c>
      <c r="I146" s="677">
        <f t="shared" ca="1" si="16"/>
        <v>9813750</v>
      </c>
      <c r="J146" s="677">
        <f t="shared" ca="1" si="16"/>
        <v>9813750</v>
      </c>
      <c r="K146" s="677">
        <f t="shared" ca="1" si="16"/>
        <v>13863750</v>
      </c>
      <c r="L146" s="677">
        <f t="shared" ca="1" si="16"/>
        <v>21963750</v>
      </c>
      <c r="M146" s="677">
        <f t="shared" ca="1" si="16"/>
        <v>5763750</v>
      </c>
      <c r="N146" s="536"/>
      <c r="O146" s="536"/>
      <c r="P146" s="536"/>
      <c r="Q146" s="536"/>
      <c r="R146" s="536"/>
    </row>
    <row r="147" spans="1:18" ht="15" customHeight="1">
      <c r="A147" s="674" t="s">
        <v>78</v>
      </c>
      <c r="B147" s="675">
        <f>+'cost fijos'!I41++'cost fijos'!I22</f>
        <v>3878666.666666667</v>
      </c>
      <c r="C147" s="675">
        <f>+'cost fijos'!J41++'cost fijos'!J22</f>
        <v>3878666.666666667</v>
      </c>
      <c r="D147" s="675">
        <f>+'cost fijos'!K41++'cost fijos'!K22</f>
        <v>3878666.666666667</v>
      </c>
      <c r="E147" s="675">
        <f>+'cost fijos'!L41++'cost fijos'!L22</f>
        <v>3878666.666666667</v>
      </c>
      <c r="F147" s="675">
        <f>+'cost fijos'!M41++'cost fijos'!M22</f>
        <v>3878666.666666667</v>
      </c>
      <c r="G147" s="675">
        <f>+'cost fijos'!N41++'cost fijos'!N22</f>
        <v>3878666.666666667</v>
      </c>
      <c r="H147" s="675">
        <f>+'cost fijos'!O41++'cost fijos'!O22</f>
        <v>3878666.666666667</v>
      </c>
      <c r="I147" s="675">
        <f>+'cost fijos'!P41++'cost fijos'!P22</f>
        <v>3878666.666666667</v>
      </c>
      <c r="J147" s="675">
        <f>+'cost fijos'!Q41++'cost fijos'!Q22</f>
        <v>3878666.666666667</v>
      </c>
      <c r="K147" s="675">
        <f>+'cost fijos'!R41++'cost fijos'!R22</f>
        <v>3878666.666666667</v>
      </c>
      <c r="L147" s="675">
        <f>+'cost fijos'!S41++'cost fijos'!S22</f>
        <v>3878666.666666667</v>
      </c>
      <c r="M147" s="675">
        <f>+'cost fijos'!T41++'cost fijos'!T22</f>
        <v>3878666.666666667</v>
      </c>
      <c r="N147" s="536"/>
      <c r="O147" s="536"/>
      <c r="P147" s="536"/>
      <c r="Q147" s="536"/>
      <c r="R147" s="536"/>
    </row>
    <row r="148" spans="1:18" ht="15" customHeight="1">
      <c r="A148" s="674" t="s">
        <v>79</v>
      </c>
      <c r="B148" s="675">
        <f>+ventas!B298</f>
        <v>285184.8</v>
      </c>
      <c r="C148" s="675">
        <f>+ventas!C298</f>
        <v>332715.59999999998</v>
      </c>
      <c r="D148" s="675">
        <f>+ventas!D298</f>
        <v>332715.59999999998</v>
      </c>
      <c r="E148" s="675">
        <f>+ventas!E298</f>
        <v>332715.59999999998</v>
      </c>
      <c r="F148" s="675">
        <f>+ventas!F298</f>
        <v>475308</v>
      </c>
      <c r="G148" s="675">
        <f>+ventas!G298</f>
        <v>427777.2</v>
      </c>
      <c r="H148" s="675">
        <f>+ventas!H298</f>
        <v>380246.39999999997</v>
      </c>
      <c r="I148" s="675">
        <f>+ventas!I298</f>
        <v>380246.39999999997</v>
      </c>
      <c r="J148" s="675">
        <f>+ventas!J298</f>
        <v>380246.39999999997</v>
      </c>
      <c r="K148" s="675">
        <f>+ventas!K298</f>
        <v>475308</v>
      </c>
      <c r="L148" s="675">
        <f>+ventas!L298</f>
        <v>665431.19999999995</v>
      </c>
      <c r="M148" s="675">
        <f>+ventas!M298</f>
        <v>285184.8</v>
      </c>
      <c r="N148" s="536"/>
      <c r="O148" s="536"/>
      <c r="P148" s="536"/>
      <c r="Q148" s="536"/>
      <c r="R148" s="536"/>
    </row>
    <row r="149" spans="1:18" ht="15" customHeight="1">
      <c r="A149" s="676" t="s">
        <v>80</v>
      </c>
      <c r="B149" s="677">
        <f t="shared" ref="B149:M149" ca="1" si="17">+B146-B147-B148</f>
        <v>1599898.533333333</v>
      </c>
      <c r="C149" s="677">
        <f t="shared" ca="1" si="17"/>
        <v>3577367.7333333329</v>
      </c>
      <c r="D149" s="677">
        <f t="shared" ca="1" si="17"/>
        <v>3577367.7333333329</v>
      </c>
      <c r="E149" s="677">
        <f t="shared" ca="1" si="17"/>
        <v>3577367.7333333329</v>
      </c>
      <c r="F149" s="677">
        <f t="shared" ca="1" si="17"/>
        <v>9509775.3333333321</v>
      </c>
      <c r="G149" s="677">
        <f t="shared" ca="1" si="17"/>
        <v>7532306.1333333328</v>
      </c>
      <c r="H149" s="677">
        <f t="shared" ca="1" si="17"/>
        <v>5554836.9333333327</v>
      </c>
      <c r="I149" s="677">
        <f t="shared" ca="1" si="17"/>
        <v>5554836.9333333327</v>
      </c>
      <c r="J149" s="677">
        <f t="shared" ca="1" si="17"/>
        <v>5554836.9333333327</v>
      </c>
      <c r="K149" s="677">
        <f t="shared" ca="1" si="17"/>
        <v>9509775.3333333321</v>
      </c>
      <c r="L149" s="677">
        <f t="shared" ca="1" si="17"/>
        <v>17419652.133333333</v>
      </c>
      <c r="M149" s="677">
        <f t="shared" ca="1" si="17"/>
        <v>1599898.533333333</v>
      </c>
      <c r="N149" s="536"/>
      <c r="O149" s="536"/>
      <c r="P149" s="536"/>
      <c r="Q149" s="536"/>
      <c r="R149" s="536"/>
    </row>
    <row r="150" spans="1:18" ht="15" customHeight="1">
      <c r="A150" s="674" t="s">
        <v>81</v>
      </c>
      <c r="B150" s="1045">
        <f>+'inver y financ'!D250</f>
        <v>0</v>
      </c>
      <c r="C150" s="1045">
        <f>+'inver y financ'!D251</f>
        <v>0</v>
      </c>
      <c r="D150" s="1045">
        <f>+'inver y financ'!D252</f>
        <v>0</v>
      </c>
      <c r="E150" s="1045">
        <f>+'inver y financ'!D253</f>
        <v>0</v>
      </c>
      <c r="F150" s="1045">
        <f>+'inver y financ'!D254</f>
        <v>0</v>
      </c>
      <c r="G150" s="1045">
        <f>+'inver y financ'!D255</f>
        <v>0</v>
      </c>
      <c r="H150" s="1045">
        <f>+'inver y financ'!D256</f>
        <v>0</v>
      </c>
      <c r="I150" s="1045">
        <f>+'inver y financ'!D257</f>
        <v>0</v>
      </c>
      <c r="J150" s="1045">
        <f>+'inver y financ'!D258</f>
        <v>0</v>
      </c>
      <c r="K150" s="1045">
        <f>+'inver y financ'!D259</f>
        <v>0</v>
      </c>
      <c r="L150" s="1045">
        <f>+'inver y financ'!D260</f>
        <v>0</v>
      </c>
      <c r="M150" s="1045">
        <f>+'inver y financ'!D261</f>
        <v>0</v>
      </c>
      <c r="N150" s="536"/>
      <c r="O150" s="536"/>
      <c r="P150" s="536"/>
      <c r="Q150" s="536"/>
      <c r="R150" s="536"/>
    </row>
    <row r="151" spans="1:18" ht="15" customHeight="1">
      <c r="A151" s="674" t="s">
        <v>82</v>
      </c>
      <c r="B151" s="675">
        <f>+'cost fijos'!$B$127</f>
        <v>41666.666666666664</v>
      </c>
      <c r="C151" s="675">
        <f>+'cost fijos'!$B$127</f>
        <v>41666.666666666664</v>
      </c>
      <c r="D151" s="675">
        <f>+'cost fijos'!$B$127</f>
        <v>41666.666666666664</v>
      </c>
      <c r="E151" s="675">
        <f>+'cost fijos'!$B$127</f>
        <v>41666.666666666664</v>
      </c>
      <c r="F151" s="675">
        <f>+'cost fijos'!$B$127</f>
        <v>41666.666666666664</v>
      </c>
      <c r="G151" s="675">
        <f>+'cost fijos'!$B$127</f>
        <v>41666.666666666664</v>
      </c>
      <c r="H151" s="675">
        <f>+'cost fijos'!$B$127</f>
        <v>41666.666666666664</v>
      </c>
      <c r="I151" s="675">
        <f>+'cost fijos'!$B$127</f>
        <v>41666.666666666664</v>
      </c>
      <c r="J151" s="675">
        <f>+'cost fijos'!$B$127</f>
        <v>41666.666666666664</v>
      </c>
      <c r="K151" s="675">
        <f>+'cost fijos'!$B$127</f>
        <v>41666.666666666664</v>
      </c>
      <c r="L151" s="675">
        <f>+'cost fijos'!$B$127</f>
        <v>41666.666666666664</v>
      </c>
      <c r="M151" s="675">
        <f>+'cost fijos'!$B$127</f>
        <v>41666.666666666664</v>
      </c>
      <c r="N151" s="536"/>
      <c r="O151" s="536"/>
      <c r="P151" s="536"/>
      <c r="Q151" s="536"/>
      <c r="R151" s="536"/>
    </row>
    <row r="152" spans="1:18" ht="15" customHeight="1" thickBot="1">
      <c r="A152" s="678" t="s">
        <v>83</v>
      </c>
      <c r="B152" s="679">
        <f t="shared" ref="B152:M152" ca="1" si="18">+B149-B150-B151</f>
        <v>1558231.8666666662</v>
      </c>
      <c r="C152" s="679">
        <f t="shared" ca="1" si="18"/>
        <v>3535701.0666666664</v>
      </c>
      <c r="D152" s="679">
        <f t="shared" ca="1" si="18"/>
        <v>3535701.0666666664</v>
      </c>
      <c r="E152" s="679">
        <f t="shared" ca="1" si="18"/>
        <v>3535701.0666666664</v>
      </c>
      <c r="F152" s="679">
        <f t="shared" ca="1" si="18"/>
        <v>9468108.666666666</v>
      </c>
      <c r="G152" s="679">
        <f t="shared" ca="1" si="18"/>
        <v>7490639.4666666659</v>
      </c>
      <c r="H152" s="679">
        <f t="shared" ca="1" si="18"/>
        <v>5513170.2666666657</v>
      </c>
      <c r="I152" s="679">
        <f t="shared" ca="1" si="18"/>
        <v>5513170.2666666657</v>
      </c>
      <c r="J152" s="679">
        <f t="shared" ca="1" si="18"/>
        <v>5513170.2666666657</v>
      </c>
      <c r="K152" s="679">
        <f t="shared" ca="1" si="18"/>
        <v>9468108.666666666</v>
      </c>
      <c r="L152" s="679">
        <f t="shared" ca="1" si="18"/>
        <v>17377985.466666665</v>
      </c>
      <c r="M152" s="679">
        <f t="shared" ca="1" si="18"/>
        <v>1558231.8666666662</v>
      </c>
      <c r="N152" s="536"/>
      <c r="O152" s="536"/>
      <c r="P152" s="536"/>
      <c r="Q152" s="536"/>
      <c r="R152" s="536"/>
    </row>
    <row r="153" spans="1:18" ht="15" customHeight="1">
      <c r="A153" s="1215" t="str">
        <f ca="1">+ayuda!A99</f>
        <v>EL ESTADO DE PERDIDAS Y GANANCIAS PROYECTADO PARA EL PRIMER AÑO, MUESTRA QUE LAS METAS DE VENTAS  SON SUFICIENTES PARA CUBRIR LOS COSTOS Y GASTOS TOTALES. LA RENTABILIDAD SOBRE VENTAS DEL PROYECTO ES DE 1,69% MENSUAL</v>
      </c>
      <c r="B153" s="1216"/>
      <c r="C153" s="1216"/>
      <c r="D153" s="1216"/>
      <c r="E153" s="1216"/>
      <c r="F153" s="1216"/>
      <c r="G153" s="536"/>
      <c r="H153" s="536"/>
      <c r="I153" s="536"/>
      <c r="J153" s="536"/>
      <c r="K153" s="536"/>
      <c r="L153" s="536"/>
      <c r="M153" s="536"/>
      <c r="N153" s="536"/>
      <c r="O153" s="536"/>
      <c r="P153" s="536"/>
      <c r="Q153" s="536"/>
      <c r="R153" s="536"/>
    </row>
    <row r="154" spans="1:18" ht="15" customHeight="1">
      <c r="A154" s="1217"/>
      <c r="B154" s="1217"/>
      <c r="C154" s="1217"/>
      <c r="D154" s="1217"/>
      <c r="E154" s="1217"/>
      <c r="F154" s="1217"/>
      <c r="G154" s="536"/>
      <c r="H154" s="536"/>
      <c r="I154" s="536"/>
      <c r="J154" s="536"/>
      <c r="K154" s="536"/>
      <c r="L154" s="536"/>
      <c r="M154" s="536"/>
      <c r="N154" s="536"/>
      <c r="O154" s="536"/>
      <c r="P154" s="536"/>
      <c r="Q154" s="536"/>
      <c r="R154" s="536"/>
    </row>
    <row r="155" spans="1:18" ht="18" customHeight="1">
      <c r="A155" s="1217"/>
      <c r="B155" s="1217"/>
      <c r="C155" s="1217"/>
      <c r="D155" s="1217"/>
      <c r="E155" s="1217"/>
      <c r="F155" s="1217"/>
      <c r="G155" s="536"/>
      <c r="H155" s="536"/>
      <c r="I155" s="536"/>
      <c r="J155" s="536"/>
      <c r="K155" s="536"/>
      <c r="L155" s="536"/>
      <c r="M155" s="536"/>
      <c r="N155" s="536"/>
      <c r="O155" s="536"/>
      <c r="P155" s="536"/>
      <c r="Q155" s="536"/>
      <c r="R155" s="536"/>
    </row>
    <row r="156" spans="1:18" ht="19.5" customHeight="1">
      <c r="A156" s="1217"/>
      <c r="B156" s="1217"/>
      <c r="C156" s="1217"/>
      <c r="D156" s="1217"/>
      <c r="E156" s="1217"/>
      <c r="F156" s="1217"/>
      <c r="G156" s="536"/>
      <c r="H156" s="536"/>
      <c r="I156" s="536"/>
      <c r="J156" s="536"/>
      <c r="K156" s="536"/>
      <c r="L156" s="536"/>
      <c r="M156" s="536"/>
      <c r="N156" s="536"/>
      <c r="O156" s="536"/>
      <c r="P156" s="536"/>
      <c r="Q156" s="536"/>
      <c r="R156" s="536"/>
    </row>
    <row r="157" spans="1:18" ht="15" customHeight="1">
      <c r="D157" s="536"/>
      <c r="E157" s="536"/>
      <c r="F157" s="536"/>
      <c r="G157" s="536"/>
      <c r="H157" s="536"/>
      <c r="I157" s="536"/>
      <c r="J157" s="536"/>
      <c r="K157" s="536"/>
      <c r="L157" s="536"/>
      <c r="M157" s="536"/>
      <c r="N157" s="536"/>
      <c r="O157" s="536"/>
      <c r="P157" s="536"/>
      <c r="Q157" s="536"/>
      <c r="R157" s="536"/>
    </row>
    <row r="158" spans="1:18" ht="15" customHeight="1" thickBot="1">
      <c r="A158" s="546" t="s">
        <v>336</v>
      </c>
      <c r="D158" s="536"/>
      <c r="E158" s="536"/>
      <c r="F158" s="536"/>
      <c r="G158" s="536"/>
      <c r="H158" s="536"/>
      <c r="I158" s="536"/>
      <c r="J158" s="536"/>
      <c r="K158" s="536"/>
      <c r="L158" s="536"/>
      <c r="M158" s="536"/>
      <c r="N158" s="536"/>
      <c r="O158" s="536"/>
      <c r="P158" s="536"/>
      <c r="Q158" s="536"/>
      <c r="R158" s="536"/>
    </row>
    <row r="159" spans="1:18" ht="15" customHeight="1" thickBot="1">
      <c r="A159" s="536"/>
      <c r="B159" s="680"/>
      <c r="C159" s="681" t="s">
        <v>73</v>
      </c>
      <c r="D159" s="682" t="s">
        <v>74</v>
      </c>
      <c r="E159" s="683" t="s">
        <v>602</v>
      </c>
      <c r="F159" s="680"/>
      <c r="G159" s="680"/>
      <c r="H159" s="536"/>
      <c r="I159" s="536"/>
      <c r="J159" s="536"/>
      <c r="K159" s="536"/>
      <c r="L159" s="536"/>
      <c r="M159" s="536"/>
      <c r="N159" s="536"/>
      <c r="O159" s="536"/>
      <c r="P159" s="536"/>
      <c r="Q159" s="536"/>
      <c r="R159" s="536"/>
    </row>
    <row r="160" spans="1:18" ht="15" customHeight="1">
      <c r="A160" s="1188" t="s">
        <v>51</v>
      </c>
      <c r="B160" s="1189"/>
      <c r="C160" s="684">
        <f>+ventas!B64</f>
        <v>364500000</v>
      </c>
      <c r="D160" s="685">
        <f>+ventas!C64</f>
        <v>414174330</v>
      </c>
      <c r="E160" s="686">
        <f>+ventas!D64</f>
        <v>484461045.89999998</v>
      </c>
      <c r="F160" s="605"/>
      <c r="G160" s="605"/>
      <c r="H160" s="536"/>
      <c r="I160" s="536"/>
      <c r="J160" s="536"/>
      <c r="K160" s="536"/>
      <c r="L160" s="536"/>
      <c r="M160" s="536"/>
      <c r="N160" s="536"/>
      <c r="O160" s="536"/>
      <c r="P160" s="536"/>
      <c r="Q160" s="536"/>
      <c r="R160" s="536"/>
    </row>
    <row r="161" spans="1:18" ht="15" customHeight="1">
      <c r="A161" s="687" t="s">
        <v>153</v>
      </c>
      <c r="B161" s="688"/>
      <c r="C161" s="689">
        <f>+'cost var'!D119</f>
        <v>8736000</v>
      </c>
      <c r="D161" s="690">
        <f>+C163</f>
        <v>8736000</v>
      </c>
      <c r="E161" s="691">
        <f>+D163</f>
        <v>8736000</v>
      </c>
      <c r="F161" s="605"/>
      <c r="G161" s="605"/>
      <c r="H161" s="536"/>
      <c r="I161" s="536"/>
      <c r="J161" s="536"/>
      <c r="K161" s="536"/>
      <c r="L161" s="536"/>
      <c r="M161" s="536"/>
      <c r="N161" s="536"/>
      <c r="O161" s="536"/>
      <c r="P161" s="536"/>
      <c r="Q161" s="536"/>
      <c r="R161" s="536"/>
    </row>
    <row r="162" spans="1:18" ht="15" customHeight="1">
      <c r="A162" s="687" t="s">
        <v>154</v>
      </c>
      <c r="B162" s="688"/>
      <c r="C162" s="689">
        <f>+'cost var'!N238</f>
        <v>162000000</v>
      </c>
      <c r="D162" s="690">
        <f>+'cost var'!O238</f>
        <v>184077480</v>
      </c>
      <c r="E162" s="691">
        <f>+'cost var'!P238</f>
        <v>215316020.40000001</v>
      </c>
      <c r="F162" s="605"/>
      <c r="G162" s="605"/>
      <c r="H162" s="536"/>
      <c r="I162" s="536"/>
      <c r="J162" s="536"/>
      <c r="K162" s="536"/>
      <c r="L162" s="536"/>
      <c r="M162" s="536"/>
      <c r="N162" s="536"/>
      <c r="O162" s="536"/>
      <c r="P162" s="536"/>
      <c r="Q162" s="536"/>
      <c r="R162" s="536"/>
    </row>
    <row r="163" spans="1:18" ht="15" customHeight="1">
      <c r="A163" s="687" t="s">
        <v>155</v>
      </c>
      <c r="B163" s="688"/>
      <c r="C163" s="689">
        <f>+'cost var'!D119</f>
        <v>8736000</v>
      </c>
      <c r="D163" s="690">
        <f>+C163</f>
        <v>8736000</v>
      </c>
      <c r="E163" s="691">
        <f>+D163</f>
        <v>8736000</v>
      </c>
      <c r="F163" s="605"/>
      <c r="G163" s="605"/>
      <c r="H163" s="536"/>
      <c r="I163" s="536"/>
      <c r="J163" s="536"/>
      <c r="K163" s="536"/>
      <c r="L163" s="536"/>
      <c r="M163" s="536"/>
      <c r="N163" s="536"/>
      <c r="O163" s="536"/>
      <c r="P163" s="536"/>
      <c r="Q163" s="536"/>
      <c r="R163" s="536"/>
    </row>
    <row r="164" spans="1:18" ht="15" customHeight="1">
      <c r="A164" s="687" t="s">
        <v>325</v>
      </c>
      <c r="B164" s="688"/>
      <c r="C164" s="689">
        <f>C161+C162-C163</f>
        <v>162000000</v>
      </c>
      <c r="D164" s="690">
        <f>D161+D162-D163</f>
        <v>184077480</v>
      </c>
      <c r="E164" s="691">
        <f>E161+E162-E163</f>
        <v>215316020.40000001</v>
      </c>
      <c r="F164" s="605"/>
      <c r="G164" s="605"/>
      <c r="H164" s="536"/>
      <c r="I164" s="536"/>
      <c r="J164" s="536"/>
      <c r="K164" s="536"/>
      <c r="L164" s="536"/>
      <c r="M164" s="536"/>
      <c r="N164" s="536"/>
      <c r="O164" s="536"/>
      <c r="P164" s="536"/>
      <c r="Q164" s="536"/>
      <c r="R164" s="536"/>
    </row>
    <row r="165" spans="1:18" ht="15" customHeight="1">
      <c r="A165" s="687" t="s">
        <v>330</v>
      </c>
      <c r="B165" s="688"/>
      <c r="C165" s="689">
        <f>+'cost fijos'!C78</f>
        <v>42000000</v>
      </c>
      <c r="D165" s="690">
        <f>+'cost fijos'!D78</f>
        <v>55620000</v>
      </c>
      <c r="E165" s="691">
        <f>+'cost fijos'!E78</f>
        <v>71292480</v>
      </c>
      <c r="F165" s="605"/>
      <c r="G165" s="605"/>
      <c r="H165" s="536"/>
      <c r="I165" s="536"/>
      <c r="J165" s="536"/>
      <c r="K165" s="536"/>
      <c r="L165" s="536"/>
      <c r="M165" s="536"/>
      <c r="N165" s="536"/>
      <c r="O165" s="536"/>
      <c r="P165" s="536"/>
      <c r="Q165" s="536"/>
      <c r="R165" s="536"/>
    </row>
    <row r="166" spans="1:18" ht="15" customHeight="1">
      <c r="A166" s="687" t="s">
        <v>331</v>
      </c>
      <c r="B166" s="688"/>
      <c r="C166" s="689">
        <f>+'cost var'!N516</f>
        <v>0</v>
      </c>
      <c r="D166" s="690">
        <f>+'cost var'!O516</f>
        <v>0</v>
      </c>
      <c r="E166" s="691">
        <f>+'cost var'!P516</f>
        <v>0</v>
      </c>
      <c r="F166" s="605"/>
      <c r="G166" s="605"/>
      <c r="H166" s="536"/>
      <c r="I166" s="536"/>
      <c r="J166" s="536"/>
      <c r="K166" s="536"/>
      <c r="L166" s="536"/>
      <c r="M166" s="536"/>
      <c r="N166" s="536"/>
      <c r="O166" s="536"/>
      <c r="P166" s="536"/>
      <c r="Q166" s="536"/>
      <c r="R166" s="536"/>
    </row>
    <row r="167" spans="1:18" ht="15" customHeight="1">
      <c r="A167" s="687" t="s">
        <v>332</v>
      </c>
      <c r="B167" s="688"/>
      <c r="C167" s="689">
        <f>+'cost fijos'!C95</f>
        <v>29100000</v>
      </c>
      <c r="D167" s="690">
        <f>+'cost fijos'!D95</f>
        <v>29973000</v>
      </c>
      <c r="E167" s="691">
        <f>+'cost fijos'!E95</f>
        <v>29973000</v>
      </c>
      <c r="F167" s="605"/>
      <c r="G167" s="605"/>
      <c r="H167" s="536"/>
      <c r="I167" s="536"/>
      <c r="J167" s="536"/>
      <c r="K167" s="536"/>
      <c r="L167" s="536"/>
      <c r="M167" s="536"/>
      <c r="N167" s="536"/>
      <c r="O167" s="536"/>
      <c r="P167" s="536"/>
      <c r="Q167" s="536"/>
      <c r="R167" s="536"/>
    </row>
    <row r="168" spans="1:18" ht="15" customHeight="1">
      <c r="A168" s="687" t="s">
        <v>333</v>
      </c>
      <c r="B168" s="688"/>
      <c r="C168" s="689">
        <f ca="1">+'inver y financ'!C328</f>
        <v>5535000</v>
      </c>
      <c r="D168" s="690">
        <f ca="1">+'inver y financ'!D328</f>
        <v>5535000</v>
      </c>
      <c r="E168" s="691">
        <f ca="1">+'inver y financ'!E328</f>
        <v>5535000</v>
      </c>
      <c r="F168" s="605"/>
      <c r="G168" s="605"/>
      <c r="H168" s="536"/>
      <c r="I168" s="536"/>
      <c r="J168" s="536"/>
      <c r="K168" s="536"/>
      <c r="L168" s="536"/>
      <c r="M168" s="536"/>
      <c r="N168" s="536"/>
      <c r="O168" s="536"/>
      <c r="P168" s="536"/>
      <c r="Q168" s="536"/>
      <c r="R168" s="536"/>
    </row>
    <row r="169" spans="1:18" ht="15" customHeight="1">
      <c r="A169" s="1173" t="s">
        <v>326</v>
      </c>
      <c r="B169" s="1218"/>
      <c r="C169" s="684">
        <f ca="1">C164+SUM(C165:C168)</f>
        <v>238635000</v>
      </c>
      <c r="D169" s="685">
        <f ca="1">D164+SUM(D165:D168)</f>
        <v>275205480</v>
      </c>
      <c r="E169" s="686">
        <f ca="1">E164+SUM(E165:E168)</f>
        <v>322116500.39999998</v>
      </c>
      <c r="F169" s="605"/>
      <c r="G169" s="605"/>
      <c r="H169" s="536"/>
      <c r="I169" s="536"/>
      <c r="J169" s="536"/>
      <c r="K169" s="536"/>
      <c r="L169" s="536"/>
      <c r="M169" s="536"/>
      <c r="N169" s="536"/>
      <c r="O169" s="536"/>
      <c r="P169" s="536"/>
      <c r="Q169" s="536"/>
      <c r="R169" s="536"/>
    </row>
    <row r="170" spans="1:18" ht="15" customHeight="1">
      <c r="A170" s="1173" t="s">
        <v>334</v>
      </c>
      <c r="B170" s="1174"/>
      <c r="C170" s="684">
        <f ca="1">C160-C169</f>
        <v>125865000</v>
      </c>
      <c r="D170" s="685">
        <f ca="1">D160-D169</f>
        <v>138968850</v>
      </c>
      <c r="E170" s="686">
        <f ca="1">E160-E169</f>
        <v>162344545.5</v>
      </c>
      <c r="F170" s="605"/>
      <c r="G170" s="605"/>
      <c r="H170" s="536"/>
      <c r="I170" s="536"/>
      <c r="J170" s="536"/>
      <c r="K170" s="536"/>
      <c r="L170" s="536"/>
      <c r="M170" s="536"/>
      <c r="N170" s="536"/>
      <c r="O170" s="536"/>
      <c r="P170" s="536"/>
      <c r="Q170" s="536"/>
      <c r="R170" s="536"/>
    </row>
    <row r="171" spans="1:18" ht="15" customHeight="1">
      <c r="A171" s="687" t="s">
        <v>157</v>
      </c>
      <c r="B171" s="688"/>
      <c r="C171" s="689">
        <f>+'cost fijos'!D42</f>
        <v>46544000</v>
      </c>
      <c r="D171" s="690">
        <f>+'cost fijos'!E42</f>
        <v>51782320</v>
      </c>
      <c r="E171" s="691">
        <f>+'cost fijos'!F42</f>
        <v>57027789.600000001</v>
      </c>
      <c r="F171" s="605"/>
      <c r="G171" s="605"/>
      <c r="H171" s="536"/>
      <c r="I171" s="536"/>
      <c r="J171" s="536"/>
      <c r="K171" s="536"/>
      <c r="L171" s="536"/>
      <c r="M171" s="536"/>
      <c r="N171" s="536"/>
      <c r="O171" s="536"/>
      <c r="P171" s="536"/>
      <c r="Q171" s="536"/>
      <c r="R171" s="536"/>
    </row>
    <row r="172" spans="1:18" ht="15" customHeight="1">
      <c r="A172" s="687" t="s">
        <v>158</v>
      </c>
      <c r="B172" s="688"/>
      <c r="C172" s="689">
        <f>+ventas!B318</f>
        <v>4753080</v>
      </c>
      <c r="D172" s="690">
        <f>+ventas!C318</f>
        <v>5400833.2631999999</v>
      </c>
      <c r="E172" s="691">
        <f>+ventas!D318</f>
        <v>6317372.0385359991</v>
      </c>
      <c r="F172" s="605"/>
      <c r="G172" s="605"/>
      <c r="H172" s="536"/>
      <c r="I172" s="536"/>
      <c r="J172" s="536"/>
      <c r="K172" s="536"/>
      <c r="L172" s="536"/>
      <c r="M172" s="536"/>
      <c r="N172" s="536"/>
      <c r="O172" s="536"/>
      <c r="P172" s="536"/>
      <c r="Q172" s="536"/>
      <c r="R172" s="536"/>
    </row>
    <row r="173" spans="1:18" ht="15" customHeight="1">
      <c r="A173" s="1173" t="s">
        <v>335</v>
      </c>
      <c r="B173" s="1174"/>
      <c r="C173" s="684">
        <f ca="1">C170-C171-C172</f>
        <v>74567920</v>
      </c>
      <c r="D173" s="685">
        <f ca="1">D170-D171-D172</f>
        <v>81785696.7368</v>
      </c>
      <c r="E173" s="686">
        <f ca="1">E170-E171-E172</f>
        <v>98999383.861464009</v>
      </c>
      <c r="F173" s="605"/>
      <c r="G173" s="605"/>
      <c r="H173" s="536"/>
      <c r="I173" s="536"/>
      <c r="J173" s="536"/>
      <c r="K173" s="536"/>
      <c r="L173" s="536"/>
      <c r="M173" s="536"/>
      <c r="N173" s="536"/>
      <c r="O173" s="536"/>
      <c r="P173" s="536"/>
      <c r="Q173" s="536"/>
      <c r="R173" s="536"/>
    </row>
    <row r="174" spans="1:18" ht="15" customHeight="1">
      <c r="A174" s="687" t="s">
        <v>329</v>
      </c>
      <c r="B174" s="688"/>
      <c r="C174" s="689"/>
      <c r="D174" s="690"/>
      <c r="E174" s="691"/>
      <c r="F174" s="605"/>
      <c r="G174" s="605"/>
      <c r="H174" s="536"/>
      <c r="I174" s="536"/>
      <c r="J174" s="536"/>
      <c r="K174" s="536"/>
      <c r="L174" s="536"/>
      <c r="M174" s="536"/>
      <c r="N174" s="536"/>
      <c r="O174" s="536"/>
      <c r="P174" s="536"/>
      <c r="Q174" s="536"/>
      <c r="R174" s="536"/>
    </row>
    <row r="175" spans="1:18" ht="15" customHeight="1">
      <c r="A175" s="687" t="s">
        <v>327</v>
      </c>
      <c r="B175" s="693"/>
      <c r="C175" s="689">
        <f>+'inver y financ'!B319</f>
        <v>0</v>
      </c>
      <c r="D175" s="690">
        <f>+'inver y financ'!C319</f>
        <v>0</v>
      </c>
      <c r="E175" s="691">
        <f>+'inver y financ'!D319</f>
        <v>0</v>
      </c>
      <c r="F175" s="605"/>
      <c r="G175" s="605"/>
      <c r="H175" s="536"/>
      <c r="I175" s="536"/>
      <c r="J175" s="536"/>
      <c r="K175" s="536"/>
      <c r="L175" s="536"/>
      <c r="M175" s="536"/>
      <c r="N175" s="536"/>
      <c r="O175" s="536"/>
      <c r="P175" s="536"/>
      <c r="Q175" s="536"/>
      <c r="R175" s="536"/>
    </row>
    <row r="176" spans="1:18" ht="15" customHeight="1">
      <c r="A176" s="687" t="s">
        <v>328</v>
      </c>
      <c r="B176" s="688"/>
      <c r="C176" s="689">
        <f>IF('cost fijos'!$A$127&gt;=1,+'cost fijos'!$B$126,0)</f>
        <v>0</v>
      </c>
      <c r="D176" s="689">
        <f>IF('cost fijos'!$A$127&gt;=2,+'cost fijos'!$B$126,0)</f>
        <v>0</v>
      </c>
      <c r="E176" s="689">
        <f>IF('cost fijos'!$A$127&gt;=3,+'cost fijos'!$B$126,0)</f>
        <v>0</v>
      </c>
      <c r="F176" s="605"/>
      <c r="G176" s="605"/>
      <c r="H176" s="536"/>
      <c r="I176" s="536"/>
      <c r="J176" s="536"/>
      <c r="K176" s="536"/>
      <c r="L176" s="536"/>
      <c r="M176" s="536"/>
      <c r="N176" s="536"/>
      <c r="O176" s="536"/>
      <c r="P176" s="536"/>
      <c r="Q176" s="536"/>
      <c r="R176" s="536"/>
    </row>
    <row r="177" spans="1:18" ht="15" customHeight="1">
      <c r="A177" s="1173" t="s">
        <v>762</v>
      </c>
      <c r="B177" s="1174"/>
      <c r="C177" s="684">
        <f ca="1">C173-C175-C176</f>
        <v>74567920</v>
      </c>
      <c r="D177" s="685">
        <f ca="1">D173-D175-D176</f>
        <v>81785696.7368</v>
      </c>
      <c r="E177" s="686">
        <f ca="1">E173-E175-E176</f>
        <v>98999383.861464009</v>
      </c>
      <c r="F177" s="605"/>
      <c r="G177" s="605"/>
      <c r="H177" s="536"/>
      <c r="I177" s="536"/>
      <c r="J177" s="536"/>
      <c r="K177" s="536"/>
      <c r="L177" s="536"/>
      <c r="M177" s="536"/>
      <c r="N177" s="536"/>
      <c r="O177" s="536"/>
      <c r="P177" s="536"/>
      <c r="Q177" s="536"/>
      <c r="R177" s="536"/>
    </row>
    <row r="178" spans="1:18" ht="15" customHeight="1">
      <c r="A178" s="692" t="s">
        <v>159</v>
      </c>
      <c r="B178" s="688"/>
      <c r="C178" s="689">
        <f ca="1">IF(C177&lt;0,0,C177*'datos de entrada'!$G$409)</f>
        <v>0</v>
      </c>
      <c r="D178" s="689">
        <f ca="1">IF(D177&lt;0,0,D177*'datos de entrada'!$G$407)</f>
        <v>0</v>
      </c>
      <c r="E178" s="689">
        <f ca="1">IF(E177&lt;0,0,E177*'datos de entrada'!$G$408)</f>
        <v>24749845.965366002</v>
      </c>
      <c r="F178" s="605"/>
      <c r="G178" s="605"/>
      <c r="H178" s="536"/>
      <c r="I178" s="536"/>
      <c r="J178" s="536"/>
      <c r="K178" s="536"/>
      <c r="L178" s="536"/>
      <c r="M178" s="536"/>
      <c r="N178" s="536"/>
      <c r="O178" s="536"/>
      <c r="P178" s="536"/>
      <c r="Q178" s="536"/>
      <c r="R178" s="536"/>
    </row>
    <row r="179" spans="1:18" ht="15" customHeight="1" thickBot="1">
      <c r="A179" s="1184" t="s">
        <v>160</v>
      </c>
      <c r="B179" s="1185"/>
      <c r="C179" s="694">
        <f ca="1">C177-C178</f>
        <v>74567920</v>
      </c>
      <c r="D179" s="695">
        <f ca="1">D177-D178</f>
        <v>81785696.7368</v>
      </c>
      <c r="E179" s="696">
        <f ca="1">E177-E178</f>
        <v>74249537.896098003</v>
      </c>
      <c r="F179" s="605"/>
      <c r="G179" s="605"/>
      <c r="H179" s="536"/>
      <c r="I179" s="536"/>
      <c r="J179" s="536"/>
      <c r="K179" s="536"/>
      <c r="L179" s="536"/>
      <c r="M179" s="536"/>
      <c r="N179" s="536"/>
      <c r="O179" s="536"/>
      <c r="P179" s="536"/>
      <c r="Q179" s="536"/>
      <c r="R179" s="536"/>
    </row>
    <row r="180" spans="1:18" ht="15" customHeight="1">
      <c r="A180" s="1178" t="str">
        <f ca="1">+ayuda!A115</f>
        <v>EL ESTADO DE RESULTADOS EN EL PRIMER AÑO, MUESTRA UNA UTILIDAD POR 74,57 MILLONES DE PESOS. LA RENTABILIDAD BRUTA ES DEL 34,53% ANUAL. SE ACONSEJA REVISAR CON DETENIMIENTO LOS PRECIOS DE VENTA, LA PROYECCION DE VENTA Y LOS COSTOS VARIABLES. LA RENTABILIDAD OPERACIONAL ES DEL 20,46% ANUAL. SE SUGIERE REPASAR LA ESTRUCTURA DE COSTOS Y GASTOS FIJOS. LA RENTABILIDAD SOBRE VENTAS ES DE 20,46% ANUAL. LA CUAL SE CONSIDERA ACEPTABLE</v>
      </c>
      <c r="B180" s="1213"/>
      <c r="C180" s="1213"/>
      <c r="D180" s="1213"/>
      <c r="E180" s="1213"/>
      <c r="F180" s="605"/>
      <c r="G180" s="605"/>
      <c r="H180" s="536"/>
      <c r="I180" s="536"/>
      <c r="J180" s="536"/>
      <c r="K180" s="536"/>
      <c r="L180" s="536"/>
      <c r="M180" s="536"/>
      <c r="N180" s="536"/>
      <c r="O180" s="536"/>
      <c r="P180" s="536"/>
      <c r="Q180" s="536"/>
      <c r="R180" s="536"/>
    </row>
    <row r="181" spans="1:18" ht="15" customHeight="1">
      <c r="A181" s="1214"/>
      <c r="B181" s="1214"/>
      <c r="C181" s="1214"/>
      <c r="D181" s="1214"/>
      <c r="E181" s="1214"/>
      <c r="F181" s="605"/>
      <c r="G181" s="605"/>
      <c r="H181" s="536"/>
      <c r="I181" s="536"/>
      <c r="J181" s="536"/>
      <c r="K181" s="536"/>
      <c r="L181" s="536"/>
      <c r="M181" s="536"/>
      <c r="N181" s="536"/>
      <c r="O181" s="536"/>
      <c r="P181" s="536"/>
      <c r="Q181" s="536"/>
      <c r="R181" s="536"/>
    </row>
    <row r="182" spans="1:18" ht="15" customHeight="1">
      <c r="A182" s="1214"/>
      <c r="B182" s="1214"/>
      <c r="C182" s="1214"/>
      <c r="D182" s="1214"/>
      <c r="E182" s="1214"/>
      <c r="F182" s="605"/>
      <c r="G182" s="605"/>
      <c r="H182" s="536"/>
      <c r="I182" s="536"/>
      <c r="J182" s="536"/>
      <c r="K182" s="536"/>
      <c r="L182" s="536"/>
      <c r="M182" s="536"/>
      <c r="N182" s="536"/>
      <c r="O182" s="536"/>
      <c r="P182" s="536"/>
      <c r="Q182" s="536"/>
      <c r="R182" s="536"/>
    </row>
    <row r="183" spans="1:18" ht="15" customHeight="1">
      <c r="A183" s="1214"/>
      <c r="B183" s="1214"/>
      <c r="C183" s="1214"/>
      <c r="D183" s="1214"/>
      <c r="E183" s="1214"/>
      <c r="F183" s="605"/>
      <c r="G183" s="605"/>
      <c r="H183" s="536"/>
      <c r="I183" s="536"/>
      <c r="J183" s="536"/>
      <c r="K183" s="536"/>
      <c r="L183" s="536"/>
      <c r="M183" s="536"/>
      <c r="N183" s="536"/>
      <c r="O183" s="536"/>
      <c r="P183" s="536"/>
      <c r="Q183" s="536"/>
      <c r="R183" s="536"/>
    </row>
    <row r="184" spans="1:18" ht="16.5" customHeight="1">
      <c r="A184" s="1214"/>
      <c r="B184" s="1214"/>
      <c r="C184" s="1214"/>
      <c r="D184" s="1214"/>
      <c r="E184" s="1214"/>
      <c r="F184" s="605"/>
      <c r="G184" s="605"/>
      <c r="H184" s="536"/>
      <c r="I184" s="536"/>
      <c r="J184" s="536"/>
      <c r="K184" s="536"/>
      <c r="L184" s="536"/>
      <c r="M184" s="536"/>
      <c r="N184" s="536"/>
      <c r="O184" s="536"/>
      <c r="P184" s="536"/>
      <c r="Q184" s="536"/>
      <c r="R184" s="536"/>
    </row>
    <row r="185" spans="1:18" ht="17.25" customHeight="1">
      <c r="A185" s="1214"/>
      <c r="B185" s="1214"/>
      <c r="C185" s="1214"/>
      <c r="D185" s="1214"/>
      <c r="E185" s="1214"/>
      <c r="F185" s="605"/>
      <c r="G185" s="605"/>
      <c r="H185" s="536"/>
      <c r="I185" s="536"/>
      <c r="J185" s="536"/>
      <c r="K185" s="536"/>
      <c r="L185" s="536"/>
      <c r="M185" s="536"/>
      <c r="N185" s="536"/>
      <c r="O185" s="536"/>
      <c r="P185" s="536"/>
      <c r="Q185" s="536"/>
      <c r="R185" s="536"/>
    </row>
    <row r="186" spans="1:18" ht="23.25" customHeight="1">
      <c r="A186" s="1214"/>
      <c r="B186" s="1214"/>
      <c r="C186" s="1214"/>
      <c r="D186" s="1214"/>
      <c r="E186" s="1214"/>
      <c r="F186" s="605"/>
      <c r="G186" s="605"/>
      <c r="H186" s="536"/>
      <c r="I186" s="536"/>
      <c r="J186" s="536"/>
      <c r="K186" s="536"/>
      <c r="L186" s="536"/>
      <c r="M186" s="536"/>
      <c r="N186" s="536"/>
      <c r="O186" s="536"/>
      <c r="P186" s="536"/>
      <c r="Q186" s="536"/>
      <c r="R186" s="536"/>
    </row>
    <row r="187" spans="1:18" ht="15" customHeight="1">
      <c r="A187" s="1214"/>
      <c r="B187" s="1214"/>
      <c r="C187" s="1214"/>
      <c r="D187" s="1214"/>
      <c r="E187" s="1214"/>
      <c r="F187" s="605"/>
      <c r="G187" s="605"/>
      <c r="H187" s="536"/>
      <c r="I187" s="536"/>
      <c r="J187" s="536"/>
      <c r="K187" s="536"/>
      <c r="L187" s="536"/>
      <c r="M187" s="536"/>
      <c r="N187" s="536"/>
      <c r="O187" s="536"/>
      <c r="P187" s="536"/>
      <c r="Q187" s="536"/>
      <c r="R187" s="536"/>
    </row>
    <row r="188" spans="1:18" ht="15" customHeight="1">
      <c r="A188" s="536"/>
      <c r="B188" s="536"/>
      <c r="C188" s="536"/>
      <c r="D188" s="536"/>
      <c r="E188" s="536"/>
      <c r="F188" s="536"/>
      <c r="G188" s="536"/>
      <c r="H188" s="536"/>
      <c r="I188" s="536"/>
      <c r="J188" s="536"/>
      <c r="K188" s="536"/>
      <c r="L188" s="536"/>
      <c r="M188" s="536"/>
      <c r="N188" s="536"/>
      <c r="O188" s="536"/>
      <c r="P188" s="536"/>
      <c r="Q188" s="536"/>
      <c r="R188" s="536"/>
    </row>
    <row r="189" spans="1:18" ht="17.25" customHeight="1" thickBot="1">
      <c r="A189" s="580" t="s">
        <v>362</v>
      </c>
      <c r="B189" s="536"/>
      <c r="C189" s="536"/>
      <c r="D189" s="536"/>
      <c r="E189" s="536"/>
      <c r="F189" s="536"/>
      <c r="G189" s="536"/>
      <c r="H189" s="536"/>
      <c r="I189" s="536"/>
      <c r="J189" s="536"/>
      <c r="K189" s="536"/>
      <c r="L189" s="536"/>
      <c r="M189" s="536"/>
      <c r="N189" s="536"/>
      <c r="O189" s="536"/>
      <c r="P189" s="536"/>
      <c r="Q189" s="536"/>
      <c r="R189" s="536"/>
    </row>
    <row r="190" spans="1:18" ht="15" customHeight="1" thickBot="1">
      <c r="A190" s="536"/>
      <c r="B190" s="681" t="s">
        <v>161</v>
      </c>
      <c r="C190" s="683" t="s">
        <v>162</v>
      </c>
      <c r="D190" s="535"/>
      <c r="E190" s="535"/>
      <c r="F190" s="536"/>
      <c r="G190" s="536"/>
      <c r="H190" s="536"/>
      <c r="I190" s="536"/>
      <c r="J190" s="536"/>
      <c r="K190" s="536"/>
      <c r="L190" s="536"/>
      <c r="M190" s="536"/>
      <c r="N190" s="536"/>
      <c r="O190" s="536"/>
      <c r="P190" s="536"/>
      <c r="Q190" s="536"/>
      <c r="R190" s="536"/>
    </row>
    <row r="191" spans="1:18" ht="15" customHeight="1">
      <c r="A191" s="697" t="s">
        <v>51</v>
      </c>
      <c r="B191" s="698">
        <f>D160/C160-1</f>
        <v>0.1362807407407407</v>
      </c>
      <c r="C191" s="611">
        <f>E160/D160-1</f>
        <v>0.16970321627610274</v>
      </c>
      <c r="D191" s="699"/>
      <c r="E191" s="699"/>
      <c r="F191" s="536"/>
      <c r="G191" s="536"/>
      <c r="H191" s="536"/>
      <c r="I191" s="536"/>
      <c r="J191" s="536"/>
      <c r="K191" s="536"/>
      <c r="L191" s="536"/>
      <c r="M191" s="536"/>
      <c r="N191" s="536"/>
      <c r="O191" s="536"/>
      <c r="P191" s="536"/>
      <c r="Q191" s="536"/>
      <c r="R191" s="536"/>
    </row>
    <row r="192" spans="1:18" ht="15" customHeight="1">
      <c r="A192" s="676" t="s">
        <v>156</v>
      </c>
      <c r="B192" s="698">
        <f ca="1">D169/C169-1</f>
        <v>0.15324860142057961</v>
      </c>
      <c r="C192" s="611">
        <f ca="1">E169/D169-1</f>
        <v>0.17045816238833611</v>
      </c>
      <c r="D192" s="699"/>
      <c r="E192" s="699"/>
      <c r="F192" s="536"/>
      <c r="G192" s="536"/>
      <c r="H192" s="536"/>
      <c r="I192" s="536"/>
      <c r="J192" s="536"/>
      <c r="K192" s="536"/>
      <c r="L192" s="536"/>
      <c r="M192" s="536"/>
      <c r="N192" s="536"/>
      <c r="O192" s="536"/>
      <c r="P192" s="536"/>
      <c r="Q192" s="536"/>
      <c r="R192" s="536"/>
    </row>
    <row r="193" spans="1:18" ht="15" customHeight="1">
      <c r="A193" s="676" t="s">
        <v>157</v>
      </c>
      <c r="B193" s="698">
        <f>D171/C171-1</f>
        <v>0.11254554829838437</v>
      </c>
      <c r="C193" s="611">
        <f>E171/D171-1</f>
        <v>0.10129846634913231</v>
      </c>
      <c r="D193" s="699"/>
      <c r="E193" s="699"/>
      <c r="F193" s="536"/>
      <c r="G193" s="536"/>
      <c r="H193" s="536"/>
      <c r="I193" s="536"/>
      <c r="J193" s="536"/>
      <c r="K193" s="536"/>
      <c r="L193" s="536"/>
      <c r="M193" s="536"/>
      <c r="N193" s="536"/>
      <c r="O193" s="536"/>
      <c r="P193" s="536"/>
      <c r="Q193" s="536"/>
      <c r="R193" s="536"/>
    </row>
    <row r="194" spans="1:18" ht="15" customHeight="1" thickBot="1">
      <c r="A194" s="678" t="s">
        <v>160</v>
      </c>
      <c r="B194" s="700">
        <f ca="1">D179/C179-1</f>
        <v>9.679466366770062E-2</v>
      </c>
      <c r="C194" s="701">
        <f ca="1">E179/D179-1</f>
        <v>-9.2145193369870149E-2</v>
      </c>
      <c r="D194" s="699"/>
      <c r="E194" s="699"/>
      <c r="F194" s="536"/>
      <c r="G194" s="536"/>
      <c r="H194" s="536"/>
      <c r="I194" s="536"/>
      <c r="J194" s="536"/>
      <c r="K194" s="536"/>
      <c r="L194" s="536"/>
      <c r="M194" s="536"/>
      <c r="N194" s="536"/>
      <c r="O194" s="536"/>
      <c r="P194" s="536"/>
      <c r="Q194" s="536"/>
      <c r="R194" s="536"/>
    </row>
    <row r="195" spans="1:18" ht="15" customHeight="1">
      <c r="A195" s="535"/>
      <c r="B195" s="536"/>
      <c r="C195" s="536"/>
      <c r="D195" s="536"/>
      <c r="E195" s="536"/>
      <c r="F195" s="536"/>
      <c r="G195" s="536"/>
      <c r="H195" s="536"/>
      <c r="I195" s="536"/>
      <c r="J195" s="536"/>
      <c r="K195" s="536"/>
      <c r="L195" s="536"/>
      <c r="M195" s="536"/>
      <c r="N195" s="536"/>
      <c r="O195" s="536"/>
      <c r="P195" s="536"/>
      <c r="Q195" s="536"/>
      <c r="R195" s="536"/>
    </row>
    <row r="196" spans="1:18" ht="30.75" customHeight="1">
      <c r="A196" s="1171" t="str">
        <f ca="1">+ayuda!A126</f>
        <v xml:space="preserve">PARA EL SEGUNDO AÑO LAS VENTAS CRECEN UN 13,63% Y LOS COSTOS DE VENTAS SUBEN UN 15,32% SE HACE IMPRESCINDIBLE VERIFICAR LOS COSTOS DIRECTOS YA QUE ESTOS SE INCREMENTA POR ENCIMA DEL INCREMENTO EN VENTAS LOS GASTOS ADMINISTRATIVOS SE INCREMENTAN EN UN 11,25% </v>
      </c>
      <c r="B196" s="1172"/>
      <c r="C196" s="1172"/>
      <c r="D196" s="1172"/>
      <c r="E196" s="536"/>
      <c r="F196" s="536"/>
      <c r="G196" s="536"/>
      <c r="H196" s="536"/>
      <c r="I196" s="536"/>
      <c r="J196" s="536"/>
      <c r="K196" s="536"/>
      <c r="L196" s="536"/>
      <c r="M196" s="536"/>
      <c r="N196" s="536"/>
      <c r="O196" s="536"/>
      <c r="P196" s="536"/>
      <c r="Q196" s="536"/>
      <c r="R196" s="536"/>
    </row>
    <row r="197" spans="1:18" ht="26.25" customHeight="1">
      <c r="A197" s="1172"/>
      <c r="B197" s="1172"/>
      <c r="C197" s="1172"/>
      <c r="D197" s="1172"/>
      <c r="E197" s="536"/>
      <c r="F197" s="536"/>
      <c r="G197" s="536"/>
      <c r="H197" s="536"/>
      <c r="I197" s="536"/>
      <c r="J197" s="536"/>
      <c r="K197" s="536"/>
      <c r="L197" s="536"/>
      <c r="M197" s="536"/>
      <c r="N197" s="536"/>
      <c r="O197" s="536"/>
      <c r="P197" s="536"/>
      <c r="Q197" s="536"/>
      <c r="R197" s="536"/>
    </row>
    <row r="198" spans="1:18" ht="22.5" customHeight="1">
      <c r="A198" s="1172"/>
      <c r="B198" s="1172"/>
      <c r="C198" s="1172"/>
      <c r="D198" s="1172"/>
      <c r="E198" s="536"/>
      <c r="F198" s="536"/>
      <c r="G198" s="536"/>
      <c r="H198" s="536"/>
      <c r="I198" s="536"/>
      <c r="J198" s="536"/>
      <c r="K198" s="536"/>
      <c r="L198" s="536"/>
      <c r="M198" s="536"/>
      <c r="N198" s="536"/>
      <c r="O198" s="536"/>
      <c r="P198" s="536"/>
      <c r="Q198" s="536"/>
      <c r="R198" s="536"/>
    </row>
    <row r="199" spans="1:18" ht="15" customHeight="1">
      <c r="A199" s="1171" t="str">
        <f ca="1">+ayuda!A132</f>
        <v>EN EL TERCER AÑO LOS COSTOS DE VENTAS SE INCREMENTAN EN UN 17,05%. MIENTRAS QUE LAS VENTAS ASCIENDE UN 16,97%. SE HACE IMPRESCINDIBLE VERIFICAR LOS COSTOS DIRECTOS YA QUE ESTOS SE INCREMENTA POR ENCIMA DEL CRECIMIENTO EN VENTAS</v>
      </c>
      <c r="B199" s="1172"/>
      <c r="C199" s="1172"/>
      <c r="D199" s="1172"/>
      <c r="E199" s="536"/>
      <c r="F199" s="536"/>
      <c r="G199" s="536"/>
      <c r="H199" s="536"/>
      <c r="I199" s="536"/>
      <c r="J199" s="536"/>
      <c r="K199" s="536"/>
      <c r="L199" s="536"/>
      <c r="M199" s="536"/>
      <c r="N199" s="536"/>
      <c r="O199" s="536"/>
      <c r="P199" s="536"/>
      <c r="Q199" s="536"/>
      <c r="R199" s="536"/>
    </row>
    <row r="200" spans="1:18" ht="15" customHeight="1">
      <c r="A200" s="1172"/>
      <c r="B200" s="1172"/>
      <c r="C200" s="1172"/>
      <c r="D200" s="1172"/>
      <c r="E200" s="536"/>
      <c r="F200" s="536"/>
      <c r="G200" s="536"/>
      <c r="H200" s="536"/>
      <c r="I200" s="536"/>
      <c r="J200" s="536"/>
      <c r="K200" s="536"/>
      <c r="L200" s="536"/>
      <c r="M200" s="536"/>
      <c r="N200" s="536"/>
      <c r="O200" s="536"/>
      <c r="P200" s="536"/>
      <c r="Q200" s="536"/>
      <c r="R200" s="536"/>
    </row>
    <row r="201" spans="1:18" ht="15" customHeight="1">
      <c r="A201" s="1172"/>
      <c r="B201" s="1172"/>
      <c r="C201" s="1172"/>
      <c r="D201" s="1172"/>
      <c r="E201" s="536"/>
      <c r="F201" s="536"/>
      <c r="G201" s="536"/>
      <c r="H201" s="536"/>
      <c r="I201" s="536"/>
      <c r="J201" s="536"/>
      <c r="K201" s="536"/>
      <c r="L201" s="536"/>
      <c r="M201" s="536"/>
      <c r="N201" s="536"/>
      <c r="O201" s="536"/>
      <c r="P201" s="536"/>
      <c r="Q201" s="536"/>
      <c r="R201" s="536"/>
    </row>
    <row r="202" spans="1:18" ht="15" customHeight="1">
      <c r="A202" s="1172"/>
      <c r="B202" s="1172"/>
      <c r="C202" s="1172"/>
      <c r="D202" s="1172"/>
      <c r="E202" s="536"/>
      <c r="F202" s="536"/>
      <c r="G202" s="536"/>
      <c r="H202" s="536"/>
      <c r="I202" s="536"/>
      <c r="J202" s="536"/>
      <c r="K202" s="536"/>
      <c r="L202" s="536"/>
      <c r="M202" s="536"/>
      <c r="N202" s="536"/>
      <c r="O202" s="536"/>
      <c r="P202" s="536"/>
      <c r="Q202" s="536"/>
      <c r="R202" s="536"/>
    </row>
    <row r="203" spans="1:18" ht="15" customHeight="1">
      <c r="A203" s="702"/>
      <c r="B203" s="536"/>
      <c r="C203" s="536"/>
      <c r="D203" s="536"/>
      <c r="E203" s="536"/>
      <c r="F203" s="536"/>
      <c r="G203" s="536"/>
      <c r="H203" s="536"/>
      <c r="I203" s="536"/>
      <c r="J203" s="536"/>
      <c r="K203" s="536"/>
      <c r="L203" s="536"/>
      <c r="M203" s="536"/>
      <c r="N203" s="536"/>
      <c r="O203" s="536"/>
      <c r="P203" s="536"/>
      <c r="Q203" s="536"/>
      <c r="R203" s="536"/>
    </row>
    <row r="204" spans="1:18" ht="15" customHeight="1">
      <c r="A204" s="535"/>
      <c r="B204" s="536"/>
      <c r="C204" s="536"/>
      <c r="D204" s="536"/>
      <c r="E204" s="536"/>
      <c r="F204" s="536"/>
      <c r="G204" s="536"/>
      <c r="H204" s="536"/>
      <c r="I204" s="536"/>
      <c r="J204" s="536"/>
      <c r="K204" s="536"/>
      <c r="L204" s="536"/>
      <c r="M204" s="536"/>
      <c r="N204" s="536"/>
      <c r="O204" s="536"/>
      <c r="P204" s="536"/>
      <c r="Q204" s="536"/>
      <c r="R204" s="536"/>
    </row>
    <row r="205" spans="1:18" ht="15" customHeight="1">
      <c r="A205" s="580" t="s">
        <v>520</v>
      </c>
      <c r="B205" s="536"/>
      <c r="C205" s="536"/>
      <c r="D205" s="536"/>
      <c r="E205" s="536"/>
      <c r="F205" s="536"/>
      <c r="G205" s="536"/>
      <c r="H205" s="536"/>
      <c r="I205" s="536"/>
      <c r="J205" s="536"/>
      <c r="K205" s="536"/>
      <c r="L205" s="536"/>
      <c r="M205" s="536"/>
      <c r="N205" s="536"/>
      <c r="O205" s="536"/>
      <c r="P205" s="536"/>
      <c r="Q205" s="536"/>
      <c r="R205" s="536"/>
    </row>
    <row r="206" spans="1:18" ht="15" customHeight="1">
      <c r="A206" s="703" t="s">
        <v>53</v>
      </c>
      <c r="B206" s="704" t="s">
        <v>54</v>
      </c>
      <c r="C206" s="704" t="s">
        <v>55</v>
      </c>
      <c r="D206" s="605"/>
      <c r="E206" s="536"/>
      <c r="F206" s="536"/>
      <c r="G206" s="536"/>
      <c r="H206" s="536"/>
      <c r="I206" s="536"/>
      <c r="J206" s="536"/>
      <c r="K206" s="536"/>
      <c r="L206" s="536"/>
      <c r="M206" s="536"/>
      <c r="N206" s="536"/>
      <c r="O206" s="536"/>
      <c r="P206" s="536"/>
      <c r="Q206" s="536"/>
      <c r="R206" s="536"/>
    </row>
    <row r="207" spans="1:18" ht="15" customHeight="1">
      <c r="A207" s="703" t="s">
        <v>580</v>
      </c>
      <c r="B207" s="705">
        <f>+ventas!B338</f>
        <v>0.1</v>
      </c>
      <c r="C207" s="585">
        <f>+'cost var'!B537</f>
        <v>1</v>
      </c>
      <c r="D207" s="605"/>
      <c r="E207" s="536"/>
      <c r="F207" s="536"/>
      <c r="G207" s="536"/>
      <c r="H207" s="536"/>
      <c r="I207" s="536"/>
      <c r="J207" s="536"/>
      <c r="K207" s="536"/>
      <c r="L207" s="536"/>
      <c r="M207" s="536"/>
      <c r="N207" s="536"/>
      <c r="O207" s="536"/>
      <c r="P207" s="536"/>
      <c r="Q207" s="536"/>
      <c r="R207" s="536"/>
    </row>
    <row r="208" spans="1:18" ht="15" customHeight="1">
      <c r="A208" s="703" t="s">
        <v>668</v>
      </c>
      <c r="B208" s="705">
        <f>+ventas!C338</f>
        <v>0</v>
      </c>
      <c r="C208" s="585">
        <f>+'cost var'!C537</f>
        <v>0</v>
      </c>
      <c r="D208" s="605"/>
      <c r="E208" s="536"/>
      <c r="F208" s="536"/>
      <c r="G208" s="536"/>
      <c r="H208" s="536"/>
      <c r="I208" s="536"/>
      <c r="J208" s="536"/>
      <c r="K208" s="536"/>
      <c r="L208" s="536"/>
      <c r="M208" s="536"/>
      <c r="N208" s="536"/>
      <c r="O208" s="536"/>
      <c r="P208" s="536"/>
      <c r="Q208" s="536"/>
      <c r="R208" s="536"/>
    </row>
    <row r="209" spans="1:18" ht="15" customHeight="1">
      <c r="A209" s="703" t="s">
        <v>669</v>
      </c>
      <c r="B209" s="705">
        <f>+ventas!D338</f>
        <v>0</v>
      </c>
      <c r="C209" s="585">
        <f>+'cost var'!D537</f>
        <v>0</v>
      </c>
      <c r="D209" s="605"/>
      <c r="E209" s="536"/>
      <c r="F209" s="536"/>
      <c r="G209" s="536"/>
      <c r="H209" s="536"/>
      <c r="I209" s="536"/>
      <c r="J209" s="536"/>
      <c r="K209" s="536"/>
      <c r="L209" s="536"/>
      <c r="M209" s="536"/>
      <c r="N209" s="536"/>
      <c r="O209" s="536"/>
      <c r="P209" s="536"/>
      <c r="Q209" s="536"/>
      <c r="R209" s="536"/>
    </row>
    <row r="210" spans="1:18" ht="15" customHeight="1">
      <c r="A210" s="703" t="s">
        <v>670</v>
      </c>
      <c r="B210" s="705">
        <f>+ventas!E338</f>
        <v>0.8</v>
      </c>
      <c r="C210" s="585">
        <f>+'cost var'!E537</f>
        <v>0</v>
      </c>
      <c r="D210" s="605"/>
      <c r="E210" s="536"/>
      <c r="F210" s="536"/>
      <c r="G210" s="536"/>
      <c r="H210" s="536"/>
      <c r="I210" s="536"/>
      <c r="J210" s="536"/>
      <c r="K210" s="536"/>
      <c r="L210" s="536"/>
      <c r="M210" s="536"/>
      <c r="N210" s="536"/>
      <c r="O210" s="536"/>
      <c r="P210" s="536"/>
      <c r="Q210" s="536"/>
      <c r="R210" s="536"/>
    </row>
    <row r="211" spans="1:18" ht="15" customHeight="1">
      <c r="A211" s="703" t="s">
        <v>57</v>
      </c>
      <c r="B211" s="705">
        <f>+ventas!F338</f>
        <v>0.1</v>
      </c>
      <c r="C211" s="585"/>
      <c r="D211" s="605"/>
      <c r="E211" s="536"/>
      <c r="F211" s="536"/>
      <c r="G211" s="536"/>
      <c r="H211" s="536"/>
      <c r="I211" s="536"/>
      <c r="J211" s="536"/>
      <c r="K211" s="536"/>
      <c r="L211" s="536"/>
      <c r="M211" s="536"/>
      <c r="N211" s="536"/>
      <c r="O211" s="536"/>
      <c r="P211" s="536"/>
      <c r="Q211" s="536"/>
      <c r="R211" s="536"/>
    </row>
    <row r="212" spans="1:18" ht="15" customHeight="1">
      <c r="A212" s="703" t="s">
        <v>58</v>
      </c>
      <c r="B212" s="585">
        <f>+ventas!G338</f>
        <v>0</v>
      </c>
      <c r="C212" s="585"/>
      <c r="D212" s="605"/>
      <c r="H212" s="536"/>
      <c r="I212" s="536"/>
      <c r="J212" s="536"/>
      <c r="K212" s="536"/>
      <c r="L212" s="536"/>
      <c r="M212" s="536"/>
      <c r="N212" s="536"/>
      <c r="O212" s="536"/>
      <c r="P212" s="536"/>
      <c r="Q212" s="536"/>
      <c r="R212" s="536"/>
    </row>
    <row r="213" spans="1:18" ht="15" customHeight="1">
      <c r="A213" s="1169" t="str">
        <f>+ayuda!A145</f>
        <v>LA EMPRESA VENDE EL 10%  DE CONTADO,, A 90 DIAS EL 80% . SE DEBE PRESTAR ESPECIAL CUIDADO CON EL 10% . QUE SE FINANCIA A MAS DE 120 DIAS</v>
      </c>
      <c r="B213" s="1170"/>
      <c r="C213" s="1170"/>
      <c r="D213" s="605"/>
      <c r="H213" s="536"/>
      <c r="I213" s="536"/>
      <c r="J213" s="536"/>
      <c r="K213" s="536"/>
      <c r="L213" s="536"/>
      <c r="M213" s="536"/>
      <c r="N213" s="536"/>
      <c r="O213" s="536"/>
      <c r="P213" s="536"/>
      <c r="Q213" s="536"/>
      <c r="R213" s="536"/>
    </row>
    <row r="214" spans="1:18" ht="15" customHeight="1">
      <c r="A214" s="1170"/>
      <c r="B214" s="1170"/>
      <c r="C214" s="1170"/>
      <c r="D214" s="605"/>
      <c r="H214" s="536"/>
      <c r="I214" s="536"/>
      <c r="J214" s="536"/>
      <c r="K214" s="536"/>
      <c r="L214" s="536"/>
      <c r="M214" s="536"/>
      <c r="N214" s="536"/>
      <c r="O214" s="536"/>
      <c r="P214" s="536"/>
      <c r="Q214" s="536"/>
      <c r="R214" s="536"/>
    </row>
    <row r="215" spans="1:18" ht="15" customHeight="1">
      <c r="A215" s="1170"/>
      <c r="B215" s="1170"/>
      <c r="C215" s="1170"/>
      <c r="D215" s="605"/>
      <c r="H215" s="536"/>
      <c r="I215" s="536"/>
      <c r="J215" s="536"/>
      <c r="K215" s="536"/>
      <c r="L215" s="536"/>
      <c r="M215" s="536"/>
      <c r="N215" s="536"/>
      <c r="O215" s="536"/>
      <c r="P215" s="536"/>
      <c r="Q215" s="536"/>
      <c r="R215" s="536"/>
    </row>
    <row r="216" spans="1:18" ht="15" customHeight="1">
      <c r="A216" s="1169" t="str">
        <f>+ayuda!A153</f>
        <v>LA EMPRESA COMPRA EL 100%  DE CONTADO,LA EMPRESA DEBE TENER PRESENTE LA CARTERA PARA QUE EL FLUJO DE EFECTIVO NO SE AFECTE</v>
      </c>
      <c r="B216" s="1170"/>
      <c r="C216" s="1170"/>
      <c r="D216" s="605"/>
      <c r="H216" s="536"/>
      <c r="I216" s="536"/>
      <c r="J216" s="536"/>
      <c r="K216" s="536"/>
      <c r="L216" s="536"/>
      <c r="M216" s="536"/>
      <c r="N216" s="536"/>
      <c r="O216" s="536"/>
      <c r="P216" s="536"/>
      <c r="Q216" s="536"/>
      <c r="R216" s="536"/>
    </row>
    <row r="217" spans="1:18" ht="15" customHeight="1">
      <c r="A217" s="1170"/>
      <c r="B217" s="1170"/>
      <c r="C217" s="1170"/>
      <c r="D217" s="605"/>
      <c r="H217" s="536"/>
      <c r="I217" s="536"/>
      <c r="J217" s="536"/>
      <c r="K217" s="536"/>
      <c r="L217" s="536"/>
      <c r="M217" s="536"/>
      <c r="N217" s="536"/>
      <c r="O217" s="536"/>
      <c r="P217" s="536"/>
      <c r="Q217" s="536"/>
      <c r="R217" s="536"/>
    </row>
    <row r="218" spans="1:18" ht="15" customHeight="1">
      <c r="A218" s="1170"/>
      <c r="B218" s="1170"/>
      <c r="C218" s="1170"/>
      <c r="D218" s="605"/>
      <c r="H218" s="536"/>
      <c r="I218" s="536"/>
      <c r="J218" s="536"/>
      <c r="K218" s="536"/>
      <c r="L218" s="536"/>
      <c r="M218" s="536"/>
      <c r="N218" s="536"/>
      <c r="O218" s="536"/>
      <c r="P218" s="536"/>
      <c r="Q218" s="536"/>
      <c r="R218" s="536"/>
    </row>
    <row r="219" spans="1:18" ht="15" customHeight="1">
      <c r="A219" s="706"/>
      <c r="B219" s="706"/>
      <c r="C219" s="706"/>
      <c r="D219" s="605"/>
      <c r="H219" s="536"/>
      <c r="I219" s="536"/>
      <c r="J219" s="536"/>
      <c r="K219" s="536"/>
      <c r="L219" s="536"/>
      <c r="M219" s="536"/>
      <c r="N219" s="536"/>
      <c r="O219" s="536"/>
      <c r="P219" s="536"/>
      <c r="Q219" s="536"/>
      <c r="R219" s="536"/>
    </row>
    <row r="220" spans="1:18" ht="15" customHeight="1">
      <c r="D220" s="605"/>
      <c r="E220" s="605"/>
      <c r="F220" s="536"/>
      <c r="G220" s="536"/>
      <c r="H220" s="536"/>
      <c r="I220" s="536"/>
      <c r="J220" s="536"/>
      <c r="K220" s="536"/>
      <c r="L220" s="536"/>
      <c r="M220" s="536"/>
      <c r="N220" s="536"/>
      <c r="O220" s="536"/>
      <c r="P220" s="536"/>
      <c r="Q220" s="536"/>
      <c r="R220" s="536"/>
    </row>
    <row r="221" spans="1:18" ht="20.25" customHeight="1">
      <c r="A221" s="580" t="s">
        <v>117</v>
      </c>
      <c r="B221" s="536"/>
      <c r="C221" s="536"/>
      <c r="D221" s="536"/>
      <c r="E221" s="536"/>
      <c r="F221" s="536"/>
      <c r="G221" s="536"/>
      <c r="H221" s="536"/>
      <c r="I221" s="535" t="s">
        <v>118</v>
      </c>
      <c r="J221" s="536"/>
      <c r="K221" s="536"/>
      <c r="L221" s="536"/>
      <c r="M221" s="536"/>
      <c r="N221" s="536"/>
      <c r="O221" s="536"/>
      <c r="P221" s="536"/>
      <c r="Q221" s="536"/>
      <c r="R221" s="536"/>
    </row>
    <row r="222" spans="1:18" ht="15" customHeight="1">
      <c r="A222" s="707" t="s">
        <v>635</v>
      </c>
      <c r="B222" s="707" t="s">
        <v>119</v>
      </c>
      <c r="C222" s="707" t="s">
        <v>606</v>
      </c>
      <c r="D222" s="707" t="s">
        <v>607</v>
      </c>
      <c r="E222" s="707" t="s">
        <v>608</v>
      </c>
      <c r="F222" s="707" t="s">
        <v>609</v>
      </c>
      <c r="G222" s="707" t="s">
        <v>610</v>
      </c>
      <c r="H222" s="707" t="s">
        <v>611</v>
      </c>
      <c r="I222" s="707" t="s">
        <v>612</v>
      </c>
      <c r="J222" s="707" t="s">
        <v>613</v>
      </c>
      <c r="K222" s="707" t="s">
        <v>614</v>
      </c>
      <c r="L222" s="707" t="s">
        <v>66</v>
      </c>
      <c r="M222" s="707" t="s">
        <v>616</v>
      </c>
      <c r="N222" s="707" t="s">
        <v>617</v>
      </c>
      <c r="O222" s="536"/>
      <c r="P222" s="536"/>
      <c r="Q222" s="536"/>
      <c r="R222" s="536"/>
    </row>
    <row r="223" spans="1:18" ht="15" customHeight="1">
      <c r="A223" s="708" t="s">
        <v>85</v>
      </c>
      <c r="B223" s="536"/>
      <c r="C223" s="536"/>
      <c r="D223" s="536"/>
      <c r="E223" s="536"/>
      <c r="F223" s="536"/>
      <c r="G223" s="536"/>
      <c r="H223" s="536"/>
      <c r="I223" s="536"/>
      <c r="J223" s="536"/>
      <c r="K223" s="536"/>
      <c r="L223" s="536"/>
      <c r="M223" s="536"/>
      <c r="N223" s="536"/>
      <c r="O223" s="536"/>
      <c r="P223" s="536"/>
      <c r="Q223" s="536"/>
      <c r="R223" s="536"/>
    </row>
    <row r="224" spans="1:18" ht="15" customHeight="1">
      <c r="A224" s="709" t="s">
        <v>86</v>
      </c>
      <c r="B224" s="584"/>
      <c r="C224" s="584">
        <f>+ventas!B186</f>
        <v>2187000</v>
      </c>
      <c r="D224" s="584">
        <f>+ventas!C186</f>
        <v>2551500</v>
      </c>
      <c r="E224" s="584">
        <f>+ventas!D186</f>
        <v>2551500</v>
      </c>
      <c r="F224" s="584">
        <f>+ventas!E186</f>
        <v>2551500</v>
      </c>
      <c r="G224" s="584">
        <f>+ventas!F186</f>
        <v>3645000</v>
      </c>
      <c r="H224" s="584">
        <f>+ventas!G186</f>
        <v>3280500</v>
      </c>
      <c r="I224" s="584">
        <f>+ventas!H186</f>
        <v>2916000</v>
      </c>
      <c r="J224" s="584">
        <f>+ventas!I186</f>
        <v>2916000</v>
      </c>
      <c r="K224" s="584">
        <f>+ventas!J186</f>
        <v>2916000</v>
      </c>
      <c r="L224" s="584">
        <f>+ventas!K186</f>
        <v>3645000</v>
      </c>
      <c r="M224" s="584">
        <f>+ventas!L186</f>
        <v>5103000</v>
      </c>
      <c r="N224" s="584">
        <f>+ventas!M186</f>
        <v>2187000</v>
      </c>
      <c r="O224" s="536"/>
      <c r="P224" s="536"/>
      <c r="Q224" s="536"/>
      <c r="R224" s="536"/>
    </row>
    <row r="225" spans="1:18" ht="15" customHeight="1">
      <c r="A225" s="709" t="s">
        <v>87</v>
      </c>
      <c r="B225" s="584"/>
      <c r="C225" s="584">
        <f>+ventas!B187</f>
        <v>0</v>
      </c>
      <c r="D225" s="584">
        <f>+ventas!C187</f>
        <v>0</v>
      </c>
      <c r="E225" s="584">
        <f>+ventas!D187</f>
        <v>0</v>
      </c>
      <c r="F225" s="584">
        <f>+ventas!E187</f>
        <v>0</v>
      </c>
      <c r="G225" s="584">
        <f>+ventas!F187</f>
        <v>0</v>
      </c>
      <c r="H225" s="584">
        <f>+ventas!G187</f>
        <v>0</v>
      </c>
      <c r="I225" s="584">
        <f>+ventas!H187</f>
        <v>0</v>
      </c>
      <c r="J225" s="584">
        <f>+ventas!I187</f>
        <v>0</v>
      </c>
      <c r="K225" s="584">
        <f>+ventas!J187</f>
        <v>0</v>
      </c>
      <c r="L225" s="584">
        <f>+ventas!K187</f>
        <v>0</v>
      </c>
      <c r="M225" s="584">
        <f>+ventas!L187</f>
        <v>0</v>
      </c>
      <c r="N225" s="584">
        <f>+ventas!M187</f>
        <v>0</v>
      </c>
      <c r="O225" s="536"/>
      <c r="P225" s="536"/>
      <c r="Q225" s="536"/>
      <c r="R225" s="536"/>
    </row>
    <row r="226" spans="1:18" ht="15" customHeight="1">
      <c r="A226" s="709" t="s">
        <v>88</v>
      </c>
      <c r="B226" s="584"/>
      <c r="C226" s="584">
        <f>+ventas!B188</f>
        <v>0</v>
      </c>
      <c r="D226" s="584">
        <f>+ventas!C188</f>
        <v>0</v>
      </c>
      <c r="E226" s="584">
        <f>+ventas!D188</f>
        <v>0</v>
      </c>
      <c r="F226" s="584">
        <f>+ventas!E188</f>
        <v>0</v>
      </c>
      <c r="G226" s="584">
        <f>+ventas!F188</f>
        <v>0</v>
      </c>
      <c r="H226" s="584">
        <f>+ventas!G188</f>
        <v>0</v>
      </c>
      <c r="I226" s="584">
        <f>+ventas!H188</f>
        <v>0</v>
      </c>
      <c r="J226" s="584">
        <f>+ventas!I188</f>
        <v>0</v>
      </c>
      <c r="K226" s="584">
        <f>+ventas!J188</f>
        <v>0</v>
      </c>
      <c r="L226" s="584">
        <f>+ventas!K188</f>
        <v>0</v>
      </c>
      <c r="M226" s="584">
        <f>+ventas!L188</f>
        <v>0</v>
      </c>
      <c r="N226" s="584">
        <f>+ventas!M188</f>
        <v>0</v>
      </c>
      <c r="O226" s="536"/>
      <c r="P226" s="536"/>
      <c r="Q226" s="536"/>
      <c r="R226" s="536"/>
    </row>
    <row r="227" spans="1:18" ht="15" customHeight="1">
      <c r="A227" s="709" t="s">
        <v>89</v>
      </c>
      <c r="B227" s="584"/>
      <c r="C227" s="584">
        <f>+ventas!B189</f>
        <v>0</v>
      </c>
      <c r="D227" s="584">
        <f>+ventas!C189</f>
        <v>0</v>
      </c>
      <c r="E227" s="584">
        <f>+ventas!D189</f>
        <v>0</v>
      </c>
      <c r="F227" s="584">
        <f>+ventas!E189</f>
        <v>17496000</v>
      </c>
      <c r="G227" s="584">
        <f>+ventas!F189</f>
        <v>20412000</v>
      </c>
      <c r="H227" s="584">
        <f>+ventas!G189</f>
        <v>20412000</v>
      </c>
      <c r="I227" s="584">
        <f>+ventas!H189</f>
        <v>20412000</v>
      </c>
      <c r="J227" s="584">
        <f>+ventas!I189</f>
        <v>29160000</v>
      </c>
      <c r="K227" s="584">
        <f>+ventas!J189</f>
        <v>26244000</v>
      </c>
      <c r="L227" s="584">
        <f>+ventas!K189</f>
        <v>23328000</v>
      </c>
      <c r="M227" s="584">
        <f>+ventas!L189</f>
        <v>23328000</v>
      </c>
      <c r="N227" s="584">
        <f>+ventas!M189</f>
        <v>23328000</v>
      </c>
      <c r="O227" s="536"/>
      <c r="P227" s="536"/>
      <c r="Q227" s="536"/>
      <c r="R227" s="536"/>
    </row>
    <row r="228" spans="1:18" ht="15" customHeight="1">
      <c r="A228" s="709" t="s">
        <v>90</v>
      </c>
      <c r="B228" s="584"/>
      <c r="C228" s="584">
        <f>+ventas!B190</f>
        <v>0</v>
      </c>
      <c r="D228" s="584">
        <f>+ventas!C190</f>
        <v>0</v>
      </c>
      <c r="E228" s="584">
        <f>+ventas!D190</f>
        <v>0</v>
      </c>
      <c r="F228" s="584">
        <f>+ventas!E190</f>
        <v>0</v>
      </c>
      <c r="G228" s="584">
        <f>+ventas!F190</f>
        <v>2187000</v>
      </c>
      <c r="H228" s="584">
        <f>+ventas!G190</f>
        <v>2551500</v>
      </c>
      <c r="I228" s="584">
        <f>+ventas!H190</f>
        <v>2551500</v>
      </c>
      <c r="J228" s="584">
        <f>+ventas!I190</f>
        <v>2551500</v>
      </c>
      <c r="K228" s="584">
        <f>+ventas!J190</f>
        <v>3645000</v>
      </c>
      <c r="L228" s="584">
        <f>+ventas!K190</f>
        <v>3280500</v>
      </c>
      <c r="M228" s="584">
        <f>+ventas!L190</f>
        <v>2916000</v>
      </c>
      <c r="N228" s="584">
        <f>+ventas!M190</f>
        <v>2916000</v>
      </c>
      <c r="O228" s="536"/>
      <c r="P228" s="536"/>
      <c r="Q228" s="536"/>
      <c r="R228" s="536"/>
    </row>
    <row r="229" spans="1:18" ht="15" customHeight="1">
      <c r="A229" s="709" t="s">
        <v>91</v>
      </c>
      <c r="B229" s="584"/>
      <c r="C229" s="584">
        <f>+ventas!B191</f>
        <v>0</v>
      </c>
      <c r="D229" s="584">
        <f>+ventas!C191</f>
        <v>0</v>
      </c>
      <c r="E229" s="584">
        <f>+ventas!D191</f>
        <v>0</v>
      </c>
      <c r="F229" s="584">
        <f>+ventas!E191</f>
        <v>0</v>
      </c>
      <c r="G229" s="584">
        <f>+ventas!F191</f>
        <v>0</v>
      </c>
      <c r="H229" s="584">
        <f>+ventas!G191</f>
        <v>0</v>
      </c>
      <c r="I229" s="584">
        <f>+ventas!H191</f>
        <v>0</v>
      </c>
      <c r="J229" s="584">
        <f>+ventas!I191</f>
        <v>0</v>
      </c>
      <c r="K229" s="584">
        <f>+ventas!J191</f>
        <v>0</v>
      </c>
      <c r="L229" s="584">
        <f>+ventas!K191</f>
        <v>0</v>
      </c>
      <c r="M229" s="584">
        <f>+ventas!L191</f>
        <v>0</v>
      </c>
      <c r="N229" s="584">
        <f>+ventas!M191</f>
        <v>0</v>
      </c>
      <c r="O229" s="536"/>
      <c r="P229" s="536"/>
      <c r="Q229" s="536"/>
      <c r="R229" s="536"/>
    </row>
    <row r="230" spans="1:18" ht="15" customHeight="1">
      <c r="A230" s="732" t="s">
        <v>92</v>
      </c>
      <c r="B230" s="597">
        <f t="shared" ref="B230:N230" si="19">SUM(B224:B229)</f>
        <v>0</v>
      </c>
      <c r="C230" s="597">
        <f t="shared" si="19"/>
        <v>2187000</v>
      </c>
      <c r="D230" s="597">
        <f t="shared" si="19"/>
        <v>2551500</v>
      </c>
      <c r="E230" s="597">
        <f t="shared" si="19"/>
        <v>2551500</v>
      </c>
      <c r="F230" s="597">
        <f t="shared" si="19"/>
        <v>20047500</v>
      </c>
      <c r="G230" s="597">
        <f t="shared" si="19"/>
        <v>26244000</v>
      </c>
      <c r="H230" s="597">
        <f t="shared" si="19"/>
        <v>26244000</v>
      </c>
      <c r="I230" s="597">
        <f t="shared" si="19"/>
        <v>25879500</v>
      </c>
      <c r="J230" s="597">
        <f t="shared" si="19"/>
        <v>34627500</v>
      </c>
      <c r="K230" s="597">
        <f t="shared" si="19"/>
        <v>32805000</v>
      </c>
      <c r="L230" s="597">
        <f t="shared" si="19"/>
        <v>30253500</v>
      </c>
      <c r="M230" s="597">
        <f t="shared" si="19"/>
        <v>31347000</v>
      </c>
      <c r="N230" s="597">
        <f t="shared" si="19"/>
        <v>28431000</v>
      </c>
      <c r="O230" s="536"/>
      <c r="P230" s="536"/>
      <c r="Q230" s="536"/>
      <c r="R230" s="536"/>
    </row>
    <row r="231" spans="1:18" ht="15" customHeight="1">
      <c r="A231" s="708" t="s">
        <v>93</v>
      </c>
      <c r="B231" s="605"/>
      <c r="C231" s="605"/>
      <c r="D231" s="605"/>
      <c r="E231" s="605"/>
      <c r="F231" s="605"/>
      <c r="G231" s="605"/>
      <c r="H231" s="605"/>
      <c r="I231" s="605"/>
      <c r="J231" s="605"/>
      <c r="K231" s="605"/>
      <c r="L231" s="605"/>
      <c r="M231" s="605"/>
      <c r="N231" s="605"/>
      <c r="O231" s="536"/>
      <c r="P231" s="536"/>
      <c r="Q231" s="536"/>
      <c r="R231" s="536"/>
    </row>
    <row r="232" spans="1:18" ht="15" customHeight="1">
      <c r="A232" s="709" t="s">
        <v>94</v>
      </c>
      <c r="B232" s="584">
        <f>+C161</f>
        <v>8736000</v>
      </c>
      <c r="C232" s="584">
        <f>+'cost var'!B357</f>
        <v>9720000</v>
      </c>
      <c r="D232" s="584">
        <f>+'cost var'!C357</f>
        <v>11340000</v>
      </c>
      <c r="E232" s="584">
        <f>+'cost var'!D357</f>
        <v>11340000</v>
      </c>
      <c r="F232" s="584">
        <f>+'cost var'!E357</f>
        <v>11340000</v>
      </c>
      <c r="G232" s="584">
        <f>+'cost var'!F357</f>
        <v>16200000</v>
      </c>
      <c r="H232" s="584">
        <f>+'cost var'!G357</f>
        <v>14580000</v>
      </c>
      <c r="I232" s="584">
        <f>+'cost var'!H357</f>
        <v>12960000</v>
      </c>
      <c r="J232" s="584">
        <f>+'cost var'!I357</f>
        <v>12960000</v>
      </c>
      <c r="K232" s="584">
        <f>+'cost var'!J357</f>
        <v>12960000</v>
      </c>
      <c r="L232" s="584">
        <f>+'cost var'!K357</f>
        <v>16200000</v>
      </c>
      <c r="M232" s="584">
        <f>+'cost var'!L357</f>
        <v>22680000</v>
      </c>
      <c r="N232" s="584">
        <f>+'cost var'!M357</f>
        <v>9720000</v>
      </c>
      <c r="O232" s="536"/>
      <c r="P232" s="536"/>
      <c r="Q232" s="536"/>
      <c r="R232" s="536"/>
    </row>
    <row r="233" spans="1:18" ht="15" customHeight="1">
      <c r="A233" s="709" t="s">
        <v>95</v>
      </c>
      <c r="B233" s="584"/>
      <c r="C233" s="584">
        <f>+ventas!B298</f>
        <v>285184.8</v>
      </c>
      <c r="D233" s="584">
        <f>+ventas!C298</f>
        <v>332715.59999999998</v>
      </c>
      <c r="E233" s="584">
        <f>+ventas!D298</f>
        <v>332715.59999999998</v>
      </c>
      <c r="F233" s="584">
        <f>+ventas!E298</f>
        <v>332715.59999999998</v>
      </c>
      <c r="G233" s="584">
        <f>+ventas!F298</f>
        <v>475308</v>
      </c>
      <c r="H233" s="584">
        <f>+ventas!G298</f>
        <v>427777.2</v>
      </c>
      <c r="I233" s="584">
        <f>+ventas!H298</f>
        <v>380246.39999999997</v>
      </c>
      <c r="J233" s="584">
        <f>+ventas!I298</f>
        <v>380246.39999999997</v>
      </c>
      <c r="K233" s="584">
        <f>+ventas!J298</f>
        <v>380246.39999999997</v>
      </c>
      <c r="L233" s="584">
        <f>+ventas!K298</f>
        <v>475308</v>
      </c>
      <c r="M233" s="584">
        <f>+ventas!L298</f>
        <v>665431.19999999995</v>
      </c>
      <c r="N233" s="584">
        <f>+ventas!M298</f>
        <v>285184.8</v>
      </c>
      <c r="O233" s="536"/>
      <c r="P233" s="536"/>
      <c r="Q233" s="536"/>
      <c r="R233" s="536"/>
    </row>
    <row r="234" spans="1:18" ht="15" customHeight="1">
      <c r="A234" s="709" t="s">
        <v>426</v>
      </c>
      <c r="B234" s="584"/>
      <c r="C234" s="584">
        <f>+'cost var'!B516</f>
        <v>0</v>
      </c>
      <c r="D234" s="584">
        <f>+'cost var'!C516</f>
        <v>0</v>
      </c>
      <c r="E234" s="584">
        <f>+'cost var'!D516</f>
        <v>0</v>
      </c>
      <c r="F234" s="584">
        <f>+'cost var'!E516</f>
        <v>0</v>
      </c>
      <c r="G234" s="584">
        <f>+'cost var'!F516</f>
        <v>0</v>
      </c>
      <c r="H234" s="584">
        <f>+'cost var'!G516</f>
        <v>0</v>
      </c>
      <c r="I234" s="584">
        <f>+'cost var'!H516</f>
        <v>0</v>
      </c>
      <c r="J234" s="584">
        <f>+'cost var'!I516</f>
        <v>0</v>
      </c>
      <c r="K234" s="584">
        <f>+'cost var'!J516</f>
        <v>0</v>
      </c>
      <c r="L234" s="584">
        <f>+'cost var'!K516</f>
        <v>0</v>
      </c>
      <c r="M234" s="584">
        <f>+'cost var'!L516</f>
        <v>0</v>
      </c>
      <c r="N234" s="584">
        <f>+'cost var'!M516</f>
        <v>0</v>
      </c>
      <c r="O234" s="536"/>
      <c r="P234" s="536"/>
      <c r="Q234" s="536"/>
      <c r="R234" s="536"/>
    </row>
    <row r="235" spans="1:18" ht="15" customHeight="1">
      <c r="A235" s="709" t="s">
        <v>427</v>
      </c>
      <c r="B235" s="584"/>
      <c r="C235" s="584">
        <f>+'cost fijos'!H78</f>
        <v>3500000</v>
      </c>
      <c r="D235" s="584">
        <f>+'cost fijos'!I78</f>
        <v>3500000</v>
      </c>
      <c r="E235" s="584">
        <f>+'cost fijos'!J78</f>
        <v>3500000</v>
      </c>
      <c r="F235" s="584">
        <f>+'cost fijos'!K78</f>
        <v>3500000</v>
      </c>
      <c r="G235" s="584">
        <f>+'cost fijos'!L78</f>
        <v>3500000</v>
      </c>
      <c r="H235" s="584">
        <f>+'cost fijos'!M78</f>
        <v>3500000</v>
      </c>
      <c r="I235" s="584">
        <f>+'cost fijos'!N78</f>
        <v>3500000</v>
      </c>
      <c r="J235" s="584">
        <f>+'cost fijos'!O78</f>
        <v>3500000</v>
      </c>
      <c r="K235" s="584">
        <f>+'cost fijos'!P78</f>
        <v>3500000</v>
      </c>
      <c r="L235" s="584">
        <f>+'cost fijos'!Q78</f>
        <v>3500000</v>
      </c>
      <c r="M235" s="584">
        <f>+'cost fijos'!R78</f>
        <v>3500000</v>
      </c>
      <c r="N235" s="584">
        <f>+'cost fijos'!S78</f>
        <v>3500000</v>
      </c>
      <c r="O235" s="536"/>
      <c r="P235" s="536"/>
      <c r="Q235" s="536"/>
      <c r="R235" s="536"/>
    </row>
    <row r="236" spans="1:18" ht="15" customHeight="1">
      <c r="A236" s="709" t="s">
        <v>96</v>
      </c>
      <c r="B236" s="584"/>
      <c r="C236" s="584">
        <f>+'cost fijos'!H$95</f>
        <v>2425000</v>
      </c>
      <c r="D236" s="584">
        <f>+'cost fijos'!I$95</f>
        <v>2425000</v>
      </c>
      <c r="E236" s="584">
        <f>+'cost fijos'!J$95</f>
        <v>2425000</v>
      </c>
      <c r="F236" s="584">
        <f>+'cost fijos'!K$95</f>
        <v>2425000</v>
      </c>
      <c r="G236" s="584">
        <f>+'cost fijos'!L$95</f>
        <v>2425000</v>
      </c>
      <c r="H236" s="584">
        <f>+'cost fijos'!M$95</f>
        <v>2425000</v>
      </c>
      <c r="I236" s="584">
        <f>+'cost fijos'!N$95</f>
        <v>2425000</v>
      </c>
      <c r="J236" s="584">
        <f>+'cost fijos'!O$95</f>
        <v>2425000</v>
      </c>
      <c r="K236" s="584">
        <f>+'cost fijos'!P$95</f>
        <v>2425000</v>
      </c>
      <c r="L236" s="584">
        <f>+'cost fijos'!Q$95</f>
        <v>2425000</v>
      </c>
      <c r="M236" s="584">
        <f>+'cost fijos'!R$95</f>
        <v>2425000</v>
      </c>
      <c r="N236" s="584">
        <f>+'cost fijos'!S$95</f>
        <v>2425000</v>
      </c>
      <c r="O236" s="536"/>
      <c r="P236" s="536"/>
      <c r="Q236" s="536"/>
      <c r="R236" s="536"/>
    </row>
    <row r="237" spans="1:18" ht="15" customHeight="1">
      <c r="A237" s="709" t="s">
        <v>97</v>
      </c>
      <c r="B237" s="584"/>
      <c r="C237" s="584">
        <f>+'cost fijos'!I41+'cost fijos'!I22</f>
        <v>3878666.666666667</v>
      </c>
      <c r="D237" s="584">
        <f>+'cost fijos'!J41+'cost fijos'!J22</f>
        <v>3878666.666666667</v>
      </c>
      <c r="E237" s="584">
        <f>+'cost fijos'!K41+'cost fijos'!K22</f>
        <v>3878666.666666667</v>
      </c>
      <c r="F237" s="584">
        <f>+'cost fijos'!L41+'cost fijos'!L22</f>
        <v>3878666.666666667</v>
      </c>
      <c r="G237" s="584">
        <f>+'cost fijos'!M41+'cost fijos'!M22</f>
        <v>3878666.666666667</v>
      </c>
      <c r="H237" s="584">
        <f>+'cost fijos'!N41+'cost fijos'!N22</f>
        <v>3878666.666666667</v>
      </c>
      <c r="I237" s="584">
        <f>+'cost fijos'!O41+'cost fijos'!O22</f>
        <v>3878666.666666667</v>
      </c>
      <c r="J237" s="584">
        <f>+'cost fijos'!P41+'cost fijos'!P22</f>
        <v>3878666.666666667</v>
      </c>
      <c r="K237" s="584">
        <f>+'cost fijos'!Q41+'cost fijos'!Q22</f>
        <v>3878666.666666667</v>
      </c>
      <c r="L237" s="584">
        <f>+'cost fijos'!R41+'cost fijos'!R22</f>
        <v>3878666.666666667</v>
      </c>
      <c r="M237" s="584">
        <f>+'cost fijos'!S41+'cost fijos'!S22</f>
        <v>3878666.666666667</v>
      </c>
      <c r="N237" s="584">
        <f>+'cost fijos'!T41+'cost fijos'!T22</f>
        <v>3878666.666666667</v>
      </c>
      <c r="O237" s="536"/>
      <c r="P237" s="536"/>
      <c r="Q237" s="536"/>
      <c r="R237" s="536"/>
    </row>
    <row r="238" spans="1:18" ht="15" customHeight="1">
      <c r="A238" s="732" t="s">
        <v>98</v>
      </c>
      <c r="B238" s="597">
        <f t="shared" ref="B238:N238" si="20">SUM(B235:B237)+SUM(B232:B234)</f>
        <v>8736000</v>
      </c>
      <c r="C238" s="597">
        <f t="shared" si="20"/>
        <v>19808851.466666669</v>
      </c>
      <c r="D238" s="597">
        <f t="shared" si="20"/>
        <v>21476382.266666666</v>
      </c>
      <c r="E238" s="597">
        <f t="shared" si="20"/>
        <v>21476382.266666666</v>
      </c>
      <c r="F238" s="597">
        <f t="shared" si="20"/>
        <v>21476382.266666666</v>
      </c>
      <c r="G238" s="597">
        <f t="shared" si="20"/>
        <v>26478974.666666668</v>
      </c>
      <c r="H238" s="597">
        <f t="shared" si="20"/>
        <v>24811443.866666667</v>
      </c>
      <c r="I238" s="597">
        <f t="shared" si="20"/>
        <v>23143913.06666667</v>
      </c>
      <c r="J238" s="597">
        <f t="shared" si="20"/>
        <v>23143913.06666667</v>
      </c>
      <c r="K238" s="597">
        <f t="shared" si="20"/>
        <v>23143913.06666667</v>
      </c>
      <c r="L238" s="597">
        <f t="shared" si="20"/>
        <v>26478974.666666668</v>
      </c>
      <c r="M238" s="597">
        <f t="shared" si="20"/>
        <v>33149097.866666667</v>
      </c>
      <c r="N238" s="597">
        <f t="shared" si="20"/>
        <v>19808851.466666669</v>
      </c>
      <c r="O238" s="536"/>
      <c r="P238" s="536"/>
      <c r="Q238" s="536"/>
      <c r="R238" s="536"/>
    </row>
    <row r="239" spans="1:18" ht="15" customHeight="1">
      <c r="A239" s="732" t="s">
        <v>99</v>
      </c>
      <c r="B239" s="597">
        <f t="shared" ref="B239:N239" si="21">B230-B238</f>
        <v>-8736000</v>
      </c>
      <c r="C239" s="597">
        <f t="shared" si="21"/>
        <v>-17621851.466666669</v>
      </c>
      <c r="D239" s="597">
        <f t="shared" si="21"/>
        <v>-18924882.266666666</v>
      </c>
      <c r="E239" s="597">
        <f t="shared" si="21"/>
        <v>-18924882.266666666</v>
      </c>
      <c r="F239" s="597">
        <f t="shared" si="21"/>
        <v>-1428882.2666666657</v>
      </c>
      <c r="G239" s="597">
        <f t="shared" si="21"/>
        <v>-234974.66666666791</v>
      </c>
      <c r="H239" s="597">
        <f t="shared" si="21"/>
        <v>1432556.1333333328</v>
      </c>
      <c r="I239" s="597">
        <f t="shared" si="21"/>
        <v>2735586.9333333299</v>
      </c>
      <c r="J239" s="597">
        <f t="shared" si="21"/>
        <v>11483586.93333333</v>
      </c>
      <c r="K239" s="597">
        <f t="shared" si="21"/>
        <v>9661086.9333333299</v>
      </c>
      <c r="L239" s="597">
        <f t="shared" si="21"/>
        <v>3774525.3333333321</v>
      </c>
      <c r="M239" s="597">
        <f t="shared" si="21"/>
        <v>-1802097.8666666672</v>
      </c>
      <c r="N239" s="597">
        <f t="shared" si="21"/>
        <v>8622148.5333333313</v>
      </c>
      <c r="O239" s="536"/>
      <c r="P239" s="536"/>
      <c r="Q239" s="536"/>
      <c r="R239" s="536"/>
    </row>
    <row r="240" spans="1:18" ht="15" customHeight="1">
      <c r="A240" s="708" t="s">
        <v>100</v>
      </c>
      <c r="B240" s="605"/>
      <c r="C240" s="605"/>
      <c r="D240" s="605"/>
      <c r="E240" s="605"/>
      <c r="F240" s="605"/>
      <c r="G240" s="605"/>
      <c r="H240" s="605"/>
      <c r="I240" s="605"/>
      <c r="J240" s="605"/>
      <c r="K240" s="605"/>
      <c r="L240" s="605"/>
      <c r="M240" s="605"/>
      <c r="N240" s="605"/>
      <c r="O240" s="536"/>
      <c r="P240" s="536"/>
      <c r="Q240" s="536"/>
      <c r="R240" s="536"/>
    </row>
    <row r="241" spans="1:18" ht="15" customHeight="1">
      <c r="A241" s="708" t="s">
        <v>101</v>
      </c>
      <c r="B241" s="605"/>
      <c r="C241" s="605"/>
      <c r="D241" s="605"/>
      <c r="E241" s="605"/>
      <c r="F241" s="605"/>
      <c r="G241" s="605"/>
      <c r="H241" s="605"/>
      <c r="I241" s="605"/>
      <c r="J241" s="605"/>
      <c r="K241" s="605"/>
      <c r="L241" s="605"/>
      <c r="M241" s="605"/>
      <c r="N241" s="605"/>
      <c r="O241" s="536"/>
      <c r="P241" s="536"/>
      <c r="Q241" s="536"/>
      <c r="R241" s="536"/>
    </row>
    <row r="242" spans="1:18" ht="15" customHeight="1">
      <c r="A242" s="709" t="s">
        <v>102</v>
      </c>
      <c r="B242" s="584">
        <f ca="1">+'inversion af'!C104+'inversion af'!C126</f>
        <v>47350000</v>
      </c>
      <c r="C242" s="584"/>
      <c r="D242" s="584"/>
      <c r="E242" s="584"/>
      <c r="F242" s="584">
        <f ca="1">+'inversion af'!D104+'inversion af'!D126</f>
        <v>0</v>
      </c>
      <c r="G242" s="584"/>
      <c r="H242" s="584"/>
      <c r="I242" s="584">
        <f ca="1">+'inversion af'!E104+'inversion af'!E126</f>
        <v>0</v>
      </c>
      <c r="J242" s="584"/>
      <c r="K242" s="584"/>
      <c r="L242" s="584">
        <f ca="1">+'inversion af'!F104+'inversion af'!F126</f>
        <v>0</v>
      </c>
      <c r="M242" s="584"/>
      <c r="N242" s="584"/>
      <c r="O242" s="536"/>
      <c r="P242" s="536"/>
      <c r="Q242" s="536"/>
      <c r="R242" s="536"/>
    </row>
    <row r="243" spans="1:18" ht="15" customHeight="1">
      <c r="A243" s="709" t="s">
        <v>103</v>
      </c>
      <c r="B243" s="584">
        <f>+'inversion af'!C177+'inversion af'!C179</f>
        <v>70000000</v>
      </c>
      <c r="C243" s="584"/>
      <c r="D243" s="584"/>
      <c r="E243" s="584"/>
      <c r="F243" s="584">
        <f>+'inversion af'!D177+'inversion af'!D179</f>
        <v>0</v>
      </c>
      <c r="G243" s="584"/>
      <c r="H243" s="584"/>
      <c r="I243" s="584">
        <f>+'inversion af'!E177+'inversion af'!E179</f>
        <v>0</v>
      </c>
      <c r="J243" s="584"/>
      <c r="K243" s="584"/>
      <c r="L243" s="584">
        <f>+'inversion af'!F177+'inversion af'!F179</f>
        <v>0</v>
      </c>
      <c r="M243" s="584"/>
      <c r="N243" s="584"/>
      <c r="O243" s="536"/>
      <c r="P243" s="536"/>
      <c r="Q243" s="536"/>
      <c r="R243" s="536"/>
    </row>
    <row r="244" spans="1:18" ht="15" customHeight="1">
      <c r="A244" s="708" t="s">
        <v>104</v>
      </c>
      <c r="B244" s="605"/>
      <c r="C244" s="605"/>
      <c r="D244" s="605"/>
      <c r="E244" s="605"/>
      <c r="F244" s="605"/>
      <c r="G244" s="605"/>
      <c r="H244" s="605"/>
      <c r="I244" s="605"/>
      <c r="J244" s="605"/>
      <c r="K244" s="605"/>
      <c r="L244" s="605"/>
      <c r="M244" s="605"/>
      <c r="N244" s="605"/>
      <c r="O244" s="536"/>
      <c r="P244" s="536"/>
      <c r="Q244" s="536"/>
      <c r="R244" s="536"/>
    </row>
    <row r="245" spans="1:18" ht="15" customHeight="1">
      <c r="A245" s="709" t="s">
        <v>102</v>
      </c>
      <c r="B245" s="584">
        <f ca="1">+'inversion af'!C115</f>
        <v>0</v>
      </c>
      <c r="C245" s="584"/>
      <c r="D245" s="584"/>
      <c r="E245" s="584"/>
      <c r="F245" s="584">
        <f ca="1">+'inversion af'!D115</f>
        <v>0</v>
      </c>
      <c r="G245" s="584"/>
      <c r="H245" s="584"/>
      <c r="I245" s="584">
        <f ca="1">+'inversion af'!E115</f>
        <v>0</v>
      </c>
      <c r="J245" s="584"/>
      <c r="K245" s="584"/>
      <c r="L245" s="584">
        <f ca="1">+'inversion af'!F115</f>
        <v>0</v>
      </c>
      <c r="M245" s="584"/>
      <c r="N245" s="584"/>
      <c r="O245" s="536"/>
      <c r="P245" s="536"/>
      <c r="Q245" s="536"/>
      <c r="R245" s="536"/>
    </row>
    <row r="246" spans="1:18" ht="15" customHeight="1">
      <c r="A246" s="709" t="s">
        <v>103</v>
      </c>
      <c r="B246" s="584">
        <f>+'inversion af'!C178</f>
        <v>0</v>
      </c>
      <c r="C246" s="584"/>
      <c r="D246" s="584"/>
      <c r="E246" s="584">
        <f>+'inversion af'!D178</f>
        <v>0</v>
      </c>
      <c r="F246" s="584"/>
      <c r="G246" s="584"/>
      <c r="H246" s="584"/>
      <c r="I246" s="584">
        <f>+'inversion af'!E178</f>
        <v>0</v>
      </c>
      <c r="J246" s="584"/>
      <c r="K246" s="584"/>
      <c r="L246" s="584">
        <f>+'inversion af'!F178</f>
        <v>0</v>
      </c>
      <c r="M246" s="584"/>
      <c r="N246" s="584"/>
      <c r="O246" s="536"/>
      <c r="P246" s="536"/>
      <c r="Q246" s="536"/>
      <c r="R246" s="536"/>
    </row>
    <row r="247" spans="1:18" ht="15" customHeight="1">
      <c r="A247" s="732" t="s">
        <v>105</v>
      </c>
      <c r="B247" s="597">
        <f t="shared" ref="B247:N247" ca="1" si="22">SUM(B242:B246)</f>
        <v>117350000</v>
      </c>
      <c r="C247" s="584">
        <f t="shared" si="22"/>
        <v>0</v>
      </c>
      <c r="D247" s="584">
        <f t="shared" si="22"/>
        <v>0</v>
      </c>
      <c r="E247" s="584">
        <f t="shared" si="22"/>
        <v>0</v>
      </c>
      <c r="F247" s="584">
        <f t="shared" ca="1" si="22"/>
        <v>0</v>
      </c>
      <c r="G247" s="584">
        <f t="shared" si="22"/>
        <v>0</v>
      </c>
      <c r="H247" s="584">
        <f t="shared" si="22"/>
        <v>0</v>
      </c>
      <c r="I247" s="584">
        <f t="shared" ca="1" si="22"/>
        <v>0</v>
      </c>
      <c r="J247" s="584">
        <f t="shared" si="22"/>
        <v>0</v>
      </c>
      <c r="K247" s="584">
        <f t="shared" si="22"/>
        <v>0</v>
      </c>
      <c r="L247" s="584">
        <f t="shared" ca="1" si="22"/>
        <v>0</v>
      </c>
      <c r="M247" s="584">
        <f t="shared" si="22"/>
        <v>0</v>
      </c>
      <c r="N247" s="584">
        <f t="shared" si="22"/>
        <v>0</v>
      </c>
      <c r="O247" s="536"/>
      <c r="P247" s="536"/>
      <c r="Q247" s="536"/>
      <c r="R247" s="536"/>
    </row>
    <row r="248" spans="1:18" ht="15" customHeight="1">
      <c r="A248" s="708" t="s">
        <v>106</v>
      </c>
      <c r="B248" s="605"/>
      <c r="C248" s="605"/>
      <c r="D248" s="605"/>
      <c r="E248" s="605"/>
      <c r="F248" s="605"/>
      <c r="G248" s="605"/>
      <c r="H248" s="605"/>
      <c r="I248" s="605"/>
      <c r="J248" s="605"/>
      <c r="K248" s="605"/>
      <c r="L248" s="605"/>
      <c r="M248" s="605"/>
      <c r="N248" s="605"/>
      <c r="O248" s="536"/>
      <c r="P248" s="536"/>
      <c r="Q248" s="536"/>
      <c r="R248" s="536"/>
    </row>
    <row r="249" spans="1:18" ht="15" customHeight="1">
      <c r="A249" s="709" t="s">
        <v>107</v>
      </c>
      <c r="B249" s="584">
        <f>+'cost fijos'!B126*'cost fijos'!A127</f>
        <v>0</v>
      </c>
      <c r="C249" s="584"/>
      <c r="D249" s="584"/>
      <c r="E249" s="584"/>
      <c r="F249" s="584"/>
      <c r="G249" s="584"/>
      <c r="H249" s="584"/>
      <c r="I249" s="584"/>
      <c r="J249" s="584"/>
      <c r="K249" s="584"/>
      <c r="L249" s="584"/>
      <c r="M249" s="584"/>
      <c r="N249" s="584"/>
      <c r="O249" s="536"/>
      <c r="P249" s="536"/>
      <c r="Q249" s="536"/>
      <c r="R249" s="536"/>
    </row>
    <row r="250" spans="1:18" ht="15" customHeight="1">
      <c r="A250" s="709" t="s">
        <v>108</v>
      </c>
      <c r="B250" s="584"/>
      <c r="C250" s="584">
        <f ca="1">+'inver y financ'!$C250</f>
        <v>0</v>
      </c>
      <c r="D250" s="584">
        <f ca="1">+'inver y financ'!$C251</f>
        <v>0</v>
      </c>
      <c r="E250" s="584">
        <f ca="1">+'inver y financ'!$C252</f>
        <v>0</v>
      </c>
      <c r="F250" s="584">
        <f ca="1">+'inver y financ'!$C253</f>
        <v>0</v>
      </c>
      <c r="G250" s="584">
        <f ca="1">+'inver y financ'!$C254</f>
        <v>0</v>
      </c>
      <c r="H250" s="584">
        <f ca="1">+'inver y financ'!$C255</f>
        <v>0</v>
      </c>
      <c r="I250" s="584">
        <f ca="1">+'inver y financ'!$C256</f>
        <v>0</v>
      </c>
      <c r="J250" s="584">
        <f ca="1">+'inver y financ'!$C257</f>
        <v>0</v>
      </c>
      <c r="K250" s="584">
        <f ca="1">+'inver y financ'!$C258</f>
        <v>0</v>
      </c>
      <c r="L250" s="584">
        <f ca="1">+'inver y financ'!$C259</f>
        <v>0</v>
      </c>
      <c r="M250" s="584">
        <f ca="1">+'inver y financ'!$C260</f>
        <v>0</v>
      </c>
      <c r="N250" s="584">
        <f ca="1">+'inver y financ'!$C261</f>
        <v>0</v>
      </c>
      <c r="O250" s="536"/>
      <c r="P250" s="536"/>
      <c r="Q250" s="536"/>
      <c r="R250" s="536"/>
    </row>
    <row r="251" spans="1:18" ht="15" customHeight="1">
      <c r="A251" s="709" t="s">
        <v>109</v>
      </c>
      <c r="B251" s="584"/>
      <c r="C251" s="584">
        <f>+'inver y financ'!$G250</f>
        <v>0</v>
      </c>
      <c r="D251" s="584">
        <f>+'inver y financ'!$G251</f>
        <v>0</v>
      </c>
      <c r="E251" s="584">
        <f>+'inver y financ'!$G252</f>
        <v>0</v>
      </c>
      <c r="F251" s="584">
        <f>+'inver y financ'!$G253</f>
        <v>0</v>
      </c>
      <c r="G251" s="584">
        <f>+'inver y financ'!$G254</f>
        <v>0</v>
      </c>
      <c r="H251" s="584">
        <f>+'inver y financ'!$G255</f>
        <v>0</v>
      </c>
      <c r="I251" s="584">
        <f>+'inver y financ'!$G256</f>
        <v>0</v>
      </c>
      <c r="J251" s="584">
        <f>+'inver y financ'!$G257</f>
        <v>0</v>
      </c>
      <c r="K251" s="584">
        <f>+'inver y financ'!$G258</f>
        <v>0</v>
      </c>
      <c r="L251" s="584">
        <f>+'inver y financ'!$G259</f>
        <v>0</v>
      </c>
      <c r="M251" s="584">
        <f>+'inver y financ'!$G260</f>
        <v>0</v>
      </c>
      <c r="N251" s="584">
        <f>+'inver y financ'!$G261</f>
        <v>0</v>
      </c>
      <c r="O251" s="536"/>
      <c r="P251" s="536"/>
      <c r="Q251" s="536"/>
      <c r="R251" s="536"/>
    </row>
    <row r="252" spans="1:18" ht="15" customHeight="1">
      <c r="A252" s="709" t="s">
        <v>110</v>
      </c>
      <c r="B252" s="584"/>
      <c r="C252" s="584"/>
      <c r="D252" s="584"/>
      <c r="E252" s="584"/>
      <c r="F252" s="584"/>
      <c r="G252" s="584"/>
      <c r="H252" s="584"/>
      <c r="I252" s="584"/>
      <c r="J252" s="584"/>
      <c r="K252" s="584"/>
      <c r="L252" s="584"/>
      <c r="M252" s="584"/>
      <c r="N252" s="584"/>
      <c r="O252" s="536"/>
      <c r="P252" s="536"/>
      <c r="Q252" s="536"/>
      <c r="R252" s="536"/>
    </row>
    <row r="253" spans="1:18" ht="15" customHeight="1">
      <c r="A253" s="709" t="s">
        <v>111</v>
      </c>
      <c r="B253" s="584"/>
      <c r="C253" s="584"/>
      <c r="D253" s="584"/>
      <c r="E253" s="584"/>
      <c r="F253" s="584"/>
      <c r="G253" s="584"/>
      <c r="H253" s="584"/>
      <c r="I253" s="584"/>
      <c r="J253" s="584"/>
      <c r="K253" s="584"/>
      <c r="L253" s="584"/>
      <c r="M253" s="584"/>
      <c r="N253" s="584"/>
      <c r="O253" s="536"/>
      <c r="P253" s="536"/>
      <c r="Q253" s="536"/>
      <c r="R253" s="536"/>
    </row>
    <row r="254" spans="1:18" ht="15" customHeight="1">
      <c r="A254" s="709" t="s">
        <v>112</v>
      </c>
      <c r="B254" s="584">
        <f ca="1">+'inversion af'!C104+'inversion af'!C126+'inversion af'!C115</f>
        <v>47350000</v>
      </c>
      <c r="C254" s="584"/>
      <c r="D254" s="584"/>
      <c r="E254" s="584"/>
      <c r="F254" s="584">
        <f ca="1">+'inversion af'!D104+'inversion af'!D115+'inversion af'!D126</f>
        <v>0</v>
      </c>
      <c r="G254" s="584"/>
      <c r="H254" s="584"/>
      <c r="I254" s="584">
        <f ca="1">+'inversion af'!E104+'inversion af'!E115+'inversion af'!E126</f>
        <v>0</v>
      </c>
      <c r="J254" s="584"/>
      <c r="K254" s="584"/>
      <c r="L254" s="584">
        <f ca="1">+'inversion af'!F104+'inversion af'!F115+'inversion af'!F126</f>
        <v>0</v>
      </c>
      <c r="M254" s="584"/>
      <c r="N254" s="584"/>
      <c r="O254" s="536"/>
      <c r="P254" s="536"/>
      <c r="Q254" s="536"/>
      <c r="R254" s="536"/>
    </row>
    <row r="255" spans="1:18" ht="15" customHeight="1">
      <c r="A255" s="732" t="s">
        <v>120</v>
      </c>
      <c r="B255" s="597">
        <f t="shared" ref="B255:N255" ca="1" si="23">SUM(B249:B254)</f>
        <v>47350000</v>
      </c>
      <c r="C255" s="597">
        <f t="shared" ca="1" si="23"/>
        <v>0</v>
      </c>
      <c r="D255" s="597">
        <f t="shared" ca="1" si="23"/>
        <v>0</v>
      </c>
      <c r="E255" s="597">
        <f t="shared" ca="1" si="23"/>
        <v>0</v>
      </c>
      <c r="F255" s="597">
        <f t="shared" ca="1" si="23"/>
        <v>0</v>
      </c>
      <c r="G255" s="597">
        <f t="shared" ca="1" si="23"/>
        <v>0</v>
      </c>
      <c r="H255" s="597">
        <f t="shared" ca="1" si="23"/>
        <v>0</v>
      </c>
      <c r="I255" s="597">
        <f t="shared" ca="1" si="23"/>
        <v>0</v>
      </c>
      <c r="J255" s="597">
        <f t="shared" ca="1" si="23"/>
        <v>0</v>
      </c>
      <c r="K255" s="597">
        <f t="shared" ca="1" si="23"/>
        <v>0</v>
      </c>
      <c r="L255" s="597">
        <f t="shared" ca="1" si="23"/>
        <v>0</v>
      </c>
      <c r="M255" s="597">
        <f t="shared" ca="1" si="23"/>
        <v>0</v>
      </c>
      <c r="N255" s="597">
        <f t="shared" ca="1" si="23"/>
        <v>0</v>
      </c>
      <c r="O255" s="536"/>
      <c r="P255" s="536"/>
      <c r="Q255" s="536"/>
      <c r="R255" s="536"/>
    </row>
    <row r="256" spans="1:18" ht="15" customHeight="1">
      <c r="A256" s="732" t="s">
        <v>113</v>
      </c>
      <c r="B256" s="597">
        <f t="shared" ref="B256:N256" ca="1" si="24">B247-B255</f>
        <v>70000000</v>
      </c>
      <c r="C256" s="597">
        <f t="shared" ca="1" si="24"/>
        <v>0</v>
      </c>
      <c r="D256" s="597">
        <f t="shared" ca="1" si="24"/>
        <v>0</v>
      </c>
      <c r="E256" s="597">
        <f t="shared" ca="1" si="24"/>
        <v>0</v>
      </c>
      <c r="F256" s="597">
        <f t="shared" ca="1" si="24"/>
        <v>0</v>
      </c>
      <c r="G256" s="597">
        <f t="shared" ca="1" si="24"/>
        <v>0</v>
      </c>
      <c r="H256" s="597">
        <f t="shared" ca="1" si="24"/>
        <v>0</v>
      </c>
      <c r="I256" s="597">
        <f t="shared" ca="1" si="24"/>
        <v>0</v>
      </c>
      <c r="J256" s="597">
        <f t="shared" ca="1" si="24"/>
        <v>0</v>
      </c>
      <c r="K256" s="597">
        <f t="shared" ca="1" si="24"/>
        <v>0</v>
      </c>
      <c r="L256" s="597">
        <f t="shared" ca="1" si="24"/>
        <v>0</v>
      </c>
      <c r="M256" s="597">
        <f t="shared" ca="1" si="24"/>
        <v>0</v>
      </c>
      <c r="N256" s="597">
        <f t="shared" ca="1" si="24"/>
        <v>0</v>
      </c>
      <c r="O256" s="536"/>
      <c r="P256" s="536"/>
      <c r="Q256" s="536"/>
      <c r="R256" s="536"/>
    </row>
    <row r="257" spans="1:18" ht="15" customHeight="1">
      <c r="A257" s="732" t="s">
        <v>114</v>
      </c>
      <c r="B257" s="735">
        <f t="shared" ref="B257:N257" ca="1" si="25">B239+B256</f>
        <v>61264000</v>
      </c>
      <c r="C257" s="735">
        <f t="shared" ca="1" si="25"/>
        <v>-17621851.466666669</v>
      </c>
      <c r="D257" s="735">
        <f t="shared" ca="1" si="25"/>
        <v>-18924882.266666666</v>
      </c>
      <c r="E257" s="735">
        <f t="shared" ca="1" si="25"/>
        <v>-18924882.266666666</v>
      </c>
      <c r="F257" s="735">
        <f t="shared" ca="1" si="25"/>
        <v>-1428882.2666666657</v>
      </c>
      <c r="G257" s="735">
        <f t="shared" ca="1" si="25"/>
        <v>-234974.66666666791</v>
      </c>
      <c r="H257" s="735">
        <f t="shared" ca="1" si="25"/>
        <v>1432556.1333333328</v>
      </c>
      <c r="I257" s="735">
        <f t="shared" ca="1" si="25"/>
        <v>2735586.9333333299</v>
      </c>
      <c r="J257" s="735">
        <f t="shared" ca="1" si="25"/>
        <v>11483586.93333333</v>
      </c>
      <c r="K257" s="735">
        <f t="shared" ca="1" si="25"/>
        <v>9661086.9333333299</v>
      </c>
      <c r="L257" s="735">
        <f t="shared" ca="1" si="25"/>
        <v>3774525.3333333321</v>
      </c>
      <c r="M257" s="735">
        <f t="shared" ca="1" si="25"/>
        <v>-1802097.8666666672</v>
      </c>
      <c r="N257" s="735">
        <f t="shared" ca="1" si="25"/>
        <v>8622148.5333333313</v>
      </c>
      <c r="O257" s="536"/>
      <c r="P257" s="536"/>
      <c r="Q257" s="536"/>
      <c r="R257" s="536"/>
    </row>
    <row r="258" spans="1:18" s="712" customFormat="1" ht="15" customHeight="1">
      <c r="A258" s="710" t="s">
        <v>115</v>
      </c>
      <c r="B258" s="736"/>
      <c r="C258" s="736">
        <f t="shared" ref="C258:N258" ca="1" si="26">B259</f>
        <v>61264000</v>
      </c>
      <c r="D258" s="736">
        <f t="shared" ca="1" si="26"/>
        <v>43642148.533333331</v>
      </c>
      <c r="E258" s="736">
        <f t="shared" ca="1" si="26"/>
        <v>24717266.266666666</v>
      </c>
      <c r="F258" s="736">
        <f t="shared" ca="1" si="26"/>
        <v>5792384</v>
      </c>
      <c r="G258" s="736">
        <f t="shared" ca="1" si="26"/>
        <v>4363501.7333333343</v>
      </c>
      <c r="H258" s="736">
        <f t="shared" ca="1" si="26"/>
        <v>4128527.0666666664</v>
      </c>
      <c r="I258" s="736">
        <f t="shared" ca="1" si="26"/>
        <v>5561083.1999999993</v>
      </c>
      <c r="J258" s="736">
        <f t="shared" ca="1" si="26"/>
        <v>8296670.1333333291</v>
      </c>
      <c r="K258" s="736">
        <f t="shared" ca="1" si="26"/>
        <v>19780257.066666659</v>
      </c>
      <c r="L258" s="736">
        <f t="shared" ca="1" si="26"/>
        <v>29441343.999999989</v>
      </c>
      <c r="M258" s="736">
        <f t="shared" ca="1" si="26"/>
        <v>33215869.333333321</v>
      </c>
      <c r="N258" s="736">
        <f t="shared" ca="1" si="26"/>
        <v>31413771.466666654</v>
      </c>
      <c r="O258" s="711"/>
      <c r="P258" s="711"/>
      <c r="Q258" s="711"/>
      <c r="R258" s="711"/>
    </row>
    <row r="259" spans="1:18" s="712" customFormat="1" ht="15" customHeight="1">
      <c r="A259" s="710" t="s">
        <v>116</v>
      </c>
      <c r="B259" s="736">
        <f ca="1">B257</f>
        <v>61264000</v>
      </c>
      <c r="C259" s="736">
        <f t="shared" ref="C259:N259" ca="1" si="27">C257+C258</f>
        <v>43642148.533333331</v>
      </c>
      <c r="D259" s="736">
        <f t="shared" ca="1" si="27"/>
        <v>24717266.266666666</v>
      </c>
      <c r="E259" s="736">
        <f t="shared" ca="1" si="27"/>
        <v>5792384</v>
      </c>
      <c r="F259" s="736">
        <f t="shared" ca="1" si="27"/>
        <v>4363501.7333333343</v>
      </c>
      <c r="G259" s="736">
        <f t="shared" ca="1" si="27"/>
        <v>4128527.0666666664</v>
      </c>
      <c r="H259" s="736">
        <f t="shared" ca="1" si="27"/>
        <v>5561083.1999999993</v>
      </c>
      <c r="I259" s="736">
        <f t="shared" ca="1" si="27"/>
        <v>8296670.1333333291</v>
      </c>
      <c r="J259" s="736">
        <f t="shared" ca="1" si="27"/>
        <v>19780257.066666659</v>
      </c>
      <c r="K259" s="736">
        <f t="shared" ca="1" si="27"/>
        <v>29441343.999999989</v>
      </c>
      <c r="L259" s="736">
        <f t="shared" ca="1" si="27"/>
        <v>33215869.333333321</v>
      </c>
      <c r="M259" s="736">
        <f t="shared" ca="1" si="27"/>
        <v>31413771.466666654</v>
      </c>
      <c r="N259" s="736">
        <f t="shared" ca="1" si="27"/>
        <v>40035919.999999985</v>
      </c>
      <c r="O259" s="711"/>
      <c r="P259" s="711"/>
      <c r="Q259" s="711"/>
      <c r="R259" s="711"/>
    </row>
    <row r="260" spans="1:18" ht="15" customHeight="1">
      <c r="A260" s="590"/>
      <c r="B260" s="592"/>
      <c r="C260" s="592"/>
      <c r="D260" s="592"/>
      <c r="E260" s="592"/>
      <c r="F260" s="592"/>
      <c r="G260" s="592"/>
      <c r="H260" s="536"/>
      <c r="I260" s="713"/>
      <c r="J260" s="536"/>
      <c r="K260" s="713"/>
      <c r="L260" s="536"/>
      <c r="M260" s="713"/>
      <c r="N260" s="536"/>
      <c r="O260" s="536"/>
      <c r="P260" s="536"/>
      <c r="Q260" s="536"/>
      <c r="R260" s="536"/>
    </row>
    <row r="261" spans="1:18" ht="20.25" customHeight="1">
      <c r="A261" s="1169" t="str">
        <f ca="1">+ayuda!A161</f>
        <v>EL PROYECTO PRESENTA SU MENOR SUPERAVIT  EN EL MES 5 POR VALOR DE $4.128.527, ES NECESARIO QUE SE DESCUENTE DEL VALOR DE LOS INVENTARIOS, EN CASO DE SER REQUERIDOS. CON ESTE VALOR EL PROYECTO ES VIABLE.</v>
      </c>
      <c r="B261" s="1170"/>
      <c r="C261" s="1170"/>
      <c r="D261" s="1170"/>
      <c r="E261" s="1170"/>
      <c r="F261" s="592"/>
      <c r="G261" s="592"/>
      <c r="H261" s="536"/>
      <c r="I261" s="713"/>
      <c r="J261" s="536"/>
      <c r="K261" s="713"/>
      <c r="L261" s="536"/>
      <c r="M261" s="713"/>
      <c r="N261" s="536"/>
      <c r="O261" s="536"/>
      <c r="P261" s="536"/>
      <c r="Q261" s="536"/>
      <c r="R261" s="536"/>
    </row>
    <row r="262" spans="1:18" ht="15" customHeight="1">
      <c r="A262" s="1170"/>
      <c r="B262" s="1170"/>
      <c r="C262" s="1170"/>
      <c r="D262" s="1170"/>
      <c r="E262" s="1170"/>
      <c r="F262" s="592"/>
      <c r="G262" s="592"/>
      <c r="H262" s="536"/>
      <c r="I262" s="713"/>
      <c r="J262" s="536"/>
      <c r="K262" s="713"/>
      <c r="L262" s="536"/>
      <c r="M262" s="713"/>
      <c r="N262" s="536"/>
      <c r="O262" s="536"/>
      <c r="P262" s="536"/>
      <c r="Q262" s="536"/>
      <c r="R262" s="536"/>
    </row>
    <row r="263" spans="1:18" ht="15" customHeight="1">
      <c r="A263" s="1170"/>
      <c r="B263" s="1170"/>
      <c r="C263" s="1170"/>
      <c r="D263" s="1170"/>
      <c r="E263" s="1170"/>
      <c r="F263" s="605"/>
      <c r="G263" s="605"/>
      <c r="H263" s="536"/>
      <c r="I263" s="713"/>
      <c r="J263" s="536"/>
      <c r="K263" s="713"/>
      <c r="L263" s="536"/>
      <c r="M263" s="713"/>
      <c r="N263" s="536"/>
      <c r="O263" s="536"/>
      <c r="P263" s="536"/>
      <c r="Q263" s="536"/>
      <c r="R263" s="536"/>
    </row>
    <row r="264" spans="1:18" ht="15" customHeight="1">
      <c r="A264" s="1170"/>
      <c r="B264" s="1170"/>
      <c r="C264" s="1170"/>
      <c r="D264" s="1170"/>
      <c r="E264" s="1170"/>
      <c r="F264" s="590"/>
      <c r="G264" s="590"/>
      <c r="H264" s="536"/>
      <c r="I264" s="536"/>
      <c r="J264" s="536"/>
      <c r="K264" s="536"/>
      <c r="L264" s="536"/>
      <c r="M264" s="536"/>
      <c r="N264" s="536"/>
      <c r="O264" s="536"/>
      <c r="P264" s="536"/>
      <c r="Q264" s="536"/>
      <c r="R264" s="536"/>
    </row>
    <row r="265" spans="1:18" ht="15" customHeight="1">
      <c r="A265" s="536"/>
      <c r="B265" s="536"/>
      <c r="C265" s="536"/>
      <c r="D265" s="536"/>
      <c r="E265" s="536"/>
      <c r="F265" s="536"/>
      <c r="G265" s="536"/>
      <c r="H265" s="536"/>
      <c r="I265" s="536"/>
      <c r="J265" s="536"/>
      <c r="K265" s="536"/>
      <c r="L265" s="536"/>
      <c r="M265" s="536"/>
      <c r="N265" s="536"/>
      <c r="O265" s="536"/>
      <c r="P265" s="536"/>
      <c r="Q265" s="536"/>
      <c r="R265" s="536"/>
    </row>
    <row r="266" spans="1:18" ht="15" customHeight="1">
      <c r="A266" s="702"/>
      <c r="B266" s="536"/>
      <c r="C266" s="536"/>
      <c r="D266" s="536"/>
      <c r="E266" s="536"/>
      <c r="F266" s="536"/>
      <c r="G266" s="536"/>
      <c r="H266" s="536"/>
      <c r="I266" s="536"/>
      <c r="J266" s="536"/>
      <c r="K266" s="536"/>
      <c r="L266" s="536"/>
      <c r="M266" s="536"/>
      <c r="N266" s="536"/>
      <c r="O266" s="536"/>
      <c r="P266" s="536"/>
      <c r="Q266" s="536"/>
      <c r="R266" s="536"/>
    </row>
    <row r="267" spans="1:18" ht="17.25" customHeight="1">
      <c r="A267" s="580" t="s">
        <v>84</v>
      </c>
      <c r="B267" s="536"/>
      <c r="C267" s="536"/>
      <c r="D267" s="536"/>
      <c r="E267" s="536"/>
      <c r="F267" s="536"/>
      <c r="G267" s="536"/>
      <c r="H267" s="536"/>
      <c r="I267" s="536"/>
      <c r="J267" s="536"/>
      <c r="K267" s="536"/>
      <c r="L267" s="536"/>
      <c r="M267" s="536"/>
      <c r="N267" s="536"/>
      <c r="O267" s="536"/>
      <c r="P267" s="536"/>
      <c r="Q267" s="536"/>
      <c r="R267" s="536"/>
    </row>
    <row r="268" spans="1:18" ht="15" customHeight="1">
      <c r="A268" s="707" t="s">
        <v>635</v>
      </c>
      <c r="B268" s="707" t="s">
        <v>600</v>
      </c>
      <c r="C268" s="707" t="s">
        <v>601</v>
      </c>
      <c r="D268" s="707" t="s">
        <v>602</v>
      </c>
      <c r="E268" s="680"/>
      <c r="F268" s="680"/>
      <c r="G268" s="536"/>
      <c r="H268" s="536"/>
      <c r="I268" s="536"/>
      <c r="J268" s="536"/>
      <c r="K268" s="536"/>
      <c r="L268" s="536"/>
      <c r="M268" s="536"/>
      <c r="N268" s="536"/>
      <c r="O268" s="536"/>
      <c r="P268" s="536"/>
      <c r="Q268" s="536"/>
      <c r="R268" s="536"/>
    </row>
    <row r="269" spans="1:18" ht="15" customHeight="1">
      <c r="A269" s="708" t="s">
        <v>85</v>
      </c>
      <c r="B269" s="536"/>
      <c r="C269" s="536"/>
      <c r="D269" s="536"/>
      <c r="E269" s="536"/>
      <c r="F269" s="536"/>
      <c r="G269" s="536"/>
      <c r="H269" s="536"/>
      <c r="I269" s="536"/>
      <c r="J269" s="536"/>
      <c r="K269" s="536"/>
      <c r="L269" s="536"/>
      <c r="M269" s="536"/>
      <c r="N269" s="536"/>
      <c r="O269" s="536"/>
      <c r="P269" s="536"/>
      <c r="Q269" s="536"/>
      <c r="R269" s="536"/>
    </row>
    <row r="270" spans="1:18" ht="15" customHeight="1">
      <c r="A270" s="709" t="s">
        <v>86</v>
      </c>
      <c r="B270" s="584">
        <f t="shared" ref="B270:B275" si="28">SUM(B224:N224)</f>
        <v>36450000</v>
      </c>
      <c r="C270" s="584">
        <f>+ventas!O186</f>
        <v>41417433</v>
      </c>
      <c r="D270" s="584">
        <f>+ventas!P186</f>
        <v>48446104.590000004</v>
      </c>
      <c r="E270" s="605"/>
      <c r="F270" s="605"/>
      <c r="G270" s="536"/>
      <c r="H270" s="536"/>
      <c r="I270" s="536"/>
      <c r="J270" s="536"/>
      <c r="K270" s="536"/>
      <c r="L270" s="536"/>
      <c r="M270" s="536"/>
      <c r="N270" s="536"/>
      <c r="O270" s="536"/>
      <c r="P270" s="536"/>
      <c r="Q270" s="536"/>
      <c r="R270" s="536"/>
    </row>
    <row r="271" spans="1:18" ht="15" customHeight="1">
      <c r="A271" s="709" t="s">
        <v>87</v>
      </c>
      <c r="B271" s="584">
        <f t="shared" si="28"/>
        <v>0</v>
      </c>
      <c r="C271" s="584">
        <f>+ventas!O187</f>
        <v>0</v>
      </c>
      <c r="D271" s="584">
        <f>+ventas!P187</f>
        <v>0</v>
      </c>
      <c r="E271" s="605"/>
      <c r="F271" s="605"/>
      <c r="G271" s="536"/>
      <c r="H271" s="536"/>
      <c r="I271" s="536"/>
      <c r="J271" s="536"/>
      <c r="K271" s="536"/>
      <c r="L271" s="536"/>
      <c r="M271" s="536"/>
      <c r="N271" s="536"/>
      <c r="O271" s="536"/>
      <c r="P271" s="536"/>
      <c r="Q271" s="536"/>
      <c r="R271" s="536"/>
    </row>
    <row r="272" spans="1:18" ht="15" customHeight="1">
      <c r="A272" s="709" t="s">
        <v>88</v>
      </c>
      <c r="B272" s="584">
        <f t="shared" si="28"/>
        <v>0</v>
      </c>
      <c r="C272" s="584">
        <f>+ventas!O188</f>
        <v>0</v>
      </c>
      <c r="D272" s="584">
        <f>+ventas!P188</f>
        <v>0</v>
      </c>
      <c r="E272" s="605"/>
      <c r="F272" s="605"/>
      <c r="G272" s="536"/>
      <c r="H272" s="536"/>
      <c r="I272" s="536"/>
      <c r="J272" s="536"/>
      <c r="K272" s="536"/>
      <c r="L272" s="536"/>
      <c r="M272" s="536"/>
      <c r="N272" s="536"/>
      <c r="O272" s="536"/>
      <c r="P272" s="536"/>
      <c r="Q272" s="536"/>
      <c r="R272" s="536"/>
    </row>
    <row r="273" spans="1:18" ht="15" customHeight="1">
      <c r="A273" s="709" t="s">
        <v>89</v>
      </c>
      <c r="B273" s="584">
        <f t="shared" si="28"/>
        <v>204120000</v>
      </c>
      <c r="C273" s="584">
        <f>+ventas!O189</f>
        <v>319417624.79999995</v>
      </c>
      <c r="D273" s="584">
        <f>+ventas!P189</f>
        <v>370700024.90400004</v>
      </c>
      <c r="E273" s="605"/>
      <c r="F273" s="605"/>
      <c r="G273" s="536"/>
      <c r="H273" s="536"/>
      <c r="I273" s="536"/>
      <c r="J273" s="536"/>
      <c r="K273" s="536"/>
      <c r="L273" s="536"/>
      <c r="M273" s="536"/>
      <c r="N273" s="536"/>
      <c r="O273" s="536"/>
      <c r="P273" s="536"/>
      <c r="Q273" s="536"/>
      <c r="R273" s="536"/>
    </row>
    <row r="274" spans="1:18" ht="15" customHeight="1">
      <c r="A274" s="709" t="s">
        <v>90</v>
      </c>
      <c r="B274" s="584">
        <f t="shared" si="28"/>
        <v>22599000</v>
      </c>
      <c r="C274" s="584">
        <f>+ventas!O190</f>
        <v>39529808.459999993</v>
      </c>
      <c r="D274" s="584">
        <f>+ventas!P190</f>
        <v>45775209.385800004</v>
      </c>
      <c r="E274" s="605"/>
      <c r="F274" s="605"/>
      <c r="G274" s="536"/>
      <c r="H274" s="536"/>
      <c r="I274" s="536"/>
      <c r="J274" s="536"/>
      <c r="K274" s="536"/>
      <c r="L274" s="536"/>
      <c r="M274" s="536"/>
      <c r="N274" s="536"/>
      <c r="O274" s="536"/>
      <c r="P274" s="536"/>
      <c r="Q274" s="536"/>
      <c r="R274" s="536"/>
    </row>
    <row r="275" spans="1:18" ht="15" customHeight="1">
      <c r="A275" s="709" t="s">
        <v>91</v>
      </c>
      <c r="B275" s="584">
        <f t="shared" si="28"/>
        <v>0</v>
      </c>
      <c r="C275" s="584">
        <f>+ventas!O191</f>
        <v>0</v>
      </c>
      <c r="D275" s="584">
        <f>+ventas!P191</f>
        <v>0</v>
      </c>
      <c r="E275" s="605"/>
      <c r="F275" s="605"/>
      <c r="G275" s="536"/>
      <c r="H275" s="536"/>
      <c r="I275" s="536"/>
      <c r="J275" s="536"/>
      <c r="K275" s="536"/>
      <c r="L275" s="536"/>
      <c r="M275" s="536"/>
      <c r="N275" s="536"/>
      <c r="O275" s="536"/>
      <c r="P275" s="536"/>
      <c r="Q275" s="536"/>
      <c r="R275" s="536"/>
    </row>
    <row r="276" spans="1:18" ht="15" customHeight="1">
      <c r="A276" s="732" t="s">
        <v>92</v>
      </c>
      <c r="B276" s="597">
        <f>SUM(B270:B275)</f>
        <v>263169000</v>
      </c>
      <c r="C276" s="597">
        <f>SUM(C270:C275)</f>
        <v>400364866.25999993</v>
      </c>
      <c r="D276" s="597">
        <f>SUM(D270:D275)</f>
        <v>464921338.87980008</v>
      </c>
      <c r="E276" s="605"/>
      <c r="F276" s="605"/>
      <c r="G276" s="536"/>
      <c r="H276" s="536"/>
      <c r="I276" s="536"/>
      <c r="J276" s="536"/>
      <c r="K276" s="536"/>
      <c r="L276" s="536"/>
      <c r="M276" s="536"/>
      <c r="N276" s="536"/>
      <c r="O276" s="536"/>
      <c r="P276" s="536"/>
      <c r="Q276" s="536"/>
      <c r="R276" s="536"/>
    </row>
    <row r="277" spans="1:18" ht="15" customHeight="1">
      <c r="A277" s="708" t="s">
        <v>93</v>
      </c>
      <c r="B277" s="605"/>
      <c r="C277" s="605"/>
      <c r="D277" s="605"/>
      <c r="E277" s="605"/>
      <c r="F277" s="605"/>
      <c r="G277" s="536"/>
      <c r="H277" s="536"/>
      <c r="I277" s="536"/>
      <c r="J277" s="536"/>
      <c r="K277" s="536"/>
      <c r="L277" s="536"/>
      <c r="M277" s="536"/>
      <c r="N277" s="536"/>
      <c r="O277" s="536"/>
      <c r="P277" s="536"/>
      <c r="Q277" s="536"/>
      <c r="R277" s="536"/>
    </row>
    <row r="278" spans="1:18" ht="15" customHeight="1">
      <c r="A278" s="709" t="s">
        <v>94</v>
      </c>
      <c r="B278" s="584">
        <f t="shared" ref="B278:B283" si="29">SUM(B232:N232)</f>
        <v>170736000</v>
      </c>
      <c r="C278" s="584">
        <f>+'cost var'!O357</f>
        <v>184077480</v>
      </c>
      <c r="D278" s="584">
        <f>+'cost var'!P357</f>
        <v>215316020.40000001</v>
      </c>
      <c r="E278" s="605"/>
      <c r="F278" s="605"/>
      <c r="G278" s="536"/>
      <c r="H278" s="536"/>
      <c r="I278" s="536"/>
      <c r="J278" s="536"/>
      <c r="K278" s="536"/>
      <c r="L278" s="536"/>
      <c r="M278" s="536"/>
      <c r="N278" s="536"/>
      <c r="O278" s="536"/>
      <c r="P278" s="536"/>
      <c r="Q278" s="536"/>
      <c r="R278" s="536"/>
    </row>
    <row r="279" spans="1:18" ht="15" customHeight="1">
      <c r="A279" s="709" t="s">
        <v>95</v>
      </c>
      <c r="B279" s="584">
        <f t="shared" si="29"/>
        <v>4753079.9999999991</v>
      </c>
      <c r="C279" s="584">
        <f>+ventas!C318</f>
        <v>5400833.2631999999</v>
      </c>
      <c r="D279" s="584">
        <f>+ventas!D318</f>
        <v>6317372.0385359991</v>
      </c>
      <c r="E279" s="605"/>
      <c r="F279" s="605"/>
      <c r="G279" s="536"/>
      <c r="H279" s="536"/>
      <c r="I279" s="536"/>
      <c r="J279" s="536"/>
      <c r="K279" s="536"/>
      <c r="L279" s="536"/>
      <c r="M279" s="536"/>
      <c r="N279" s="536"/>
      <c r="O279" s="536"/>
      <c r="P279" s="536"/>
      <c r="Q279" s="536"/>
      <c r="R279" s="536"/>
    </row>
    <row r="280" spans="1:18" ht="15" customHeight="1">
      <c r="A280" s="709" t="s">
        <v>426</v>
      </c>
      <c r="B280" s="584">
        <f t="shared" si="29"/>
        <v>0</v>
      </c>
      <c r="C280" s="584">
        <f>+'cost var'!O516</f>
        <v>0</v>
      </c>
      <c r="D280" s="584">
        <f>+'cost var'!P516</f>
        <v>0</v>
      </c>
      <c r="E280" s="605"/>
      <c r="F280" s="605"/>
      <c r="G280" s="536"/>
      <c r="H280" s="536"/>
      <c r="I280" s="536"/>
      <c r="J280" s="536"/>
      <c r="K280" s="536"/>
      <c r="L280" s="536"/>
      <c r="M280" s="536"/>
      <c r="N280" s="536"/>
      <c r="O280" s="536"/>
      <c r="P280" s="536"/>
      <c r="Q280" s="536"/>
      <c r="R280" s="536"/>
    </row>
    <row r="281" spans="1:18" ht="15" customHeight="1">
      <c r="A281" s="709" t="s">
        <v>427</v>
      </c>
      <c r="B281" s="584">
        <f t="shared" si="29"/>
        <v>42000000</v>
      </c>
      <c r="C281" s="584">
        <f>+'cost fijos'!D78</f>
        <v>55620000</v>
      </c>
      <c r="D281" s="584">
        <f>+'cost fijos'!E78</f>
        <v>71292480</v>
      </c>
      <c r="E281" s="605"/>
      <c r="F281" s="605"/>
      <c r="G281" s="536"/>
      <c r="H281" s="536"/>
      <c r="I281" s="536"/>
      <c r="J281" s="536"/>
      <c r="K281" s="536"/>
      <c r="L281" s="536"/>
      <c r="M281" s="536"/>
      <c r="N281" s="536"/>
      <c r="O281" s="536"/>
      <c r="P281" s="536"/>
      <c r="Q281" s="536"/>
      <c r="R281" s="536"/>
    </row>
    <row r="282" spans="1:18" ht="15" customHeight="1">
      <c r="A282" s="709" t="s">
        <v>96</v>
      </c>
      <c r="B282" s="584">
        <f t="shared" si="29"/>
        <v>29100000</v>
      </c>
      <c r="C282" s="584">
        <f>+'cost fijos'!D95</f>
        <v>29973000</v>
      </c>
      <c r="D282" s="584">
        <f>+'cost fijos'!E95</f>
        <v>29973000</v>
      </c>
      <c r="E282" s="605"/>
      <c r="F282" s="605"/>
      <c r="G282" s="536"/>
      <c r="H282" s="536"/>
      <c r="I282" s="536"/>
      <c r="J282" s="536"/>
      <c r="K282" s="536"/>
      <c r="L282" s="536"/>
      <c r="M282" s="536"/>
      <c r="N282" s="536"/>
      <c r="O282" s="536"/>
      <c r="P282" s="536"/>
      <c r="Q282" s="536"/>
      <c r="R282" s="536"/>
    </row>
    <row r="283" spans="1:18" ht="15" customHeight="1">
      <c r="A283" s="709" t="s">
        <v>97</v>
      </c>
      <c r="B283" s="584">
        <f t="shared" si="29"/>
        <v>46544000</v>
      </c>
      <c r="C283" s="584">
        <f>+'cost fijos'!E42</f>
        <v>51782320</v>
      </c>
      <c r="D283" s="584">
        <f>+'cost fijos'!F42</f>
        <v>57027789.600000001</v>
      </c>
      <c r="E283" s="605"/>
      <c r="F283" s="605"/>
      <c r="G283" s="536"/>
      <c r="H283" s="536"/>
      <c r="I283" s="536"/>
      <c r="J283" s="536"/>
      <c r="K283" s="536"/>
      <c r="L283" s="536"/>
      <c r="M283" s="536"/>
      <c r="N283" s="536"/>
      <c r="O283" s="536"/>
      <c r="P283" s="536"/>
      <c r="Q283" s="536"/>
      <c r="R283" s="536"/>
    </row>
    <row r="284" spans="1:18" ht="15" customHeight="1">
      <c r="A284" s="709" t="s">
        <v>98</v>
      </c>
      <c r="B284" s="584">
        <f>SUM(B281:B283)+SUM(B278:B280)</f>
        <v>293133080</v>
      </c>
      <c r="C284" s="584">
        <f>SUM(C281:C283)+SUM(C278:C280)</f>
        <v>326853633.26319999</v>
      </c>
      <c r="D284" s="584">
        <f>SUM(D281:D283)+SUM(D278:D280)</f>
        <v>379926662.03853601</v>
      </c>
      <c r="E284" s="605"/>
      <c r="F284" s="605"/>
      <c r="G284" s="536"/>
      <c r="H284" s="536"/>
      <c r="I284" s="536"/>
      <c r="J284" s="536"/>
      <c r="K284" s="536"/>
      <c r="L284" s="536"/>
      <c r="M284" s="536"/>
      <c r="N284" s="536"/>
      <c r="O284" s="536"/>
      <c r="P284" s="536"/>
      <c r="Q284" s="536"/>
      <c r="R284" s="536"/>
    </row>
    <row r="285" spans="1:18" ht="15" customHeight="1">
      <c r="A285" s="732" t="s">
        <v>99</v>
      </c>
      <c r="B285" s="597">
        <f>B276-B284</f>
        <v>-29964080</v>
      </c>
      <c r="C285" s="597">
        <f>C276-C284</f>
        <v>73511232.996799946</v>
      </c>
      <c r="D285" s="597">
        <f>D276-D284</f>
        <v>84994676.841264069</v>
      </c>
      <c r="E285" s="605"/>
      <c r="F285" s="605"/>
      <c r="G285" s="536"/>
      <c r="H285" s="536"/>
      <c r="I285" s="536"/>
      <c r="J285" s="536"/>
      <c r="K285" s="536"/>
      <c r="L285" s="536"/>
      <c r="M285" s="536"/>
      <c r="N285" s="536"/>
      <c r="O285" s="536"/>
      <c r="P285" s="536"/>
      <c r="Q285" s="536"/>
      <c r="R285" s="536"/>
    </row>
    <row r="286" spans="1:18" ht="15" customHeight="1">
      <c r="A286" s="708" t="s">
        <v>100</v>
      </c>
      <c r="B286" s="605"/>
      <c r="C286" s="605"/>
      <c r="D286" s="605"/>
      <c r="E286" s="605"/>
      <c r="F286" s="605"/>
      <c r="G286" s="536"/>
      <c r="H286" s="536"/>
      <c r="I286" s="536"/>
      <c r="J286" s="536"/>
      <c r="K286" s="536"/>
      <c r="L286" s="536"/>
      <c r="M286" s="536"/>
      <c r="N286" s="536"/>
      <c r="O286" s="536"/>
      <c r="P286" s="536"/>
      <c r="Q286" s="536"/>
      <c r="R286" s="536"/>
    </row>
    <row r="287" spans="1:18" ht="15" customHeight="1">
      <c r="A287" s="708" t="s">
        <v>101</v>
      </c>
      <c r="B287" s="605"/>
      <c r="C287" s="605"/>
      <c r="D287" s="605"/>
      <c r="E287" s="605"/>
      <c r="F287" s="605"/>
      <c r="G287" s="536"/>
      <c r="H287" s="536"/>
      <c r="I287" s="536"/>
      <c r="J287" s="536"/>
      <c r="K287" s="536"/>
      <c r="L287" s="536"/>
      <c r="M287" s="536"/>
      <c r="N287" s="536"/>
      <c r="O287" s="536"/>
      <c r="P287" s="536"/>
      <c r="Q287" s="536"/>
      <c r="R287" s="536"/>
    </row>
    <row r="288" spans="1:18" ht="15" customHeight="1">
      <c r="A288" s="709" t="s">
        <v>102</v>
      </c>
      <c r="B288" s="584">
        <f ca="1">SUM(B242:N242)</f>
        <v>47350000</v>
      </c>
      <c r="C288" s="584">
        <f ca="1">+'inversion af'!G104+'inversion af'!G126+'inversion af'!H126+'inversion af'!H104</f>
        <v>0</v>
      </c>
      <c r="D288" s="584">
        <f ca="1">+'inversion af'!I104+'inversion af'!I126+'inversion af'!J104+'inversion af'!J126</f>
        <v>0</v>
      </c>
      <c r="E288" s="605"/>
      <c r="F288" s="605"/>
      <c r="G288" s="536"/>
      <c r="H288" s="536"/>
      <c r="I288" s="536"/>
      <c r="J288" s="536"/>
      <c r="K288" s="536"/>
      <c r="L288" s="536"/>
      <c r="M288" s="536"/>
      <c r="N288" s="536"/>
      <c r="O288" s="536"/>
      <c r="P288" s="536"/>
      <c r="Q288" s="536"/>
      <c r="R288" s="536"/>
    </row>
    <row r="289" spans="1:18" ht="15" customHeight="1">
      <c r="A289" s="709" t="s">
        <v>103</v>
      </c>
      <c r="B289" s="584">
        <f>SUM(B243:N243)</f>
        <v>70000000</v>
      </c>
      <c r="C289" s="584">
        <f>+'inversion af'!G177+'inversion af'!G179+'inversion af'!H177+'inversion af'!H179</f>
        <v>0</v>
      </c>
      <c r="D289" s="584">
        <f>+'inversion af'!I177+'inversion af'!J177+'inversion af'!I179+'inversion af'!J179</f>
        <v>0</v>
      </c>
      <c r="E289" s="605"/>
      <c r="F289" s="605"/>
      <c r="G289" s="536"/>
      <c r="H289" s="536"/>
      <c r="I289" s="536"/>
      <c r="J289" s="536"/>
      <c r="K289" s="536"/>
      <c r="L289" s="536"/>
      <c r="M289" s="536"/>
      <c r="N289" s="536"/>
      <c r="O289" s="536"/>
      <c r="P289" s="536"/>
      <c r="Q289" s="536"/>
      <c r="R289" s="536"/>
    </row>
    <row r="290" spans="1:18" ht="15" customHeight="1">
      <c r="A290" s="708" t="s">
        <v>104</v>
      </c>
      <c r="B290" s="605"/>
      <c r="C290" s="605"/>
      <c r="D290" s="605"/>
      <c r="E290" s="605"/>
      <c r="F290" s="605"/>
      <c r="G290" s="536"/>
      <c r="H290" s="536"/>
      <c r="I290" s="536"/>
      <c r="J290" s="536"/>
      <c r="K290" s="536"/>
      <c r="L290" s="536"/>
      <c r="M290" s="536"/>
      <c r="N290" s="536"/>
      <c r="O290" s="536"/>
      <c r="P290" s="536"/>
      <c r="Q290" s="536"/>
      <c r="R290" s="536"/>
    </row>
    <row r="291" spans="1:18" ht="15" customHeight="1">
      <c r="A291" s="709" t="s">
        <v>102</v>
      </c>
      <c r="B291" s="584">
        <f ca="1">SUM(B245:N245)</f>
        <v>0</v>
      </c>
      <c r="C291" s="584">
        <f ca="1">+'inversion af'!G115+'inversion af'!H115</f>
        <v>0</v>
      </c>
      <c r="D291" s="584">
        <f ca="1">+'inversion af'!I115+'inversion af'!J115</f>
        <v>0</v>
      </c>
      <c r="E291" s="605"/>
      <c r="F291" s="605"/>
      <c r="G291" s="536"/>
      <c r="H291" s="536"/>
      <c r="I291" s="536"/>
      <c r="J291" s="536"/>
      <c r="K291" s="536"/>
      <c r="L291" s="536"/>
      <c r="M291" s="536"/>
      <c r="N291" s="536"/>
      <c r="O291" s="536"/>
      <c r="P291" s="536"/>
      <c r="Q291" s="536"/>
      <c r="R291" s="536"/>
    </row>
    <row r="292" spans="1:18" ht="15" customHeight="1">
      <c r="A292" s="709" t="s">
        <v>103</v>
      </c>
      <c r="B292" s="584">
        <f>SUM(B246:N246)</f>
        <v>0</v>
      </c>
      <c r="C292" s="584">
        <f>+'inversion af'!G178+'inversion af'!H178</f>
        <v>0</v>
      </c>
      <c r="D292" s="584">
        <f>+'inversion af'!I178+'inversion af'!J178</f>
        <v>0</v>
      </c>
      <c r="E292" s="605"/>
      <c r="F292" s="605"/>
      <c r="G292" s="536"/>
      <c r="H292" s="536"/>
      <c r="I292" s="536"/>
      <c r="J292" s="536"/>
      <c r="K292" s="536"/>
      <c r="L292" s="536"/>
      <c r="M292" s="536"/>
      <c r="N292" s="536"/>
      <c r="O292" s="536"/>
      <c r="P292" s="536"/>
      <c r="Q292" s="536"/>
      <c r="R292" s="536"/>
    </row>
    <row r="293" spans="1:18" ht="15" customHeight="1">
      <c r="A293" s="732" t="s">
        <v>105</v>
      </c>
      <c r="B293" s="597">
        <f ca="1">SUM(B288:B292)</f>
        <v>117350000</v>
      </c>
      <c r="C293" s="597">
        <f ca="1">SUM(C288:C292)</f>
        <v>0</v>
      </c>
      <c r="D293" s="597">
        <f ca="1">SUM(D288:D292)</f>
        <v>0</v>
      </c>
      <c r="E293" s="605"/>
      <c r="F293" s="605"/>
      <c r="G293" s="536"/>
      <c r="H293" s="536"/>
      <c r="I293" s="536"/>
      <c r="J293" s="536"/>
      <c r="K293" s="536"/>
      <c r="L293" s="536"/>
      <c r="M293" s="536"/>
      <c r="N293" s="536"/>
      <c r="O293" s="536"/>
      <c r="P293" s="536"/>
      <c r="Q293" s="536"/>
      <c r="R293" s="536"/>
    </row>
    <row r="294" spans="1:18" ht="15" customHeight="1">
      <c r="A294" s="708" t="s">
        <v>106</v>
      </c>
      <c r="B294" s="605"/>
      <c r="C294" s="605"/>
      <c r="D294" s="605"/>
      <c r="E294" s="605"/>
      <c r="F294" s="605"/>
      <c r="G294" s="536"/>
      <c r="H294" s="536"/>
      <c r="I294" s="536"/>
      <c r="J294" s="536"/>
      <c r="K294" s="536"/>
      <c r="L294" s="536"/>
      <c r="M294" s="536"/>
      <c r="N294" s="536"/>
      <c r="O294" s="536"/>
      <c r="P294" s="536"/>
      <c r="Q294" s="536"/>
      <c r="R294" s="536"/>
    </row>
    <row r="295" spans="1:18" ht="15" customHeight="1">
      <c r="A295" s="709" t="s">
        <v>107</v>
      </c>
      <c r="B295" s="584">
        <f t="shared" ref="B295:B300" si="30">SUM(B249:N249)</f>
        <v>0</v>
      </c>
      <c r="C295" s="584"/>
      <c r="D295" s="584"/>
      <c r="E295" s="605"/>
      <c r="F295" s="605"/>
      <c r="G295" s="536"/>
      <c r="H295" s="536"/>
      <c r="I295" s="536"/>
      <c r="J295" s="536"/>
      <c r="K295" s="536"/>
      <c r="L295" s="536"/>
      <c r="M295" s="536"/>
      <c r="N295" s="536"/>
      <c r="O295" s="536"/>
      <c r="P295" s="536"/>
      <c r="Q295" s="536"/>
      <c r="R295" s="536"/>
    </row>
    <row r="296" spans="1:18" ht="15" customHeight="1">
      <c r="A296" s="709" t="s">
        <v>108</v>
      </c>
      <c r="B296" s="584">
        <f t="shared" ca="1" si="30"/>
        <v>0</v>
      </c>
      <c r="C296" s="584">
        <f ca="1">+'inver y financ'!C318</f>
        <v>0</v>
      </c>
      <c r="D296" s="584">
        <f ca="1">+'inver y financ'!D318</f>
        <v>0</v>
      </c>
      <c r="E296" s="605"/>
      <c r="F296" s="605"/>
      <c r="G296" s="536"/>
      <c r="H296" s="536"/>
      <c r="I296" s="536"/>
      <c r="J296" s="536"/>
      <c r="K296" s="536"/>
      <c r="L296" s="536"/>
      <c r="M296" s="536"/>
      <c r="N296" s="536"/>
      <c r="O296" s="536"/>
      <c r="P296" s="536"/>
      <c r="Q296" s="536"/>
      <c r="R296" s="536"/>
    </row>
    <row r="297" spans="1:18" ht="15" customHeight="1">
      <c r="A297" s="709" t="s">
        <v>109</v>
      </c>
      <c r="B297" s="584">
        <f t="shared" si="30"/>
        <v>0</v>
      </c>
      <c r="C297" s="584">
        <f>+'inver y financ'!C319</f>
        <v>0</v>
      </c>
      <c r="D297" s="584">
        <f>+'inver y financ'!D319</f>
        <v>0</v>
      </c>
      <c r="E297" s="605"/>
      <c r="F297" s="605"/>
      <c r="G297" s="536"/>
      <c r="H297" s="536"/>
      <c r="I297" s="536"/>
      <c r="J297" s="536"/>
      <c r="K297" s="536"/>
      <c r="L297" s="536"/>
      <c r="M297" s="536"/>
      <c r="N297" s="536"/>
      <c r="O297" s="536"/>
      <c r="P297" s="536"/>
      <c r="Q297" s="536"/>
      <c r="R297" s="536"/>
    </row>
    <row r="298" spans="1:18" ht="15" customHeight="1">
      <c r="A298" s="709" t="s">
        <v>110</v>
      </c>
      <c r="B298" s="584">
        <f t="shared" si="30"/>
        <v>0</v>
      </c>
      <c r="C298" s="584">
        <f ca="1">C328</f>
        <v>0</v>
      </c>
      <c r="D298" s="584">
        <f ca="1">D328</f>
        <v>0</v>
      </c>
      <c r="E298" s="605"/>
      <c r="F298" s="605"/>
      <c r="G298" s="536"/>
      <c r="H298" s="536"/>
      <c r="I298" s="536"/>
      <c r="J298" s="536"/>
      <c r="K298" s="536"/>
      <c r="L298" s="536"/>
      <c r="M298" s="536"/>
      <c r="N298" s="536"/>
      <c r="O298" s="536"/>
      <c r="P298" s="536"/>
      <c r="Q298" s="536"/>
      <c r="R298" s="536"/>
    </row>
    <row r="299" spans="1:18" ht="15" customHeight="1">
      <c r="A299" s="709" t="s">
        <v>111</v>
      </c>
      <c r="B299" s="584">
        <f t="shared" si="30"/>
        <v>0</v>
      </c>
      <c r="C299" s="584"/>
      <c r="D299" s="584"/>
      <c r="E299" s="605"/>
      <c r="F299" s="605"/>
      <c r="G299" s="536"/>
      <c r="H299" s="536"/>
      <c r="I299" s="536"/>
      <c r="J299" s="536"/>
      <c r="K299" s="536"/>
      <c r="L299" s="536"/>
      <c r="M299" s="536"/>
      <c r="N299" s="536"/>
      <c r="O299" s="536"/>
      <c r="P299" s="536"/>
      <c r="Q299" s="536"/>
      <c r="R299" s="536"/>
    </row>
    <row r="300" spans="1:18" ht="15" customHeight="1">
      <c r="A300" s="709" t="s">
        <v>112</v>
      </c>
      <c r="B300" s="584">
        <f t="shared" ca="1" si="30"/>
        <v>47350000</v>
      </c>
      <c r="C300" s="584">
        <f ca="1">+'inversion af'!G104+'inversion af'!G115+'inversion af'!G126+'inversion af'!H104+'inversion af'!H115+'inversion af'!H126</f>
        <v>0</v>
      </c>
      <c r="D300" s="584">
        <f ca="1">+'inversion af'!I104+'inversion af'!J104+'inversion af'!I115+'inversion af'!J115+'inversion af'!I126+'inversion af'!J126</f>
        <v>0</v>
      </c>
      <c r="E300" s="605"/>
      <c r="F300" s="605"/>
      <c r="G300" s="536"/>
      <c r="H300" s="536"/>
      <c r="I300" s="536"/>
      <c r="J300" s="536"/>
      <c r="K300" s="536"/>
      <c r="L300" s="536"/>
      <c r="M300" s="536"/>
      <c r="N300" s="536"/>
      <c r="O300" s="536"/>
      <c r="P300" s="536"/>
      <c r="Q300" s="536"/>
      <c r="R300" s="536"/>
    </row>
    <row r="301" spans="1:18" ht="15" customHeight="1">
      <c r="A301" s="732" t="s">
        <v>120</v>
      </c>
      <c r="B301" s="735">
        <f ca="1">SUM(B295:B300)</f>
        <v>47350000</v>
      </c>
      <c r="C301" s="735">
        <f ca="1">SUM(C295:C300)</f>
        <v>0</v>
      </c>
      <c r="D301" s="735">
        <f ca="1">SUM(D295:D300)</f>
        <v>0</v>
      </c>
      <c r="E301" s="605"/>
      <c r="F301" s="605"/>
      <c r="G301" s="536"/>
      <c r="H301" s="536"/>
      <c r="I301" s="536"/>
      <c r="J301" s="536"/>
      <c r="K301" s="536"/>
      <c r="L301" s="536"/>
      <c r="M301" s="536"/>
      <c r="N301" s="536"/>
      <c r="O301" s="536"/>
      <c r="P301" s="536"/>
      <c r="Q301" s="536"/>
      <c r="R301" s="536"/>
    </row>
    <row r="302" spans="1:18" ht="15" customHeight="1">
      <c r="A302" s="732" t="s">
        <v>113</v>
      </c>
      <c r="B302" s="735">
        <f ca="1">B293-B301</f>
        <v>70000000</v>
      </c>
      <c r="C302" s="735">
        <f ca="1">C293-C301</f>
        <v>0</v>
      </c>
      <c r="D302" s="735">
        <f ca="1">D293-D301</f>
        <v>0</v>
      </c>
      <c r="E302" s="605"/>
      <c r="F302" s="605"/>
      <c r="G302" s="536"/>
      <c r="H302" s="536"/>
      <c r="I302" s="536"/>
      <c r="J302" s="536"/>
      <c r="K302" s="536"/>
      <c r="L302" s="536"/>
      <c r="M302" s="536"/>
      <c r="N302" s="536"/>
      <c r="O302" s="536"/>
      <c r="P302" s="536"/>
      <c r="Q302" s="536"/>
      <c r="R302" s="536"/>
    </row>
    <row r="303" spans="1:18" ht="15" customHeight="1">
      <c r="A303" s="732" t="s">
        <v>114</v>
      </c>
      <c r="B303" s="735">
        <f ca="1">B285+B302</f>
        <v>40035920</v>
      </c>
      <c r="C303" s="735">
        <f ca="1">C285+C302</f>
        <v>73511232.996799946</v>
      </c>
      <c r="D303" s="735">
        <f ca="1">D285+D302</f>
        <v>84994676.841264069</v>
      </c>
      <c r="E303" s="605"/>
      <c r="F303" s="605"/>
      <c r="G303" s="536"/>
      <c r="H303" s="536"/>
      <c r="I303" s="536"/>
      <c r="J303" s="536"/>
      <c r="K303" s="536"/>
      <c r="L303" s="536"/>
      <c r="M303" s="536"/>
      <c r="N303" s="536"/>
      <c r="O303" s="536"/>
      <c r="P303" s="536"/>
      <c r="Q303" s="536"/>
      <c r="R303" s="536"/>
    </row>
    <row r="304" spans="1:18" ht="15" customHeight="1">
      <c r="A304" s="732" t="s">
        <v>115</v>
      </c>
      <c r="B304" s="735">
        <f ca="1">C258</f>
        <v>61264000</v>
      </c>
      <c r="C304" s="735">
        <f ca="1">B305</f>
        <v>40035920</v>
      </c>
      <c r="D304" s="735">
        <f ca="1">C305</f>
        <v>113547152.99679995</v>
      </c>
      <c r="E304" s="605"/>
      <c r="F304" s="605"/>
      <c r="G304" s="536"/>
      <c r="H304" s="536"/>
      <c r="I304" s="536"/>
      <c r="J304" s="536"/>
      <c r="K304" s="536"/>
      <c r="L304" s="536"/>
      <c r="M304" s="536"/>
      <c r="N304" s="536"/>
      <c r="O304" s="536"/>
      <c r="P304" s="536"/>
      <c r="Q304" s="536"/>
      <c r="R304" s="536"/>
    </row>
    <row r="305" spans="1:20" ht="15" customHeight="1">
      <c r="A305" s="732" t="s">
        <v>116</v>
      </c>
      <c r="B305" s="735">
        <f ca="1">B303</f>
        <v>40035920</v>
      </c>
      <c r="C305" s="735">
        <f ca="1">C303+C304</f>
        <v>113547152.99679995</v>
      </c>
      <c r="D305" s="735">
        <f ca="1">D303+D304</f>
        <v>198541829.83806401</v>
      </c>
      <c r="E305" s="605"/>
      <c r="F305" s="605"/>
      <c r="G305" s="536"/>
      <c r="H305" s="536"/>
      <c r="I305" s="536"/>
      <c r="J305" s="536"/>
      <c r="K305" s="536"/>
      <c r="L305" s="536"/>
      <c r="M305" s="536"/>
      <c r="N305" s="536"/>
      <c r="O305" s="536"/>
      <c r="P305" s="536"/>
      <c r="Q305" s="536"/>
      <c r="R305" s="536"/>
    </row>
    <row r="306" spans="1:20" ht="112.5" customHeight="1">
      <c r="A306" s="1161" t="str">
        <f ca="1">IF(ISERROR(+ayuda!A171)=TRUE,"",+ayuda!A171)</f>
        <v>EL PROYECTO POSEE UNA INVERSIÓN DE $117.350.000. AL PRIMER AÑO DE OPERACIÓN ARROJA UN FLUJO DE EFECTIVO DE 40,04 MILLONES, PARA EL SEGUNDO AÑO, EL VALOR ES DE 73,51 MM Y PARA EL TERCERO DE 84,99 MM. LA VIABILIDAD FINANCIERA SE DETERMINA A TRAVÉS DE TRES INDICADORES, EL PRIMERO DE ELLOS ES LA TASA INTERNA DE RETORNO O TIR LA CUAL ES DE 27,65% . SE INTERPRETA COMO: EL PROYECTO ARROJA UNA RENTABILIDAD DEL 27,65% PROMEDIO ANUAL. ESTA DENTRO DE LOS PARAMETROS DE LOS PROYECTOS.</v>
      </c>
      <c r="B306" s="1162"/>
      <c r="C306" s="1162"/>
      <c r="D306" s="1162"/>
      <c r="E306" s="1162"/>
      <c r="F306" s="536"/>
      <c r="G306" s="536"/>
      <c r="H306" s="536"/>
      <c r="I306" s="536"/>
      <c r="J306" s="536"/>
      <c r="K306" s="536"/>
      <c r="L306" s="536"/>
      <c r="M306" s="536"/>
      <c r="N306" s="536"/>
      <c r="O306" s="536"/>
      <c r="P306" s="536"/>
      <c r="Q306" s="536"/>
      <c r="R306" s="536"/>
    </row>
    <row r="307" spans="1:20" ht="94.5" customHeight="1">
      <c r="A307" s="1161" t="str">
        <f ca="1">IF(ISERROR(+ayuda!A179)=TRUE,"",+ayuda!A179)</f>
        <v>EL SEGUNDO INDICADOR ES EL VALOR PRESENTE NETO, PARA SU CALCULO ES NECESARIO LA TASA DE DESCUENTO O TASA DE INTERES DE OPORTUNIDAD QUE SE SOLICITO EN LA ENTRADA DE DATOS, (OTROS PARAMETROS), DONDE USTED DIGITO EL 25%, EL VALOR ARROJADO DEL CALCULO ES $5.243.200. SE INTERPRETA COMO: EL PROYECTO ARROJA 5 MILLONES ADICIONALES AL INVERTIR LOS RECURSOS EN ESTE PROYECTO QUE EN UNO QUE RENTE, EL 25% ANUAL, POR LO TANTO SE SUGIERE CONTINUAR CON EL PROYECTO.</v>
      </c>
      <c r="B307" s="1162"/>
      <c r="C307" s="1162"/>
      <c r="D307" s="1162"/>
      <c r="E307" s="1162"/>
      <c r="F307" s="536"/>
      <c r="G307" s="536"/>
      <c r="H307" s="536"/>
      <c r="I307" s="536"/>
      <c r="J307" s="536"/>
      <c r="K307" s="536"/>
      <c r="L307" s="536"/>
      <c r="M307" s="536"/>
      <c r="N307" s="536"/>
      <c r="O307" s="536"/>
      <c r="P307" s="536"/>
      <c r="Q307" s="536"/>
      <c r="R307" s="536"/>
    </row>
    <row r="308" spans="1:20" ht="78.75" customHeight="1">
      <c r="A308" s="1161" t="str">
        <f ca="1">+ayuda!A188</f>
        <v>EL TERCER INDICADOR DE VIABILIDAD FINANCIERA ES EL PERIODO DE RECUPERACIÓN DE LA INVERSIÓN O PRI. SE CALCULA CON EL ESTADO DE RESULTADOS SUMANDO LAS UTILIDADES Y RESTANDO LA INVERSIÓN HASTA OBTENER CERO. LA INVERSIÓN ES DE $117.350.000. COMO LA SUMA DE LAS UTILIDADES DEL PRIMER Y SEGUNDO PERIODO ES SUPERIOR, SE PUEDE DECIR QUE  LA INVERSIÓN SE RECUPERA EN EL SEGUNDO AÑO.</v>
      </c>
      <c r="B308" s="1162"/>
      <c r="C308" s="1162"/>
      <c r="D308" s="1162"/>
      <c r="E308" s="1162"/>
      <c r="F308" s="536"/>
      <c r="G308" s="536"/>
      <c r="H308" s="536"/>
      <c r="I308" s="536"/>
      <c r="J308" s="536"/>
      <c r="K308" s="536"/>
      <c r="L308" s="536"/>
      <c r="M308" s="536"/>
      <c r="N308" s="536"/>
      <c r="O308" s="536"/>
      <c r="P308" s="536"/>
      <c r="Q308" s="536"/>
      <c r="R308" s="536"/>
    </row>
    <row r="309" spans="1:20" ht="15" customHeight="1">
      <c r="A309" s="536"/>
      <c r="B309" s="536"/>
      <c r="C309" s="536"/>
      <c r="D309" s="536"/>
      <c r="E309" s="536"/>
      <c r="F309" s="536"/>
      <c r="G309" s="536"/>
      <c r="H309" s="536"/>
      <c r="I309" s="536"/>
      <c r="J309" s="536"/>
      <c r="K309" s="536"/>
      <c r="L309" s="536"/>
      <c r="M309" s="536"/>
      <c r="N309" s="536"/>
      <c r="O309" s="536"/>
      <c r="P309" s="536"/>
      <c r="Q309" s="536"/>
      <c r="R309" s="536"/>
    </row>
    <row r="310" spans="1:20" ht="15" customHeight="1">
      <c r="A310" s="536"/>
      <c r="B310" s="536"/>
      <c r="C310" s="536"/>
      <c r="D310" s="536"/>
      <c r="E310" s="536"/>
      <c r="F310" s="536"/>
      <c r="G310" s="536"/>
      <c r="H310" s="536"/>
      <c r="I310" s="536"/>
      <c r="J310" s="536"/>
      <c r="K310" s="536"/>
      <c r="L310" s="536"/>
      <c r="M310" s="536"/>
      <c r="N310" s="536"/>
      <c r="O310" s="536"/>
      <c r="P310" s="536"/>
      <c r="Q310" s="536"/>
      <c r="R310" s="536"/>
    </row>
    <row r="311" spans="1:20" ht="15" customHeight="1">
      <c r="A311" s="651"/>
      <c r="B311" s="536"/>
      <c r="C311" s="536"/>
      <c r="D311" s="536"/>
      <c r="E311" s="536"/>
      <c r="F311" s="536"/>
      <c r="G311" s="536"/>
      <c r="H311" s="536"/>
      <c r="I311" s="536"/>
      <c r="J311" s="536"/>
      <c r="K311" s="536"/>
      <c r="L311" s="536"/>
      <c r="M311" s="536"/>
      <c r="N311" s="536"/>
      <c r="O311" s="536"/>
      <c r="P311" s="536"/>
      <c r="Q311" s="536"/>
      <c r="R311" s="536"/>
    </row>
    <row r="312" spans="1:20" ht="15" customHeight="1">
      <c r="O312" s="536"/>
      <c r="P312" s="536"/>
      <c r="Q312" s="536"/>
      <c r="R312" s="536"/>
    </row>
    <row r="313" spans="1:20" ht="18" customHeight="1">
      <c r="A313" s="580" t="s">
        <v>163</v>
      </c>
      <c r="B313" s="536"/>
      <c r="C313" s="714"/>
      <c r="D313" s="714"/>
      <c r="E313" s="714"/>
      <c r="O313" s="536"/>
      <c r="P313" s="536"/>
      <c r="Q313" s="536"/>
      <c r="R313" s="536"/>
    </row>
    <row r="314" spans="1:20" ht="15" customHeight="1">
      <c r="A314" s="536"/>
      <c r="B314" s="536"/>
      <c r="C314" s="699"/>
      <c r="D314" s="605"/>
      <c r="E314" s="605"/>
      <c r="O314" s="680"/>
      <c r="P314" s="680"/>
      <c r="Q314" s="680"/>
      <c r="R314" s="680"/>
      <c r="S314" s="715"/>
    </row>
    <row r="315" spans="1:20" ht="15" customHeight="1">
      <c r="A315" s="708" t="s">
        <v>164</v>
      </c>
      <c r="B315" s="707" t="s">
        <v>424</v>
      </c>
      <c r="C315" s="707" t="s">
        <v>73</v>
      </c>
      <c r="D315" s="707" t="s">
        <v>74</v>
      </c>
      <c r="E315" s="707" t="s">
        <v>602</v>
      </c>
      <c r="O315" s="536"/>
      <c r="P315" s="536"/>
      <c r="Q315" s="536"/>
      <c r="R315" s="536"/>
    </row>
    <row r="316" spans="1:20" ht="15" customHeight="1">
      <c r="A316" s="709" t="s">
        <v>165</v>
      </c>
      <c r="B316" s="716">
        <f>+'inversion af'!C180-'cost fijos'!B125-'cost var'!D119</f>
        <v>60764000</v>
      </c>
      <c r="C316" s="584">
        <f ca="1">B305</f>
        <v>40035920</v>
      </c>
      <c r="D316" s="584">
        <f ca="1">C305</f>
        <v>113547152.99679995</v>
      </c>
      <c r="E316" s="584">
        <f ca="1">D305</f>
        <v>198541829.83806401</v>
      </c>
      <c r="O316" s="536"/>
      <c r="P316" s="536"/>
      <c r="Q316" s="536"/>
      <c r="R316" s="536"/>
    </row>
    <row r="317" spans="1:20" ht="15" customHeight="1">
      <c r="A317" s="709" t="s">
        <v>166</v>
      </c>
      <c r="B317" s="716">
        <v>0</v>
      </c>
      <c r="C317" s="584">
        <f>+ventas!N246</f>
        <v>101331000</v>
      </c>
      <c r="D317" s="584">
        <f>+ventas!N253</f>
        <v>115140463.74000002</v>
      </c>
      <c r="E317" s="584">
        <f>+ventas!N260</f>
        <v>134680170.76020002</v>
      </c>
      <c r="O317" s="536"/>
      <c r="P317" s="536"/>
      <c r="Q317" s="536"/>
      <c r="R317" s="536"/>
    </row>
    <row r="318" spans="1:20" ht="15" customHeight="1">
      <c r="A318" s="709" t="s">
        <v>167</v>
      </c>
      <c r="B318" s="716">
        <f>+B232</f>
        <v>8736000</v>
      </c>
      <c r="C318" s="584">
        <f>C163</f>
        <v>8736000</v>
      </c>
      <c r="D318" s="584">
        <f>D163</f>
        <v>8736000</v>
      </c>
      <c r="E318" s="584">
        <f>E163</f>
        <v>8736000</v>
      </c>
      <c r="O318" s="605"/>
      <c r="P318" s="605"/>
      <c r="Q318" s="605"/>
      <c r="R318" s="605"/>
      <c r="S318" s="717"/>
      <c r="T318" s="717"/>
    </row>
    <row r="319" spans="1:20" ht="15" customHeight="1">
      <c r="A319" s="709" t="s">
        <v>168</v>
      </c>
      <c r="B319" s="716">
        <f>B318+B317+B316</f>
        <v>69500000</v>
      </c>
      <c r="C319" s="584">
        <f ca="1">C318+C317+C316</f>
        <v>150102920</v>
      </c>
      <c r="D319" s="584">
        <f ca="1">D318+D317+D316</f>
        <v>237423616.73679996</v>
      </c>
      <c r="E319" s="584">
        <f ca="1">E318+E317+E316</f>
        <v>341958000.59826404</v>
      </c>
      <c r="O319" s="605"/>
      <c r="P319" s="605"/>
      <c r="Q319" s="605"/>
      <c r="R319" s="605"/>
      <c r="S319" s="717"/>
      <c r="T319" s="717"/>
    </row>
    <row r="320" spans="1:20" ht="15" customHeight="1">
      <c r="A320" s="709" t="s">
        <v>169</v>
      </c>
      <c r="B320" s="716">
        <f ca="1">+'inversion af'!C154</f>
        <v>47350000</v>
      </c>
      <c r="C320" s="584">
        <f ca="1">+B320+SUM(C254:N254)</f>
        <v>47350000</v>
      </c>
      <c r="D320" s="584">
        <f ca="1">+C320+C300</f>
        <v>47350000</v>
      </c>
      <c r="E320" s="584">
        <f ca="1">+D320+D300</f>
        <v>47350000</v>
      </c>
      <c r="O320" s="605"/>
      <c r="P320" s="605"/>
      <c r="Q320" s="605"/>
      <c r="R320" s="605"/>
      <c r="S320" s="717"/>
      <c r="T320" s="717"/>
    </row>
    <row r="321" spans="1:20" ht="15" customHeight="1">
      <c r="A321" s="709" t="s">
        <v>170</v>
      </c>
      <c r="B321" s="716"/>
      <c r="C321" s="584">
        <f ca="1">C168</f>
        <v>5535000</v>
      </c>
      <c r="D321" s="584">
        <f ca="1">D168+C321</f>
        <v>11070000</v>
      </c>
      <c r="E321" s="584">
        <f ca="1">E168+D321</f>
        <v>16605000</v>
      </c>
      <c r="O321" s="605"/>
      <c r="P321" s="605"/>
      <c r="Q321" s="605"/>
      <c r="R321" s="605"/>
      <c r="S321" s="717"/>
      <c r="T321" s="717"/>
    </row>
    <row r="322" spans="1:20" ht="15" customHeight="1">
      <c r="A322" s="709" t="s">
        <v>171</v>
      </c>
      <c r="B322" s="716">
        <f ca="1">+B320-B321</f>
        <v>47350000</v>
      </c>
      <c r="C322" s="584">
        <f ca="1">C320-C321</f>
        <v>41815000</v>
      </c>
      <c r="D322" s="584">
        <f ca="1">D320-D321</f>
        <v>36280000</v>
      </c>
      <c r="E322" s="584">
        <f ca="1">E320-E321</f>
        <v>30745000</v>
      </c>
      <c r="O322" s="605"/>
      <c r="P322" s="605"/>
      <c r="Q322" s="605"/>
      <c r="R322" s="605"/>
      <c r="S322" s="717"/>
      <c r="T322" s="717"/>
    </row>
    <row r="323" spans="1:20" ht="15" customHeight="1">
      <c r="A323" s="709" t="s">
        <v>172</v>
      </c>
      <c r="B323" s="716">
        <f>+'cost fijos'!B125</f>
        <v>500000</v>
      </c>
      <c r="C323" s="584">
        <f>+'cost fijos'!B128</f>
        <v>0</v>
      </c>
      <c r="D323" s="584">
        <f>+'cost fijos'!B129</f>
        <v>0</v>
      </c>
      <c r="E323" s="584">
        <f>+'cost fijos'!B130</f>
        <v>0</v>
      </c>
      <c r="O323" s="605"/>
      <c r="P323" s="605"/>
      <c r="Q323" s="605"/>
      <c r="R323" s="605"/>
      <c r="S323" s="717"/>
      <c r="T323" s="717"/>
    </row>
    <row r="324" spans="1:20" ht="15" customHeight="1">
      <c r="A324" s="703" t="s">
        <v>173</v>
      </c>
      <c r="B324" s="718">
        <f ca="1">B319+B322+B323</f>
        <v>117350000</v>
      </c>
      <c r="C324" s="719">
        <f ca="1">C319+C322+C323</f>
        <v>191917920</v>
      </c>
      <c r="D324" s="719">
        <f ca="1">D319+D322+D323</f>
        <v>273703616.73679996</v>
      </c>
      <c r="E324" s="719">
        <f ca="1">E319+E322+E323</f>
        <v>372703000.59826404</v>
      </c>
      <c r="O324" s="605"/>
      <c r="P324" s="605"/>
      <c r="Q324" s="605"/>
      <c r="R324" s="605"/>
      <c r="S324" s="717"/>
      <c r="T324" s="717"/>
    </row>
    <row r="325" spans="1:20" ht="15" customHeight="1">
      <c r="A325" s="703" t="s">
        <v>174</v>
      </c>
      <c r="B325" s="720"/>
      <c r="C325" s="720"/>
      <c r="D325" s="720"/>
      <c r="E325" s="720"/>
      <c r="O325" s="605"/>
      <c r="P325" s="605"/>
      <c r="Q325" s="605"/>
      <c r="R325" s="605"/>
      <c r="S325" s="717"/>
      <c r="T325" s="717"/>
    </row>
    <row r="326" spans="1:20" ht="15" customHeight="1">
      <c r="A326" s="709" t="s">
        <v>175</v>
      </c>
      <c r="B326" s="721"/>
      <c r="C326" s="639">
        <f>+'cost var'!B477</f>
        <v>0</v>
      </c>
      <c r="D326" s="639">
        <f>+'cost var'!C477</f>
        <v>0</v>
      </c>
      <c r="E326" s="639">
        <f>+'cost var'!D477</f>
        <v>0</v>
      </c>
      <c r="O326" s="605"/>
      <c r="P326" s="605"/>
      <c r="Q326" s="605"/>
      <c r="R326" s="605"/>
      <c r="S326" s="717"/>
      <c r="T326" s="717"/>
    </row>
    <row r="327" spans="1:20" ht="15" customHeight="1">
      <c r="A327" s="709" t="s">
        <v>176</v>
      </c>
      <c r="B327" s="716">
        <f ca="1">+'inversion af'!C178+'inversion af'!C115</f>
        <v>0</v>
      </c>
      <c r="C327" s="584">
        <f ca="1">+'inver y financ'!B317</f>
        <v>0</v>
      </c>
      <c r="D327" s="584">
        <f ca="1">+'inver y financ'!C317</f>
        <v>0</v>
      </c>
      <c r="E327" s="584">
        <f ca="1">+'inver y financ'!D317</f>
        <v>0</v>
      </c>
      <c r="O327" s="605"/>
      <c r="P327" s="605"/>
      <c r="Q327" s="605"/>
      <c r="R327" s="605"/>
      <c r="S327" s="717"/>
      <c r="T327" s="717"/>
    </row>
    <row r="328" spans="1:20" ht="15" customHeight="1">
      <c r="A328" s="709" t="s">
        <v>177</v>
      </c>
      <c r="B328" s="716"/>
      <c r="C328" s="584">
        <f ca="1">C178</f>
        <v>0</v>
      </c>
      <c r="D328" s="584">
        <f ca="1">D178</f>
        <v>0</v>
      </c>
      <c r="E328" s="584">
        <f ca="1">E178</f>
        <v>24749845.965366002</v>
      </c>
      <c r="O328" s="605"/>
      <c r="P328" s="605"/>
      <c r="Q328" s="605"/>
      <c r="R328" s="605"/>
      <c r="S328" s="717"/>
      <c r="T328" s="717"/>
    </row>
    <row r="329" spans="1:20" ht="15" customHeight="1">
      <c r="A329" s="709" t="s">
        <v>178</v>
      </c>
      <c r="B329" s="716"/>
      <c r="C329" s="584"/>
      <c r="D329" s="584"/>
      <c r="E329" s="584"/>
      <c r="O329" s="605"/>
      <c r="P329" s="605"/>
      <c r="Q329" s="605"/>
      <c r="R329" s="605"/>
      <c r="S329" s="717"/>
      <c r="T329" s="717"/>
    </row>
    <row r="330" spans="1:20" ht="15" customHeight="1">
      <c r="A330" s="703" t="s">
        <v>179</v>
      </c>
      <c r="B330" s="597">
        <f ca="1">SUM(B326:B329)</f>
        <v>0</v>
      </c>
      <c r="C330" s="597">
        <f ca="1">SUM(C326:C329)</f>
        <v>0</v>
      </c>
      <c r="D330" s="597">
        <f ca="1">SUM(D326:D329)</f>
        <v>0</v>
      </c>
      <c r="E330" s="597">
        <f ca="1">SUM(E326:E329)</f>
        <v>24749845.965366002</v>
      </c>
      <c r="O330" s="605"/>
      <c r="P330" s="605"/>
      <c r="Q330" s="605"/>
      <c r="R330" s="605"/>
      <c r="S330" s="717"/>
      <c r="T330" s="717"/>
    </row>
    <row r="331" spans="1:20" ht="15" customHeight="1">
      <c r="A331" s="703" t="s">
        <v>75</v>
      </c>
      <c r="B331" s="722"/>
      <c r="C331" s="722"/>
      <c r="D331" s="722"/>
      <c r="E331" s="722"/>
      <c r="O331" s="605"/>
      <c r="P331" s="605"/>
      <c r="Q331" s="605"/>
      <c r="R331" s="605"/>
      <c r="S331" s="717"/>
      <c r="T331" s="717"/>
    </row>
    <row r="332" spans="1:20" ht="15" customHeight="1">
      <c r="A332" s="709" t="s">
        <v>180</v>
      </c>
      <c r="B332" s="721">
        <f ca="1">+'inversion af'!C104+'inversion af'!C126+'inversion af'!C177+'inversion af'!C179</f>
        <v>117350000</v>
      </c>
      <c r="C332" s="639">
        <f ca="1">+SUM('inversion af'!C177:F177)+SUM('inversion af'!C179:F179)+SUM('inversion af'!C104:F104)+SUM('inversion af'!C126:F126)</f>
        <v>117350000</v>
      </c>
      <c r="D332" s="639">
        <f ca="1">+C332+'inversion af'!G104+'inversion af'!H104+'inversion af'!G126+'inversion af'!H126+'inversion af'!G177+'inversion af'!G179+'inversion af'!H177+'inversion af'!H179</f>
        <v>117350000</v>
      </c>
      <c r="E332" s="639">
        <f ca="1">D332+'inversion af'!I104+'inversion af'!J104+'inversion af'!I126+'inversion af'!J126+'inversion af'!I177+'inversion af'!J177+'inversion af'!I179+'inversion af'!J179</f>
        <v>117350000</v>
      </c>
      <c r="O332" s="605"/>
      <c r="P332" s="605"/>
      <c r="Q332" s="605"/>
      <c r="R332" s="605"/>
      <c r="S332" s="717"/>
      <c r="T332" s="717"/>
    </row>
    <row r="333" spans="1:20" ht="15" customHeight="1">
      <c r="A333" s="709" t="s">
        <v>181</v>
      </c>
      <c r="B333" s="716"/>
      <c r="C333" s="584">
        <f>B333</f>
        <v>0</v>
      </c>
      <c r="D333" s="584">
        <f ca="1">C333+C334</f>
        <v>74567920</v>
      </c>
      <c r="E333" s="584">
        <f ca="1">D333+D334</f>
        <v>156353616.73680001</v>
      </c>
      <c r="O333" s="605"/>
      <c r="P333" s="605"/>
      <c r="Q333" s="605"/>
      <c r="R333" s="605"/>
      <c r="S333" s="717"/>
      <c r="T333" s="717"/>
    </row>
    <row r="334" spans="1:20" ht="15" customHeight="1">
      <c r="A334" s="709" t="s">
        <v>182</v>
      </c>
      <c r="B334" s="716"/>
      <c r="C334" s="584">
        <f ca="1">C179</f>
        <v>74567920</v>
      </c>
      <c r="D334" s="584">
        <f ca="1">D179</f>
        <v>81785696.7368</v>
      </c>
      <c r="E334" s="584">
        <f ca="1">E179</f>
        <v>74249537.896098003</v>
      </c>
      <c r="O334" s="605"/>
      <c r="P334" s="605"/>
      <c r="Q334" s="605"/>
      <c r="R334" s="605"/>
      <c r="S334" s="717"/>
      <c r="T334" s="717"/>
    </row>
    <row r="335" spans="1:20" ht="15" customHeight="1">
      <c r="A335" s="703" t="s">
        <v>183</v>
      </c>
      <c r="B335" s="723">
        <f ca="1">SUM(B332:B334)</f>
        <v>117350000</v>
      </c>
      <c r="C335" s="597">
        <f ca="1">SUM(C332:C334)</f>
        <v>191917920</v>
      </c>
      <c r="D335" s="597">
        <f ca="1">SUM(D332:D334)</f>
        <v>273703616.73680001</v>
      </c>
      <c r="E335" s="597">
        <f ca="1">SUM(E332:E334)</f>
        <v>347953154.63289803</v>
      </c>
      <c r="O335" s="605"/>
      <c r="P335" s="605"/>
      <c r="Q335" s="605"/>
      <c r="R335" s="605"/>
      <c r="S335" s="717"/>
      <c r="T335" s="717"/>
    </row>
    <row r="336" spans="1:20" ht="15" customHeight="1">
      <c r="A336" s="703" t="s">
        <v>184</v>
      </c>
      <c r="B336" s="723">
        <f ca="1">B335+B330</f>
        <v>117350000</v>
      </c>
      <c r="C336" s="597">
        <f ca="1">C335+C330</f>
        <v>191917920</v>
      </c>
      <c r="D336" s="597">
        <f ca="1">D335+D330</f>
        <v>273703616.73680001</v>
      </c>
      <c r="E336" s="597">
        <f ca="1">E335+E330</f>
        <v>372703000.59826404</v>
      </c>
      <c r="O336" s="605"/>
      <c r="P336" s="605"/>
      <c r="Q336" s="605"/>
      <c r="R336" s="605"/>
      <c r="S336" s="717"/>
      <c r="T336" s="717"/>
    </row>
    <row r="337" spans="1:20" ht="111.75" customHeight="1">
      <c r="A337" s="1166" t="str">
        <f>+ayuda!A197</f>
        <v xml:space="preserve">EL BALANCE GENERAL PROYECTADO SE ANALIZA BASICAMENTE CON DOS INDICADORES, EL PRIMERO DE ELLOS ES LA RAZON DE LIQUIDEZ.  ESTE INDICADOR ES UNA BUENA MEDIDA DE LA CAPACIDAD DE PAGO DE LA EMPRESA EN EL CORTO PLAZO. ENTRE "MÁS LÍQUIDO" SEA EL ACTIVO CORRIENTE MÁS SIGNIFICATIVO ES SU RESULTADO. PARA SU ANÁLISIS DEBE TENERSE EN CUENTA LA CALIDAD Y EL CARÁCTER DE LOS ACTIVOS CORRIENTES, EN TÉRMINOS DE SU FACILIDAD DE CONVERSIÓN EN DINERO Y LAS FECHAS DE VENCIMIENTO DE LAS OBLIGACIONES EN EL PASIVO CORRIENTE. </v>
      </c>
      <c r="B337" s="1167"/>
      <c r="C337" s="1167"/>
      <c r="D337" s="1167"/>
      <c r="E337" s="1167"/>
      <c r="O337" s="605"/>
      <c r="P337" s="605"/>
      <c r="Q337" s="605"/>
      <c r="R337" s="605"/>
      <c r="S337" s="717"/>
      <c r="T337" s="717"/>
    </row>
    <row r="338" spans="1:20" ht="78.75" customHeight="1">
      <c r="A338" s="1161" t="str">
        <f ca="1">+ayuda!A198</f>
        <v xml:space="preserve">AL TERMINAR EL PRIMER AÑO, PARA EL PROYECTO SE CONCLUYE QUE POR CADA PESO DE PASIVO CORRIENTE QUE DEBE, LA EMPRESA TIENE $0,00 PESOS DE ACTIVO LÍQUIDO  CORRIENTE PARA CUBRIRLO.   SE CONSIDERA QUE UNA RAZÓN CORRIENTE IDEAL ES SUPERIOR A  2.5  A 1, ES DECIR, QUE POR CADA PESO QUE SE ADEUDA EN EL CORTO PLAZO SE TIENEN DOS Y MEDIO PESOS COMO RESPALDO. </v>
      </c>
      <c r="B338" s="1162"/>
      <c r="C338" s="1162"/>
      <c r="D338" s="1162"/>
      <c r="E338" s="1162"/>
      <c r="O338" s="605"/>
      <c r="P338" s="605"/>
      <c r="Q338" s="605"/>
      <c r="R338" s="605"/>
      <c r="S338" s="717"/>
      <c r="T338" s="717"/>
    </row>
    <row r="339" spans="1:20" ht="83.25" customHeight="1">
      <c r="A339" s="1161" t="str">
        <f>+ayuda!A199</f>
        <v xml:space="preserve">EL SEGUNDO INDICADOR  AYUDA A DETERMINAR LA CAPACIDAD QUE TIENE LA EMPRESA PARA CUBRIR SUS OBLIGACIONES CON TERCEROS A CORTO Y LARGO PLAZO. SE LE DENOMINA NIVEL DE ENDEUDAMIENTO. ES IMPORTANTE CONOCER LA DISCRIMINACIÓN DEL PASIVO TOTAL. UNA EMPRESA PUEDE TENER UN ENDEUDAMIENTO ALTO, PERO SI LA MAYOR PARTE DE ÉSTE ES A LARGO PLAZO ELLA NO  TENDRÁ LAS DIFICULTADES QUE HA DE SUPONER UN INDICADOR ALTO. </v>
      </c>
      <c r="B339" s="1162"/>
      <c r="C339" s="1162"/>
      <c r="D339" s="1162"/>
      <c r="E339" s="1162"/>
      <c r="O339" s="605"/>
      <c r="P339" s="605"/>
      <c r="Q339" s="605"/>
      <c r="R339" s="605"/>
      <c r="S339" s="717"/>
      <c r="T339" s="717"/>
    </row>
    <row r="340" spans="1:20" ht="39" customHeight="1">
      <c r="A340" s="1161" t="str">
        <f ca="1">+ayuda!A200</f>
        <v>EN EL MOMENTO DE ARRANQUE DE LA EMPRESA SE OBSERVA  QUE NO POSEE NIVEL DE ENDEUDAMIENTO LO CUAL SE CONSIDERA FAVORABLE PARA SU OPERACIÓN Y VIABILIDAD</v>
      </c>
      <c r="B340" s="1162"/>
      <c r="C340" s="1162"/>
      <c r="D340" s="1162"/>
      <c r="E340" s="1162"/>
      <c r="O340" s="605"/>
      <c r="P340" s="605"/>
      <c r="Q340" s="605"/>
      <c r="R340" s="605"/>
      <c r="S340" s="717"/>
      <c r="T340" s="717"/>
    </row>
    <row r="341" spans="1:20" ht="88.5" customHeight="1">
      <c r="A341" s="1161" t="str">
        <f ca="1">+ayuda!A201</f>
        <v xml:space="preserve">AL TERMINAR EL PRIMER AÑO,  EL 0%  DE LOS ACTIVOS ESTÁN RESPALDADOS  CON RECURSOS DE LOS ACREEDORES, SE CONSIDERA QUE UN NIVEL DE ENDEUDAMIENTO DEL 60% ES MANEJABLE, UN ENDEUDAMIENTO MENOR MUESTRA UNA EMPRESA EN CAPACIDAD DE CONTRAER MÁS OBLIGACIONES, MIENTRAS QUE UN ENDEUDAMIENTO MAYOR MUESTRA UNA EMPRESA A LA QUE SE LE PUEDE DIFICULTAR LA CONSECUCIÓN DE MÁS FINANCIAMIENTO. </v>
      </c>
      <c r="B341" s="1162"/>
      <c r="C341" s="1162"/>
      <c r="D341" s="1162"/>
      <c r="E341" s="1162"/>
      <c r="O341" s="605"/>
      <c r="P341" s="605"/>
      <c r="Q341" s="605"/>
      <c r="R341" s="605"/>
      <c r="S341" s="717"/>
      <c r="T341" s="717"/>
    </row>
    <row r="342" spans="1:20" ht="34.5" customHeight="1">
      <c r="A342" s="1161" t="str">
        <f>+ayuda!A202</f>
        <v xml:space="preserve">EN LAS GRAFICAS SE PUEDE VISUALIZAR LA EVOLUCION DE LOS DOS INDICADORES, LO IDEAL ES QUE LA RAZON CORRIENTE SUBA, Y EL NIVEL DE ENDEUDAMIENTO DISMINUYA. </v>
      </c>
      <c r="B342" s="1162"/>
      <c r="C342" s="1162"/>
      <c r="D342" s="1162"/>
      <c r="E342" s="1162"/>
      <c r="O342" s="605"/>
      <c r="P342" s="605"/>
      <c r="Q342" s="605"/>
      <c r="R342" s="605"/>
      <c r="S342" s="717"/>
      <c r="T342" s="717"/>
    </row>
    <row r="343" spans="1:20" ht="15" customHeight="1">
      <c r="A343" s="724">
        <f>+ayuda!A324</f>
        <v>0</v>
      </c>
      <c r="O343" s="605"/>
      <c r="P343" s="605"/>
      <c r="Q343" s="605"/>
      <c r="R343" s="605"/>
      <c r="S343" s="717"/>
      <c r="T343" s="717"/>
    </row>
    <row r="344" spans="1:20" ht="15" customHeight="1">
      <c r="A344" s="580" t="s">
        <v>125</v>
      </c>
      <c r="B344" s="536"/>
      <c r="C344" s="605"/>
      <c r="D344" s="605"/>
      <c r="O344" s="605"/>
      <c r="P344" s="605"/>
      <c r="Q344" s="605"/>
      <c r="R344" s="605"/>
      <c r="S344" s="717"/>
      <c r="T344" s="717"/>
    </row>
    <row r="345" spans="1:20" ht="15" customHeight="1">
      <c r="A345" s="536"/>
      <c r="B345" s="703" t="s">
        <v>126</v>
      </c>
      <c r="C345" s="725" t="s">
        <v>127</v>
      </c>
      <c r="D345" s="605"/>
      <c r="O345" s="605"/>
      <c r="P345" s="605"/>
      <c r="Q345" s="605"/>
      <c r="R345" s="605"/>
      <c r="S345" s="717"/>
      <c r="T345" s="717"/>
    </row>
    <row r="346" spans="1:20" ht="15" customHeight="1">
      <c r="A346" s="709" t="s">
        <v>129</v>
      </c>
      <c r="B346" s="597">
        <f ca="1">+'inversion af'!L115</f>
        <v>0</v>
      </c>
      <c r="C346" s="597">
        <f>+'inversion af'!K178</f>
        <v>0</v>
      </c>
      <c r="D346" s="605"/>
      <c r="O346" s="605"/>
      <c r="P346" s="605"/>
      <c r="Q346" s="605"/>
      <c r="R346" s="605"/>
      <c r="S346" s="717"/>
      <c r="T346" s="717"/>
    </row>
    <row r="347" spans="1:20" ht="15" customHeight="1">
      <c r="A347" s="709" t="s">
        <v>131</v>
      </c>
      <c r="B347" s="597">
        <f>+'inver y financ'!B105</f>
        <v>0</v>
      </c>
      <c r="C347" s="597">
        <f>+'inver y financ'!C105</f>
        <v>0</v>
      </c>
      <c r="D347" s="605"/>
      <c r="O347" s="605"/>
      <c r="P347" s="605"/>
      <c r="Q347" s="605"/>
      <c r="R347" s="605"/>
      <c r="S347" s="717"/>
      <c r="T347" s="717"/>
    </row>
    <row r="348" spans="1:20" ht="15" customHeight="1">
      <c r="A348" s="709" t="s">
        <v>659</v>
      </c>
      <c r="B348" s="597">
        <f>+'inver y financ'!B106</f>
        <v>0</v>
      </c>
      <c r="C348" s="597">
        <f>+'inver y financ'!C106</f>
        <v>0</v>
      </c>
      <c r="D348" s="605"/>
      <c r="O348" s="605"/>
      <c r="P348" s="605"/>
      <c r="Q348" s="605"/>
      <c r="R348" s="605"/>
      <c r="S348" s="717"/>
      <c r="T348" s="717"/>
    </row>
    <row r="349" spans="1:20" ht="15" customHeight="1">
      <c r="A349" s="709" t="s">
        <v>132</v>
      </c>
      <c r="B349" s="726">
        <f>+'inver y financ'!B107</f>
        <v>0</v>
      </c>
      <c r="C349" s="726">
        <f>+'inver y financ'!C107</f>
        <v>0</v>
      </c>
      <c r="D349" s="536"/>
      <c r="O349" s="605"/>
      <c r="P349" s="605"/>
      <c r="Q349" s="605"/>
      <c r="R349" s="605"/>
      <c r="S349" s="717"/>
      <c r="T349" s="717"/>
    </row>
    <row r="350" spans="1:20" ht="15" customHeight="1">
      <c r="A350" s="709" t="s">
        <v>133</v>
      </c>
      <c r="B350" s="726">
        <f>+'inver y financ'!B108</f>
        <v>0</v>
      </c>
      <c r="C350" s="726">
        <f>+'inver y financ'!C108</f>
        <v>0</v>
      </c>
      <c r="D350" s="699"/>
      <c r="O350" s="605"/>
      <c r="P350" s="605"/>
      <c r="Q350" s="605"/>
      <c r="R350" s="605"/>
      <c r="S350" s="717"/>
      <c r="T350" s="717"/>
    </row>
    <row r="351" spans="1:20" ht="15" customHeight="1">
      <c r="A351" s="709" t="s">
        <v>134</v>
      </c>
      <c r="B351" s="726">
        <f>+'inver y financ'!B109</f>
        <v>0</v>
      </c>
      <c r="C351" s="726">
        <f>+'inver y financ'!C109</f>
        <v>0</v>
      </c>
      <c r="D351" s="536"/>
      <c r="O351" s="605"/>
      <c r="P351" s="605"/>
      <c r="Q351" s="605"/>
      <c r="R351" s="605"/>
      <c r="S351" s="717"/>
      <c r="T351" s="717"/>
    </row>
    <row r="352" spans="1:20" ht="15" customHeight="1">
      <c r="A352" s="536"/>
      <c r="B352" s="536"/>
      <c r="C352" s="536"/>
      <c r="D352" s="536"/>
      <c r="O352" s="605"/>
      <c r="P352" s="605"/>
      <c r="Q352" s="605"/>
      <c r="R352" s="605"/>
      <c r="S352" s="717"/>
      <c r="T352" s="717"/>
    </row>
    <row r="353" spans="1:20" ht="35.25" customHeight="1">
      <c r="A353" s="1163" t="str">
        <f ca="1">+ayuda!A207</f>
        <v>EL PROYECTO SE FINANCIA 100% CON RECURSOS PROPIOS</v>
      </c>
      <c r="B353" s="1164"/>
      <c r="C353" s="1164"/>
      <c r="D353" s="1164"/>
      <c r="E353" s="1164"/>
      <c r="O353" s="605"/>
      <c r="P353" s="605"/>
      <c r="Q353" s="605"/>
      <c r="R353" s="605"/>
      <c r="S353" s="717"/>
      <c r="T353" s="717"/>
    </row>
    <row r="354" spans="1:20" ht="31.5" customHeight="1">
      <c r="A354" s="1164" t="s">
        <v>596</v>
      </c>
      <c r="B354" s="1165"/>
      <c r="C354" s="1165"/>
      <c r="D354" s="1165"/>
      <c r="E354" s="1165"/>
      <c r="O354" s="605"/>
      <c r="P354" s="605"/>
      <c r="Q354" s="605"/>
      <c r="R354" s="605"/>
      <c r="S354" s="717"/>
      <c r="T354" s="717"/>
    </row>
    <row r="355" spans="1:20" ht="15" customHeight="1">
      <c r="A355" s="536"/>
      <c r="B355" s="536"/>
      <c r="C355" s="536"/>
      <c r="D355" s="536"/>
      <c r="O355" s="605"/>
      <c r="P355" s="605"/>
      <c r="Q355" s="605"/>
      <c r="R355" s="605"/>
      <c r="S355" s="717"/>
      <c r="T355" s="717"/>
    </row>
    <row r="356" spans="1:20" ht="15" customHeight="1">
      <c r="A356" s="580" t="s">
        <v>135</v>
      </c>
      <c r="B356" s="536"/>
      <c r="C356" s="727" t="s">
        <v>862</v>
      </c>
      <c r="D356" s="728">
        <f ca="1">D11</f>
        <v>0</v>
      </c>
      <c r="O356" s="605"/>
      <c r="P356" s="605"/>
      <c r="Q356" s="605"/>
      <c r="R356" s="605"/>
      <c r="S356" s="717"/>
      <c r="T356" s="717"/>
    </row>
    <row r="357" spans="1:20" ht="15" customHeight="1">
      <c r="A357" s="536"/>
      <c r="B357" s="536"/>
      <c r="C357" s="536"/>
      <c r="D357" s="536"/>
      <c r="O357" s="605"/>
      <c r="P357" s="605"/>
      <c r="Q357" s="605"/>
      <c r="R357" s="605"/>
      <c r="S357" s="717"/>
      <c r="T357" s="717"/>
    </row>
    <row r="358" spans="1:20" ht="15" customHeight="1">
      <c r="A358" s="729"/>
      <c r="B358" s="608" t="s">
        <v>600</v>
      </c>
      <c r="C358" s="608" t="s">
        <v>601</v>
      </c>
      <c r="D358" s="608" t="s">
        <v>602</v>
      </c>
      <c r="O358" s="605"/>
      <c r="P358" s="605"/>
      <c r="Q358" s="605"/>
      <c r="R358" s="605"/>
      <c r="S358" s="717"/>
      <c r="T358" s="717"/>
    </row>
    <row r="359" spans="1:20" ht="15" customHeight="1">
      <c r="A359" s="709" t="s">
        <v>136</v>
      </c>
      <c r="B359" s="597">
        <f ca="1">+'inver y financ'!B317</f>
        <v>0</v>
      </c>
      <c r="C359" s="597">
        <f ca="1">+'inver y financ'!C317</f>
        <v>0</v>
      </c>
      <c r="D359" s="597">
        <f ca="1">+'inver y financ'!D317</f>
        <v>0</v>
      </c>
      <c r="O359" s="605"/>
      <c r="P359" s="605"/>
      <c r="Q359" s="605"/>
      <c r="R359" s="605"/>
      <c r="S359" s="717"/>
      <c r="T359" s="717"/>
    </row>
    <row r="360" spans="1:20" ht="15" customHeight="1">
      <c r="A360" s="709" t="s">
        <v>137</v>
      </c>
      <c r="B360" s="584">
        <f ca="1">+'inver y financ'!B318</f>
        <v>0</v>
      </c>
      <c r="C360" s="584">
        <f ca="1">+'inver y financ'!C318</f>
        <v>0</v>
      </c>
      <c r="D360" s="584">
        <f ca="1">+'inver y financ'!D318</f>
        <v>0</v>
      </c>
      <c r="O360" s="605"/>
      <c r="P360" s="605"/>
      <c r="Q360" s="605"/>
      <c r="R360" s="605"/>
      <c r="S360" s="717"/>
      <c r="T360" s="717"/>
    </row>
    <row r="361" spans="1:20" ht="15" customHeight="1">
      <c r="A361" s="709" t="s">
        <v>138</v>
      </c>
      <c r="B361" s="584">
        <f>+'inver y financ'!B319</f>
        <v>0</v>
      </c>
      <c r="C361" s="584">
        <f>+'inver y financ'!C319</f>
        <v>0</v>
      </c>
      <c r="D361" s="584">
        <f>+'inver y financ'!D319</f>
        <v>0</v>
      </c>
      <c r="O361" s="605"/>
      <c r="P361" s="605"/>
      <c r="Q361" s="605"/>
      <c r="R361" s="605"/>
      <c r="S361" s="717"/>
      <c r="T361" s="717"/>
    </row>
    <row r="362" spans="1:20" ht="15" customHeight="1">
      <c r="A362" s="709" t="s">
        <v>139</v>
      </c>
      <c r="B362" s="584">
        <f ca="1">B361+B360</f>
        <v>0</v>
      </c>
      <c r="C362" s="584">
        <f ca="1">C361+C360</f>
        <v>0</v>
      </c>
      <c r="D362" s="584">
        <f ca="1">D361+D360</f>
        <v>0</v>
      </c>
      <c r="O362" s="605"/>
      <c r="P362" s="605"/>
      <c r="Q362" s="605"/>
      <c r="R362" s="605"/>
      <c r="S362" s="717"/>
      <c r="T362" s="717"/>
    </row>
    <row r="363" spans="1:20" ht="15" customHeight="1">
      <c r="O363" s="605"/>
      <c r="P363" s="605"/>
      <c r="Q363" s="605"/>
      <c r="R363" s="605"/>
      <c r="S363" s="717"/>
      <c r="T363" s="717"/>
    </row>
    <row r="364" spans="1:20" ht="15" customHeight="1">
      <c r="O364" s="605"/>
      <c r="P364" s="605"/>
      <c r="Q364" s="605"/>
      <c r="R364" s="605"/>
      <c r="S364" s="717"/>
      <c r="T364" s="717"/>
    </row>
    <row r="365" spans="1:20" ht="15" customHeight="1">
      <c r="O365" s="605"/>
      <c r="P365" s="605"/>
      <c r="Q365" s="605"/>
      <c r="R365" s="605"/>
      <c r="S365" s="717"/>
      <c r="T365" s="717"/>
    </row>
    <row r="366" spans="1:20" ht="15" customHeight="1">
      <c r="O366" s="605"/>
      <c r="P366" s="605"/>
      <c r="Q366" s="605"/>
      <c r="R366" s="605"/>
      <c r="S366" s="717"/>
      <c r="T366" s="717"/>
    </row>
    <row r="367" spans="1:20" ht="15" customHeight="1">
      <c r="A367" s="535"/>
      <c r="B367" s="536"/>
      <c r="C367" s="536"/>
      <c r="D367" s="536"/>
      <c r="E367" s="536"/>
      <c r="F367" s="536"/>
      <c r="G367" s="536"/>
      <c r="H367" s="536"/>
      <c r="I367" s="536"/>
      <c r="J367" s="536"/>
      <c r="K367" s="536"/>
      <c r="L367" s="536"/>
      <c r="M367" s="536"/>
      <c r="N367" s="536"/>
      <c r="O367" s="536"/>
      <c r="P367" s="536"/>
      <c r="Q367" s="536"/>
      <c r="R367" s="536"/>
    </row>
    <row r="368" spans="1:20" ht="15" customHeight="1">
      <c r="A368" s="730" t="str">
        <f ca="1">+ayuda!A13</f>
        <v>NO SE PRESENTA TABLA DE AMORTIZACION PORQUE NO HAY CREDITOS</v>
      </c>
      <c r="B368" s="536"/>
      <c r="C368" s="536"/>
      <c r="D368" s="536"/>
      <c r="E368" s="536"/>
      <c r="F368" s="731">
        <f ca="1">+ayuda!C12</f>
        <v>0</v>
      </c>
      <c r="G368" s="536"/>
      <c r="H368" s="536"/>
      <c r="I368" s="536"/>
      <c r="J368" s="536"/>
      <c r="K368" s="536"/>
      <c r="L368" s="536"/>
      <c r="M368" s="536"/>
      <c r="N368" s="536"/>
      <c r="O368" s="536"/>
      <c r="P368" s="536"/>
      <c r="Q368" s="536"/>
      <c r="R368" s="536"/>
    </row>
    <row r="369" spans="1:17" ht="15" customHeight="1">
      <c r="A369" s="732" t="s">
        <v>62</v>
      </c>
      <c r="B369" s="732" t="s">
        <v>141</v>
      </c>
      <c r="C369" s="732" t="s">
        <v>137</v>
      </c>
      <c r="D369" s="732" t="s">
        <v>138</v>
      </c>
      <c r="E369" s="732" t="s">
        <v>136</v>
      </c>
      <c r="F369" s="536"/>
      <c r="G369" s="536"/>
      <c r="H369" s="536"/>
      <c r="I369" s="536"/>
      <c r="J369" s="536"/>
      <c r="K369" s="536"/>
      <c r="L369" s="536"/>
      <c r="M369" s="536"/>
      <c r="N369" s="536"/>
      <c r="O369" s="536"/>
      <c r="P369" s="536"/>
      <c r="Q369" s="536"/>
    </row>
    <row r="370" spans="1:17" ht="15" customHeight="1">
      <c r="A370" s="732">
        <v>1</v>
      </c>
      <c r="B370" s="733">
        <f ca="1">+'inver y financ'!B250</f>
        <v>0</v>
      </c>
      <c r="C370" s="733">
        <f ca="1">+'inver y financ'!C250</f>
        <v>0</v>
      </c>
      <c r="D370" s="733">
        <f>+'inver y financ'!D250</f>
        <v>0</v>
      </c>
      <c r="E370" s="733">
        <f ca="1">+'inver y financ'!F250</f>
        <v>0</v>
      </c>
      <c r="F370" s="536"/>
      <c r="G370" s="536"/>
      <c r="H370" s="536"/>
      <c r="I370" s="536"/>
      <c r="J370" s="536"/>
      <c r="K370" s="536"/>
      <c r="L370" s="536"/>
      <c r="M370" s="536"/>
      <c r="N370" s="536"/>
      <c r="O370" s="536"/>
      <c r="P370" s="536"/>
      <c r="Q370" s="536"/>
    </row>
    <row r="371" spans="1:17" ht="15" customHeight="1">
      <c r="A371" s="732">
        <v>2</v>
      </c>
      <c r="B371" s="733">
        <f ca="1">+'inver y financ'!B251</f>
        <v>0</v>
      </c>
      <c r="C371" s="733">
        <f ca="1">+'inver y financ'!C251</f>
        <v>0</v>
      </c>
      <c r="D371" s="733">
        <f>+'inver y financ'!D251</f>
        <v>0</v>
      </c>
      <c r="E371" s="733">
        <f ca="1">+'inver y financ'!F251</f>
        <v>0</v>
      </c>
      <c r="F371" s="536"/>
      <c r="G371" s="536"/>
      <c r="H371" s="536"/>
      <c r="I371" s="536"/>
      <c r="J371" s="536"/>
      <c r="K371" s="536"/>
      <c r="L371" s="536"/>
      <c r="M371" s="536"/>
      <c r="N371" s="536"/>
      <c r="O371" s="536"/>
      <c r="P371" s="536"/>
      <c r="Q371" s="536"/>
    </row>
    <row r="372" spans="1:17" ht="15" customHeight="1">
      <c r="A372" s="732">
        <v>3</v>
      </c>
      <c r="B372" s="733">
        <f ca="1">+'inver y financ'!B252</f>
        <v>0</v>
      </c>
      <c r="C372" s="733">
        <f ca="1">+'inver y financ'!C252</f>
        <v>0</v>
      </c>
      <c r="D372" s="733">
        <f>+'inver y financ'!D252</f>
        <v>0</v>
      </c>
      <c r="E372" s="733">
        <f ca="1">+'inver y financ'!F252</f>
        <v>0</v>
      </c>
      <c r="F372" s="536"/>
      <c r="G372" s="536"/>
      <c r="H372" s="536"/>
      <c r="I372" s="536"/>
      <c r="J372" s="536"/>
      <c r="K372" s="536"/>
      <c r="L372" s="536"/>
      <c r="M372" s="536"/>
      <c r="N372" s="536"/>
      <c r="O372" s="536"/>
      <c r="P372" s="536"/>
      <c r="Q372" s="536"/>
    </row>
    <row r="373" spans="1:17" ht="15" customHeight="1">
      <c r="A373" s="732">
        <v>4</v>
      </c>
      <c r="B373" s="733">
        <f ca="1">+'inver y financ'!B253</f>
        <v>0</v>
      </c>
      <c r="C373" s="733">
        <f ca="1">+'inver y financ'!C253</f>
        <v>0</v>
      </c>
      <c r="D373" s="733">
        <f>+'inver y financ'!D253</f>
        <v>0</v>
      </c>
      <c r="E373" s="733">
        <f ca="1">+'inver y financ'!F253</f>
        <v>0</v>
      </c>
      <c r="F373" s="536"/>
      <c r="G373" s="536"/>
      <c r="H373" s="536"/>
      <c r="I373" s="536"/>
      <c r="J373" s="536"/>
      <c r="K373" s="536"/>
      <c r="L373" s="536"/>
      <c r="M373" s="536"/>
      <c r="N373" s="536"/>
      <c r="O373" s="536"/>
      <c r="P373" s="536"/>
      <c r="Q373" s="536"/>
    </row>
    <row r="374" spans="1:17" ht="15" customHeight="1">
      <c r="A374" s="732">
        <v>5</v>
      </c>
      <c r="B374" s="733">
        <f ca="1">+'inver y financ'!B254</f>
        <v>0</v>
      </c>
      <c r="C374" s="733">
        <f ca="1">+'inver y financ'!C254</f>
        <v>0</v>
      </c>
      <c r="D374" s="733">
        <f>+'inver y financ'!D254</f>
        <v>0</v>
      </c>
      <c r="E374" s="733">
        <f ca="1">+'inver y financ'!F254</f>
        <v>0</v>
      </c>
      <c r="F374" s="536"/>
      <c r="G374" s="536"/>
      <c r="H374" s="536"/>
      <c r="I374" s="536"/>
      <c r="J374" s="536"/>
      <c r="K374" s="536"/>
      <c r="L374" s="536"/>
      <c r="M374" s="536"/>
      <c r="N374" s="536"/>
      <c r="O374" s="536"/>
      <c r="P374" s="536"/>
      <c r="Q374" s="536"/>
    </row>
    <row r="375" spans="1:17" ht="15" customHeight="1">
      <c r="A375" s="732">
        <v>6</v>
      </c>
      <c r="B375" s="733">
        <f ca="1">+'inver y financ'!B255</f>
        <v>0</v>
      </c>
      <c r="C375" s="733">
        <f ca="1">+'inver y financ'!C255</f>
        <v>0</v>
      </c>
      <c r="D375" s="733">
        <f>+'inver y financ'!D255</f>
        <v>0</v>
      </c>
      <c r="E375" s="733">
        <f ca="1">+'inver y financ'!F255</f>
        <v>0</v>
      </c>
      <c r="F375" s="536"/>
      <c r="G375" s="536"/>
      <c r="H375" s="536"/>
      <c r="I375" s="536"/>
      <c r="J375" s="536"/>
      <c r="K375" s="536"/>
      <c r="L375" s="536"/>
      <c r="M375" s="536"/>
      <c r="N375" s="536"/>
      <c r="O375" s="536"/>
      <c r="P375" s="536"/>
      <c r="Q375" s="536"/>
    </row>
    <row r="376" spans="1:17" ht="15" customHeight="1">
      <c r="A376" s="732">
        <v>7</v>
      </c>
      <c r="B376" s="733">
        <f ca="1">+'inver y financ'!B256</f>
        <v>0</v>
      </c>
      <c r="C376" s="733">
        <f ca="1">+'inver y financ'!C256</f>
        <v>0</v>
      </c>
      <c r="D376" s="733">
        <f>+'inver y financ'!D256</f>
        <v>0</v>
      </c>
      <c r="E376" s="733">
        <f ca="1">+'inver y financ'!F256</f>
        <v>0</v>
      </c>
      <c r="F376" s="536"/>
      <c r="G376" s="536"/>
      <c r="H376" s="536"/>
      <c r="I376" s="536"/>
      <c r="J376" s="536"/>
      <c r="K376" s="536"/>
      <c r="L376" s="536"/>
      <c r="M376" s="536"/>
      <c r="N376" s="536"/>
      <c r="O376" s="536"/>
      <c r="P376" s="536"/>
      <c r="Q376" s="536"/>
    </row>
    <row r="377" spans="1:17" ht="15" customHeight="1">
      <c r="A377" s="732">
        <v>8</v>
      </c>
      <c r="B377" s="733">
        <f ca="1">+'inver y financ'!B257</f>
        <v>0</v>
      </c>
      <c r="C377" s="733">
        <f ca="1">+'inver y financ'!C257</f>
        <v>0</v>
      </c>
      <c r="D377" s="733">
        <f>+'inver y financ'!D257</f>
        <v>0</v>
      </c>
      <c r="E377" s="733">
        <f ca="1">+'inver y financ'!F257</f>
        <v>0</v>
      </c>
      <c r="F377" s="536"/>
      <c r="G377" s="536"/>
      <c r="H377" s="536"/>
      <c r="I377" s="536"/>
      <c r="J377" s="536"/>
      <c r="K377" s="536"/>
      <c r="L377" s="536"/>
      <c r="M377" s="536"/>
      <c r="N377" s="536"/>
      <c r="O377" s="536"/>
      <c r="P377" s="536"/>
      <c r="Q377" s="536"/>
    </row>
    <row r="378" spans="1:17" ht="15" customHeight="1">
      <c r="A378" s="732">
        <v>9</v>
      </c>
      <c r="B378" s="733">
        <f ca="1">+'inver y financ'!B258</f>
        <v>0</v>
      </c>
      <c r="C378" s="733">
        <f ca="1">+'inver y financ'!C258</f>
        <v>0</v>
      </c>
      <c r="D378" s="733">
        <f>+'inver y financ'!D258</f>
        <v>0</v>
      </c>
      <c r="E378" s="733">
        <f ca="1">+'inver y financ'!F258</f>
        <v>0</v>
      </c>
      <c r="F378" s="536"/>
      <c r="G378" s="536"/>
      <c r="H378" s="536"/>
      <c r="I378" s="536"/>
      <c r="J378" s="536"/>
      <c r="K378" s="536"/>
      <c r="L378" s="536"/>
      <c r="M378" s="536"/>
      <c r="N378" s="536"/>
      <c r="O378" s="536"/>
      <c r="P378" s="536"/>
      <c r="Q378" s="536"/>
    </row>
    <row r="379" spans="1:17" ht="15" customHeight="1">
      <c r="A379" s="732">
        <v>10</v>
      </c>
      <c r="B379" s="733">
        <f ca="1">+'inver y financ'!B259</f>
        <v>0</v>
      </c>
      <c r="C379" s="733">
        <f ca="1">+'inver y financ'!C259</f>
        <v>0</v>
      </c>
      <c r="D379" s="733">
        <f>+'inver y financ'!D259</f>
        <v>0</v>
      </c>
      <c r="E379" s="733">
        <f ca="1">+'inver y financ'!F259</f>
        <v>0</v>
      </c>
      <c r="F379" s="536"/>
      <c r="G379" s="536"/>
      <c r="H379" s="536"/>
      <c r="I379" s="536"/>
      <c r="J379" s="536"/>
      <c r="K379" s="536"/>
      <c r="L379" s="536"/>
      <c r="M379" s="536"/>
      <c r="N379" s="536"/>
      <c r="O379" s="536"/>
      <c r="P379" s="536"/>
      <c r="Q379" s="536"/>
    </row>
    <row r="380" spans="1:17" ht="15" customHeight="1">
      <c r="A380" s="732">
        <v>11</v>
      </c>
      <c r="B380" s="733">
        <f ca="1">+'inver y financ'!B260</f>
        <v>0</v>
      </c>
      <c r="C380" s="733">
        <f ca="1">+'inver y financ'!C260</f>
        <v>0</v>
      </c>
      <c r="D380" s="733">
        <f>+'inver y financ'!D260</f>
        <v>0</v>
      </c>
      <c r="E380" s="733">
        <f ca="1">+'inver y financ'!F260</f>
        <v>0</v>
      </c>
      <c r="F380" s="536"/>
      <c r="G380" s="536"/>
      <c r="H380" s="536"/>
      <c r="I380" s="536"/>
      <c r="J380" s="536"/>
      <c r="K380" s="536"/>
      <c r="L380" s="536"/>
      <c r="M380" s="536"/>
      <c r="N380" s="536"/>
      <c r="O380" s="536"/>
      <c r="P380" s="536"/>
      <c r="Q380" s="536"/>
    </row>
    <row r="381" spans="1:17" ht="15" customHeight="1">
      <c r="A381" s="732">
        <v>12</v>
      </c>
      <c r="B381" s="733">
        <f ca="1">+'inver y financ'!B261</f>
        <v>0</v>
      </c>
      <c r="C381" s="733">
        <f ca="1">+'inver y financ'!C261</f>
        <v>0</v>
      </c>
      <c r="D381" s="733">
        <f>+'inver y financ'!D261</f>
        <v>0</v>
      </c>
      <c r="E381" s="733">
        <f ca="1">+'inver y financ'!F261</f>
        <v>0</v>
      </c>
      <c r="F381" s="536"/>
      <c r="G381" s="536"/>
      <c r="H381" s="536"/>
      <c r="I381" s="536"/>
      <c r="J381" s="536"/>
      <c r="K381" s="536"/>
      <c r="L381" s="536"/>
      <c r="M381" s="536"/>
      <c r="N381" s="536"/>
      <c r="O381" s="536"/>
      <c r="P381" s="536"/>
      <c r="Q381" s="536"/>
    </row>
    <row r="382" spans="1:17" ht="15" customHeight="1">
      <c r="A382" s="732">
        <v>13</v>
      </c>
      <c r="B382" s="733">
        <f ca="1">+'inver y financ'!B262</f>
        <v>0</v>
      </c>
      <c r="C382" s="733">
        <f ca="1">+'inver y financ'!C262</f>
        <v>0</v>
      </c>
      <c r="D382" s="733">
        <f>+'inver y financ'!D262</f>
        <v>0</v>
      </c>
      <c r="E382" s="733">
        <f ca="1">+'inver y financ'!F262</f>
        <v>0</v>
      </c>
      <c r="F382" s="536"/>
      <c r="G382" s="536"/>
      <c r="H382" s="536"/>
      <c r="I382" s="536"/>
      <c r="J382" s="536"/>
      <c r="K382" s="536"/>
      <c r="L382" s="536"/>
      <c r="M382" s="536"/>
      <c r="N382" s="536"/>
      <c r="O382" s="536"/>
      <c r="P382" s="536"/>
      <c r="Q382" s="536"/>
    </row>
    <row r="383" spans="1:17" ht="15" customHeight="1">
      <c r="A383" s="732">
        <v>14</v>
      </c>
      <c r="B383" s="733">
        <f ca="1">+'inver y financ'!B263</f>
        <v>0</v>
      </c>
      <c r="C383" s="733">
        <f ca="1">+'inver y financ'!C263</f>
        <v>0</v>
      </c>
      <c r="D383" s="733">
        <f>+'inver y financ'!D263</f>
        <v>0</v>
      </c>
      <c r="E383" s="733">
        <f ca="1">+'inver y financ'!F263</f>
        <v>0</v>
      </c>
      <c r="F383" s="536"/>
      <c r="G383" s="536"/>
      <c r="H383" s="536"/>
      <c r="I383" s="536"/>
      <c r="J383" s="536"/>
      <c r="K383" s="536"/>
      <c r="L383" s="536"/>
      <c r="M383" s="536"/>
      <c r="N383" s="536"/>
      <c r="O383" s="536"/>
      <c r="P383" s="536"/>
      <c r="Q383" s="536"/>
    </row>
    <row r="384" spans="1:17" ht="15" customHeight="1">
      <c r="A384" s="732">
        <v>15</v>
      </c>
      <c r="B384" s="733">
        <f ca="1">+'inver y financ'!B264</f>
        <v>0</v>
      </c>
      <c r="C384" s="733">
        <f ca="1">+'inver y financ'!C264</f>
        <v>0</v>
      </c>
      <c r="D384" s="733">
        <f>+'inver y financ'!D264</f>
        <v>0</v>
      </c>
      <c r="E384" s="733">
        <f ca="1">+'inver y financ'!F264</f>
        <v>0</v>
      </c>
      <c r="F384" s="536"/>
      <c r="G384" s="536"/>
      <c r="H384" s="536"/>
      <c r="I384" s="536"/>
      <c r="J384" s="536"/>
      <c r="K384" s="536"/>
      <c r="L384" s="536"/>
      <c r="M384" s="536"/>
      <c r="N384" s="536"/>
      <c r="O384" s="536"/>
      <c r="P384" s="536"/>
      <c r="Q384" s="536"/>
    </row>
    <row r="385" spans="1:17" ht="15" customHeight="1">
      <c r="A385" s="732">
        <v>16</v>
      </c>
      <c r="B385" s="733">
        <f ca="1">+'inver y financ'!B265</f>
        <v>0</v>
      </c>
      <c r="C385" s="733">
        <f ca="1">+'inver y financ'!C265</f>
        <v>0</v>
      </c>
      <c r="D385" s="733">
        <f>+'inver y financ'!D265</f>
        <v>0</v>
      </c>
      <c r="E385" s="733">
        <f ca="1">+'inver y financ'!F265</f>
        <v>0</v>
      </c>
      <c r="F385" s="536"/>
      <c r="G385" s="536"/>
      <c r="H385" s="536"/>
      <c r="I385" s="536"/>
      <c r="J385" s="536"/>
      <c r="K385" s="536"/>
      <c r="L385" s="536"/>
      <c r="M385" s="536"/>
      <c r="N385" s="536"/>
      <c r="O385" s="536"/>
      <c r="P385" s="536"/>
      <c r="Q385" s="536"/>
    </row>
    <row r="386" spans="1:17" ht="15" customHeight="1">
      <c r="A386" s="732">
        <v>17</v>
      </c>
      <c r="B386" s="733">
        <f ca="1">+'inver y financ'!B266</f>
        <v>0</v>
      </c>
      <c r="C386" s="733">
        <f ca="1">+'inver y financ'!C266</f>
        <v>0</v>
      </c>
      <c r="D386" s="733">
        <f>+'inver y financ'!D266</f>
        <v>0</v>
      </c>
      <c r="E386" s="733">
        <f ca="1">+'inver y financ'!F266</f>
        <v>0</v>
      </c>
      <c r="F386" s="536"/>
      <c r="G386" s="536"/>
      <c r="H386" s="536"/>
      <c r="I386" s="536"/>
      <c r="J386" s="536"/>
      <c r="K386" s="536"/>
      <c r="L386" s="536"/>
      <c r="M386" s="536"/>
      <c r="N386" s="536"/>
      <c r="O386" s="536"/>
      <c r="P386" s="536"/>
      <c r="Q386" s="536"/>
    </row>
    <row r="387" spans="1:17" ht="15" customHeight="1">
      <c r="A387" s="732">
        <v>18</v>
      </c>
      <c r="B387" s="733">
        <f ca="1">+'inver y financ'!B267</f>
        <v>0</v>
      </c>
      <c r="C387" s="733">
        <f ca="1">+'inver y financ'!C267</f>
        <v>0</v>
      </c>
      <c r="D387" s="733">
        <f>+'inver y financ'!D267</f>
        <v>0</v>
      </c>
      <c r="E387" s="733">
        <f ca="1">+'inver y financ'!F267</f>
        <v>0</v>
      </c>
      <c r="F387" s="536"/>
      <c r="G387" s="536"/>
      <c r="H387" s="536"/>
      <c r="I387" s="536"/>
      <c r="J387" s="536"/>
      <c r="K387" s="536"/>
      <c r="L387" s="536"/>
      <c r="M387" s="536"/>
      <c r="N387" s="536"/>
      <c r="O387" s="536"/>
      <c r="P387" s="536"/>
      <c r="Q387" s="536"/>
    </row>
    <row r="388" spans="1:17" ht="15" customHeight="1">
      <c r="A388" s="732">
        <v>19</v>
      </c>
      <c r="B388" s="733">
        <f ca="1">+'inver y financ'!B268</f>
        <v>0</v>
      </c>
      <c r="C388" s="733">
        <f ca="1">+'inver y financ'!C268</f>
        <v>0</v>
      </c>
      <c r="D388" s="733">
        <f>+'inver y financ'!D268</f>
        <v>0</v>
      </c>
      <c r="E388" s="733">
        <f ca="1">+'inver y financ'!F268</f>
        <v>0</v>
      </c>
      <c r="F388" s="536"/>
      <c r="G388" s="536"/>
      <c r="H388" s="536"/>
      <c r="I388" s="536"/>
      <c r="J388" s="536"/>
      <c r="K388" s="536"/>
      <c r="L388" s="536"/>
      <c r="M388" s="536"/>
      <c r="N388" s="536"/>
      <c r="O388" s="536"/>
      <c r="P388" s="536"/>
      <c r="Q388" s="536"/>
    </row>
    <row r="389" spans="1:17" ht="15" customHeight="1">
      <c r="A389" s="732">
        <v>20</v>
      </c>
      <c r="B389" s="733">
        <f ca="1">+'inver y financ'!B269</f>
        <v>0</v>
      </c>
      <c r="C389" s="733">
        <f ca="1">+'inver y financ'!C269</f>
        <v>0</v>
      </c>
      <c r="D389" s="733">
        <f>+'inver y financ'!D269</f>
        <v>0</v>
      </c>
      <c r="E389" s="733">
        <f ca="1">+'inver y financ'!F269</f>
        <v>0</v>
      </c>
      <c r="F389" s="536"/>
      <c r="G389" s="536"/>
      <c r="H389" s="536"/>
      <c r="I389" s="536"/>
      <c r="J389" s="536"/>
      <c r="K389" s="536"/>
      <c r="L389" s="536"/>
      <c r="M389" s="536"/>
      <c r="N389" s="536"/>
      <c r="O389" s="536"/>
      <c r="P389" s="536"/>
      <c r="Q389" s="536"/>
    </row>
    <row r="390" spans="1:17" ht="15" customHeight="1">
      <c r="A390" s="732">
        <v>21</v>
      </c>
      <c r="B390" s="733">
        <f ca="1">+'inver y financ'!B270</f>
        <v>0</v>
      </c>
      <c r="C390" s="733">
        <f ca="1">+'inver y financ'!C270</f>
        <v>0</v>
      </c>
      <c r="D390" s="733">
        <f>+'inver y financ'!D270</f>
        <v>0</v>
      </c>
      <c r="E390" s="733">
        <f ca="1">+'inver y financ'!F270</f>
        <v>0</v>
      </c>
      <c r="F390" s="536"/>
      <c r="G390" s="536"/>
      <c r="H390" s="536"/>
      <c r="I390" s="536"/>
      <c r="J390" s="536"/>
      <c r="K390" s="536"/>
      <c r="L390" s="536"/>
      <c r="M390" s="536"/>
      <c r="N390" s="536"/>
      <c r="O390" s="536"/>
      <c r="P390" s="536"/>
      <c r="Q390" s="536"/>
    </row>
    <row r="391" spans="1:17" ht="15" customHeight="1">
      <c r="A391" s="732">
        <v>22</v>
      </c>
      <c r="B391" s="733">
        <f ca="1">+'inver y financ'!B271</f>
        <v>0</v>
      </c>
      <c r="C391" s="733">
        <f ca="1">+'inver y financ'!C271</f>
        <v>0</v>
      </c>
      <c r="D391" s="733">
        <f>+'inver y financ'!D271</f>
        <v>0</v>
      </c>
      <c r="E391" s="733">
        <f ca="1">+'inver y financ'!F271</f>
        <v>0</v>
      </c>
      <c r="F391" s="536"/>
      <c r="G391" s="536"/>
      <c r="H391" s="536"/>
      <c r="I391" s="536"/>
      <c r="J391" s="536"/>
      <c r="K391" s="536"/>
      <c r="L391" s="536"/>
      <c r="M391" s="536"/>
      <c r="N391" s="536"/>
      <c r="O391" s="536"/>
      <c r="P391" s="536"/>
      <c r="Q391" s="536"/>
    </row>
    <row r="392" spans="1:17" ht="15" customHeight="1">
      <c r="A392" s="732">
        <v>23</v>
      </c>
      <c r="B392" s="733">
        <f ca="1">+'inver y financ'!B272</f>
        <v>0</v>
      </c>
      <c r="C392" s="733">
        <f ca="1">+'inver y financ'!C272</f>
        <v>0</v>
      </c>
      <c r="D392" s="733">
        <f>+'inver y financ'!D272</f>
        <v>0</v>
      </c>
      <c r="E392" s="733">
        <f ca="1">+'inver y financ'!F272</f>
        <v>0</v>
      </c>
      <c r="F392" s="536"/>
      <c r="G392" s="536"/>
      <c r="H392" s="536"/>
      <c r="I392" s="536"/>
      <c r="J392" s="536"/>
      <c r="K392" s="536"/>
      <c r="L392" s="536"/>
      <c r="M392" s="536"/>
      <c r="N392" s="536"/>
      <c r="O392" s="536"/>
      <c r="P392" s="536"/>
      <c r="Q392" s="536"/>
    </row>
    <row r="393" spans="1:17" ht="15" customHeight="1">
      <c r="A393" s="732">
        <v>24</v>
      </c>
      <c r="B393" s="733">
        <f ca="1">+'inver y financ'!B273</f>
        <v>0</v>
      </c>
      <c r="C393" s="733">
        <f ca="1">+'inver y financ'!C273</f>
        <v>0</v>
      </c>
      <c r="D393" s="733">
        <f>+'inver y financ'!D273</f>
        <v>0</v>
      </c>
      <c r="E393" s="733">
        <f ca="1">+'inver y financ'!F273</f>
        <v>0</v>
      </c>
      <c r="F393" s="536"/>
      <c r="G393" s="536"/>
      <c r="H393" s="536"/>
      <c r="I393" s="536"/>
      <c r="J393" s="536"/>
      <c r="K393" s="536"/>
      <c r="L393" s="536"/>
      <c r="M393" s="536"/>
      <c r="N393" s="536"/>
      <c r="O393" s="536"/>
      <c r="P393" s="536"/>
      <c r="Q393" s="536"/>
    </row>
    <row r="394" spans="1:17" ht="15" customHeight="1">
      <c r="A394" s="732">
        <v>25</v>
      </c>
      <c r="B394" s="733">
        <f ca="1">+'inver y financ'!B274</f>
        <v>0</v>
      </c>
      <c r="C394" s="733">
        <f ca="1">+'inver y financ'!C274</f>
        <v>0</v>
      </c>
      <c r="D394" s="733">
        <f>+'inver y financ'!D274</f>
        <v>0</v>
      </c>
      <c r="E394" s="733">
        <f ca="1">+'inver y financ'!F274</f>
        <v>0</v>
      </c>
      <c r="F394" s="536"/>
      <c r="G394" s="536"/>
      <c r="H394" s="536"/>
      <c r="I394" s="536"/>
      <c r="J394" s="536"/>
      <c r="K394" s="536"/>
      <c r="L394" s="536"/>
      <c r="M394" s="536"/>
      <c r="N394" s="536"/>
      <c r="O394" s="536"/>
      <c r="P394" s="536"/>
      <c r="Q394" s="536"/>
    </row>
    <row r="395" spans="1:17" ht="15" customHeight="1">
      <c r="A395" s="732">
        <v>26</v>
      </c>
      <c r="B395" s="733">
        <f ca="1">+'inver y financ'!B275</f>
        <v>0</v>
      </c>
      <c r="C395" s="733">
        <f ca="1">+'inver y financ'!C275</f>
        <v>0</v>
      </c>
      <c r="D395" s="733">
        <f>+'inver y financ'!D275</f>
        <v>0</v>
      </c>
      <c r="E395" s="733">
        <f ca="1">+'inver y financ'!F275</f>
        <v>0</v>
      </c>
      <c r="F395" s="536"/>
      <c r="G395" s="536"/>
      <c r="H395" s="536"/>
      <c r="I395" s="536"/>
      <c r="J395" s="536"/>
      <c r="K395" s="536"/>
      <c r="L395" s="536"/>
      <c r="M395" s="536"/>
      <c r="N395" s="536"/>
      <c r="O395" s="536"/>
      <c r="P395" s="536"/>
      <c r="Q395" s="536"/>
    </row>
    <row r="396" spans="1:17" ht="15" customHeight="1">
      <c r="A396" s="732">
        <v>27</v>
      </c>
      <c r="B396" s="733">
        <f ca="1">+'inver y financ'!B276</f>
        <v>0</v>
      </c>
      <c r="C396" s="733">
        <f ca="1">+'inver y financ'!C276</f>
        <v>0</v>
      </c>
      <c r="D396" s="733">
        <f>+'inver y financ'!D276</f>
        <v>0</v>
      </c>
      <c r="E396" s="733">
        <f ca="1">+'inver y financ'!F276</f>
        <v>0</v>
      </c>
      <c r="F396" s="536"/>
      <c r="G396" s="536"/>
      <c r="H396" s="536"/>
      <c r="I396" s="536"/>
      <c r="J396" s="536"/>
      <c r="K396" s="536"/>
      <c r="L396" s="536"/>
      <c r="M396" s="536"/>
      <c r="N396" s="536"/>
      <c r="O396" s="536"/>
      <c r="P396" s="536"/>
      <c r="Q396" s="536"/>
    </row>
    <row r="397" spans="1:17" ht="15" customHeight="1">
      <c r="A397" s="732">
        <v>28</v>
      </c>
      <c r="B397" s="733">
        <f ca="1">+'inver y financ'!B277</f>
        <v>0</v>
      </c>
      <c r="C397" s="733">
        <f ca="1">+'inver y financ'!C277</f>
        <v>0</v>
      </c>
      <c r="D397" s="733">
        <f>+'inver y financ'!D277</f>
        <v>0</v>
      </c>
      <c r="E397" s="733">
        <f ca="1">+'inver y financ'!F277</f>
        <v>0</v>
      </c>
      <c r="F397" s="536"/>
      <c r="G397" s="536"/>
      <c r="H397" s="536"/>
      <c r="I397" s="536"/>
      <c r="J397" s="536"/>
      <c r="K397" s="536"/>
      <c r="L397" s="536"/>
      <c r="M397" s="536"/>
      <c r="N397" s="536"/>
      <c r="O397" s="536"/>
      <c r="P397" s="536"/>
      <c r="Q397" s="536"/>
    </row>
    <row r="398" spans="1:17" ht="15" customHeight="1">
      <c r="A398" s="732">
        <v>29</v>
      </c>
      <c r="B398" s="733">
        <f ca="1">+'inver y financ'!B278</f>
        <v>0</v>
      </c>
      <c r="C398" s="733">
        <f ca="1">+'inver y financ'!C278</f>
        <v>0</v>
      </c>
      <c r="D398" s="733">
        <f>+'inver y financ'!D278</f>
        <v>0</v>
      </c>
      <c r="E398" s="733">
        <f ca="1">+'inver y financ'!F278</f>
        <v>0</v>
      </c>
      <c r="F398" s="536"/>
      <c r="G398" s="536"/>
      <c r="H398" s="536"/>
      <c r="I398" s="536"/>
      <c r="J398" s="536"/>
      <c r="K398" s="536"/>
      <c r="L398" s="536"/>
      <c r="M398" s="536"/>
      <c r="N398" s="536"/>
      <c r="O398" s="536"/>
      <c r="P398" s="536"/>
      <c r="Q398" s="536"/>
    </row>
    <row r="399" spans="1:17" ht="15" customHeight="1">
      <c r="A399" s="732">
        <v>30</v>
      </c>
      <c r="B399" s="733">
        <f ca="1">+'inver y financ'!B279</f>
        <v>0</v>
      </c>
      <c r="C399" s="733">
        <f ca="1">+'inver y financ'!C279</f>
        <v>0</v>
      </c>
      <c r="D399" s="733">
        <f>+'inver y financ'!D279</f>
        <v>0</v>
      </c>
      <c r="E399" s="733">
        <f ca="1">+'inver y financ'!F279</f>
        <v>0</v>
      </c>
      <c r="F399" s="536"/>
      <c r="G399" s="536"/>
      <c r="H399" s="536"/>
      <c r="I399" s="536"/>
      <c r="J399" s="536"/>
      <c r="K399" s="536"/>
      <c r="L399" s="536"/>
      <c r="M399" s="536"/>
      <c r="N399" s="536"/>
      <c r="O399" s="536"/>
      <c r="P399" s="536"/>
      <c r="Q399" s="536"/>
    </row>
    <row r="400" spans="1:17" ht="15" customHeight="1">
      <c r="A400" s="732">
        <v>31</v>
      </c>
      <c r="B400" s="733">
        <f ca="1">+'inver y financ'!B280</f>
        <v>0</v>
      </c>
      <c r="C400" s="733">
        <f ca="1">+'inver y financ'!C280</f>
        <v>0</v>
      </c>
      <c r="D400" s="733">
        <f>+'inver y financ'!D280</f>
        <v>0</v>
      </c>
      <c r="E400" s="733">
        <f ca="1">+'inver y financ'!F280</f>
        <v>0</v>
      </c>
      <c r="F400" s="536"/>
      <c r="G400" s="536"/>
      <c r="H400" s="536"/>
      <c r="I400" s="536"/>
      <c r="J400" s="536"/>
      <c r="K400" s="536"/>
      <c r="L400" s="536"/>
      <c r="M400" s="536"/>
      <c r="N400" s="536"/>
      <c r="O400" s="536"/>
      <c r="P400" s="536"/>
      <c r="Q400" s="536"/>
    </row>
    <row r="401" spans="1:17" ht="15" customHeight="1">
      <c r="A401" s="732">
        <v>32</v>
      </c>
      <c r="B401" s="733">
        <f ca="1">+'inver y financ'!B281</f>
        <v>0</v>
      </c>
      <c r="C401" s="733">
        <f ca="1">+'inver y financ'!C281</f>
        <v>0</v>
      </c>
      <c r="D401" s="733">
        <f>+'inver y financ'!D281</f>
        <v>0</v>
      </c>
      <c r="E401" s="733">
        <f ca="1">+'inver y financ'!F281</f>
        <v>0</v>
      </c>
      <c r="F401" s="536"/>
      <c r="G401" s="536"/>
      <c r="H401" s="536"/>
      <c r="I401" s="536"/>
      <c r="J401" s="536"/>
      <c r="K401" s="536"/>
      <c r="L401" s="536"/>
      <c r="M401" s="536"/>
      <c r="N401" s="536"/>
      <c r="O401" s="536"/>
      <c r="P401" s="536"/>
      <c r="Q401" s="536"/>
    </row>
    <row r="402" spans="1:17" ht="15" customHeight="1">
      <c r="A402" s="732">
        <v>33</v>
      </c>
      <c r="B402" s="733">
        <f ca="1">+'inver y financ'!B282</f>
        <v>0</v>
      </c>
      <c r="C402" s="733">
        <f ca="1">+'inver y financ'!C282</f>
        <v>0</v>
      </c>
      <c r="D402" s="733">
        <f>+'inver y financ'!D282</f>
        <v>0</v>
      </c>
      <c r="E402" s="733">
        <f ca="1">+'inver y financ'!F282</f>
        <v>0</v>
      </c>
      <c r="F402" s="536"/>
      <c r="G402" s="536"/>
      <c r="H402" s="536"/>
      <c r="I402" s="536"/>
      <c r="J402" s="536"/>
      <c r="K402" s="536"/>
      <c r="L402" s="536"/>
      <c r="M402" s="536"/>
      <c r="N402" s="536"/>
      <c r="O402" s="536"/>
      <c r="P402" s="536"/>
      <c r="Q402" s="536"/>
    </row>
    <row r="403" spans="1:17" ht="15" customHeight="1">
      <c r="A403" s="732">
        <v>34</v>
      </c>
      <c r="B403" s="733">
        <f ca="1">+'inver y financ'!B283</f>
        <v>0</v>
      </c>
      <c r="C403" s="733">
        <f ca="1">+'inver y financ'!C283</f>
        <v>0</v>
      </c>
      <c r="D403" s="733">
        <f>+'inver y financ'!D283</f>
        <v>0</v>
      </c>
      <c r="E403" s="733">
        <f ca="1">+'inver y financ'!F283</f>
        <v>0</v>
      </c>
      <c r="F403" s="536"/>
      <c r="G403" s="536"/>
      <c r="H403" s="536"/>
      <c r="I403" s="536"/>
      <c r="J403" s="536"/>
      <c r="K403" s="536"/>
      <c r="L403" s="536"/>
      <c r="M403" s="536"/>
      <c r="N403" s="536"/>
      <c r="O403" s="536"/>
      <c r="P403" s="536"/>
      <c r="Q403" s="536"/>
    </row>
    <row r="404" spans="1:17" ht="15" customHeight="1">
      <c r="A404" s="732">
        <v>35</v>
      </c>
      <c r="B404" s="733">
        <f ca="1">+'inver y financ'!B284</f>
        <v>0</v>
      </c>
      <c r="C404" s="733">
        <f ca="1">+'inver y financ'!C284</f>
        <v>0</v>
      </c>
      <c r="D404" s="733">
        <f>+'inver y financ'!D284</f>
        <v>0</v>
      </c>
      <c r="E404" s="733">
        <f ca="1">+'inver y financ'!F284</f>
        <v>0</v>
      </c>
      <c r="F404" s="536"/>
      <c r="G404" s="536"/>
      <c r="H404" s="536"/>
      <c r="I404" s="536"/>
      <c r="J404" s="536"/>
      <c r="K404" s="536"/>
      <c r="L404" s="536"/>
      <c r="M404" s="536"/>
      <c r="N404" s="536"/>
      <c r="O404" s="536"/>
      <c r="P404" s="536"/>
      <c r="Q404" s="536"/>
    </row>
    <row r="405" spans="1:17" ht="15" customHeight="1">
      <c r="A405" s="732">
        <v>36</v>
      </c>
      <c r="B405" s="733">
        <f ca="1">+'inver y financ'!B285</f>
        <v>0</v>
      </c>
      <c r="C405" s="733">
        <f ca="1">+'inver y financ'!C285</f>
        <v>0</v>
      </c>
      <c r="D405" s="733">
        <f>+'inver y financ'!D285</f>
        <v>0</v>
      </c>
      <c r="E405" s="733">
        <f ca="1">+'inver y financ'!F285</f>
        <v>0</v>
      </c>
      <c r="F405" s="536"/>
      <c r="G405" s="536"/>
      <c r="H405" s="536"/>
      <c r="I405" s="536"/>
      <c r="J405" s="536"/>
      <c r="K405" s="536"/>
      <c r="L405" s="536"/>
      <c r="M405" s="536"/>
      <c r="N405" s="536"/>
      <c r="O405" s="536"/>
      <c r="P405" s="536"/>
      <c r="Q405" s="536"/>
    </row>
  </sheetData>
  <sheetProtection algorithmName="SHA-512" hashValue="tzganNjsL3qe9hLCIvWkmwqSL57dyVkEBBsb/UoavRcDbpUwmRweYiTBXbK2U9INw2dr+mpjndskaT1jIw3Z1w==" saltValue="Jhty8UgsZE/yUXzGyIb5wQ==" spinCount="100000" sheet="1" objects="1" scenarios="1"/>
  <mergeCells count="56">
    <mergeCell ref="A213:C215"/>
    <mergeCell ref="A180:E187"/>
    <mergeCell ref="A153:F156"/>
    <mergeCell ref="A196:D198"/>
    <mergeCell ref="A199:D202"/>
    <mergeCell ref="A169:B169"/>
    <mergeCell ref="D8:E8"/>
    <mergeCell ref="F11:G11"/>
    <mergeCell ref="H11:I11"/>
    <mergeCell ref="B12:C12"/>
    <mergeCell ref="D12:E12"/>
    <mergeCell ref="F12:G12"/>
    <mergeCell ref="D11:E11"/>
    <mergeCell ref="B8:C8"/>
    <mergeCell ref="F8:G8"/>
    <mergeCell ref="H8:I8"/>
    <mergeCell ref="H12:I12"/>
    <mergeCell ref="A29:E29"/>
    <mergeCell ref="B11:C11"/>
    <mergeCell ref="G97:H97"/>
    <mergeCell ref="A14:A15"/>
    <mergeCell ref="A46:E48"/>
    <mergeCell ref="D110:H110"/>
    <mergeCell ref="D51:D52"/>
    <mergeCell ref="A56:D59"/>
    <mergeCell ref="B62:C62"/>
    <mergeCell ref="D62:E62"/>
    <mergeCell ref="A62:A63"/>
    <mergeCell ref="A261:E264"/>
    <mergeCell ref="A134:E138"/>
    <mergeCell ref="A90:C94"/>
    <mergeCell ref="A111:F114"/>
    <mergeCell ref="A118:B118"/>
    <mergeCell ref="A96:B96"/>
    <mergeCell ref="A179:B179"/>
    <mergeCell ref="A141:C141"/>
    <mergeCell ref="A170:B170"/>
    <mergeCell ref="A160:B160"/>
    <mergeCell ref="B1:G1"/>
    <mergeCell ref="A342:E342"/>
    <mergeCell ref="A216:C218"/>
    <mergeCell ref="A78:E80"/>
    <mergeCell ref="A173:B173"/>
    <mergeCell ref="A177:B177"/>
    <mergeCell ref="A13:D13"/>
    <mergeCell ref="B14:C14"/>
    <mergeCell ref="A306:E306"/>
    <mergeCell ref="A307:E307"/>
    <mergeCell ref="A308:E308"/>
    <mergeCell ref="A353:E353"/>
    <mergeCell ref="A354:E354"/>
    <mergeCell ref="A337:E337"/>
    <mergeCell ref="A338:E338"/>
    <mergeCell ref="A339:E339"/>
    <mergeCell ref="A340:E340"/>
    <mergeCell ref="A341:E341"/>
  </mergeCells>
  <phoneticPr fontId="62" type="noConversion"/>
  <pageMargins left="0.75" right="0.75" top="1" bottom="1" header="0.511811024" footer="0.511811024"/>
  <pageSetup scale="52" orientation="landscape" horizontalDpi="300" verticalDpi="300" r:id="rId1"/>
  <headerFooter alignWithMargins="0">
    <oddHeader>&amp;A</oddHeader>
    <oddFooter>Página &amp;P</oddFooter>
  </headerFooter>
  <drawing r:id="rId2"/>
  <legacyDrawing r:id="rId3"/>
  <controls>
    <mc:AlternateContent xmlns:mc="http://schemas.openxmlformats.org/markup-compatibility/2006">
      <mc:Choice Requires="x14">
        <control shapeId="6599" r:id="rId4" name="ScrollBar1">
          <controlPr defaultSize="0" print="0" autoLine="0" autoPict="0" r:id="rId5">
            <anchor moveWithCells="1" sizeWithCells="1">
              <from>
                <xdr:col>1</xdr:col>
                <xdr:colOff>9525</xdr:colOff>
                <xdr:row>14</xdr:row>
                <xdr:rowOff>228600</xdr:rowOff>
              </from>
              <to>
                <xdr:col>1</xdr:col>
                <xdr:colOff>323850</xdr:colOff>
                <xdr:row>26</xdr:row>
                <xdr:rowOff>0</xdr:rowOff>
              </to>
            </anchor>
          </controlPr>
        </control>
      </mc:Choice>
      <mc:Fallback>
        <control shapeId="6599" r:id="rId4" name="ScrollBar1"/>
      </mc:Fallback>
    </mc:AlternateContent>
    <mc:AlternateContent xmlns:mc="http://schemas.openxmlformats.org/markup-compatibility/2006">
      <mc:Choice Requires="x14">
        <control shapeId="6178" r:id="rId6" name="CommandButton3">
          <controlPr autoLine="0" autoPict="0" r:id="rId7">
            <anchor moveWithCells="1" sizeWithCells="1">
              <from>
                <xdr:col>5</xdr:col>
                <xdr:colOff>0</xdr:colOff>
                <xdr:row>260</xdr:row>
                <xdr:rowOff>171450</xdr:rowOff>
              </from>
              <to>
                <xdr:col>6</xdr:col>
                <xdr:colOff>1171575</xdr:colOff>
                <xdr:row>262</xdr:row>
                <xdr:rowOff>180975</xdr:rowOff>
              </to>
            </anchor>
          </controlPr>
        </control>
      </mc:Choice>
      <mc:Fallback>
        <control shapeId="6178" r:id="rId6" name="CommandButton3"/>
      </mc:Fallback>
    </mc:AlternateContent>
    <mc:AlternateContent xmlns:mc="http://schemas.openxmlformats.org/markup-compatibility/2006">
      <mc:Choice Requires="x14">
        <control shapeId="6174" r:id="rId8" name="CommandButton2">
          <controlPr print="0" autoLine="0" autoPict="0" r:id="rId9">
            <anchor moveWithCells="1" sizeWithCells="1">
              <from>
                <xdr:col>5</xdr:col>
                <xdr:colOff>47625</xdr:colOff>
                <xdr:row>158</xdr:row>
                <xdr:rowOff>171450</xdr:rowOff>
              </from>
              <to>
                <xdr:col>6</xdr:col>
                <xdr:colOff>228600</xdr:colOff>
                <xdr:row>161</xdr:row>
                <xdr:rowOff>76200</xdr:rowOff>
              </to>
            </anchor>
          </controlPr>
        </control>
      </mc:Choice>
      <mc:Fallback>
        <control shapeId="6174" r:id="rId8" name="CommandButton2"/>
      </mc:Fallback>
    </mc:AlternateContent>
    <mc:AlternateContent xmlns:mc="http://schemas.openxmlformats.org/markup-compatibility/2006">
      <mc:Choice Requires="x14">
        <control shapeId="6173" r:id="rId10" name="CommandButton1">
          <controlPr autoLine="0" r:id="rId11">
            <anchor>
              <from>
                <xdr:col>5</xdr:col>
                <xdr:colOff>0</xdr:colOff>
                <xdr:row>0</xdr:row>
                <xdr:rowOff>152400</xdr:rowOff>
              </from>
              <to>
                <xdr:col>5</xdr:col>
                <xdr:colOff>1352550</xdr:colOff>
                <xdr:row>1</xdr:row>
                <xdr:rowOff>285750</xdr:rowOff>
              </to>
            </anchor>
          </controlPr>
        </control>
      </mc:Choice>
      <mc:Fallback>
        <control shapeId="6173" r:id="rId10" name="CommandButton1"/>
      </mc:Fallback>
    </mc:AlternateContent>
  </control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D408"/>
  <sheetViews>
    <sheetView topLeftCell="C1" workbookViewId="0">
      <selection activeCell="D14" sqref="D14"/>
    </sheetView>
  </sheetViews>
  <sheetFormatPr baseColWidth="10" defaultRowHeight="15" customHeight="1"/>
  <cols>
    <col min="2" max="2" width="125.85546875" style="140" customWidth="1"/>
  </cols>
  <sheetData>
    <row r="1" spans="1:4" ht="15" customHeight="1">
      <c r="A1" s="141" t="s">
        <v>556</v>
      </c>
      <c r="B1" s="142" t="s">
        <v>560</v>
      </c>
    </row>
    <row r="2" spans="1:4" ht="15" customHeight="1">
      <c r="A2" s="141" t="s">
        <v>466</v>
      </c>
      <c r="B2" s="142" t="s">
        <v>561</v>
      </c>
      <c r="D2" s="143" t="s">
        <v>42</v>
      </c>
    </row>
    <row r="3" spans="1:4" ht="15" customHeight="1">
      <c r="A3" s="141" t="s">
        <v>428</v>
      </c>
      <c r="B3" s="144" t="s">
        <v>468</v>
      </c>
      <c r="C3" t="s">
        <v>262</v>
      </c>
      <c r="D3" s="143" t="s">
        <v>767</v>
      </c>
    </row>
    <row r="4" spans="1:4" ht="15" customHeight="1">
      <c r="A4" s="141" t="s">
        <v>557</v>
      </c>
      <c r="B4" s="144" t="s">
        <v>469</v>
      </c>
      <c r="C4" t="s">
        <v>262</v>
      </c>
    </row>
    <row r="5" spans="1:4" ht="15" customHeight="1">
      <c r="A5" s="141" t="s">
        <v>4</v>
      </c>
      <c r="B5" s="144" t="s">
        <v>470</v>
      </c>
      <c r="C5" t="s">
        <v>262</v>
      </c>
    </row>
    <row r="6" spans="1:4" ht="15" customHeight="1">
      <c r="A6" s="141" t="s">
        <v>3</v>
      </c>
      <c r="B6" s="144" t="s">
        <v>558</v>
      </c>
      <c r="C6" t="s">
        <v>262</v>
      </c>
    </row>
    <row r="7" spans="1:4" ht="15" customHeight="1">
      <c r="A7" s="141" t="s">
        <v>2</v>
      </c>
      <c r="B7" s="144" t="s">
        <v>471</v>
      </c>
      <c r="C7" t="s">
        <v>621</v>
      </c>
      <c r="D7" s="143" t="s">
        <v>768</v>
      </c>
    </row>
    <row r="8" spans="1:4" ht="15" customHeight="1">
      <c r="A8" s="145" t="s">
        <v>562</v>
      </c>
      <c r="B8" s="144" t="s">
        <v>563</v>
      </c>
      <c r="D8" s="143"/>
    </row>
    <row r="9" spans="1:4" ht="15" customHeight="1">
      <c r="A9" s="145" t="s">
        <v>565</v>
      </c>
      <c r="B9" s="144" t="s">
        <v>564</v>
      </c>
      <c r="D9" s="143"/>
    </row>
    <row r="10" spans="1:4" ht="15" customHeight="1">
      <c r="A10" s="141" t="s">
        <v>5</v>
      </c>
      <c r="B10" s="144" t="s">
        <v>380</v>
      </c>
      <c r="C10" t="s">
        <v>467</v>
      </c>
      <c r="D10" s="143" t="s">
        <v>769</v>
      </c>
    </row>
    <row r="11" spans="1:4" ht="15" customHeight="1">
      <c r="A11" s="141" t="s">
        <v>567</v>
      </c>
      <c r="B11" s="144" t="s">
        <v>566</v>
      </c>
      <c r="D11" s="143"/>
    </row>
    <row r="12" spans="1:4" ht="15" customHeight="1">
      <c r="A12" s="141" t="s">
        <v>429</v>
      </c>
      <c r="B12" s="144" t="s">
        <v>472</v>
      </c>
      <c r="D12" s="143" t="s">
        <v>770</v>
      </c>
    </row>
    <row r="13" spans="1:4" ht="15" customHeight="1">
      <c r="A13" s="146" t="s">
        <v>568</v>
      </c>
      <c r="B13" s="144" t="s">
        <v>569</v>
      </c>
      <c r="D13" s="143"/>
    </row>
    <row r="14" spans="1:4" ht="15" customHeight="1">
      <c r="A14" s="141" t="s">
        <v>548</v>
      </c>
      <c r="B14" s="144" t="s">
        <v>549</v>
      </c>
      <c r="C14" t="s">
        <v>559</v>
      </c>
      <c r="D14" s="143" t="s">
        <v>771</v>
      </c>
    </row>
    <row r="15" spans="1:4" ht="15" customHeight="1">
      <c r="A15" s="141" t="s">
        <v>550</v>
      </c>
      <c r="B15" s="144" t="s">
        <v>555</v>
      </c>
      <c r="C15" t="s">
        <v>552</v>
      </c>
      <c r="D15" s="143" t="s">
        <v>554</v>
      </c>
    </row>
    <row r="16" spans="1:4" ht="15" customHeight="1">
      <c r="A16" s="141" t="s">
        <v>6</v>
      </c>
      <c r="B16" s="144" t="s">
        <v>551</v>
      </c>
      <c r="C16" t="s">
        <v>553</v>
      </c>
      <c r="D16" s="143" t="s">
        <v>28</v>
      </c>
    </row>
    <row r="17" spans="1:4" ht="15" customHeight="1">
      <c r="A17" s="141" t="s">
        <v>473</v>
      </c>
      <c r="B17" s="144" t="s">
        <v>44</v>
      </c>
      <c r="C17" t="s">
        <v>215</v>
      </c>
      <c r="D17" s="143" t="s">
        <v>29</v>
      </c>
    </row>
    <row r="18" spans="1:4" ht="15" customHeight="1">
      <c r="B18" s="144"/>
    </row>
    <row r="19" spans="1:4" ht="15" customHeight="1">
      <c r="B19" s="144"/>
    </row>
    <row r="20" spans="1:4" ht="15" customHeight="1">
      <c r="B20" s="144"/>
    </row>
    <row r="21" spans="1:4" ht="15" customHeight="1">
      <c r="B21" s="144"/>
    </row>
    <row r="22" spans="1:4" ht="15" customHeight="1">
      <c r="B22" s="144"/>
    </row>
    <row r="23" spans="1:4" ht="15" customHeight="1">
      <c r="B23" s="144"/>
    </row>
    <row r="24" spans="1:4" ht="15" customHeight="1">
      <c r="B24" s="144"/>
    </row>
    <row r="25" spans="1:4" ht="15" customHeight="1">
      <c r="B25" s="144"/>
    </row>
    <row r="26" spans="1:4" ht="15" customHeight="1">
      <c r="B26" s="144"/>
    </row>
    <row r="27" spans="1:4" ht="15" customHeight="1">
      <c r="B27" s="144"/>
    </row>
    <row r="357" spans="1:1" ht="15" customHeight="1">
      <c r="A357" t="s">
        <v>695</v>
      </c>
    </row>
    <row r="408" spans="3:3" ht="15" customHeight="1">
      <c r="C408">
        <v>12</v>
      </c>
    </row>
  </sheetData>
  <sheetProtection sheet="1" objects="1" scenarios="1"/>
  <phoneticPr fontId="62" type="noConversion"/>
  <pageMargins left="0.75" right="0.75" top="1" bottom="1" header="0" footer="0"/>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M221"/>
  <sheetViews>
    <sheetView showGridLines="0" topLeftCell="C1" workbookViewId="0">
      <selection activeCell="G49" sqref="G49"/>
    </sheetView>
  </sheetViews>
  <sheetFormatPr baseColWidth="10" defaultRowHeight="8.1" customHeight="1"/>
  <cols>
    <col min="1" max="1" width="87.7109375" style="1017" customWidth="1"/>
    <col min="2" max="2" width="19.5703125" style="1017" bestFit="1" customWidth="1"/>
    <col min="3" max="5" width="19.42578125" style="1017" bestFit="1" customWidth="1"/>
    <col min="6" max="6" width="17.5703125" style="1017" customWidth="1"/>
    <col min="7" max="7" width="14.5703125" style="1017" customWidth="1"/>
    <col min="8" max="8" width="17.140625" style="1017" bestFit="1" customWidth="1"/>
    <col min="9" max="13" width="15.85546875" style="1017" bestFit="1" customWidth="1"/>
    <col min="14" max="16384" width="11.42578125" style="1017"/>
  </cols>
  <sheetData>
    <row r="1" spans="1:5" ht="8.1" customHeight="1">
      <c r="A1" s="1018" t="s">
        <v>367</v>
      </c>
      <c r="B1" s="1017">
        <f ca="1">+VISUAL!H11</f>
        <v>117350000</v>
      </c>
      <c r="C1" s="1017">
        <f ca="1">IF(VISUAL!B16="(todas)","TOTAL",IF(VISUAL!B16="AÑO1, TRIM2","EN EL AÑO 1, SEGUNDO TRIMESTRE",0))</f>
        <v>0</v>
      </c>
    </row>
    <row r="2" spans="1:5" ht="8.1" customHeight="1">
      <c r="A2" s="1018" t="s">
        <v>274</v>
      </c>
      <c r="C2" s="1017" t="s">
        <v>64</v>
      </c>
    </row>
    <row r="3" spans="1:5" ht="8.1" customHeight="1">
      <c r="A3" s="1018" t="s">
        <v>275</v>
      </c>
      <c r="B3" s="1017">
        <f ca="1">+VISUAL!B12</f>
        <v>1</v>
      </c>
    </row>
    <row r="4" spans="1:5" ht="8.1" customHeight="1">
      <c r="A4" s="1018" t="s">
        <v>368</v>
      </c>
      <c r="B4" s="1017">
        <f ca="1">+VISUAL!D12</f>
        <v>0</v>
      </c>
      <c r="C4" s="1017" t="str">
        <f ca="1">IF(B4=0,"",CONCATENATE(A4,ROUND(B4*100,2),$C$2))</f>
        <v/>
      </c>
    </row>
    <row r="5" spans="1:5" ht="8.1" customHeight="1">
      <c r="A5" s="1018" t="s">
        <v>369</v>
      </c>
      <c r="B5" s="1017">
        <f ca="1">+VISUAL!F12</f>
        <v>0</v>
      </c>
      <c r="C5" s="1017" t="str">
        <f ca="1">IF(B5=0,"",CONCATENATE(A5,ROUND(B5*100,2),$C$2))</f>
        <v/>
      </c>
    </row>
    <row r="6" spans="1:5" ht="8.1" customHeight="1">
      <c r="A6" s="1018" t="s">
        <v>370</v>
      </c>
    </row>
    <row r="7" spans="1:5" ht="8.1" customHeight="1">
      <c r="A7" s="1018" t="s">
        <v>276</v>
      </c>
    </row>
    <row r="8" spans="1:5" ht="8.1" customHeight="1">
      <c r="A8" s="1018" t="s">
        <v>277</v>
      </c>
      <c r="B8" s="1017">
        <f ca="1">+VISUAL!I10</f>
        <v>0.59650617809970174</v>
      </c>
      <c r="C8" s="1017" t="str">
        <f ca="1">IF(B8=0,"",CONCATENATE(A8,ROUND(B8*100,2),$C$2))</f>
        <v xml:space="preserve"> PARA CAPITAL DE TRABAJO EL 59,65%</v>
      </c>
    </row>
    <row r="9" spans="1:5" ht="8.1" customHeight="1">
      <c r="A9" s="1017" t="s">
        <v>425</v>
      </c>
      <c r="B9" s="1017">
        <f ca="1">+VISUAL!I9</f>
        <v>0.40349382190029826</v>
      </c>
      <c r="C9" s="1017" t="str">
        <f ca="1">IF(B9=0,"",CONCATENATE(A9,ROUND(B9*100,2),$C$2))</f>
        <v xml:space="preserve"> Y PARA ACTIVOS FIJOS EL 40,35%</v>
      </c>
    </row>
    <row r="10" spans="1:5" ht="8.1" customHeight="1">
      <c r="A10" s="1219" t="str">
        <f ca="1">CONCATENATE(A1,DOLLAR(B1,0),A2,ROUND(B3*100,2),C2,A3,C4,C5,
A6,C8,C9)</f>
        <v>LA INVERSIÓN TOTAL PARA A LA REALIZACIÓN DEL PROYECTO ES DE  $117.350.000. SE APORTA EL 100% CON RECURSOS PROPIOS. DE LA INVERSIÓN SE DESTINA  PARA CAPITAL DE TRABAJO EL 59,65% Y PARA ACTIVOS FIJOS EL 40,35%</v>
      </c>
    </row>
    <row r="11" spans="1:5" ht="8.1" customHeight="1">
      <c r="A11" s="1219"/>
    </row>
    <row r="12" spans="1:5" ht="8.1" customHeight="1">
      <c r="A12" s="1219"/>
      <c r="B12" s="1017" t="s">
        <v>521</v>
      </c>
      <c r="C12" s="1017">
        <f ca="1">IF('inver y financ'!$F$249=0,0,1)</f>
        <v>0</v>
      </c>
    </row>
    <row r="13" spans="1:5" ht="8.1" customHeight="1">
      <c r="A13" s="1019" t="str">
        <f ca="1">IF(C12=1,B13,B12)</f>
        <v>NO SE PRESENTA TABLA DE AMORTIZACION PORQUE NO HAY CREDITOS</v>
      </c>
      <c r="B13" s="1017" t="s">
        <v>140</v>
      </c>
    </row>
    <row r="14" spans="1:5" ht="8.1" customHeight="1">
      <c r="A14" s="1017" t="s">
        <v>284</v>
      </c>
      <c r="B14" s="1017">
        <f>+VISUAL!A33</f>
        <v>41683</v>
      </c>
      <c r="C14" s="1017">
        <f>MONTH(B14)</f>
        <v>2</v>
      </c>
      <c r="D14" s="1017" t="s">
        <v>285</v>
      </c>
      <c r="E14" s="1017">
        <f>YEAR(B14)</f>
        <v>2014</v>
      </c>
    </row>
    <row r="16" spans="1:5" ht="8.1" customHeight="1">
      <c r="A16" s="1017" t="s">
        <v>286</v>
      </c>
      <c r="B16" s="1017">
        <f>TRUNC(SUM(VISUAL!B33:B44)/1000000,2)</f>
        <v>364.5</v>
      </c>
      <c r="C16" s="1017" t="s">
        <v>283</v>
      </c>
    </row>
    <row r="17" spans="1:7" ht="8.1" customHeight="1">
      <c r="A17" s="1017" t="s">
        <v>371</v>
      </c>
      <c r="B17" s="1017">
        <f>VLOOKUP(B18,VISUAL!B33:D44,3,FALSE)</f>
        <v>11</v>
      </c>
      <c r="C17" s="1017" t="s">
        <v>372</v>
      </c>
    </row>
    <row r="18" spans="1:7" ht="8.1" customHeight="1">
      <c r="A18" s="1017" t="s">
        <v>287</v>
      </c>
      <c r="B18" s="1017">
        <f>MAX(VISUAL!B33:B44)</f>
        <v>51030000</v>
      </c>
      <c r="C18" s="1017">
        <f>ROUND(+B18/1000000,2)</f>
        <v>51.03</v>
      </c>
    </row>
    <row r="20" spans="1:7" ht="8.1" customHeight="1">
      <c r="A20" s="1220" t="str">
        <f>CONCATENATE(A14,C14,D14,E14,A16,B16,C16,A17,B17,,C17,A18,C18,C16)</f>
        <v xml:space="preserve">LAS VENTAS INICIAN EN EL MES 2 DEL 2014. EN EL PRIMER AÑO SE ESPERA VENDER 364,5 MILLONES DE PESOS. SE CONFÍA TENER LA MAYOR VENTA EN EL MES 11 DE LA PROYECCIÓN, POR VALOR DE 51,03 MILLONES DE PESOS. </v>
      </c>
    </row>
    <row r="21" spans="1:7" ht="8.1" customHeight="1">
      <c r="A21" s="1220"/>
    </row>
    <row r="22" spans="1:7" ht="8.1" customHeight="1">
      <c r="A22" s="1220"/>
    </row>
    <row r="24" spans="1:7" ht="8.1" customHeight="1">
      <c r="A24" s="1017" t="s">
        <v>289</v>
      </c>
      <c r="B24" s="1017">
        <f>+ROUND(VISUAL!D53*100,2)</f>
        <v>13.63</v>
      </c>
      <c r="C24" s="1017" t="s">
        <v>292</v>
      </c>
    </row>
    <row r="25" spans="1:7" ht="8.1" customHeight="1">
      <c r="A25" s="1017" t="s">
        <v>293</v>
      </c>
      <c r="B25" s="1017">
        <f>ROUND(+VISUAL!C53/1000000,2)</f>
        <v>34.51</v>
      </c>
      <c r="C25" s="1017" t="s">
        <v>283</v>
      </c>
    </row>
    <row r="26" spans="1:7" ht="8.1" customHeight="1">
      <c r="A26" s="1017" t="s">
        <v>290</v>
      </c>
      <c r="B26" s="1017">
        <f>ROUND(+VISUAL!B54/1000000,2)</f>
        <v>484.46</v>
      </c>
      <c r="C26" s="1017" t="s">
        <v>283</v>
      </c>
      <c r="F26" s="1017">
        <f>+VISUAL!C64</f>
        <v>1</v>
      </c>
      <c r="G26" s="1017">
        <f>IF(F26=0,"",F26)</f>
        <v>1</v>
      </c>
    </row>
    <row r="27" spans="1:7" ht="8.1" customHeight="1">
      <c r="A27" s="1017" t="s">
        <v>291</v>
      </c>
      <c r="B27" s="1017">
        <f>ROUND(+VISUAL!D54*100,2)</f>
        <v>16.97</v>
      </c>
      <c r="C27" s="1017" t="s">
        <v>294</v>
      </c>
      <c r="F27" s="1017">
        <f>+VISUAL!C65</f>
        <v>0</v>
      </c>
      <c r="G27" s="1017" t="str">
        <f t="shared" ref="G27:G41" si="0">IF(F27=0,"",F27)</f>
        <v/>
      </c>
    </row>
    <row r="28" spans="1:7" ht="8.1" customHeight="1">
      <c r="F28" s="1017">
        <f>+VISUAL!C66</f>
        <v>0</v>
      </c>
      <c r="G28" s="1017" t="str">
        <f t="shared" si="0"/>
        <v/>
      </c>
    </row>
    <row r="29" spans="1:7" ht="8.1" customHeight="1">
      <c r="A29" s="1221" t="str">
        <f>CONCATENATE(A24,B24,C24,A25,B25,C25,A26,B26,C26,A27,B27,C24,C27)</f>
        <v>EN EL SEGUNDO AÑO SE PRESUPUESTA INCREMENTAN LAS VENTAS EN UN 13,63% TENIENDO VENTAS PROMEDIO MENSUALES DE 34,51 MILLONES DE PESOS. PARA EL TERCER AÑO SE ESPERA TENER VENTAS POR 484,46 MILLONES DE PESOS. CORRESPONDIENTE A UN CRECIMIENTO DEL 16,97%  CON RESPECTO AL AÑO ANTERIOR</v>
      </c>
      <c r="F29" s="1017">
        <f>+VISUAL!C67</f>
        <v>0</v>
      </c>
      <c r="G29" s="1017" t="str">
        <f t="shared" si="0"/>
        <v/>
      </c>
    </row>
    <row r="30" spans="1:7" ht="8.1" customHeight="1">
      <c r="A30" s="1221"/>
      <c r="F30" s="1017">
        <f>+VISUAL!C68</f>
        <v>0</v>
      </c>
      <c r="G30" s="1017" t="str">
        <f t="shared" si="0"/>
        <v/>
      </c>
    </row>
    <row r="31" spans="1:7" ht="8.1" customHeight="1">
      <c r="A31" s="1221"/>
      <c r="F31" s="1017">
        <f>+VISUAL!C69</f>
        <v>0</v>
      </c>
      <c r="G31" s="1017" t="str">
        <f t="shared" si="0"/>
        <v/>
      </c>
    </row>
    <row r="32" spans="1:7" ht="8.1" customHeight="1">
      <c r="C32" s="1017" t="s">
        <v>64</v>
      </c>
      <c r="F32" s="1017">
        <f>+VISUAL!C70</f>
        <v>0</v>
      </c>
      <c r="G32" s="1017" t="str">
        <f t="shared" si="0"/>
        <v/>
      </c>
    </row>
    <row r="33" spans="1:8" ht="8.1" customHeight="1">
      <c r="A33" s="1017" t="s">
        <v>297</v>
      </c>
      <c r="B33" s="1017" t="str">
        <f>UPPER(VLOOKUP(C33,VISUAL!$C$64:$F$75,4,FALSE))</f>
        <v>CAMISETAS</v>
      </c>
      <c r="C33" s="1017">
        <f>MAX(VISUAL!C64:C75)</f>
        <v>1</v>
      </c>
      <c r="F33" s="1017">
        <f>+VISUAL!C71</f>
        <v>0</v>
      </c>
      <c r="G33" s="1017" t="str">
        <f t="shared" si="0"/>
        <v/>
      </c>
    </row>
    <row r="34" spans="1:8" ht="8.1" customHeight="1">
      <c r="A34" s="1017" t="s">
        <v>298</v>
      </c>
      <c r="B34" s="1017">
        <f>ROUND(MAX(VISUAL!C64:C75)*100,2)</f>
        <v>100</v>
      </c>
      <c r="C34" s="1017" t="s">
        <v>296</v>
      </c>
      <c r="F34" s="1017">
        <f>+VISUAL!C72</f>
        <v>0</v>
      </c>
      <c r="G34" s="1017" t="str">
        <f t="shared" si="0"/>
        <v/>
      </c>
    </row>
    <row r="35" spans="1:8" ht="8.1" customHeight="1">
      <c r="A35" s="1017" t="s">
        <v>373</v>
      </c>
      <c r="B35" s="1017" t="str">
        <f>UPPER(VLOOKUP(C35,VISUAL!$C$64:$F$75,4,FALSE))</f>
        <v>CAMISETAS</v>
      </c>
      <c r="C35" s="1017">
        <f>MIN(G26:G37)</f>
        <v>1</v>
      </c>
      <c r="F35" s="1017">
        <f>+VISUAL!C73</f>
        <v>0</v>
      </c>
      <c r="G35" s="1017" t="str">
        <f t="shared" si="0"/>
        <v/>
      </c>
    </row>
    <row r="36" spans="1:8" ht="8.1" customHeight="1">
      <c r="A36" s="1017" t="s">
        <v>295</v>
      </c>
      <c r="B36" s="1017">
        <f>ROUND(MIN(G26:G37)*100,2)</f>
        <v>100</v>
      </c>
      <c r="F36" s="1017">
        <f>+VISUAL!C74</f>
        <v>0</v>
      </c>
      <c r="G36" s="1017" t="str">
        <f t="shared" si="0"/>
        <v/>
      </c>
    </row>
    <row r="37" spans="1:8" ht="8.1" customHeight="1">
      <c r="A37" s="1017" t="s">
        <v>519</v>
      </c>
      <c r="F37" s="1017">
        <f>+VISUAL!C75</f>
        <v>0</v>
      </c>
      <c r="G37" s="1017" t="str">
        <f t="shared" si="0"/>
        <v/>
      </c>
    </row>
    <row r="38" spans="1:8" ht="8.1" customHeight="1">
      <c r="A38" s="1221" t="str">
        <f>CONCATENATE(A33,B33,A34,B34,C32,A35,B35,A37,B36,C32)</f>
        <v>EL PRODUCTO DE MAYOR VENTA EN EL AÑO 1 ES CAMISETAS EL CUAL PARTICIPA CON UN 100%. EL PRODUCTO DE MENOR PARTICIPACIÓN EN EL PORTAFOLIO ES CAMISETAS CON UNA CONTRIBUCIÓN DE SOLO EL 100%</v>
      </c>
      <c r="D38" s="1017">
        <f>+VISUAL!C84</f>
        <v>42000000</v>
      </c>
      <c r="E38" s="1017" t="str">
        <f>+VISUAL!A84</f>
        <v>MANO DE OBRA</v>
      </c>
      <c r="F38" s="1017">
        <f ca="1">+D38/$B$42</f>
        <v>0.34096721031994087</v>
      </c>
      <c r="G38" s="1017">
        <f t="shared" ca="1" si="0"/>
        <v>0.34096721031994087</v>
      </c>
      <c r="H38" s="1017" t="str">
        <f>+E38</f>
        <v>MANO DE OBRA</v>
      </c>
    </row>
    <row r="39" spans="1:8" ht="8.1" customHeight="1">
      <c r="A39" s="1221"/>
      <c r="D39" s="1017">
        <f>+VISUAL!C85</f>
        <v>29100000</v>
      </c>
      <c r="E39" s="1017" t="str">
        <f>+VISUAL!A85</f>
        <v>COSTOS DE PRODUCCION</v>
      </c>
      <c r="F39" s="1017">
        <f ca="1">+D39/$B$42</f>
        <v>0.23624156715024477</v>
      </c>
      <c r="G39" s="1017">
        <f t="shared" ca="1" si="0"/>
        <v>0.23624156715024477</v>
      </c>
      <c r="H39" s="1017" t="str">
        <f>+E39</f>
        <v>COSTOS DE PRODUCCION</v>
      </c>
    </row>
    <row r="40" spans="1:8" ht="8.1" customHeight="1">
      <c r="A40" s="1221"/>
      <c r="D40" s="1017">
        <f>+VISUAL!C86</f>
        <v>46544000</v>
      </c>
      <c r="E40" s="1017" t="str">
        <f>+VISUAL!A86</f>
        <v>GASTOS ADMINISTRATIVOS</v>
      </c>
      <c r="F40" s="1017">
        <f ca="1">+D40/$B$42</f>
        <v>0.37785661516979357</v>
      </c>
      <c r="G40" s="1017">
        <f t="shared" ca="1" si="0"/>
        <v>0.37785661516979357</v>
      </c>
      <c r="H40" s="1017" t="str">
        <f>+E40</f>
        <v>GASTOS ADMINISTRATIVOS</v>
      </c>
    </row>
    <row r="41" spans="1:8" ht="8.1" customHeight="1">
      <c r="D41" s="1017">
        <f>+VISUAL!C87</f>
        <v>0</v>
      </c>
      <c r="E41" s="1017" t="str">
        <f>+VISUAL!A87</f>
        <v>CREDITOS</v>
      </c>
      <c r="F41" s="1017">
        <f ca="1">+D41/$B$42</f>
        <v>0</v>
      </c>
      <c r="G41" s="1017" t="str">
        <f t="shared" ca="1" si="0"/>
        <v/>
      </c>
      <c r="H41" s="1017" t="str">
        <f>+E41</f>
        <v>CREDITOS</v>
      </c>
    </row>
    <row r="42" spans="1:8" ht="8.1" customHeight="1">
      <c r="A42" s="1017" t="s">
        <v>301</v>
      </c>
      <c r="B42" s="1017">
        <f ca="1">SUM(D38:D42)</f>
        <v>123179000</v>
      </c>
      <c r="D42" s="1017">
        <f ca="1">+VISUAL!C88</f>
        <v>5535000</v>
      </c>
      <c r="E42" s="1017" t="str">
        <f>+VISUAL!A88</f>
        <v>DEPRECIACION</v>
      </c>
    </row>
    <row r="43" spans="1:8" ht="8.1" customHeight="1">
      <c r="A43" s="1017" t="str">
        <f>IF(D38&gt;0,", SE DESTINAN ",", NO SE PRESUPUESTA ")</f>
        <v xml:space="preserve">, SE DESTINAN </v>
      </c>
      <c r="B43" s="1017">
        <f>IF(D38=0,"",D38/1000000)</f>
        <v>42</v>
      </c>
      <c r="C43" s="1017" t="str">
        <f>IF(D38=0,""," MILLONES DE PESOS ")</f>
        <v xml:space="preserve"> MILLONES DE PESOS </v>
      </c>
      <c r="D43" s="1017" t="str">
        <f>IF(D38=0,"","PARA ")</f>
        <v xml:space="preserve">PARA </v>
      </c>
      <c r="E43" s="1017" t="str">
        <f>+E38</f>
        <v>MANO DE OBRA</v>
      </c>
    </row>
    <row r="44" spans="1:8" ht="8.1" customHeight="1">
      <c r="A44" s="1017" t="str">
        <f>IF(D39&gt;0,", SE ESTABLECEN ",", NO SE ESTABLECEN ")</f>
        <v xml:space="preserve">, SE ESTABLECEN </v>
      </c>
      <c r="B44" s="1017">
        <f>IF(D39=0,"",D39/1000000)</f>
        <v>29.1</v>
      </c>
      <c r="C44" s="1017" t="str">
        <f>IF(D39=0,""," MILLONES DE PESOS ")</f>
        <v xml:space="preserve"> MILLONES DE PESOS </v>
      </c>
      <c r="D44" s="1017" t="str">
        <f>IF(D39=0,"","EN ")</f>
        <v xml:space="preserve">EN </v>
      </c>
      <c r="E44" s="1017" t="str">
        <f>+E39</f>
        <v>COSTOS DE PRODUCCION</v>
      </c>
    </row>
    <row r="45" spans="1:8" ht="8.1" customHeight="1">
      <c r="A45" s="1017" t="str">
        <f>IF(D40&gt;0,", SE CALCULAN ",", NO SE CALCULAN ")</f>
        <v xml:space="preserve">, SE CALCULAN </v>
      </c>
      <c r="B45" s="1017">
        <f>IF(D40=0,"",D40/1000000)</f>
        <v>46.543999999999997</v>
      </c>
      <c r="C45" s="1017" t="str">
        <f>IF(D40=0,""," MILLONES DE PESOS ")</f>
        <v xml:space="preserve"> MILLONES DE PESOS </v>
      </c>
      <c r="D45" s="1017" t="str">
        <f>IF(D40=0,"","PARA ")</f>
        <v xml:space="preserve">PARA </v>
      </c>
      <c r="E45" s="1017" t="str">
        <f>+E40</f>
        <v>GASTOS ADMINISTRATIVOS</v>
      </c>
    </row>
    <row r="46" spans="1:8" ht="8.1" customHeight="1">
      <c r="A46" s="1017" t="str">
        <f>IF(D41&gt;0,", SE DETERMINAN ",", NO SE ESTUDIAN ")</f>
        <v xml:space="preserve">, NO SE ESTUDIAN </v>
      </c>
      <c r="B46" s="1017" t="str">
        <f>IF(D41=0,"",D41/1000000)</f>
        <v/>
      </c>
      <c r="C46" s="1017" t="str">
        <f>IF(D41=0,""," MILLONES DE PESOS ")</f>
        <v/>
      </c>
      <c r="D46" s="1017" t="str">
        <f>IF(D41=0,"","PARA ")</f>
        <v/>
      </c>
      <c r="E46" s="1017" t="str">
        <f>+E41</f>
        <v>CREDITOS</v>
      </c>
      <c r="F46" s="1017" t="str">
        <f>IF(D41&gt;0,". SE REFIEREN EXCLUSIVAMENTE A LOS INTERESES DE LOS CREDITOS OBTENIDOS; NO SE PRESUPUESTA LA CUOTA DE AMORTIZACION","")</f>
        <v/>
      </c>
    </row>
    <row r="47" spans="1:8" ht="8.1" customHeight="1">
      <c r="A47" s="1017" t="s">
        <v>0</v>
      </c>
      <c r="B47" s="1017">
        <f ca="1">IF(D42=0,"",D42/1000000)</f>
        <v>5.5350000000000001</v>
      </c>
      <c r="C47" s="1017" t="str">
        <f ca="1">IF(D42=0,""," MILLONES DE PESOS ")</f>
        <v xml:space="preserve"> MILLONES DE PESOS </v>
      </c>
    </row>
    <row r="48" spans="1:8" ht="8.1" customHeight="1">
      <c r="A48" s="1221" t="str">
        <f ca="1">CONCATENATE(A42,DOLLAR(B42,0),A43,B43,C43,,D43,E43,A44,B44,C44,D44,E44,A45,B45,C45,D45,E45,A46,B46,C46,D46,E46,F46,A47,B47,C47,A52)</f>
        <v xml:space="preserve">LOS COSTOS Y GASTOS FIJOS DEL PRIMER AÑO, ASCIENDEN A $123.179.000, SE DESTINAN 42 MILLONES DE PESOS PARA MANO DE OBRA, SE ESTABLECEN 29,1 MILLONES DE PESOS EN COSTOS DE PRODUCCION, SE CALCULAN 46,544 MILLONES DE PESOS PARA GASTOS ADMINISTRATIVOS, NO SE ESTUDIAN CREDITOS. SE CONTABILIZAN 5,535 MILLONES DE PESOS PARA DEPRECIACION </v>
      </c>
    </row>
    <row r="49" spans="1:9" ht="8.1" customHeight="1">
      <c r="A49" s="1221"/>
      <c r="H49" s="1017" t="s">
        <v>51</v>
      </c>
      <c r="I49" s="1017" t="s">
        <v>52</v>
      </c>
    </row>
    <row r="50" spans="1:9" ht="8.1" customHeight="1">
      <c r="A50" s="1221"/>
      <c r="G50" s="1032" t="s">
        <v>606</v>
      </c>
      <c r="H50" s="1017">
        <f>ventas!B42</f>
        <v>21870000</v>
      </c>
      <c r="I50" s="1017">
        <f ca="1">+$F$75</f>
        <v>18920962.839775205</v>
      </c>
    </row>
    <row r="51" spans="1:9" ht="8.1" customHeight="1">
      <c r="A51" s="1221"/>
      <c r="G51" s="1032" t="s">
        <v>607</v>
      </c>
      <c r="H51" s="1017">
        <f>ventas!C42</f>
        <v>25515000</v>
      </c>
      <c r="I51" s="1017">
        <f t="shared" ref="I51:I85" ca="1" si="1">+$F$75</f>
        <v>18920962.839775205</v>
      </c>
    </row>
    <row r="52" spans="1:9" ht="8.1" customHeight="1">
      <c r="A52" s="1017" t="s">
        <v>1</v>
      </c>
      <c r="G52" s="1032" t="s">
        <v>608</v>
      </c>
      <c r="H52" s="1017">
        <f>ventas!D42</f>
        <v>25515000</v>
      </c>
      <c r="I52" s="1017">
        <f t="shared" ca="1" si="1"/>
        <v>18920962.839775205</v>
      </c>
    </row>
    <row r="53" spans="1:9" ht="8.1" customHeight="1">
      <c r="A53" s="1021"/>
      <c r="G53" s="1032" t="s">
        <v>609</v>
      </c>
      <c r="H53" s="1017">
        <f>ventas!E42</f>
        <v>25515000</v>
      </c>
      <c r="I53" s="1017">
        <f t="shared" ca="1" si="1"/>
        <v>18920962.839775205</v>
      </c>
    </row>
    <row r="54" spans="1:9" ht="8.1" customHeight="1">
      <c r="A54" s="1021"/>
      <c r="G54" s="1032" t="s">
        <v>610</v>
      </c>
      <c r="H54" s="1017">
        <f>ventas!F42</f>
        <v>36450000</v>
      </c>
      <c r="I54" s="1017">
        <f t="shared" ca="1" si="1"/>
        <v>18920962.839775205</v>
      </c>
    </row>
    <row r="55" spans="1:9" ht="8.1" customHeight="1">
      <c r="A55" s="1021"/>
      <c r="G55" s="1032" t="s">
        <v>611</v>
      </c>
      <c r="H55" s="1017">
        <f>ventas!G42</f>
        <v>32805000</v>
      </c>
      <c r="I55" s="1017">
        <f t="shared" ca="1" si="1"/>
        <v>18920962.839775205</v>
      </c>
    </row>
    <row r="56" spans="1:9" ht="8.1" customHeight="1">
      <c r="A56" s="1021"/>
      <c r="G56" s="1032" t="s">
        <v>612</v>
      </c>
      <c r="H56" s="1017">
        <f>ventas!H42</f>
        <v>29160000</v>
      </c>
      <c r="I56" s="1017">
        <f t="shared" ca="1" si="1"/>
        <v>18920962.839775205</v>
      </c>
    </row>
    <row r="57" spans="1:9" ht="8.1" customHeight="1">
      <c r="A57" s="1021"/>
      <c r="G57" s="1032" t="s">
        <v>613</v>
      </c>
      <c r="H57" s="1017">
        <f>ventas!I42</f>
        <v>29160000</v>
      </c>
      <c r="I57" s="1017">
        <f t="shared" ca="1" si="1"/>
        <v>18920962.839775205</v>
      </c>
    </row>
    <row r="58" spans="1:9" ht="8.1" customHeight="1">
      <c r="A58" s="1017" t="s">
        <v>374</v>
      </c>
      <c r="G58" s="1032" t="s">
        <v>614</v>
      </c>
      <c r="H58" s="1017">
        <f>ventas!J42</f>
        <v>29160000</v>
      </c>
      <c r="I58" s="1017">
        <f t="shared" ca="1" si="1"/>
        <v>18920962.839775205</v>
      </c>
    </row>
    <row r="59" spans="1:9" ht="8.1" customHeight="1">
      <c r="A59" s="1022"/>
      <c r="G59" s="1032" t="s">
        <v>66</v>
      </c>
      <c r="H59" s="1017">
        <f>ventas!K42</f>
        <v>36450000</v>
      </c>
      <c r="I59" s="1017">
        <f t="shared" ca="1" si="1"/>
        <v>18920962.839775205</v>
      </c>
    </row>
    <row r="60" spans="1:9" ht="8.1" customHeight="1">
      <c r="D60" s="1017">
        <f>IF(E60="","",+VISUAL!H98)</f>
        <v>0.54251555555555553</v>
      </c>
      <c r="E60" s="1017" t="str">
        <f>IF(VISUAL!A98=0,"",UPPER(+VISUAL!A98))</f>
        <v>CAMISETAS</v>
      </c>
      <c r="G60" s="1032" t="s">
        <v>616</v>
      </c>
      <c r="H60" s="1017">
        <f>ventas!L42</f>
        <v>51030000</v>
      </c>
      <c r="I60" s="1017">
        <f t="shared" ca="1" si="1"/>
        <v>18920962.839775205</v>
      </c>
    </row>
    <row r="61" spans="1:9" ht="8.1" customHeight="1">
      <c r="A61" s="1017" t="s">
        <v>313</v>
      </c>
      <c r="B61" s="1017">
        <f>ROUND(+VISUAL!J110*100,2)</f>
        <v>54.25</v>
      </c>
      <c r="C61" s="1017" t="s">
        <v>292</v>
      </c>
      <c r="D61" s="1017" t="str">
        <f>IF(E61="","",+VISUAL!H99)</f>
        <v/>
      </c>
      <c r="E61" s="1017" t="str">
        <f>IF(VISUAL!A99=0,"",UPPER(+VISUAL!A99))</f>
        <v/>
      </c>
      <c r="G61" s="1032" t="s">
        <v>617</v>
      </c>
      <c r="H61" s="1017">
        <f>ventas!M42</f>
        <v>21870000</v>
      </c>
      <c r="I61" s="1017">
        <f t="shared" ca="1" si="1"/>
        <v>18920962.839775205</v>
      </c>
    </row>
    <row r="62" spans="1:9" ht="8.1" customHeight="1">
      <c r="A62" s="1017" t="s">
        <v>316</v>
      </c>
      <c r="B62" s="1017">
        <f>ROUND(+B61,0)</f>
        <v>54</v>
      </c>
      <c r="D62" s="1017" t="str">
        <f>IF(E62="","",+VISUAL!H100)</f>
        <v/>
      </c>
      <c r="E62" s="1017" t="str">
        <f>IF(VISUAL!A100=0,"",UPPER(+VISUAL!A100))</f>
        <v/>
      </c>
      <c r="G62" s="1032" t="s">
        <v>805</v>
      </c>
      <c r="H62" s="1017">
        <f>ventas!O42</f>
        <v>24138000</v>
      </c>
      <c r="I62" s="1017">
        <f t="shared" ca="1" si="1"/>
        <v>18920962.839775205</v>
      </c>
    </row>
    <row r="63" spans="1:9" ht="8.1" customHeight="1">
      <c r="A63" s="1017" t="s">
        <v>311</v>
      </c>
      <c r="B63" s="1017" t="s">
        <v>312</v>
      </c>
      <c r="D63" s="1017" t="str">
        <f>IF(E63="","",+VISUAL!H101)</f>
        <v/>
      </c>
      <c r="E63" s="1017" t="str">
        <f>IF(VISUAL!A101=0,"",UPPER(+VISUAL!A101))</f>
        <v/>
      </c>
      <c r="G63" s="1032" t="s">
        <v>806</v>
      </c>
      <c r="H63" s="1017">
        <f>ventas!P42</f>
        <v>28161000</v>
      </c>
      <c r="I63" s="1017">
        <f t="shared" ca="1" si="1"/>
        <v>18920962.839775205</v>
      </c>
    </row>
    <row r="64" spans="1:9" ht="8.1" customHeight="1">
      <c r="A64" s="1017" t="s">
        <v>315</v>
      </c>
      <c r="B64" s="1017">
        <f>MAX(D60:D71)</f>
        <v>0.54251555555555553</v>
      </c>
      <c r="C64" s="1017" t="str">
        <f>VLOOKUP(B64,$D$60:$E$71,2,FALSE)</f>
        <v>CAMISETAS</v>
      </c>
      <c r="D64" s="1017" t="str">
        <f>IF(E64="","",+VISUAL!H102)</f>
        <v/>
      </c>
      <c r="E64" s="1017" t="str">
        <f>IF(VISUAL!A102=0,"",UPPER(+VISUAL!A102))</f>
        <v/>
      </c>
      <c r="G64" s="1032" t="s">
        <v>807</v>
      </c>
      <c r="H64" s="1017">
        <f>ventas!Q42</f>
        <v>28161000</v>
      </c>
      <c r="I64" s="1017">
        <f t="shared" ca="1" si="1"/>
        <v>18920962.839775205</v>
      </c>
    </row>
    <row r="65" spans="1:9" ht="8.1" customHeight="1">
      <c r="A65" s="1017" t="s">
        <v>314</v>
      </c>
      <c r="B65" s="1017">
        <f>MIN(D60:D71)</f>
        <v>0.54251555555555553</v>
      </c>
      <c r="C65" s="1017" t="str">
        <f>VLOOKUP(B65,$D$60:$E$71,2,FALSE)</f>
        <v>CAMISETAS</v>
      </c>
      <c r="D65" s="1017" t="str">
        <f>IF(E65="","",+VISUAL!H103)</f>
        <v/>
      </c>
      <c r="E65" s="1017" t="str">
        <f>IF(VISUAL!A103=0,"",UPPER(+VISUAL!A103))</f>
        <v/>
      </c>
      <c r="G65" s="1032" t="s">
        <v>808</v>
      </c>
      <c r="H65" s="1017">
        <f>ventas!R42</f>
        <v>28161000</v>
      </c>
      <c r="I65" s="1017">
        <f t="shared" ca="1" si="1"/>
        <v>18920962.839775205</v>
      </c>
    </row>
    <row r="66" spans="1:9" ht="8.1" customHeight="1">
      <c r="A66" s="1220" t="str">
        <f>CONCATENATE(A61,B61,C61,A62,B62,A63,A64,C64,B63,C65,A65)</f>
        <v xml:space="preserve">EL MARGEN DE CONTRIBUCIÓN DE LA EMPRESA ES 54,25% LO CUAL SE INTERPRETA ASÍ: POR CADA PESO QUE VENDA LA EMPRESA SE OBTIENEN 54 CENTAVOS PARA CUBRIR LOS COSTOS Y GASTOS FIJOS DE LA EMPRESA Y GENERAR UTILIDAD. EL PRODUCTO CON MAYOR MARGEN DE CONTRIBUCIÓN ES CAMISETAS, CAMISETAS ES EL PRODUCTO DE MENOR MARGEN DE CONTRIBUCIÓN.  </v>
      </c>
      <c r="B66" s="1017" t="s">
        <v>760</v>
      </c>
      <c r="D66" s="1017" t="str">
        <f>IF(E66="","",+VISUAL!H104)</f>
        <v/>
      </c>
      <c r="E66" s="1017" t="str">
        <f>IF(VISUAL!A104=0,"",UPPER(+VISUAL!A104))</f>
        <v/>
      </c>
      <c r="G66" s="1032" t="s">
        <v>809</v>
      </c>
      <c r="H66" s="1017">
        <f>ventas!S42</f>
        <v>40203000</v>
      </c>
      <c r="I66" s="1017">
        <f t="shared" ca="1" si="1"/>
        <v>18920962.839775205</v>
      </c>
    </row>
    <row r="67" spans="1:9" ht="8.1" customHeight="1">
      <c r="A67" s="1220"/>
      <c r="D67" s="1017" t="str">
        <f>IF(E67="","",+VISUAL!H105)</f>
        <v/>
      </c>
      <c r="E67" s="1017" t="str">
        <f>IF(VISUAL!A105=0,"",UPPER(+VISUAL!A105))</f>
        <v/>
      </c>
      <c r="G67" s="1032" t="s">
        <v>810</v>
      </c>
      <c r="H67" s="1017">
        <f>ventas!T42</f>
        <v>36180000</v>
      </c>
      <c r="I67" s="1017">
        <f t="shared" ca="1" si="1"/>
        <v>18920962.839775205</v>
      </c>
    </row>
    <row r="68" spans="1:9" ht="8.1" customHeight="1">
      <c r="A68" s="1220"/>
      <c r="D68" s="1017" t="str">
        <f>IF(E68="","",+VISUAL!H106)</f>
        <v/>
      </c>
      <c r="E68" s="1017" t="str">
        <f>IF(VISUAL!A106=0,"",UPPER(+VISUAL!A106))</f>
        <v/>
      </c>
      <c r="G68" s="1032" t="s">
        <v>811</v>
      </c>
      <c r="H68" s="1017">
        <f>ventas!U42</f>
        <v>32157000</v>
      </c>
      <c r="I68" s="1017">
        <f t="shared" ca="1" si="1"/>
        <v>18920962.839775205</v>
      </c>
    </row>
    <row r="69" spans="1:9" ht="8.1" customHeight="1">
      <c r="A69" s="1220"/>
      <c r="D69" s="1017" t="str">
        <f>IF(E69="","",+VISUAL!H107)</f>
        <v/>
      </c>
      <c r="E69" s="1017" t="str">
        <f>IF(VISUAL!A107=0,"",UPPER(+VISUAL!A107))</f>
        <v/>
      </c>
      <c r="G69" s="1032" t="s">
        <v>812</v>
      </c>
      <c r="H69" s="1017">
        <f>ventas!V42</f>
        <v>32157000</v>
      </c>
      <c r="I69" s="1017">
        <f t="shared" ca="1" si="1"/>
        <v>18920962.839775205</v>
      </c>
    </row>
    <row r="70" spans="1:9" ht="8.1" customHeight="1">
      <c r="D70" s="1017" t="str">
        <f>IF(E70="","",+VISUAL!H108)</f>
        <v/>
      </c>
      <c r="E70" s="1017" t="str">
        <f>IF(VISUAL!A108=0,"",UPPER(+VISUAL!A108))</f>
        <v/>
      </c>
      <c r="G70" s="1032" t="s">
        <v>813</v>
      </c>
      <c r="H70" s="1017">
        <f>ventas!W42</f>
        <v>32157000</v>
      </c>
      <c r="I70" s="1017">
        <f t="shared" ca="1" si="1"/>
        <v>18920962.839775205</v>
      </c>
    </row>
    <row r="71" spans="1:9" ht="8.1" customHeight="1">
      <c r="A71" s="1017" t="s">
        <v>365</v>
      </c>
      <c r="B71" s="1017">
        <f ca="1">+VISUAL!B133</f>
        <v>227051554.07730246</v>
      </c>
      <c r="D71" s="1017" t="str">
        <f>IF(E71="","",+VISUAL!H109)</f>
        <v/>
      </c>
      <c r="E71" s="1017" t="str">
        <f>IF(VISUAL!A109=0,"",UPPER(+VISUAL!A109))</f>
        <v/>
      </c>
      <c r="G71" s="1032" t="s">
        <v>814</v>
      </c>
      <c r="H71" s="1017">
        <f>ventas!X42</f>
        <v>40203000</v>
      </c>
      <c r="I71" s="1017">
        <f t="shared" ca="1" si="1"/>
        <v>18920962.839775205</v>
      </c>
    </row>
    <row r="72" spans="1:9" ht="8.1" customHeight="1">
      <c r="A72" s="1017" t="s">
        <v>319</v>
      </c>
      <c r="G72" s="1032" t="s">
        <v>815</v>
      </c>
      <c r="H72" s="1017">
        <f>ventas!Y42</f>
        <v>56295000</v>
      </c>
      <c r="I72" s="1017">
        <f t="shared" ca="1" si="1"/>
        <v>18920962.839775205</v>
      </c>
    </row>
    <row r="73" spans="1:9" ht="8.1" customHeight="1">
      <c r="A73" s="1017" t="s">
        <v>317</v>
      </c>
      <c r="B73" s="1017">
        <f ca="1">+VISUAL!D133</f>
        <v>18920962.839775205</v>
      </c>
      <c r="C73" s="1017">
        <f ca="1">ROUND(+B73/1000000,1)</f>
        <v>18.899999999999999</v>
      </c>
      <c r="D73" s="1017" t="s">
        <v>283</v>
      </c>
      <c r="G73" s="1032" t="s">
        <v>816</v>
      </c>
      <c r="H73" s="1017">
        <f>ventas!Z42</f>
        <v>24138000</v>
      </c>
      <c r="I73" s="1017">
        <f t="shared" ca="1" si="1"/>
        <v>18920962.839775205</v>
      </c>
    </row>
    <row r="74" spans="1:9" ht="8.1" customHeight="1">
      <c r="A74" s="1017" t="s">
        <v>320</v>
      </c>
      <c r="B74" s="1017">
        <f>+VISUAL!B52</f>
        <v>364500000</v>
      </c>
      <c r="C74" s="1017" t="str">
        <f ca="1">IF(B75&gt;0,C75,IF(B76&gt;0,C76,IF(B77&gt;0,C77,"NO")))</f>
        <v>EN EL PRIMER AÑO,</v>
      </c>
      <c r="D74" s="1017" t="str">
        <f ca="1">IF(C74="NO", " SE RECOMIENDA REVISAR LOS COSTOS FIJOS, LAS PROYECCIONES DE VENTA Y/O LOS PRECIOS DE LOS PRODUCTOS","")</f>
        <v/>
      </c>
      <c r="E74" s="1017" t="s">
        <v>324</v>
      </c>
      <c r="F74" s="1017" t="s">
        <v>52</v>
      </c>
      <c r="G74" s="1032" t="s">
        <v>817</v>
      </c>
      <c r="H74" s="1017">
        <f>ventas!AA42</f>
        <v>27405000</v>
      </c>
      <c r="I74" s="1017">
        <f t="shared" ca="1" si="1"/>
        <v>18920962.839775205</v>
      </c>
    </row>
    <row r="75" spans="1:9" ht="8.1" customHeight="1">
      <c r="A75" s="1017" t="s">
        <v>318</v>
      </c>
      <c r="B75" s="1017">
        <f ca="1">+VISUAL!B52-ayuda!$B$71</f>
        <v>137448445.92269754</v>
      </c>
      <c r="C75" s="1017" t="s">
        <v>321</v>
      </c>
      <c r="D75" s="1017">
        <f>+VISUAL!A33</f>
        <v>41683</v>
      </c>
      <c r="E75" s="1017">
        <f>+VISUAL!B33</f>
        <v>21870000</v>
      </c>
      <c r="F75" s="1017">
        <f ca="1">+$B$73</f>
        <v>18920962.839775205</v>
      </c>
      <c r="G75" s="1032" t="s">
        <v>818</v>
      </c>
      <c r="H75" s="1017">
        <f>ventas!AB42</f>
        <v>31968000</v>
      </c>
      <c r="I75" s="1017">
        <f t="shared" ca="1" si="1"/>
        <v>18920962.839775205</v>
      </c>
    </row>
    <row r="76" spans="1:9" ht="8.1" customHeight="1">
      <c r="B76" s="1017">
        <f ca="1">+VISUAL!B53-ayuda!$B$71</f>
        <v>187122775.92269754</v>
      </c>
      <c r="C76" s="1017" t="s">
        <v>322</v>
      </c>
      <c r="D76" s="1017">
        <f>+VISUAL!A34</f>
        <v>41713</v>
      </c>
      <c r="E76" s="1017">
        <f>+VISUAL!B34</f>
        <v>25515000</v>
      </c>
      <c r="F76" s="1017">
        <f t="shared" ref="F76:F86" ca="1" si="2">+$B$73</f>
        <v>18920962.839775205</v>
      </c>
      <c r="G76" s="1032" t="s">
        <v>819</v>
      </c>
      <c r="H76" s="1017">
        <f>ventas!AC42</f>
        <v>31968000</v>
      </c>
      <c r="I76" s="1017">
        <f t="shared" ca="1" si="1"/>
        <v>18920962.839775205</v>
      </c>
    </row>
    <row r="77" spans="1:9" ht="8.1" customHeight="1">
      <c r="B77" s="1017">
        <v>-1090706.0236</v>
      </c>
      <c r="C77" s="1017" t="s">
        <v>323</v>
      </c>
      <c r="D77" s="1017">
        <f>+VISUAL!A35</f>
        <v>41743</v>
      </c>
      <c r="E77" s="1017">
        <f>+VISUAL!B35</f>
        <v>25515000</v>
      </c>
      <c r="F77" s="1017">
        <f t="shared" ca="1" si="2"/>
        <v>18920962.839775205</v>
      </c>
      <c r="G77" s="1032" t="s">
        <v>820</v>
      </c>
      <c r="H77" s="1017">
        <f>ventas!AD42</f>
        <v>31968000</v>
      </c>
      <c r="I77" s="1017">
        <f t="shared" ca="1" si="1"/>
        <v>18920962.839775205</v>
      </c>
    </row>
    <row r="78" spans="1:9" ht="8.1" customHeight="1">
      <c r="A78" s="1222" t="str">
        <f ca="1">CONCATENATE(A71,DOLLAR(B71,0),A72,A73,C73,D73,A74,C74,A75,D74)</f>
        <v>TENIENDO EN CUENTA LA ESTRUCTURA DE COSTOS Y GASTOS FIJOS Y EL MARGEN DE CONTRIBUCIÓN DE LA EMPRESA, SE LLEGA  A LA CONCLUSIÓN QUE LA ORGANIZACIÓN REQUIERE VENDER $227.051.554 AL AÑO PARA NO PERDER NI GANAR DINERO. SE REQUIEREN VENTAS MENSUALES PROMEDIO DE 18,9 MILLONES DE PESOS. AL ANALIZAR LAS PROYECCIONES DE VENTAS SE DETERMINA QUE LA EMPRESA, EN EL PRIMER AÑO, ALCANZA EL PUNTO DE EQUILIBRIO.</v>
      </c>
      <c r="D78" s="1017">
        <f>+VISUAL!A36</f>
        <v>41773</v>
      </c>
      <c r="E78" s="1017">
        <f>+VISUAL!B36</f>
        <v>25515000</v>
      </c>
      <c r="F78" s="1017">
        <f t="shared" ca="1" si="2"/>
        <v>18920962.839775205</v>
      </c>
      <c r="G78" s="1032" t="s">
        <v>821</v>
      </c>
      <c r="H78" s="1017">
        <f>ventas!AE42</f>
        <v>45657000</v>
      </c>
      <c r="I78" s="1017">
        <f t="shared" ca="1" si="1"/>
        <v>18920962.839775205</v>
      </c>
    </row>
    <row r="79" spans="1:9" ht="8.1" customHeight="1">
      <c r="A79" s="1222"/>
      <c r="D79" s="1017">
        <f>+VISUAL!A37</f>
        <v>41803</v>
      </c>
      <c r="E79" s="1017">
        <f>+VISUAL!B37</f>
        <v>36450000</v>
      </c>
      <c r="F79" s="1017">
        <f t="shared" ca="1" si="2"/>
        <v>18920962.839775205</v>
      </c>
      <c r="G79" s="1032" t="s">
        <v>822</v>
      </c>
      <c r="H79" s="1017">
        <f>ventas!AF42</f>
        <v>41094000</v>
      </c>
      <c r="I79" s="1017">
        <f t="shared" ca="1" si="1"/>
        <v>18920962.839775205</v>
      </c>
    </row>
    <row r="80" spans="1:9" ht="8.1" customHeight="1">
      <c r="A80" s="1222"/>
      <c r="D80" s="1017">
        <f>+VISUAL!A38</f>
        <v>41833</v>
      </c>
      <c r="E80" s="1017">
        <f>+VISUAL!B38</f>
        <v>32805000</v>
      </c>
      <c r="F80" s="1017">
        <f t="shared" ca="1" si="2"/>
        <v>18920962.839775205</v>
      </c>
      <c r="G80" s="1032" t="s">
        <v>823</v>
      </c>
      <c r="H80" s="1017">
        <f>ventas!AG42</f>
        <v>36531000</v>
      </c>
      <c r="I80" s="1017">
        <f t="shared" ca="1" si="1"/>
        <v>18920962.839775205</v>
      </c>
    </row>
    <row r="81" spans="1:13" ht="8.1" customHeight="1">
      <c r="A81" s="1222"/>
      <c r="D81" s="1017">
        <f>+VISUAL!A39</f>
        <v>41863</v>
      </c>
      <c r="E81" s="1017">
        <f>+VISUAL!B39</f>
        <v>29160000</v>
      </c>
      <c r="F81" s="1017">
        <f t="shared" ca="1" si="2"/>
        <v>18920962.839775205</v>
      </c>
      <c r="G81" s="1032" t="s">
        <v>824</v>
      </c>
      <c r="H81" s="1017">
        <f>ventas!AH42</f>
        <v>36531000</v>
      </c>
      <c r="I81" s="1017">
        <f t="shared" ca="1" si="1"/>
        <v>18920962.839775205</v>
      </c>
    </row>
    <row r="82" spans="1:13" ht="8.1" customHeight="1">
      <c r="D82" s="1017">
        <f>+VISUAL!A40</f>
        <v>41893</v>
      </c>
      <c r="E82" s="1017">
        <f>+VISUAL!B40</f>
        <v>29160000</v>
      </c>
      <c r="F82" s="1017">
        <f t="shared" ca="1" si="2"/>
        <v>18920962.839775205</v>
      </c>
      <c r="G82" s="1032" t="s">
        <v>825</v>
      </c>
      <c r="H82" s="1017">
        <f>ventas!AI42</f>
        <v>36531000</v>
      </c>
      <c r="I82" s="1017">
        <f t="shared" ca="1" si="1"/>
        <v>18920962.839775205</v>
      </c>
    </row>
    <row r="83" spans="1:13" ht="8.1" customHeight="1">
      <c r="D83" s="1017">
        <f>+VISUAL!A41</f>
        <v>41923</v>
      </c>
      <c r="E83" s="1017">
        <f>+VISUAL!B41</f>
        <v>29160000</v>
      </c>
      <c r="F83" s="1017">
        <f t="shared" ca="1" si="2"/>
        <v>18920962.839775205</v>
      </c>
      <c r="G83" s="1032" t="s">
        <v>826</v>
      </c>
      <c r="H83" s="1017">
        <f>ventas!AJ42</f>
        <v>45657000</v>
      </c>
      <c r="I83" s="1017">
        <f t="shared" ca="1" si="1"/>
        <v>18920962.839775205</v>
      </c>
    </row>
    <row r="84" spans="1:13" ht="8.1" customHeight="1">
      <c r="A84" s="1017" t="s">
        <v>341</v>
      </c>
      <c r="D84" s="1017">
        <f>+VISUAL!A42</f>
        <v>41953</v>
      </c>
      <c r="E84" s="1017">
        <f>+VISUAL!B42</f>
        <v>36450000</v>
      </c>
      <c r="F84" s="1017">
        <f t="shared" ca="1" si="2"/>
        <v>18920962.839775205</v>
      </c>
      <c r="G84" s="1032" t="s">
        <v>827</v>
      </c>
      <c r="H84" s="1017">
        <f>ventas!AK42</f>
        <v>63936000</v>
      </c>
      <c r="I84" s="1017">
        <f t="shared" ca="1" si="1"/>
        <v>18920962.839775205</v>
      </c>
    </row>
    <row r="85" spans="1:13" ht="8.1" customHeight="1">
      <c r="A85" s="1017" t="s">
        <v>343</v>
      </c>
      <c r="D85" s="1017">
        <f>+VISUAL!A43</f>
        <v>41983</v>
      </c>
      <c r="E85" s="1017">
        <f>+VISUAL!B43</f>
        <v>51030000</v>
      </c>
      <c r="F85" s="1017">
        <f t="shared" ca="1" si="2"/>
        <v>18920962.839775205</v>
      </c>
      <c r="G85" s="1032" t="s">
        <v>828</v>
      </c>
      <c r="H85" s="1017">
        <f>ventas!AL42</f>
        <v>27405000</v>
      </c>
      <c r="I85" s="1017">
        <f t="shared" ca="1" si="1"/>
        <v>18920962.839775205</v>
      </c>
    </row>
    <row r="86" spans="1:13" ht="8.1" customHeight="1">
      <c r="D86" s="1017">
        <f>+VISUAL!A44</f>
        <v>42013</v>
      </c>
      <c r="E86" s="1017">
        <f>+VISUAL!B44</f>
        <v>21870000</v>
      </c>
      <c r="F86" s="1017">
        <f t="shared" ca="1" si="2"/>
        <v>18920962.839775205</v>
      </c>
    </row>
    <row r="87" spans="1:13" ht="8.1" customHeight="1">
      <c r="D87" s="1017" t="s">
        <v>338</v>
      </c>
      <c r="E87" s="1017">
        <f>+VISUAL!B52</f>
        <v>364500000</v>
      </c>
      <c r="F87" s="1017">
        <f ca="1">+$B$71</f>
        <v>227051554.07730246</v>
      </c>
    </row>
    <row r="88" spans="1:13" ht="8.1" customHeight="1">
      <c r="D88" s="1017" t="s">
        <v>339</v>
      </c>
      <c r="E88" s="1017">
        <f>+VISUAL!B53</f>
        <v>414174330</v>
      </c>
      <c r="F88" s="1017">
        <f ca="1">+$B$71</f>
        <v>227051554.07730246</v>
      </c>
    </row>
    <row r="89" spans="1:13" ht="8.1" customHeight="1">
      <c r="A89" s="1017" t="s">
        <v>350</v>
      </c>
      <c r="D89" s="1017" t="s">
        <v>340</v>
      </c>
      <c r="E89" s="1017">
        <f>+VISUAL!B54</f>
        <v>484461045.89999998</v>
      </c>
      <c r="F89" s="1017">
        <f ca="1">+$B$71</f>
        <v>227051554.07730246</v>
      </c>
    </row>
    <row r="91" spans="1:13" ht="8.1" customHeight="1">
      <c r="B91" s="1017">
        <f t="shared" ref="B91:M91" ca="1" si="3">IF(B92&lt;0,1,0)</f>
        <v>0</v>
      </c>
      <c r="C91" s="1017">
        <f t="shared" ca="1" si="3"/>
        <v>0</v>
      </c>
      <c r="D91" s="1017">
        <f t="shared" ca="1" si="3"/>
        <v>0</v>
      </c>
      <c r="E91" s="1017">
        <f t="shared" ca="1" si="3"/>
        <v>0</v>
      </c>
      <c r="F91" s="1017">
        <f t="shared" ca="1" si="3"/>
        <v>0</v>
      </c>
      <c r="G91" s="1017">
        <f t="shared" ca="1" si="3"/>
        <v>0</v>
      </c>
      <c r="H91" s="1017">
        <f t="shared" ca="1" si="3"/>
        <v>0</v>
      </c>
      <c r="I91" s="1017">
        <f t="shared" ca="1" si="3"/>
        <v>0</v>
      </c>
      <c r="J91" s="1017">
        <f t="shared" ca="1" si="3"/>
        <v>0</v>
      </c>
      <c r="K91" s="1017">
        <f t="shared" ca="1" si="3"/>
        <v>0</v>
      </c>
      <c r="L91" s="1017">
        <f t="shared" ca="1" si="3"/>
        <v>0</v>
      </c>
      <c r="M91" s="1017">
        <f t="shared" ca="1" si="3"/>
        <v>0</v>
      </c>
    </row>
    <row r="92" spans="1:13" ht="8.1" customHeight="1">
      <c r="A92" s="1017" t="s">
        <v>344</v>
      </c>
      <c r="B92" s="1017">
        <f ca="1">+VISUAL!B146</f>
        <v>5763750</v>
      </c>
      <c r="C92" s="1017">
        <f ca="1">+VISUAL!C146</f>
        <v>7788750</v>
      </c>
      <c r="D92" s="1017">
        <f ca="1">+VISUAL!D146</f>
        <v>7788750</v>
      </c>
      <c r="E92" s="1017">
        <f ca="1">+VISUAL!E146</f>
        <v>7788750</v>
      </c>
      <c r="F92" s="1017">
        <f ca="1">+VISUAL!F146</f>
        <v>13863750</v>
      </c>
      <c r="G92" s="1017">
        <f ca="1">+VISUAL!G146</f>
        <v>11838750</v>
      </c>
      <c r="H92" s="1017">
        <f ca="1">+VISUAL!H146</f>
        <v>9813750</v>
      </c>
      <c r="I92" s="1017">
        <f ca="1">+VISUAL!I146</f>
        <v>9813750</v>
      </c>
      <c r="J92" s="1017">
        <f ca="1">+VISUAL!J146</f>
        <v>9813750</v>
      </c>
      <c r="K92" s="1017">
        <f ca="1">+VISUAL!K146</f>
        <v>13863750</v>
      </c>
      <c r="L92" s="1017">
        <f ca="1">+VISUAL!L146</f>
        <v>21963750</v>
      </c>
      <c r="M92" s="1017">
        <f ca="1">+VISUAL!M146</f>
        <v>5763750</v>
      </c>
    </row>
    <row r="93" spans="1:13" ht="8.1" customHeight="1">
      <c r="A93" s="1017" t="s">
        <v>347</v>
      </c>
      <c r="B93" s="1017">
        <f t="shared" ref="B93:M93" ca="1" si="4">IF(B94&lt;0,1,0)</f>
        <v>0</v>
      </c>
      <c r="C93" s="1017">
        <f t="shared" ca="1" si="4"/>
        <v>0</v>
      </c>
      <c r="D93" s="1017">
        <f t="shared" ca="1" si="4"/>
        <v>0</v>
      </c>
      <c r="E93" s="1017">
        <f t="shared" ca="1" si="4"/>
        <v>0</v>
      </c>
      <c r="F93" s="1017">
        <f t="shared" ca="1" si="4"/>
        <v>0</v>
      </c>
      <c r="G93" s="1017">
        <f t="shared" ca="1" si="4"/>
        <v>0</v>
      </c>
      <c r="H93" s="1017">
        <f t="shared" ca="1" si="4"/>
        <v>0</v>
      </c>
      <c r="I93" s="1017">
        <f t="shared" ca="1" si="4"/>
        <v>0</v>
      </c>
      <c r="J93" s="1017">
        <f t="shared" ca="1" si="4"/>
        <v>0</v>
      </c>
      <c r="K93" s="1017">
        <f t="shared" ca="1" si="4"/>
        <v>0</v>
      </c>
      <c r="L93" s="1017">
        <f t="shared" ca="1" si="4"/>
        <v>0</v>
      </c>
      <c r="M93" s="1017">
        <f t="shared" ca="1" si="4"/>
        <v>0</v>
      </c>
    </row>
    <row r="94" spans="1:13" ht="8.1" customHeight="1">
      <c r="A94" s="1017" t="s">
        <v>342</v>
      </c>
      <c r="B94" s="1017">
        <f ca="1">+VISUAL!B149</f>
        <v>1599898.533333333</v>
      </c>
      <c r="C94" s="1017">
        <f ca="1">+VISUAL!C149</f>
        <v>3577367.7333333329</v>
      </c>
      <c r="D94" s="1017">
        <f ca="1">+VISUAL!D149</f>
        <v>3577367.7333333329</v>
      </c>
      <c r="E94" s="1017">
        <f ca="1">+VISUAL!E149</f>
        <v>3577367.7333333329</v>
      </c>
      <c r="F94" s="1017">
        <f ca="1">+VISUAL!F149</f>
        <v>9509775.3333333321</v>
      </c>
      <c r="G94" s="1017">
        <f ca="1">+VISUAL!G149</f>
        <v>7532306.1333333328</v>
      </c>
      <c r="H94" s="1017">
        <f ca="1">+VISUAL!H149</f>
        <v>5554836.9333333327</v>
      </c>
      <c r="I94" s="1017">
        <f ca="1">+VISUAL!I149</f>
        <v>5554836.9333333327</v>
      </c>
      <c r="J94" s="1017">
        <f ca="1">+VISUAL!J149</f>
        <v>5554836.9333333327</v>
      </c>
      <c r="K94" s="1017">
        <f ca="1">+VISUAL!K149</f>
        <v>9509775.3333333321</v>
      </c>
      <c r="L94" s="1017">
        <f ca="1">+VISUAL!L149</f>
        <v>17419652.133333333</v>
      </c>
      <c r="M94" s="1017">
        <f ca="1">+VISUAL!M149</f>
        <v>1599898.533333333</v>
      </c>
    </row>
    <row r="95" spans="1:13" ht="8.1" customHeight="1">
      <c r="A95" s="1017" t="s">
        <v>348</v>
      </c>
      <c r="B95" s="1017">
        <f t="shared" ref="B95:M95" ca="1" si="5">IF(B96&lt;0,1,0)</f>
        <v>0</v>
      </c>
      <c r="C95" s="1017">
        <f t="shared" ca="1" si="5"/>
        <v>0</v>
      </c>
      <c r="D95" s="1017">
        <f t="shared" ca="1" si="5"/>
        <v>0</v>
      </c>
      <c r="E95" s="1017">
        <f t="shared" ca="1" si="5"/>
        <v>0</v>
      </c>
      <c r="F95" s="1017">
        <f t="shared" ca="1" si="5"/>
        <v>0</v>
      </c>
      <c r="G95" s="1017">
        <f t="shared" ca="1" si="5"/>
        <v>0</v>
      </c>
      <c r="H95" s="1017">
        <f t="shared" ca="1" si="5"/>
        <v>0</v>
      </c>
      <c r="I95" s="1017">
        <f t="shared" ca="1" si="5"/>
        <v>0</v>
      </c>
      <c r="J95" s="1017">
        <f t="shared" ca="1" si="5"/>
        <v>0</v>
      </c>
      <c r="K95" s="1017">
        <f t="shared" ca="1" si="5"/>
        <v>0</v>
      </c>
      <c r="L95" s="1017">
        <f t="shared" ca="1" si="5"/>
        <v>0</v>
      </c>
      <c r="M95" s="1017">
        <f t="shared" ca="1" si="5"/>
        <v>0</v>
      </c>
    </row>
    <row r="96" spans="1:13" ht="8.1" customHeight="1">
      <c r="A96" s="1017" t="s">
        <v>349</v>
      </c>
      <c r="B96" s="1017">
        <f ca="1">+VISUAL!B152</f>
        <v>1558231.8666666662</v>
      </c>
      <c r="C96" s="1017">
        <f ca="1">+VISUAL!C152</f>
        <v>3535701.0666666664</v>
      </c>
      <c r="D96" s="1017">
        <f ca="1">+VISUAL!D152</f>
        <v>3535701.0666666664</v>
      </c>
      <c r="E96" s="1017">
        <f ca="1">+VISUAL!E152</f>
        <v>3535701.0666666664</v>
      </c>
      <c r="F96" s="1017">
        <f ca="1">+VISUAL!F152</f>
        <v>9468108.666666666</v>
      </c>
      <c r="G96" s="1017">
        <f ca="1">+VISUAL!G152</f>
        <v>7490639.4666666659</v>
      </c>
      <c r="H96" s="1017">
        <f ca="1">+VISUAL!H152</f>
        <v>5513170.2666666657</v>
      </c>
      <c r="I96" s="1017">
        <f ca="1">+VISUAL!I152</f>
        <v>5513170.2666666657</v>
      </c>
      <c r="J96" s="1017">
        <f ca="1">+VISUAL!J152</f>
        <v>5513170.2666666657</v>
      </c>
      <c r="K96" s="1017">
        <f ca="1">+VISUAL!K152</f>
        <v>9468108.666666666</v>
      </c>
      <c r="L96" s="1017">
        <f ca="1">+VISUAL!L152</f>
        <v>17377985.466666665</v>
      </c>
      <c r="M96" s="1017">
        <f ca="1">+VISUAL!M152</f>
        <v>1558231.8666666662</v>
      </c>
    </row>
    <row r="97" spans="1:10" ht="8.1" customHeight="1">
      <c r="A97" s="1017" t="s">
        <v>366</v>
      </c>
      <c r="B97" s="1017">
        <f ca="1">IF(SUM(B92:M92)&gt;0,1,0)</f>
        <v>1</v>
      </c>
      <c r="C97" s="1017" t="str">
        <f ca="1">IF(B97=0,CONCATENATE(A92,A93,A98),IF(B98=0,CONCATENATE(A94,A95,A98),IF(B99=0,CONCATENATE(A96,A97,A98),CONCATENATE(A89,A98))))</f>
        <v xml:space="preserve"> SON SUFICIENTES PARA CUBRIR LOS COSTOS Y GASTOS TOTALES. LA RENTABILIDAD SOBRE VENTAS DEL PROYECTO ES DE </v>
      </c>
    </row>
    <row r="98" spans="1:10" ht="8.1" customHeight="1">
      <c r="A98" s="1017" t="s">
        <v>345</v>
      </c>
      <c r="B98" s="1017">
        <f ca="1">IF(SUM(B94:M94)&gt;0,1,0)</f>
        <v>1</v>
      </c>
    </row>
    <row r="99" spans="1:10" ht="8.1" customHeight="1">
      <c r="A99" s="1220" t="str">
        <f ca="1">CONCATENATE(A84,A85,C97,B103,C103)</f>
        <v>EL ESTADO DE PERDIDAS Y GANANCIAS PROYECTADO PARA EL PRIMER AÑO, MUESTRA QUE LAS METAS DE VENTAS  SON SUFICIENTES PARA CUBRIR LOS COSTOS Y GASTOS TOTALES. LA RENTABILIDAD SOBRE VENTAS DEL PROYECTO ES DE 1,69% MENSUAL</v>
      </c>
      <c r="B99" s="1017">
        <f ca="1">IF(SUM(B96:M96)&gt;0,1,0)</f>
        <v>1</v>
      </c>
    </row>
    <row r="100" spans="1:10" ht="8.1" customHeight="1">
      <c r="A100" s="1220"/>
      <c r="B100" s="1017">
        <f ca="1">SUM(B94:M94)</f>
        <v>74567919.99999997</v>
      </c>
    </row>
    <row r="101" spans="1:10" ht="8.1" customHeight="1">
      <c r="A101" s="1220"/>
      <c r="B101" s="1017">
        <f ca="1">SUM(B94:M94)</f>
        <v>74567919.99999997</v>
      </c>
    </row>
    <row r="102" spans="1:10" ht="8.1" customHeight="1">
      <c r="A102" s="1220"/>
      <c r="B102" s="1017">
        <f ca="1">SUM(B96:M96)</f>
        <v>74067919.999999985</v>
      </c>
    </row>
    <row r="103" spans="1:10" ht="8.1" customHeight="1">
      <c r="A103" s="1220"/>
      <c r="B103" s="1023">
        <f ca="1">ROUND(+B102/B74/12*100,2)</f>
        <v>1.69</v>
      </c>
      <c r="C103" s="1017" t="s">
        <v>346</v>
      </c>
      <c r="I103" s="1024" t="s">
        <v>355</v>
      </c>
    </row>
    <row r="104" spans="1:10" ht="8.1" customHeight="1">
      <c r="A104" s="1220"/>
      <c r="I104" s="1024" t="s">
        <v>356</v>
      </c>
    </row>
    <row r="105" spans="1:10" ht="8.1" customHeight="1">
      <c r="A105" s="1220"/>
      <c r="E105" s="1017" t="s">
        <v>338</v>
      </c>
      <c r="F105" s="1017" t="s">
        <v>339</v>
      </c>
      <c r="G105" s="1017" t="s">
        <v>339</v>
      </c>
      <c r="I105" s="1024" t="s">
        <v>357</v>
      </c>
    </row>
    <row r="106" spans="1:10" ht="8.1" customHeight="1">
      <c r="B106" s="1017">
        <f>+VISUAL!C160</f>
        <v>364500000</v>
      </c>
      <c r="C106" s="1017">
        <f>+VISUAL!D160</f>
        <v>414174330</v>
      </c>
      <c r="D106" s="1017">
        <f>+VISUAL!E160</f>
        <v>484461045.89999998</v>
      </c>
      <c r="I106" s="1024" t="s">
        <v>358</v>
      </c>
    </row>
    <row r="107" spans="1:10" ht="8.1" customHeight="1">
      <c r="A107" s="1017" t="s">
        <v>351</v>
      </c>
      <c r="B107" s="1017">
        <f ca="1">+VISUAL!C169</f>
        <v>238635000</v>
      </c>
      <c r="C107" s="1017">
        <f ca="1">+VISUAL!D169</f>
        <v>275205480</v>
      </c>
      <c r="D107" s="1017">
        <f ca="1">+VISUAL!E169</f>
        <v>322116500.39999998</v>
      </c>
      <c r="H107" s="1017" t="str">
        <f ca="1">UPPER(IF(B111&gt;0,"utilidad","perdida"))</f>
        <v>UTILIDAD</v>
      </c>
    </row>
    <row r="108" spans="1:10" ht="8.1" customHeight="1">
      <c r="A108" s="1017" t="s">
        <v>353</v>
      </c>
      <c r="B108" s="1017">
        <f ca="1">+VISUAL!C170</f>
        <v>125865000</v>
      </c>
      <c r="C108" s="1017">
        <f ca="1">+VISUAL!D170</f>
        <v>138968850</v>
      </c>
      <c r="D108" s="1017">
        <f ca="1">+VISUAL!E170</f>
        <v>162344545.5</v>
      </c>
      <c r="E108" s="1023">
        <f ca="1">ROUND((+B108/B$106)*100,2)</f>
        <v>34.53</v>
      </c>
      <c r="F108" s="1023">
        <f ca="1">ROUND((+C108/C$106)*100,2)</f>
        <v>33.549999999999997</v>
      </c>
      <c r="G108" s="1023">
        <f ca="1">ROUND((+D108/D$106)*100,2)</f>
        <v>33.51</v>
      </c>
      <c r="H108" s="1023">
        <f ca="1">IF(E108&gt;6600%,1,IF(E108&gt;4500%,2,IF(E108&lt;3500%,3,4)))</f>
        <v>3</v>
      </c>
      <c r="I108" s="1023"/>
      <c r="J108" s="1017" t="str">
        <f ca="1">IF(E108&lt;5500%,"SE ACONSEJA REVISAR CON DETENIMIENTO LOS PRECIOS DE VENTA, LA PROYECCION DE VENTA Y LOS COSTOS VARIABLES","LA CUAL ESTA DENTRO DE LOS PARAMETROS DE LA INDUSTRIA ")</f>
        <v>SE ACONSEJA REVISAR CON DETENIMIENTO LOS PRECIOS DE VENTA, LA PROYECCION DE VENTA Y LOS COSTOS VARIABLES</v>
      </c>
    </row>
    <row r="109" spans="1:10" ht="8.1" customHeight="1">
      <c r="A109" s="1017" t="s">
        <v>360</v>
      </c>
      <c r="B109" s="1017">
        <f ca="1">+VISUAL!C173</f>
        <v>74567920</v>
      </c>
      <c r="C109" s="1017">
        <f ca="1">+VISUAL!D173</f>
        <v>81785696.7368</v>
      </c>
      <c r="D109" s="1017">
        <f ca="1">+VISUAL!E173</f>
        <v>98999383.861464009</v>
      </c>
      <c r="E109" s="1023">
        <f t="shared" ref="E109:G111" ca="1" si="6">ROUND((+B109/B$106)*100,2)</f>
        <v>20.46</v>
      </c>
      <c r="F109" s="1023">
        <f t="shared" ca="1" si="6"/>
        <v>19.75</v>
      </c>
      <c r="G109" s="1023">
        <f t="shared" ca="1" si="6"/>
        <v>20.43</v>
      </c>
      <c r="H109" s="1023">
        <f ca="1">IF(E109&gt;5000%,1,IF(E109&gt;4000%,2,IF(E109&lt;2500%,3,4)))</f>
        <v>3</v>
      </c>
      <c r="I109" s="1023"/>
      <c r="J109" s="1017" t="str">
        <f ca="1">IF(E109&lt;2500%,"SE SUGIERE REPASAR LA ESTRUCTURA DE COSTOS Y GASTOS FIJOS","LA CUAL SE CONSIDERA ACEPTABLE")</f>
        <v>SE SUGIERE REPASAR LA ESTRUCTURA DE COSTOS Y GASTOS FIJOS</v>
      </c>
    </row>
    <row r="110" spans="1:10" ht="8.1" customHeight="1">
      <c r="A110" s="1017" t="s">
        <v>359</v>
      </c>
      <c r="B110" s="1017">
        <f ca="1">+VISUAL!C177</f>
        <v>74567920</v>
      </c>
      <c r="C110" s="1017">
        <f ca="1">+VISUAL!D177</f>
        <v>81785696.7368</v>
      </c>
      <c r="D110" s="1017">
        <f ca="1">+VISUAL!E177</f>
        <v>98999383.861464009</v>
      </c>
      <c r="E110" s="1023">
        <f t="shared" ca="1" si="6"/>
        <v>20.46</v>
      </c>
      <c r="F110" s="1023">
        <f t="shared" ca="1" si="6"/>
        <v>19.75</v>
      </c>
      <c r="G110" s="1023">
        <f t="shared" ca="1" si="6"/>
        <v>20.43</v>
      </c>
      <c r="I110" s="1023"/>
      <c r="J110" s="1017" t="str">
        <f ca="1">IF(E110&lt;2000%,"SE PROPONE REVISAR CON DETENIMIENTO  LOS COSTOS FINANCIEROS Y LA RECUPERACION DE CAPITAL DE LOS COSTOS PREOPERATIVOS.","LA CUAL SE CONSIDERA ACEPTABLE")</f>
        <v>LA CUAL SE CONSIDERA ACEPTABLE</v>
      </c>
    </row>
    <row r="111" spans="1:10" ht="8.1" customHeight="1">
      <c r="A111" s="1017" t="s">
        <v>361</v>
      </c>
      <c r="B111" s="1017">
        <f ca="1">+VISUAL!C179</f>
        <v>74567920</v>
      </c>
      <c r="C111" s="1017">
        <f ca="1">+VISUAL!D179</f>
        <v>81785696.7368</v>
      </c>
      <c r="D111" s="1017">
        <f ca="1">+VISUAL!E179</f>
        <v>74249537.896098003</v>
      </c>
      <c r="E111" s="1023">
        <f t="shared" ca="1" si="6"/>
        <v>20.46</v>
      </c>
      <c r="F111" s="1023">
        <f t="shared" ca="1" si="6"/>
        <v>19.75</v>
      </c>
      <c r="G111" s="1023">
        <f t="shared" ca="1" si="6"/>
        <v>15.33</v>
      </c>
      <c r="H111" s="1023">
        <f ca="1">IF(E110&gt;3000%,1,IF(E110&gt;1200%,2,IF(E110&lt;500%,3,4)))</f>
        <v>2</v>
      </c>
    </row>
    <row r="112" spans="1:10" ht="8.1" customHeight="1">
      <c r="H112" s="1017">
        <f ca="1">ROUND(IF(B111&gt;0,B111/1000000,-B111/1000000),2)</f>
        <v>74.569999999999993</v>
      </c>
      <c r="I112" s="1017">
        <f ca="1">ROUND(IF(C111&gt;0,C111/1000000,-C111/1000000),2)</f>
        <v>81.790000000000006</v>
      </c>
      <c r="J112" s="1017">
        <f ca="1">ROUND(IF(D111&gt;0,D111/1000000,-D111/1000000),2)</f>
        <v>74.25</v>
      </c>
    </row>
    <row r="113" spans="1:9" ht="8.1" customHeight="1">
      <c r="H113" s="1017" t="s">
        <v>352</v>
      </c>
    </row>
    <row r="114" spans="1:9" ht="8.1" customHeight="1">
      <c r="H114" s="1017" t="s">
        <v>354</v>
      </c>
    </row>
    <row r="115" spans="1:9" ht="8.1" customHeight="1">
      <c r="A115" s="1220" t="str">
        <f ca="1">CONCATENATE(A107,H107,A108,H112,H113,A109,E108,H114,K109,J108,A110,E109,H114,J109,A111,E111,H114,J110)</f>
        <v>EL ESTADO DE RESULTADOS EN EL PRIMER AÑO, MUESTRA UNA UTILIDAD POR 74,57 MILLONES DE PESOS. LA RENTABILIDAD BRUTA ES DEL 34,53% ANUAL. SE ACONSEJA REVISAR CON DETENIMIENTO LOS PRECIOS DE VENTA, LA PROYECCION DE VENTA Y LOS COSTOS VARIABLES. LA RENTABILIDAD OPERACIONAL ES DEL 20,46% ANUAL. SE SUGIERE REPASAR LA ESTRUCTURA DE COSTOS Y GASTOS FIJOS. LA RENTABILIDAD SOBRE VENTAS ES DE 20,46% ANUAL. LA CUAL SE CONSIDERA ACEPTABLE</v>
      </c>
      <c r="H115" s="1017">
        <v>1</v>
      </c>
      <c r="I115" s="1017" t="s">
        <v>430</v>
      </c>
    </row>
    <row r="116" spans="1:9" ht="8.1" customHeight="1">
      <c r="A116" s="1220"/>
      <c r="H116" s="1017">
        <v>2</v>
      </c>
      <c r="I116" s="1017" t="s">
        <v>431</v>
      </c>
    </row>
    <row r="117" spans="1:9" ht="8.1" customHeight="1">
      <c r="A117" s="1220"/>
      <c r="H117" s="1017">
        <v>3</v>
      </c>
      <c r="I117" s="1017" t="s">
        <v>433</v>
      </c>
    </row>
    <row r="118" spans="1:9" ht="8.1" customHeight="1">
      <c r="A118" s="1220"/>
      <c r="H118" s="1017">
        <v>4</v>
      </c>
      <c r="I118" s="1017" t="s">
        <v>432</v>
      </c>
    </row>
    <row r="119" spans="1:9" ht="8.1" customHeight="1">
      <c r="A119" s="1220"/>
      <c r="H119" s="1017">
        <v>1</v>
      </c>
      <c r="I119" s="1017" t="s">
        <v>434</v>
      </c>
    </row>
    <row r="120" spans="1:9" ht="8.1" customHeight="1">
      <c r="A120" s="1220"/>
      <c r="H120" s="1017">
        <v>2</v>
      </c>
      <c r="I120" s="1017" t="s">
        <v>431</v>
      </c>
    </row>
    <row r="121" spans="1:9" ht="8.1" customHeight="1">
      <c r="A121" s="1017" t="s">
        <v>363</v>
      </c>
      <c r="B121" s="1017">
        <f>ROUND(+VISUAL!B191*100,2)</f>
        <v>13.63</v>
      </c>
      <c r="C121" s="1017" t="str">
        <f>IF(B121&gt;0,"CRECEN UN ","BAJAN UN ")</f>
        <v xml:space="preserve">CRECEN UN </v>
      </c>
      <c r="D121" s="1017">
        <f>IF(B121&lt;0,B121*-1,B121)</f>
        <v>13.63</v>
      </c>
      <c r="E121" s="1017" t="s">
        <v>292</v>
      </c>
      <c r="H121" s="1017">
        <v>3</v>
      </c>
      <c r="I121" s="1017" t="s">
        <v>433</v>
      </c>
    </row>
    <row r="122" spans="1:9" ht="8.1" customHeight="1">
      <c r="A122" s="1017" t="s">
        <v>364</v>
      </c>
      <c r="B122" s="1017">
        <f ca="1">ROUND(VISUAL!B192*100,2)</f>
        <v>15.32</v>
      </c>
      <c r="C122" s="1017" t="str">
        <f ca="1">IF(B122&gt;0,"SUBEN UN ","DESCIENDEN UN ")</f>
        <v xml:space="preserve">SUBEN UN </v>
      </c>
      <c r="D122" s="1017">
        <f ca="1">IF(B122&lt;0,B122*-1,B122)</f>
        <v>15.32</v>
      </c>
      <c r="H122" s="1017">
        <v>4</v>
      </c>
      <c r="I122" s="1017" t="s">
        <v>432</v>
      </c>
    </row>
    <row r="123" spans="1:9" ht="8.1" customHeight="1">
      <c r="A123" s="1017" t="s">
        <v>379</v>
      </c>
      <c r="B123" s="1017">
        <f ca="1">+B121-B122</f>
        <v>-1.6899999999999995</v>
      </c>
    </row>
    <row r="124" spans="1:9" ht="8.1" customHeight="1">
      <c r="A124" s="1017" t="s">
        <v>527</v>
      </c>
      <c r="B124" s="1017">
        <f>ROUND(VISUAL!B193*100,2)</f>
        <v>11.25</v>
      </c>
      <c r="C124" s="1017" t="str">
        <f>IF(B124&gt;0,"SE INCREMENTAN EN UN ","SE REDUCEN EN UN ")</f>
        <v xml:space="preserve">SE INCREMENTAN EN UN </v>
      </c>
      <c r="D124" s="1017">
        <f>IF(B124&lt;0,B124*-1,B124)</f>
        <v>11.25</v>
      </c>
    </row>
    <row r="125" spans="1:9" ht="8.1" customHeight="1">
      <c r="B125" s="1017" t="str">
        <f ca="1">IF(B123&gt;=C125,D125,IF(B123&gt;=C126,D126,IF(B123&gt;=C127,D127,IF(B123&lt;=C128,D128,""))))</f>
        <v>SE HACE IMPRESCINDIBLE VERIFICAR LOS COSTOS DIRECTOS YA QUE ESTOS SE INCREMENTA POR ENCIMA DEL INCREMENTO EN VENTAS</v>
      </c>
      <c r="C125" s="1017">
        <v>12</v>
      </c>
      <c r="D125" s="1017" t="s">
        <v>375</v>
      </c>
    </row>
    <row r="126" spans="1:9" ht="8.1" customHeight="1">
      <c r="A126" s="1221" t="str">
        <f ca="1">CONCATENATE(A121,C121,D121,E121,A122,C122,D122,E121,B125,A123,C124,D124,E121)</f>
        <v xml:space="preserve">PARA EL SEGUNDO AÑO LAS VENTAS CRECEN UN 13,63% Y LOS COSTOS DE VENTAS SUBEN UN 15,32% SE HACE IMPRESCINDIBLE VERIFICAR LOS COSTOS DIRECTOS YA QUE ESTOS SE INCREMENTA POR ENCIMA DEL INCREMENTO EN VENTAS LOS GASTOS ADMINISTRATIVOS SE INCREMENTAN EN UN 11,25% </v>
      </c>
      <c r="C126" s="1017">
        <v>7</v>
      </c>
      <c r="D126" s="1017" t="s">
        <v>377</v>
      </c>
    </row>
    <row r="127" spans="1:9" ht="8.1" customHeight="1">
      <c r="A127" s="1221"/>
      <c r="C127" s="1017">
        <v>1</v>
      </c>
      <c r="D127" s="1017" t="s">
        <v>376</v>
      </c>
    </row>
    <row r="128" spans="1:9" ht="8.1" customHeight="1">
      <c r="A128" s="1221"/>
      <c r="B128" s="1017">
        <f>+B121-B124</f>
        <v>2.3800000000000008</v>
      </c>
      <c r="C128" s="1017">
        <v>0</v>
      </c>
      <c r="D128" s="1017" t="s">
        <v>378</v>
      </c>
    </row>
    <row r="129" spans="1:7" ht="8.1" customHeight="1">
      <c r="A129" s="1221"/>
      <c r="B129" s="1017">
        <f>+VISUAL!C191</f>
        <v>0.16970321627610274</v>
      </c>
      <c r="C129" s="1017" t="s">
        <v>528</v>
      </c>
      <c r="D129" s="1017">
        <v>12</v>
      </c>
      <c r="E129" s="1017" t="s">
        <v>375</v>
      </c>
    </row>
    <row r="130" spans="1:7" ht="8.1" customHeight="1">
      <c r="A130" s="1221"/>
      <c r="B130" s="1017">
        <f ca="1">+VISUAL!C192</f>
        <v>0.17045816238833611</v>
      </c>
      <c r="C130" s="1017" t="s">
        <v>522</v>
      </c>
      <c r="D130" s="1017">
        <v>7</v>
      </c>
      <c r="E130" s="1017" t="s">
        <v>377</v>
      </c>
    </row>
    <row r="131" spans="1:7" ht="8.1" customHeight="1">
      <c r="A131" s="1221"/>
      <c r="C131" s="1017" t="str">
        <f>IF(B131&gt;0,C129,C133)</f>
        <v>DECRECEN UN</v>
      </c>
      <c r="D131" s="1017">
        <v>1</v>
      </c>
      <c r="E131" s="1017" t="s">
        <v>525</v>
      </c>
    </row>
    <row r="132" spans="1:7" ht="8.1" customHeight="1">
      <c r="A132" s="1221" t="str">
        <f ca="1">CONCATENATE(A124,B135,ROUND(B130*100,2),F133,E133,B136,ROUND(B129*100,2),F133,B138)</f>
        <v>EN EL TERCER AÑO LOS COSTOS DE VENTAS SE INCREMENTAN EN UN 17,05%. MIENTRAS QUE LAS VENTAS ASCIENDE UN 16,97%. SE HACE IMPRESCINDIBLE VERIFICAR LOS COSTOS DIRECTOS YA QUE ESTOS SE INCREMENTA POR ENCIMA DEL CRECIMIENTO EN VENTAS</v>
      </c>
      <c r="B132" s="1017">
        <f>+VISUAL!C193</f>
        <v>0.10129846634913231</v>
      </c>
      <c r="C132" s="1017" t="str">
        <f>IF(B132&gt;0,"SUBEN UN ","DESCIENDEN UN ")</f>
        <v xml:space="preserve">SUBEN UN </v>
      </c>
      <c r="D132" s="1017">
        <v>0</v>
      </c>
      <c r="E132" s="1017" t="s">
        <v>526</v>
      </c>
    </row>
    <row r="133" spans="1:7" ht="8.1" customHeight="1">
      <c r="A133" s="1221"/>
      <c r="C133" s="1017" t="s">
        <v>523</v>
      </c>
      <c r="E133" s="1017" t="s">
        <v>529</v>
      </c>
      <c r="F133" s="1017" t="s">
        <v>435</v>
      </c>
    </row>
    <row r="134" spans="1:7" ht="8.1" customHeight="1">
      <c r="A134" s="1221"/>
      <c r="C134" s="1017" t="s">
        <v>524</v>
      </c>
    </row>
    <row r="135" spans="1:7" ht="8.1" customHeight="1">
      <c r="A135" s="1221"/>
      <c r="B135" s="1017" t="str">
        <f ca="1">IF(B130&gt;0,C129,C131)</f>
        <v xml:space="preserve">SE INCREMENTAN EN UN </v>
      </c>
    </row>
    <row r="136" spans="1:7" ht="8.1" customHeight="1">
      <c r="A136" s="1221"/>
      <c r="B136" s="1017" t="str">
        <f>IF(B129&gt;0,C130,C132)</f>
        <v xml:space="preserve">ASCIENDE UN </v>
      </c>
    </row>
    <row r="137" spans="1:7" ht="8.1" customHeight="1">
      <c r="A137" s="1221"/>
      <c r="B137" s="1017">
        <f ca="1">+(B129-B130)*100</f>
        <v>-7.5494611223336783E-2</v>
      </c>
    </row>
    <row r="138" spans="1:7" ht="8.1" customHeight="1">
      <c r="A138" s="1017" t="s">
        <v>436</v>
      </c>
      <c r="B138" s="1017" t="str">
        <f ca="1">IF(B137&gt;=D129,E129,IF(B137&gt;=D130,E130,IF(B137&gt;=D131,E131,IF(B137&lt;=D132,E132,""))))</f>
        <v>SE HACE IMPRESCINDIBLE VERIFICAR LOS COSTOS DIRECTOS YA QUE ESTOS SE INCREMENTA POR ENCIMA DEL CRECIMIENTO EN VENTAS</v>
      </c>
    </row>
    <row r="139" spans="1:7" ht="8.1" customHeight="1">
      <c r="A139" s="1017" t="str">
        <f>IF(E139="",""," EL ")</f>
        <v xml:space="preserve"> EL </v>
      </c>
      <c r="B139" s="1017" t="str">
        <f>IF(C139=0,""," DE CONTADO,")</f>
        <v xml:space="preserve"> DE CONTADO,</v>
      </c>
      <c r="C139" s="1017">
        <f>ROUND(+VISUAL!B207,2)</f>
        <v>0.1</v>
      </c>
      <c r="E139" s="1017">
        <f>IF(C139=0,"",C139*100)</f>
        <v>10</v>
      </c>
      <c r="F139" s="1017">
        <f>IF(C139=0,"",C139*100)</f>
        <v>10</v>
      </c>
      <c r="G139" s="1017" t="str">
        <f t="shared" ref="G139:G144" si="7">IF(C139=0,"","% " )</f>
        <v xml:space="preserve">% </v>
      </c>
    </row>
    <row r="140" spans="1:7" ht="8.1" customHeight="1">
      <c r="A140" s="1017" t="str">
        <f>IF(E140="",""," EL ")</f>
        <v/>
      </c>
      <c r="B140" s="1017" t="str">
        <f>IF(C140=0,""," A 30 DIAS")</f>
        <v/>
      </c>
      <c r="C140" s="1017">
        <f>ROUND(+VISUAL!B208,2)</f>
        <v>0</v>
      </c>
      <c r="E140" s="1017" t="str">
        <f>IF(C140=0,"",C140*100)</f>
        <v/>
      </c>
      <c r="F140" s="1017" t="str">
        <f>IF(C140=0,"",C140*100)</f>
        <v/>
      </c>
      <c r="G140" s="1017" t="str">
        <f t="shared" si="7"/>
        <v/>
      </c>
    </row>
    <row r="141" spans="1:7" ht="8.1" customHeight="1">
      <c r="A141" s="1017" t="str">
        <f>IF(E141="","",", EL ")</f>
        <v/>
      </c>
      <c r="B141" s="1017" t="str">
        <f>IF(C141=0,""," A 60 DIAS")</f>
        <v/>
      </c>
      <c r="C141" s="1017">
        <f>ROUND(+VISUAL!B209,2)</f>
        <v>0</v>
      </c>
      <c r="E141" s="1017" t="str">
        <f>IF(C141=0,"",C141*100)</f>
        <v/>
      </c>
      <c r="F141" s="1017" t="str">
        <f>IF(C141=0,"",C141*100)</f>
        <v/>
      </c>
      <c r="G141" s="1017" t="str">
        <f t="shared" si="7"/>
        <v/>
      </c>
    </row>
    <row r="142" spans="1:7" ht="8.1" customHeight="1">
      <c r="A142" s="1017" t="str">
        <f>IF(E142="",""," EL ")</f>
        <v xml:space="preserve"> EL </v>
      </c>
      <c r="B142" s="1017" t="str">
        <f>IF(C142=0,"",", A 90 DIAS")</f>
        <v>, A 90 DIAS</v>
      </c>
      <c r="C142" s="1017">
        <f>ROUND(+VISUAL!B210,2)</f>
        <v>0.8</v>
      </c>
      <c r="E142" s="1017">
        <f>IF(C142=0,"",C142*100)</f>
        <v>80</v>
      </c>
      <c r="F142" s="1017">
        <f>IF(C142=0,"",C142*100)</f>
        <v>80</v>
      </c>
      <c r="G142" s="1017" t="str">
        <f t="shared" si="7"/>
        <v xml:space="preserve">% </v>
      </c>
    </row>
    <row r="143" spans="1:7" ht="8.1" customHeight="1">
      <c r="A143" s="1017" t="str">
        <f>IF(E143="","",". SE DEBE PRESTAR ESPECIAL CUIDADO CON EL ")</f>
        <v xml:space="preserve">. SE DEBE PRESTAR ESPECIAL CUIDADO CON EL </v>
      </c>
      <c r="B143" s="1017" t="str">
        <f>IF(C143=0,""," A 120 DIAS")</f>
        <v xml:space="preserve"> A 120 DIAS</v>
      </c>
      <c r="C143" s="1017">
        <f>ROUND(+VISUAL!B211,2)</f>
        <v>0.1</v>
      </c>
      <c r="E143" s="1017">
        <f>IF((C143+C144)=0,"",C143*100+C144*100)</f>
        <v>10</v>
      </c>
      <c r="G143" s="1017" t="str">
        <f t="shared" si="7"/>
        <v xml:space="preserve">% </v>
      </c>
    </row>
    <row r="144" spans="1:7" ht="8.1" customHeight="1">
      <c r="A144" s="1017" t="str">
        <f>IF(E143="","",". QUE SE FINANCIA A MAS DE 120 DIAS")</f>
        <v>. QUE SE FINANCIA A MAS DE 120 DIAS</v>
      </c>
      <c r="B144" s="1017" t="str">
        <f>IF(C144=0,""," A 150 DIAS")</f>
        <v/>
      </c>
      <c r="C144" s="1017">
        <f>ROUND(+VISUAL!B212,2)</f>
        <v>0</v>
      </c>
      <c r="G144" s="1017" t="str">
        <f t="shared" si="7"/>
        <v/>
      </c>
    </row>
    <row r="145" spans="1:7" ht="8.1" customHeight="1">
      <c r="A145" s="1020" t="str">
        <f>CONCATENATE(A138,A139,E139,G139,B139,B140,A140,E140,G140,A141,E141,G141,B141,B142,A142,E142,G142,A143,E143,G143,A144)</f>
        <v>LA EMPRESA VENDE EL 10%  DE CONTADO,, A 90 DIAS EL 80% . SE DEBE PRESTAR ESPECIAL CUIDADO CON EL 10% . QUE SE FINANCIA A MAS DE 120 DIAS</v>
      </c>
      <c r="C145" s="1017">
        <f>ROUND(+VISUAL!B213,2)</f>
        <v>0</v>
      </c>
    </row>
    <row r="146" spans="1:7" ht="8.1" customHeight="1">
      <c r="A146" s="1017" t="s">
        <v>437</v>
      </c>
      <c r="F146" s="1017" t="str">
        <f>IF(C153=0,"",C153*100)</f>
        <v/>
      </c>
    </row>
    <row r="147" spans="1:7" ht="8.1" customHeight="1">
      <c r="A147" s="1017" t="str">
        <f>IF(E147="",""," EL ")</f>
        <v xml:space="preserve"> EL </v>
      </c>
      <c r="B147" s="1017" t="str">
        <f>IF(C147=0,""," DE CONTADO,")</f>
        <v xml:space="preserve"> DE CONTADO,</v>
      </c>
      <c r="C147" s="1017">
        <f>ROUND(+VISUAL!C207,2)</f>
        <v>1</v>
      </c>
      <c r="D147" s="1017" t="str">
        <f>IF(C139&gt;C147,"LA EMPRESA SE VE BENEFICIADA AL TENER MAYOR LIQUIDEZ","LA EMPRESA DEBE TENER PRESENTE LA CARTERA PARA QUE EL FLUJO DE EFECTIVO NO SE AFECTE")</f>
        <v>LA EMPRESA DEBE TENER PRESENTE LA CARTERA PARA QUE EL FLUJO DE EFECTIVO NO SE AFECTE</v>
      </c>
      <c r="E147" s="1017">
        <f>IF(C147=0,"",C147*100)</f>
        <v>100</v>
      </c>
      <c r="F147" s="1017">
        <f ca="1">IF(C154=0,"",C154*100)</f>
        <v>6126400000</v>
      </c>
      <c r="G147" s="1017" t="str">
        <f>IF(C147=0,"","% " )</f>
        <v xml:space="preserve">% </v>
      </c>
    </row>
    <row r="148" spans="1:7" ht="8.1" customHeight="1">
      <c r="A148" s="1017" t="str">
        <f>IF(E148="",""," EL ")</f>
        <v/>
      </c>
      <c r="B148" s="1017" t="str">
        <f>IF(C148=0,""," A 30 DIAS")</f>
        <v/>
      </c>
      <c r="C148" s="1017">
        <f>ROUND(+VISUAL!C208,2)</f>
        <v>0</v>
      </c>
      <c r="E148" s="1017" t="str">
        <f>IF(C148=0,"",C148*100)</f>
        <v/>
      </c>
      <c r="F148" s="1017">
        <f ca="1">IF(C155=0,"",C155*100)</f>
        <v>500</v>
      </c>
      <c r="G148" s="1017" t="str">
        <f>IF(C148=0,"","% " )</f>
        <v/>
      </c>
    </row>
    <row r="149" spans="1:7" ht="8.1" customHeight="1">
      <c r="A149" s="1017" t="str">
        <f>IF(E149="","",", EL ")</f>
        <v/>
      </c>
      <c r="B149" s="1017" t="str">
        <f>IF(C149=0,""," A 60 DIAS")</f>
        <v/>
      </c>
      <c r="C149" s="1017">
        <f>ROUND(+VISUAL!C209,2)</f>
        <v>0</v>
      </c>
      <c r="E149" s="1017" t="str">
        <f>IF(C149=0,"",C149*100)</f>
        <v/>
      </c>
      <c r="F149" s="1017">
        <f ca="1">IF(C156=0,"",C156*100)</f>
        <v>1300</v>
      </c>
      <c r="G149" s="1017" t="str">
        <f>IF(C149=0,"","% " )</f>
        <v/>
      </c>
    </row>
    <row r="150" spans="1:7" ht="8.1" customHeight="1">
      <c r="A150" s="1017" t="str">
        <f>IF(E150="",""," EL ")</f>
        <v/>
      </c>
      <c r="B150" s="1017" t="str">
        <f>IF(C150=0,"",", Y A 90 DIAS")</f>
        <v/>
      </c>
      <c r="C150" s="1017">
        <f>ROUND(+VISUAL!C210,2)</f>
        <v>0</v>
      </c>
      <c r="E150" s="1017" t="str">
        <f>IF((C150+C151)=0,"",C150*100+C151*100)</f>
        <v/>
      </c>
      <c r="G150" s="1017" t="str">
        <f>IF(C150=0,"","% " )</f>
        <v/>
      </c>
    </row>
    <row r="151" spans="1:7" ht="8.1" customHeight="1">
      <c r="B151" s="1017" t="str">
        <f>IF(C151=0,""," A 120 DIAS")</f>
        <v/>
      </c>
    </row>
    <row r="152" spans="1:7" ht="8.1" customHeight="1">
      <c r="B152" s="1017" t="str">
        <f>IF(C152=0,""," A 150 DIAS")</f>
        <v/>
      </c>
    </row>
    <row r="153" spans="1:7" ht="8.1" customHeight="1">
      <c r="A153" s="1020" t="str">
        <f>CONCATENATE(A146,A147,E147,G147,B147,B148,A148,E148,G148,A149,E149,G149,B149,B150,A150,E150,G150,D147)</f>
        <v>LA EMPRESA COMPRA EL 100%  DE CONTADO,LA EMPRESA DEBE TENER PRESENTE LA CARTERA PARA QUE EL FLUJO DE EFECTIVO NO SE AFECTE</v>
      </c>
    </row>
    <row r="154" spans="1:7" ht="8.1" customHeight="1">
      <c r="A154" s="1025" t="s">
        <v>438</v>
      </c>
      <c r="B154" s="1017">
        <f ca="1">+MIN(VISUAL!B259:N259)</f>
        <v>4128527.0666666664</v>
      </c>
      <c r="C154" s="1017">
        <f ca="1">MAX(VISUAL!B259:N259)</f>
        <v>61264000</v>
      </c>
    </row>
    <row r="155" spans="1:7" ht="8.1" customHeight="1">
      <c r="A155" s="1025" t="str">
        <f ca="1">UPPER(IF(B154&gt;0,"menor superavit ","mayor deficit "))</f>
        <v xml:space="preserve">MENOR SUPERAVIT </v>
      </c>
      <c r="B155" s="1017" t="s">
        <v>440</v>
      </c>
      <c r="C155" s="1017">
        <f ca="1">+B156-1</f>
        <v>5</v>
      </c>
    </row>
    <row r="156" spans="1:7" ht="8.1" customHeight="1">
      <c r="A156" s="1025" t="s">
        <v>439</v>
      </c>
      <c r="B156" s="1017">
        <f ca="1">MATCH(B154,VISUAL!B259:N259,-1)</f>
        <v>6</v>
      </c>
      <c r="C156" s="1017">
        <f ca="1">MATCH(C154,VISUAL!B259:O259,1)</f>
        <v>13</v>
      </c>
    </row>
    <row r="157" spans="1:7" ht="8.1" customHeight="1">
      <c r="A157" s="1017" t="s">
        <v>287</v>
      </c>
    </row>
    <row r="158" spans="1:7" ht="8.1" customHeight="1">
      <c r="A158" s="1017" t="s">
        <v>442</v>
      </c>
    </row>
    <row r="159" spans="1:7" ht="8.1" customHeight="1">
      <c r="A159" s="1017" t="s">
        <v>441</v>
      </c>
      <c r="B159" s="1017" t="str">
        <f ca="1">IF(B156=1,"AL INICIO DEL PROYECTO ",CONCATENATE(B155,C155))</f>
        <v xml:space="preserve"> EN EL MES 5</v>
      </c>
    </row>
    <row r="160" spans="1:7" ht="8.1" customHeight="1">
      <c r="A160" s="1017" t="str">
        <f ca="1">UPPER(IF(B154&lt;0," no posee viabilidad ","es viable."))</f>
        <v>ES VIABLE.</v>
      </c>
    </row>
    <row r="161" spans="1:7" ht="8.1" customHeight="1">
      <c r="A161" s="1026" t="str">
        <f ca="1">CONCATENATE(A154,A155,B159,A157,DOLLAR(B154,0),A158,A159,A160,C161)</f>
        <v>EL PROYECTO PRESENTA SU MENOR SUPERAVIT  EN EL MES 5 POR VALOR DE $4.128.527, ES NECESARIO QUE SE DESCUENTE DEL VALOR DE LOS INVENTARIOS, EN CASO DE SER REQUERIDOS. CON ESTE VALOR EL PROYECTO ES VIABLE.</v>
      </c>
      <c r="B161" s="1023">
        <f ca="1">+B154/B1*100</f>
        <v>3.5181312881692941</v>
      </c>
      <c r="C161" s="1017" t="str">
        <f ca="1">IF(B161&gt;7," PERO SE CONSIDERA QUE EL VALOR EN CAJA ES EXCESIVO, SE SUGIERE REDUCIR LA INVERSIÓN INICIAL DE CAPITAL DE TRABAJO",IF(B161&lt;2," ES CONVENIENTE QUE SE ESTIME UN POCO MAS DE CAPITAL DE TRABAJO PARA CUBRIR EVENTUALIDADES",""))</f>
        <v/>
      </c>
    </row>
    <row r="163" spans="1:7" ht="8.1" customHeight="1">
      <c r="A163" s="1017" t="s">
        <v>443</v>
      </c>
    </row>
    <row r="164" spans="1:7" ht="8.1" customHeight="1">
      <c r="A164" s="1017" t="s">
        <v>444</v>
      </c>
      <c r="B164" s="1017">
        <f ca="1">-C164</f>
        <v>-117350000</v>
      </c>
      <c r="C164" s="1017">
        <f ca="1">+VISUAL!B293</f>
        <v>117350000</v>
      </c>
    </row>
    <row r="165" spans="1:7" ht="8.1" customHeight="1">
      <c r="A165" s="1017" t="s">
        <v>447</v>
      </c>
      <c r="B165" s="1017">
        <f ca="1">+VISUAL!B303</f>
        <v>40035920</v>
      </c>
      <c r="C165" s="1017">
        <f ca="1">ROUND(+B165/1000000,2)</f>
        <v>40.04</v>
      </c>
      <c r="D165" s="1017" t="s">
        <v>449</v>
      </c>
    </row>
    <row r="166" spans="1:7" ht="8.1" customHeight="1">
      <c r="A166" s="1017" t="s">
        <v>450</v>
      </c>
      <c r="B166" s="1017">
        <f ca="1">+VISUAL!C303</f>
        <v>73511232.996799946</v>
      </c>
      <c r="C166" s="1017">
        <f ca="1">ROUND(+B166/1000000,2)</f>
        <v>73.510000000000005</v>
      </c>
      <c r="D166" s="1017" t="s">
        <v>448</v>
      </c>
    </row>
    <row r="167" spans="1:7" ht="8.1" customHeight="1">
      <c r="A167" s="1017" t="s">
        <v>451</v>
      </c>
      <c r="B167" s="1017">
        <f ca="1">+VISUAL!D303</f>
        <v>84994676.841264069</v>
      </c>
      <c r="C167" s="1017">
        <f ca="1">ROUND(+B167/1000000,2)</f>
        <v>84.99</v>
      </c>
      <c r="D167" s="1017" t="s">
        <v>452</v>
      </c>
    </row>
    <row r="168" spans="1:7" ht="8.1" customHeight="1">
      <c r="A168" s="1017" t="s">
        <v>484</v>
      </c>
      <c r="B168" s="1017">
        <f ca="1">IRR(B164:B167)</f>
        <v>0.27645194567714526</v>
      </c>
      <c r="C168" s="1017">
        <f ca="1">+B168*100</f>
        <v>27.645194567714526</v>
      </c>
      <c r="D168" s="1017">
        <f ca="1">IF(C168&gt;100,1,IF(C168&gt;30,2,IF(C168&gt;12,3,4)))</f>
        <v>3</v>
      </c>
      <c r="E168" s="1017">
        <v>1</v>
      </c>
      <c r="F168" s="1017" t="s">
        <v>541</v>
      </c>
    </row>
    <row r="169" spans="1:7" ht="8.1" customHeight="1">
      <c r="A169" s="1017" t="s">
        <v>453</v>
      </c>
      <c r="B169" s="1017">
        <f ca="1">NPV(C169,B165:B167)-C164</f>
        <v>5243199.6606791764</v>
      </c>
      <c r="C169" s="1017">
        <f>+'datos de entrada'!C408</f>
        <v>0.25</v>
      </c>
      <c r="E169" s="1017">
        <v>2</v>
      </c>
      <c r="F169" s="1017" t="s">
        <v>542</v>
      </c>
    </row>
    <row r="170" spans="1:7" ht="8.1" customHeight="1">
      <c r="A170" s="1017" t="s">
        <v>445</v>
      </c>
      <c r="B170" s="1017">
        <f ca="1">ROUND(+B169/1000000,0)</f>
        <v>5</v>
      </c>
      <c r="C170" s="1017" t="s">
        <v>457</v>
      </c>
      <c r="E170" s="1017">
        <v>3</v>
      </c>
      <c r="F170" s="1017" t="s">
        <v>543</v>
      </c>
    </row>
    <row r="171" spans="1:7" ht="8.1" customHeight="1">
      <c r="A171" s="1020" t="str">
        <f ca="1">CONCATENATE(A164,DOLLAR(C164,0),A165,C165,D165,A166,C166,D166,A167,C167,D167,A168,ROUND(C168,2),G139,A169,ROUND(C168,2),G139,A170,VLOOKUP(D168,E168:F171,2,FALSE))</f>
        <v>EL PROYECTO POSEE UNA INVERSIÓN DE $117.350.000. AL PRIMER AÑO DE OPERACIÓN ARROJA UN FLUJO DE EFECTIVO DE 40,04 MILLONES, PARA EL SEGUNDO AÑO, EL VALOR ES DE 73,51 MM Y PARA EL TERCERO DE 84,99 MM. LA VIABILIDAD FINANCIERA SE DETERMINA A TRAVÉS DE TRES INDICADORES, EL PRIMERO DE ELLOS ES LA TASA INTERNA DE RETORNO O TIR LA CUAL ES DE 27,65% . SE INTERPRETA COMO: EL PROYECTO ARROJA UNA RENTABILIDAD DEL 27,65% PROMEDIO ANUAL. ESTA DENTRO DE LOS PARAMETROS DE LOS PROYECTOS.</v>
      </c>
      <c r="E171" s="1017">
        <v>4</v>
      </c>
      <c r="F171" s="1017" t="s">
        <v>446</v>
      </c>
    </row>
    <row r="172" spans="1:7" ht="8.1" customHeight="1">
      <c r="A172" s="1017" t="s">
        <v>454</v>
      </c>
      <c r="B172" s="1017">
        <f>+C169*100</f>
        <v>25</v>
      </c>
      <c r="C172" s="1017" t="s">
        <v>64</v>
      </c>
      <c r="E172" s="1017">
        <v>1</v>
      </c>
      <c r="F172" s="1017" t="s">
        <v>459</v>
      </c>
      <c r="G172" s="1017" t="s">
        <v>540</v>
      </c>
    </row>
    <row r="173" spans="1:7" ht="8.1" customHeight="1">
      <c r="A173" s="1017" t="s">
        <v>456</v>
      </c>
      <c r="C173" s="1017">
        <f ca="1">IF(B170&gt;1,1,IF(B170=0,2,IF(B170&lt;1,3,"")))</f>
        <v>1</v>
      </c>
      <c r="E173" s="1017">
        <v>2</v>
      </c>
      <c r="F173" s="1017" t="s">
        <v>460</v>
      </c>
      <c r="G173" s="1017" t="s">
        <v>539</v>
      </c>
    </row>
    <row r="174" spans="1:7" ht="8.1" customHeight="1">
      <c r="A174" s="1017" t="s">
        <v>455</v>
      </c>
      <c r="E174" s="1017">
        <v>3</v>
      </c>
      <c r="F174" s="1017" t="s">
        <v>461</v>
      </c>
      <c r="G174" s="1017" t="s">
        <v>538</v>
      </c>
    </row>
    <row r="175" spans="1:7" ht="8.1" customHeight="1">
      <c r="A175" s="1017" t="str">
        <f ca="1">VLOOKUP(C173,E172:F174,2,FALSE)</f>
        <v xml:space="preserve"> ADICIONALES AL INVERTIR LOS RECURSOS EN ESTE PROYECTO QUE EN UNO QUE RENTE, EL </v>
      </c>
    </row>
    <row r="176" spans="1:7" ht="8.1" customHeight="1">
      <c r="A176" s="1017" t="s">
        <v>458</v>
      </c>
    </row>
    <row r="177" spans="1:6" ht="8.1" customHeight="1">
      <c r="A177" s="1017" t="str">
        <f ca="1">VLOOKUP(C173,E172:G174,3,FALSE)</f>
        <v>, POR LO TANTO SE SUGIERE CONTINUAR CON EL PROYECTO.</v>
      </c>
    </row>
    <row r="179" spans="1:6" ht="8.1" customHeight="1">
      <c r="A179" s="1020" t="str">
        <f ca="1">CONCATENATE(A172,B172,C172,A173,DOLLAR(B169,0),A174,ROUND(B169/1000000,0),C170,A175,B172,C172,A176,A177)</f>
        <v>EL SEGUNDO INDICADOR ES EL VALOR PRESENTE NETO, PARA SU CALCULO ES NECESARIO LA TASA DE DESCUENTO O TASA DE INTERES DE OPORTUNIDAD QUE SE SOLICITO EN LA ENTRADA DE DATOS, (OTROS PARAMETROS), DONDE USTED DIGITO EL 25%, EL VALOR ARROJADO DEL CALCULO ES $5.243.200. SE INTERPRETA COMO: EL PROYECTO ARROJA 5 MILLONES ADICIONALES AL INVERTIR LOS RECURSOS EN ESTE PROYECTO QUE EN UNO QUE RENTE, EL 25% ANUAL, POR LO TANTO SE SUGIERE CONTINUAR CON EL PROYECTO.</v>
      </c>
    </row>
    <row r="181" spans="1:6" ht="8.1" customHeight="1">
      <c r="A181" s="1017" t="s">
        <v>485</v>
      </c>
    </row>
    <row r="182" spans="1:6" ht="8.1" customHeight="1">
      <c r="A182" s="1017" t="s">
        <v>464</v>
      </c>
    </row>
    <row r="183" spans="1:6" ht="8.1" customHeight="1">
      <c r="A183" s="1017" t="s">
        <v>462</v>
      </c>
      <c r="B183" s="1017">
        <f ca="1">+C164</f>
        <v>117350000</v>
      </c>
    </row>
    <row r="184" spans="1:6" ht="8.1" customHeight="1">
      <c r="A184" s="1017" t="s">
        <v>465</v>
      </c>
      <c r="B184" s="1017">
        <f ca="1">+VISUAL!C179</f>
        <v>74567920</v>
      </c>
      <c r="C184" s="1017" t="str">
        <f ca="1">IF(B184-B183&gt;0,"SUPERIOR","INFERIOR")</f>
        <v>INFERIOR</v>
      </c>
      <c r="D184" s="1017">
        <v>1</v>
      </c>
      <c r="E184" s="1017" t="s">
        <v>537</v>
      </c>
      <c r="F184" s="1017" t="s">
        <v>530</v>
      </c>
    </row>
    <row r="185" spans="1:6" ht="8.1" customHeight="1">
      <c r="A185" s="1017" t="s">
        <v>463</v>
      </c>
      <c r="B185" s="1017">
        <f ca="1">+VISUAL!D179</f>
        <v>81785696.7368</v>
      </c>
      <c r="C185" s="1017" t="str">
        <f ca="1">IF(B185+B184-B183&gt;0,"SUPERIOR","INFERIOR")</f>
        <v>SUPERIOR</v>
      </c>
      <c r="D185" s="1017">
        <v>2</v>
      </c>
      <c r="E185" s="1017" t="s">
        <v>536</v>
      </c>
      <c r="F185" s="1017" t="s">
        <v>531</v>
      </c>
    </row>
    <row r="186" spans="1:6" ht="8.1" customHeight="1">
      <c r="B186" s="1017">
        <f ca="1">+VISUAL!E179</f>
        <v>74249537.896098003</v>
      </c>
      <c r="C186" s="1017" t="str">
        <f ca="1">IF(B186+B185+B184-B183&gt;0,"superior","inferior")</f>
        <v>superior</v>
      </c>
      <c r="D186" s="1017">
        <v>3</v>
      </c>
      <c r="E186" s="1017" t="s">
        <v>535</v>
      </c>
      <c r="F186" s="1017" t="s">
        <v>532</v>
      </c>
    </row>
    <row r="187" spans="1:6" ht="8.1" customHeight="1">
      <c r="C187" s="1017">
        <f ca="1">IF(C184="superior",1,IF(C185="superior",2,IF(C186="superior",3,4)))</f>
        <v>2</v>
      </c>
      <c r="D187" s="1017">
        <v>4</v>
      </c>
      <c r="E187" s="1017" t="s">
        <v>534</v>
      </c>
      <c r="F187" s="1017" t="s">
        <v>533</v>
      </c>
    </row>
    <row r="188" spans="1:6" ht="8.1" customHeight="1">
      <c r="A188" s="1020" t="str">
        <f ca="1">CONCATENATE(A181,A182,A183,DOLLAR(B183,0),VLOOKUP(C187,D184:F187,3,FALSE),VLOOKUP(C187,D184:E187,2,FALSE))</f>
        <v>EL TERCER INDICADOR DE VIABILIDAD FINANCIERA ES EL PERIODO DE RECUPERACIÓN DE LA INVERSIÓN O PRI. SE CALCULA CON EL ESTADO DE RESULTADOS SUMANDO LAS UTILIDADES Y RESTANDO LA INVERSIÓN HASTA OBTENER CERO. LA INVERSIÓN ES DE $117.350.000. COMO LA SUMA DE LAS UTILIDADES DEL PRIMER Y SEGUNDO PERIODO ES SUPERIOR, SE PUEDE DECIR QUE  LA INVERSIÓN SE RECUPERA EN EL SEGUNDO AÑO.</v>
      </c>
    </row>
    <row r="190" spans="1:6" ht="8.1" customHeight="1">
      <c r="A190" s="1027" t="s">
        <v>500</v>
      </c>
      <c r="C190" s="1017" t="s">
        <v>547</v>
      </c>
      <c r="D190" s="1017" t="s">
        <v>600</v>
      </c>
      <c r="E190" s="1017" t="s">
        <v>601</v>
      </c>
      <c r="F190" s="1017" t="s">
        <v>602</v>
      </c>
    </row>
    <row r="191" spans="1:6" ht="8.1" customHeight="1">
      <c r="A191" s="1028" t="s">
        <v>475</v>
      </c>
      <c r="B191" s="1017" t="s">
        <v>546</v>
      </c>
      <c r="C191" s="1017">
        <f ca="1">IF(VISUAL!B330=0,0,+VISUAL!B319/VISUAL!B330)</f>
        <v>0</v>
      </c>
      <c r="D191" s="1017">
        <f ca="1">IF(VISUAL!C330=0,0,+VISUAL!C319/VISUAL!C330)</f>
        <v>0</v>
      </c>
      <c r="E191" s="1017">
        <f ca="1">IF(VISUAL!D330=0,0,+VISUAL!D319/VISUAL!D330)</f>
        <v>0</v>
      </c>
      <c r="F191" s="1017">
        <f ca="1">IF(VISUAL!E330=0,0,+VISUAL!E319/VISUAL!E330)</f>
        <v>13.81657086176565</v>
      </c>
    </row>
    <row r="192" spans="1:6" ht="8.1" customHeight="1">
      <c r="A192" s="1017" t="s">
        <v>474</v>
      </c>
      <c r="B192" s="1017" t="s">
        <v>545</v>
      </c>
      <c r="C192" s="1017">
        <f ca="1">+VISUAL!B330/VISUAL!B324</f>
        <v>0</v>
      </c>
      <c r="D192" s="1017">
        <f ca="1">+VISUAL!C330/VISUAL!C324</f>
        <v>0</v>
      </c>
      <c r="E192" s="1017">
        <f ca="1">+VISUAL!D330/VISUAL!D324</f>
        <v>0</v>
      </c>
      <c r="F192" s="1017">
        <f ca="1">+VISUAL!E330/VISUAL!E324</f>
        <v>6.6406350165245445E-2</v>
      </c>
    </row>
    <row r="193" spans="1:8" ht="8.1" customHeight="1">
      <c r="A193" s="1027" t="s">
        <v>476</v>
      </c>
      <c r="C193" s="1017" t="str">
        <f ca="1">CONCATENATE("EN EL AÑO ",C187)</f>
        <v>EN EL AÑO 2</v>
      </c>
    </row>
    <row r="194" spans="1:8" ht="8.1" customHeight="1">
      <c r="A194" s="1027" t="s">
        <v>544</v>
      </c>
    </row>
    <row r="195" spans="1:8" ht="8.1" customHeight="1">
      <c r="A195" s="1027" t="s">
        <v>478</v>
      </c>
    </row>
    <row r="196" spans="1:8" ht="8.1" customHeight="1">
      <c r="A196" s="1017" t="s">
        <v>477</v>
      </c>
    </row>
    <row r="197" spans="1:8" ht="8.1" customHeight="1">
      <c r="A197" s="1029" t="str">
        <f>UPPER(A190)</f>
        <v xml:space="preserve">EL BALANCE GENERAL PROYECTADO SE ANALIZA BASICAMENTE CON DOS INDICADORES, EL PRIMERO DE ELLOS ES LA RAZON DE LIQUIDEZ.  ESTE INDICADOR ES UNA BUENA MEDIDA DE LA CAPACIDAD DE PAGO DE LA EMPRESA EN EL CORTO PLAZO. ENTRE "MÁS LÍQUIDO" SEA EL ACTIVO CORRIENTE MÁS SIGNIFICATIVO ES SU RESULTADO. PARA SU ANÁLISIS DEBE TENERSE EN CUENTA LA CALIDAD Y EL CARÁCTER DE LOS ACTIVOS CORRIENTES, EN TÉRMINOS DE SU FACILIDAD DE CONVERSIÓN EN DINERO Y LAS FECHAS DE VENCIMIENTO DE LAS OBLIGACIONES EN EL PASIVO CORRIENTE. </v>
      </c>
      <c r="C197" s="1017">
        <v>1</v>
      </c>
      <c r="D197" s="1017" t="s">
        <v>481</v>
      </c>
      <c r="E197" s="1017" t="s">
        <v>486</v>
      </c>
      <c r="F197" s="1017">
        <v>0.6</v>
      </c>
    </row>
    <row r="198" spans="1:8" ht="8.1" customHeight="1">
      <c r="A198" s="1029" t="str">
        <f ca="1">UPPER(CONCATENATE(A191,DOLLAR(D191,2),A192))</f>
        <v xml:space="preserve">AL TERMINAR EL PRIMER AÑO, PARA EL PROYECTO SE CONCLUYE QUE POR CADA PESO DE PASIVO CORRIENTE QUE DEBE, LA EMPRESA TIENE $0,00 PESOS DE ACTIVO LÍQUIDO  CORRIENTE PARA CUBRIRLO.   SE CONSIDERA QUE UNA RAZÓN CORRIENTE IDEAL ES SUPERIOR A  2.5  A 1, ES DECIR, QUE POR CADA PESO QUE SE ADEUDA EN EL CORTO PLAZO SE TIENEN DOS Y MEDIO PESOS COMO RESPALDO. </v>
      </c>
      <c r="B198" s="1017">
        <f ca="1">IF(C192&gt;F197,1,IF(C192&gt;F198,2,IF(C192&gt;F199,3,IF(C192&gt;F200,3,IF(C192=F200,4,"")))))</f>
        <v>4</v>
      </c>
      <c r="C198" s="1017">
        <v>2</v>
      </c>
      <c r="D198" s="1017" t="s">
        <v>482</v>
      </c>
      <c r="E198" s="1017" t="s">
        <v>487</v>
      </c>
      <c r="F198" s="1017">
        <v>0.5</v>
      </c>
    </row>
    <row r="199" spans="1:8" ht="8.1" customHeight="1">
      <c r="A199" s="1029" t="str">
        <f>UPPER(A193)</f>
        <v xml:space="preserve">EL SEGUNDO INDICADOR  AYUDA A DETERMINAR LA CAPACIDAD QUE TIENE LA EMPRESA PARA CUBRIR SUS OBLIGACIONES CON TERCEROS A CORTO Y LARGO PLAZO. SE LE DENOMINA NIVEL DE ENDEUDAMIENTO. ES IMPORTANTE CONOCER LA DISCRIMINACIÓN DEL PASIVO TOTAL. UNA EMPRESA PUEDE TENER UN ENDEUDAMIENTO ALTO, PERO SI LA MAYOR PARTE DE ÉSTE ES A LARGO PLAZO ELLA NO  TENDRÁ LAS DIFICULTADES QUE HA DE SUPONER UN INDICADOR ALTO. </v>
      </c>
      <c r="C199" s="1017">
        <v>3</v>
      </c>
      <c r="D199" s="1017" t="s">
        <v>483</v>
      </c>
      <c r="E199" s="1017" t="s">
        <v>488</v>
      </c>
      <c r="F199" s="1017">
        <v>0.3</v>
      </c>
    </row>
    <row r="200" spans="1:8" ht="8.1" customHeight="1">
      <c r="A200" s="1029" t="str">
        <f ca="1">CONCATENATE(A203,VLOOKUP(B198,C197:E200,2,FALSE),VLOOKUP(B198,C197:E200,3,FALSE))</f>
        <v>EN EL MOMENTO DE ARRANQUE DE LA EMPRESA SE OBSERVA  QUE NO POSEE NIVEL DE ENDEUDAMIENTO LO CUAL SE CONSIDERA FAVORABLE PARA SU OPERACIÓN Y VIABILIDAD</v>
      </c>
      <c r="C200" s="1017">
        <v>4</v>
      </c>
      <c r="D200" s="1017" t="s">
        <v>480</v>
      </c>
      <c r="E200" s="1017" t="s">
        <v>487</v>
      </c>
      <c r="F200" s="1017">
        <v>0</v>
      </c>
    </row>
    <row r="201" spans="1:8" ht="8.1" customHeight="1">
      <c r="A201" s="1029" t="str">
        <f ca="1">UPPER(CONCATENATE("al terminar el primer año, ",A195,ROUND(D192*100,2),"% ",A196))</f>
        <v xml:space="preserve">AL TERMINAR EL PRIMER AÑO,  EL 0%  DE LOS ACTIVOS ESTÁN RESPALDADOS  CON RECURSOS DE LOS ACREEDORES, SE CONSIDERA QUE UN NIVEL DE ENDEUDAMIENTO DEL 60% ES MANEJABLE, UN ENDEUDAMIENTO MENOR MUESTRA UNA EMPRESA EN CAPACIDAD DE CONTRAER MÁS OBLIGACIONES, MIENTRAS QUE UN ENDEUDAMIENTO MAYOR MUESTRA UNA EMPRESA A LA QUE SE LE PUEDE DIFICULTAR LA CONSECUCIÓN DE MÁS FINANCIAMIENTO. </v>
      </c>
    </row>
    <row r="202" spans="1:8" ht="8.1" customHeight="1">
      <c r="A202" s="1029" t="str">
        <f>UPPER(A204)</f>
        <v xml:space="preserve">EN LAS GRAFICAS SE PUEDE VISUALIZAR LA EVOLUCION DE LOS DOS INDICADORES, LO IDEAL ES QUE LA RAZON CORRIENTE SUBA, Y EL NIVEL DE ENDEUDAMIENTO DISMINUYA. </v>
      </c>
    </row>
    <row r="203" spans="1:8" ht="8.1" customHeight="1">
      <c r="A203" s="1017" t="s">
        <v>479</v>
      </c>
    </row>
    <row r="204" spans="1:8" ht="8.1" customHeight="1">
      <c r="A204" s="1017" t="s">
        <v>489</v>
      </c>
    </row>
    <row r="205" spans="1:8" ht="8.1" customHeight="1">
      <c r="E205" s="1017">
        <v>1</v>
      </c>
      <c r="F205" s="1017" t="s">
        <v>491</v>
      </c>
    </row>
    <row r="206" spans="1:8" ht="8.1" customHeight="1">
      <c r="E206" s="1017">
        <v>2</v>
      </c>
      <c r="F206" s="1017" t="s">
        <v>490</v>
      </c>
    </row>
    <row r="207" spans="1:8" ht="8.1" customHeight="1">
      <c r="A207" s="1030" t="str">
        <f ca="1">IF($C$207=0,B207,CONCATENATE(B207,B208,VLOOKUP(D209,E207:F209,2,FALSE)))</f>
        <v>EL PROYECTO SE FINANCIA 100% CON RECURSOS PROPIOS</v>
      </c>
      <c r="B207" s="1017" t="str">
        <f ca="1">IF(C207=0,F205,F206)</f>
        <v>EL PROYECTO SE FINANCIA 100% CON RECURSOS PROPIOS</v>
      </c>
      <c r="C207" s="1031">
        <f ca="1">+VISUAL!B327</f>
        <v>0</v>
      </c>
      <c r="D207" s="1017" t="s">
        <v>496</v>
      </c>
      <c r="E207" s="1017">
        <v>3</v>
      </c>
      <c r="F207" s="1017" t="e">
        <f ca="1">IF($B$209=1," SE DESTINA EL 100% DE LOS RECURSOS EXTERNOS PARA ADQUISICION DE ACTIVOS FIJOS", "")</f>
        <v>#DIV/0!</v>
      </c>
      <c r="G207" s="1017" t="e">
        <f ca="1">IF($B$209=1,CONCATENATE(" A UNA TASA DEL ",ROUND(B211*100,2),"% ANUAL "),"")</f>
        <v>#DIV/0!</v>
      </c>
      <c r="H207" s="1017" t="e">
        <f ca="1">IF($B$209=1,CONCATENATE(" Y UN PLAZO DE ",C210," MESES"),"")</f>
        <v>#DIV/0!</v>
      </c>
    </row>
    <row r="208" spans="1:8" ht="8.1" customHeight="1">
      <c r="A208" s="1022"/>
      <c r="B208" s="1017" t="str">
        <f ca="1">IF(C207&gt;0,DOLLAR(C207,0),"")</f>
        <v/>
      </c>
      <c r="C208" s="1031">
        <f ca="1">+VISUAL!B346</f>
        <v>0</v>
      </c>
      <c r="D208" s="1017" t="s">
        <v>497</v>
      </c>
      <c r="E208" s="1017">
        <v>4</v>
      </c>
      <c r="F208" s="1017" t="e">
        <f ca="1">IF($B$210=1," SE DESTINA EL 100% DE LOS RECURSOS EXTERNOS PARA FINANCIAR EL CAPITAL DE TRABAJO", "")</f>
        <v>#DIV/0!</v>
      </c>
      <c r="G208" s="1017" t="e">
        <f ca="1">IF($B$210=1,CONCATENATE(" A UNA TASA DEL ",ROUND(B212*100,2),"% ANUAL ",""))</f>
        <v>#DIV/0!</v>
      </c>
      <c r="H208" s="1017" t="e">
        <f ca="1">IF($B$210=1,CONCATENATE(" Y UN PLAZO DE ",C212," MESES"),"")</f>
        <v>#DIV/0!</v>
      </c>
    </row>
    <row r="209" spans="1:10" ht="8.1" customHeight="1">
      <c r="A209" s="1022"/>
      <c r="B209" s="1017" t="e">
        <f ca="1">+C208/C207</f>
        <v>#DIV/0!</v>
      </c>
      <c r="C209" s="1031">
        <f>+VISUAL!C346</f>
        <v>0</v>
      </c>
      <c r="D209" s="1017" t="e">
        <f ca="1">IF(B209=1,3,IF(B210=1,4,5))</f>
        <v>#DIV/0!</v>
      </c>
      <c r="E209" s="1017">
        <v>5</v>
      </c>
      <c r="F209" s="1017" t="e">
        <f ca="1">CONCATENATE(F211,G211,H211,I211)</f>
        <v>#DIV/0!</v>
      </c>
      <c r="G209" s="1017" t="str">
        <f>CONCATENATE(F212,G212,H212,I212,J212)</f>
        <v>A TASAS DEL 0% Y DEL 0% RESPECTIVAMENTE</v>
      </c>
      <c r="H209" s="1017" t="str">
        <f>CONCATENATE(F213,G213,H213,I213,J213)</f>
        <v xml:space="preserve"> Y PLAZOS DE 0 MESES PARA ACTIVOS FIJOS Y 0 MESES PARA CAPITAL DE TRABAJO</v>
      </c>
    </row>
    <row r="210" spans="1:10" ht="8.1" customHeight="1">
      <c r="A210" s="1022"/>
      <c r="B210" s="1017" t="e">
        <f ca="1">+C209/C207</f>
        <v>#DIV/0!</v>
      </c>
      <c r="F210" s="1017" t="s">
        <v>495</v>
      </c>
    </row>
    <row r="211" spans="1:10" ht="8.1" customHeight="1">
      <c r="A211" s="1022" t="str">
        <f ca="1">IF($C$207=0,"",CONCATENATE(VLOOKUP(D209,E207:H209,3,FALSE),VLOOKUP(D209,E207:H209,4,FALSE)))</f>
        <v/>
      </c>
      <c r="B211" s="1017">
        <f>+VISUAL!B349</f>
        <v>0</v>
      </c>
      <c r="C211" s="1017">
        <f>+VISUAL!B347</f>
        <v>0</v>
      </c>
      <c r="F211" s="1017" t="s">
        <v>498</v>
      </c>
      <c r="G211" s="1017" t="e">
        <f ca="1">CONCATENATE(+ROUND(B209*100,2),"%")</f>
        <v>#DIV/0!</v>
      </c>
      <c r="H211" s="1017" t="s">
        <v>499</v>
      </c>
      <c r="I211" s="1017" t="e">
        <f ca="1">CONCATENATE(+ROUND(B210*100,2),"%")</f>
        <v>#DIV/0!</v>
      </c>
    </row>
    <row r="212" spans="1:10" ht="8.1" customHeight="1">
      <c r="A212" s="1022"/>
      <c r="B212" s="1017">
        <f>+VISUAL!C349</f>
        <v>0</v>
      </c>
      <c r="C212" s="1017">
        <f>+VISUAL!C347</f>
        <v>0</v>
      </c>
      <c r="F212" s="1017" t="s">
        <v>501</v>
      </c>
      <c r="G212" s="1017" t="str">
        <f>CONCATENATE(+ROUND(B211*100,2),"%")</f>
        <v>0%</v>
      </c>
      <c r="H212" s="1017" t="s">
        <v>503</v>
      </c>
      <c r="I212" s="1017" t="str">
        <f>CONCATENATE(+ROUND(B212*100,2),"%")</f>
        <v>0%</v>
      </c>
      <c r="J212" s="1017" t="s">
        <v>502</v>
      </c>
    </row>
    <row r="213" spans="1:10" ht="8.1" customHeight="1">
      <c r="A213" s="1022"/>
      <c r="F213" s="1017" t="s">
        <v>505</v>
      </c>
      <c r="G213" s="1017" t="str">
        <f>CONCATENATE(C211," MESES")</f>
        <v>0 MESES</v>
      </c>
      <c r="H213" s="1017" t="s">
        <v>506</v>
      </c>
      <c r="I213" s="1017" t="str">
        <f>CONCATENATE(C212," MESES")</f>
        <v>0 MESES</v>
      </c>
      <c r="J213" s="1017" t="s">
        <v>504</v>
      </c>
    </row>
    <row r="214" spans="1:10" ht="8.1" customHeight="1">
      <c r="A214" s="1022"/>
    </row>
    <row r="219" spans="1:10" ht="8.1" customHeight="1">
      <c r="C219" s="1031" t="s">
        <v>492</v>
      </c>
    </row>
    <row r="220" spans="1:10" ht="8.1" customHeight="1">
      <c r="C220" s="1031" t="s">
        <v>493</v>
      </c>
    </row>
    <row r="221" spans="1:10" ht="8.1" customHeight="1">
      <c r="C221" s="1031" t="s">
        <v>494</v>
      </c>
    </row>
  </sheetData>
  <sheetProtection password="902B" sheet="1" objects="1" scenarios="1"/>
  <mergeCells count="11">
    <mergeCell ref="A126:A131"/>
    <mergeCell ref="A10:A12"/>
    <mergeCell ref="A20:A22"/>
    <mergeCell ref="A29:A31"/>
    <mergeCell ref="A38:A40"/>
    <mergeCell ref="A132:A137"/>
    <mergeCell ref="A48:A51"/>
    <mergeCell ref="A66:A69"/>
    <mergeCell ref="A78:A81"/>
    <mergeCell ref="A99:A105"/>
    <mergeCell ref="A115:A120"/>
  </mergeCells>
  <phoneticPr fontId="62" type="noConversion"/>
  <pageMargins left="0.75" right="0.75" top="1" bottom="1" header="0" footer="0"/>
  <pageSetup paperSize="9"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T510"/>
  <sheetViews>
    <sheetView showGridLines="0" showZeros="0" zoomScale="70" workbookViewId="0">
      <pane ySplit="6" topLeftCell="A90" activePane="bottomLeft" state="frozen"/>
      <selection pane="bottomLeft" activeCell="A7" sqref="A7"/>
    </sheetView>
  </sheetViews>
  <sheetFormatPr baseColWidth="10" defaultColWidth="12.42578125" defaultRowHeight="15" zeroHeight="1"/>
  <cols>
    <col min="1" max="1" width="48.7109375" style="2" customWidth="1"/>
    <col min="2" max="2" width="17.42578125" style="2" customWidth="1"/>
    <col min="3" max="3" width="17.85546875" style="2" customWidth="1"/>
    <col min="4" max="4" width="15.85546875" style="2" customWidth="1"/>
    <col min="5" max="5" width="14.28515625" style="2" customWidth="1"/>
    <col min="6" max="6" width="16.5703125" style="2" customWidth="1"/>
    <col min="7" max="7" width="14.7109375" style="2" customWidth="1"/>
    <col min="8" max="8" width="16.7109375" style="2" customWidth="1"/>
    <col min="9" max="9" width="26" style="2" customWidth="1"/>
    <col min="10" max="10" width="21.7109375" style="2" customWidth="1"/>
    <col min="11" max="11" width="12.140625" style="2" customWidth="1"/>
    <col min="12" max="12" width="13.7109375" style="2" customWidth="1"/>
    <col min="13" max="13" width="12" style="2" customWidth="1"/>
    <col min="14" max="15" width="12.42578125" style="2"/>
    <col min="16" max="16" width="15.28515625" style="2" customWidth="1"/>
    <col min="17" max="21" width="12.42578125" style="2"/>
    <col min="22" max="30" width="12.42578125" style="2" customWidth="1"/>
    <col min="31" max="32" width="12.85546875" style="2" customWidth="1"/>
    <col min="33" max="16384" width="12.42578125" style="2"/>
  </cols>
  <sheetData>
    <row r="1" spans="1:46" ht="35.25" customHeight="1">
      <c r="A1" s="189"/>
      <c r="B1" s="1055" t="s">
        <v>9</v>
      </c>
      <c r="C1" s="1055"/>
      <c r="D1" s="1055"/>
      <c r="E1" s="1055"/>
      <c r="F1" s="1055"/>
      <c r="G1" s="1055"/>
      <c r="H1" s="1055"/>
      <c r="I1" s="1055"/>
      <c r="J1" s="194"/>
      <c r="K1" s="194"/>
      <c r="L1" s="194"/>
      <c r="M1" s="194"/>
      <c r="N1" s="194"/>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c r="AQ1" s="195"/>
      <c r="AR1" s="195"/>
      <c r="AS1" s="195"/>
      <c r="AT1" s="195"/>
    </row>
    <row r="2" spans="1:46" ht="36.75" customHeight="1">
      <c r="A2" s="192" t="s">
        <v>570</v>
      </c>
      <c r="B2" s="191"/>
      <c r="C2" s="191"/>
      <c r="D2" s="1054"/>
      <c r="E2" s="1054"/>
      <c r="F2" s="191"/>
      <c r="G2" s="191"/>
      <c r="H2" s="194"/>
      <c r="I2" s="194"/>
      <c r="J2" s="194"/>
      <c r="K2" s="194"/>
      <c r="L2" s="194"/>
      <c r="M2" s="194"/>
      <c r="N2" s="194"/>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c r="AR2" s="195"/>
      <c r="AS2" s="195"/>
      <c r="AT2" s="195"/>
    </row>
    <row r="3" spans="1:46" ht="6" customHeight="1">
      <c r="A3" s="193"/>
      <c r="B3" s="193"/>
      <c r="C3" s="193"/>
      <c r="D3" s="193"/>
      <c r="E3" s="193"/>
      <c r="F3" s="193"/>
      <c r="G3" s="194"/>
      <c r="H3" s="194"/>
      <c r="I3" s="194"/>
      <c r="J3" s="194"/>
      <c r="K3" s="194"/>
      <c r="L3" s="194"/>
      <c r="M3" s="194"/>
      <c r="N3" s="194"/>
      <c r="O3" s="195"/>
      <c r="P3" s="195"/>
      <c r="Q3" s="195"/>
      <c r="R3" s="195"/>
      <c r="S3" s="195"/>
      <c r="T3" s="195"/>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row>
    <row r="4" spans="1:46" ht="15.75">
      <c r="A4" s="4" t="s">
        <v>571</v>
      </c>
      <c r="B4" s="330" t="str">
        <f>+'datos de entrada'!B4</f>
        <v>TUBE TEES</v>
      </c>
      <c r="C4" s="331"/>
      <c r="D4" s="331"/>
      <c r="E4" s="331"/>
      <c r="F4" s="332"/>
      <c r="G4" s="194"/>
      <c r="H4" s="194"/>
      <c r="I4" s="194"/>
      <c r="J4" s="194"/>
      <c r="K4" s="194"/>
      <c r="L4" s="194"/>
      <c r="M4" s="194"/>
      <c r="N4" s="194"/>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row>
    <row r="5" spans="1:46" ht="15.75">
      <c r="A5" s="4" t="s">
        <v>572</v>
      </c>
      <c r="B5" s="330" t="str">
        <f>+'datos de entrada'!B5</f>
        <v xml:space="preserve">JORGE FLOREZ / LIZETH PAJARO / </v>
      </c>
      <c r="C5" s="176"/>
      <c r="D5" s="176"/>
      <c r="E5" s="176"/>
      <c r="F5" s="177"/>
      <c r="G5" s="194"/>
      <c r="H5" s="194"/>
      <c r="I5" s="194"/>
      <c r="J5" s="194"/>
      <c r="K5" s="194"/>
      <c r="L5" s="194"/>
      <c r="M5" s="194"/>
      <c r="N5" s="194"/>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row>
    <row r="6" spans="1:46" ht="16.5" thickBot="1">
      <c r="A6" s="380"/>
      <c r="B6" s="490"/>
      <c r="C6" s="491"/>
      <c r="D6" s="491"/>
      <c r="E6" s="491"/>
      <c r="F6" s="491"/>
      <c r="G6" s="194"/>
      <c r="H6" s="194"/>
      <c r="I6" s="194"/>
      <c r="J6" s="194"/>
      <c r="K6" s="194"/>
      <c r="L6" s="194"/>
      <c r="M6" s="194"/>
      <c r="N6" s="194"/>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c r="AT6" s="195"/>
    </row>
    <row r="7" spans="1:46" ht="18.75" thickBot="1">
      <c r="A7" s="492" t="s">
        <v>15</v>
      </c>
      <c r="B7" s="1060" t="str">
        <f>+'datos de entrada'!A6</f>
        <v>COMERCIALIZACION</v>
      </c>
      <c r="C7" s="1061"/>
      <c r="D7" s="1062"/>
      <c r="E7" s="198"/>
      <c r="F7" s="198"/>
      <c r="G7" s="195"/>
      <c r="H7" s="195"/>
      <c r="I7" s="195"/>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c r="AT7" s="195"/>
    </row>
    <row r="8" spans="1:46" ht="18.75" thickBot="1">
      <c r="A8" s="345" t="s">
        <v>573</v>
      </c>
      <c r="B8" s="354">
        <f>+'datos de entrada'!B7</f>
        <v>1</v>
      </c>
      <c r="C8" s="355">
        <v>3</v>
      </c>
      <c r="D8" s="289"/>
      <c r="E8" s="289"/>
      <c r="F8" s="289"/>
      <c r="G8" s="289"/>
      <c r="H8" s="289"/>
      <c r="I8" s="195"/>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c r="AT8" s="195"/>
    </row>
    <row r="9" spans="1:46" ht="16.5">
      <c r="A9" s="347" t="s">
        <v>574</v>
      </c>
      <c r="B9" s="348"/>
      <c r="C9" s="348"/>
      <c r="D9" s="348"/>
      <c r="E9" s="348"/>
      <c r="F9" s="348"/>
      <c r="G9" s="349"/>
      <c r="H9" s="350"/>
      <c r="I9" s="194"/>
      <c r="J9" s="194"/>
      <c r="K9" s="195"/>
      <c r="L9" s="195"/>
      <c r="M9" s="195"/>
      <c r="N9" s="195"/>
      <c r="O9" s="195"/>
      <c r="P9" s="195"/>
      <c r="Q9" s="195"/>
      <c r="R9" s="195"/>
      <c r="S9" s="195"/>
      <c r="T9" s="195"/>
      <c r="U9" s="195"/>
      <c r="V9" s="195"/>
      <c r="W9" s="195"/>
      <c r="X9" s="195"/>
      <c r="Y9" s="195"/>
      <c r="Z9" s="195"/>
      <c r="AA9" s="195"/>
      <c r="AB9" s="195"/>
      <c r="AC9" s="195"/>
      <c r="AD9" s="195"/>
      <c r="AE9" s="195"/>
      <c r="AF9" s="195"/>
      <c r="AG9" s="195"/>
      <c r="AH9" s="195"/>
      <c r="AI9" s="195"/>
      <c r="AJ9" s="195"/>
      <c r="AK9" s="195"/>
      <c r="AL9" s="195"/>
      <c r="AM9" s="195"/>
      <c r="AN9" s="195"/>
      <c r="AO9" s="195"/>
      <c r="AP9" s="195"/>
      <c r="AQ9" s="195"/>
      <c r="AR9" s="195"/>
      <c r="AS9" s="195"/>
      <c r="AT9" s="195"/>
    </row>
    <row r="10" spans="1:46">
      <c r="A10" s="351"/>
      <c r="B10" s="352"/>
      <c r="C10" s="352"/>
      <c r="D10" s="352"/>
      <c r="E10" s="352"/>
      <c r="F10" s="352"/>
      <c r="G10" s="352"/>
      <c r="H10" s="353"/>
      <c r="I10" s="197"/>
      <c r="J10" s="197"/>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row>
    <row r="11" spans="1:46">
      <c r="A11" s="1092" t="s">
        <v>575</v>
      </c>
      <c r="B11" s="1075" t="s">
        <v>576</v>
      </c>
      <c r="C11" s="1107" t="s">
        <v>577</v>
      </c>
      <c r="D11" s="1108"/>
      <c r="E11" s="1108"/>
      <c r="F11" s="1108"/>
      <c r="G11" s="1108"/>
      <c r="H11" s="1109"/>
      <c r="I11" s="210"/>
      <c r="J11" s="211" t="s">
        <v>578</v>
      </c>
      <c r="K11" s="198"/>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c r="AT11" s="195"/>
    </row>
    <row r="12" spans="1:46">
      <c r="A12" s="1093"/>
      <c r="B12" s="1095"/>
      <c r="C12" s="1110"/>
      <c r="D12" s="1103"/>
      <c r="E12" s="1103"/>
      <c r="F12" s="1103"/>
      <c r="G12" s="1103"/>
      <c r="H12" s="1104"/>
      <c r="I12" s="210"/>
      <c r="J12" s="211" t="s">
        <v>579</v>
      </c>
      <c r="K12" s="198"/>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row>
    <row r="13" spans="1:46">
      <c r="A13" s="1093"/>
      <c r="B13" s="1095"/>
      <c r="C13" s="1075" t="s">
        <v>580</v>
      </c>
      <c r="D13" s="1079" t="s">
        <v>581</v>
      </c>
      <c r="E13" s="1075" t="s">
        <v>582</v>
      </c>
      <c r="F13" s="1079" t="s">
        <v>583</v>
      </c>
      <c r="G13" s="1075" t="s">
        <v>584</v>
      </c>
      <c r="H13" s="1077" t="s">
        <v>585</v>
      </c>
      <c r="I13" s="210"/>
      <c r="J13" s="211" t="s">
        <v>586</v>
      </c>
      <c r="K13" s="198"/>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195"/>
      <c r="AM13" s="195"/>
      <c r="AN13" s="195"/>
      <c r="AO13" s="195"/>
      <c r="AP13" s="195"/>
      <c r="AQ13" s="195"/>
      <c r="AR13" s="195"/>
      <c r="AS13" s="195"/>
      <c r="AT13" s="195"/>
    </row>
    <row r="14" spans="1:46">
      <c r="A14" s="1094"/>
      <c r="B14" s="1076"/>
      <c r="C14" s="1076"/>
      <c r="D14" s="1080"/>
      <c r="E14" s="1076"/>
      <c r="F14" s="1080"/>
      <c r="G14" s="1076"/>
      <c r="H14" s="1078"/>
      <c r="I14" s="212"/>
      <c r="J14" s="212"/>
      <c r="K14" s="198"/>
      <c r="L14" s="195"/>
      <c r="M14" s="195"/>
      <c r="N14" s="195"/>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row>
    <row r="15" spans="1:46">
      <c r="A15" s="343" t="str">
        <f>+'datos de entrada'!A14</f>
        <v>CAMISETAS</v>
      </c>
      <c r="B15" s="807">
        <f>+'datos de entrada'!B14</f>
        <v>27000</v>
      </c>
      <c r="C15" s="990">
        <f>+'datos de entrada'!C14</f>
        <v>0.1</v>
      </c>
      <c r="D15" s="990">
        <f>+'datos de entrada'!D14</f>
        <v>0</v>
      </c>
      <c r="E15" s="990">
        <f>+'datos de entrada'!E14</f>
        <v>0</v>
      </c>
      <c r="F15" s="990">
        <f>+'datos de entrada'!F14</f>
        <v>0.8</v>
      </c>
      <c r="G15" s="990">
        <f>+'datos de entrada'!G14</f>
        <v>0.1</v>
      </c>
      <c r="H15" s="813">
        <f>+'datos de entrada'!H14</f>
        <v>0</v>
      </c>
      <c r="I15" s="213">
        <f t="shared" ref="I15:I26" si="0">SUM(C15:H15)</f>
        <v>1</v>
      </c>
      <c r="J15" s="210">
        <f t="shared" ref="J15:J26" si="1">+B15</f>
        <v>27000</v>
      </c>
      <c r="K15" s="198"/>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row>
    <row r="16" spans="1:46">
      <c r="A16" s="343" t="str">
        <f>+'datos de entrada'!A15</f>
        <v/>
      </c>
      <c r="B16" s="807">
        <f>+'datos de entrada'!B15</f>
        <v>0</v>
      </c>
      <c r="C16" s="990">
        <f>+'datos de entrada'!C15</f>
        <v>0</v>
      </c>
      <c r="D16" s="990">
        <f>+'datos de entrada'!D15</f>
        <v>0</v>
      </c>
      <c r="E16" s="990">
        <f>+'datos de entrada'!E15</f>
        <v>0</v>
      </c>
      <c r="F16" s="990">
        <f>+'datos de entrada'!F15</f>
        <v>0</v>
      </c>
      <c r="G16" s="990">
        <f>+'datos de entrada'!G15</f>
        <v>0</v>
      </c>
      <c r="H16" s="813">
        <f>+'datos de entrada'!H15</f>
        <v>0</v>
      </c>
      <c r="I16" s="213">
        <f t="shared" si="0"/>
        <v>0</v>
      </c>
      <c r="J16" s="210">
        <f t="shared" si="1"/>
        <v>0</v>
      </c>
      <c r="K16" s="198"/>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c r="AT16" s="195"/>
    </row>
    <row r="17" spans="1:46">
      <c r="A17" s="343" t="str">
        <f>+'datos de entrada'!A16</f>
        <v/>
      </c>
      <c r="B17" s="807">
        <f>+'datos de entrada'!B16</f>
        <v>0</v>
      </c>
      <c r="C17" s="990">
        <f>+'datos de entrada'!C16</f>
        <v>0</v>
      </c>
      <c r="D17" s="990">
        <f>+'datos de entrada'!D16</f>
        <v>0</v>
      </c>
      <c r="E17" s="990">
        <f>+'datos de entrada'!E16</f>
        <v>0</v>
      </c>
      <c r="F17" s="990">
        <f>+'datos de entrada'!F16</f>
        <v>0</v>
      </c>
      <c r="G17" s="990">
        <f>+'datos de entrada'!G16</f>
        <v>0</v>
      </c>
      <c r="H17" s="813">
        <f>+'datos de entrada'!H16</f>
        <v>0</v>
      </c>
      <c r="I17" s="213">
        <f t="shared" si="0"/>
        <v>0</v>
      </c>
      <c r="J17" s="210">
        <f t="shared" si="1"/>
        <v>0</v>
      </c>
      <c r="K17" s="198"/>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195"/>
    </row>
    <row r="18" spans="1:46">
      <c r="A18" s="343" t="str">
        <f>+'datos de entrada'!A17</f>
        <v/>
      </c>
      <c r="B18" s="807">
        <f>+'datos de entrada'!B17</f>
        <v>0</v>
      </c>
      <c r="C18" s="990">
        <f>+'datos de entrada'!C17</f>
        <v>0</v>
      </c>
      <c r="D18" s="990">
        <f>+'datos de entrada'!D17</f>
        <v>0</v>
      </c>
      <c r="E18" s="990">
        <f>+'datos de entrada'!E17</f>
        <v>0</v>
      </c>
      <c r="F18" s="990">
        <f>+'datos de entrada'!F17</f>
        <v>0</v>
      </c>
      <c r="G18" s="990">
        <f>+'datos de entrada'!G17</f>
        <v>0</v>
      </c>
      <c r="H18" s="813">
        <f>+'datos de entrada'!H17</f>
        <v>0</v>
      </c>
      <c r="I18" s="213">
        <f t="shared" si="0"/>
        <v>0</v>
      </c>
      <c r="J18" s="210">
        <f t="shared" si="1"/>
        <v>0</v>
      </c>
      <c r="K18" s="198"/>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c r="AT18" s="195"/>
    </row>
    <row r="19" spans="1:46">
      <c r="A19" s="343" t="str">
        <f>+'datos de entrada'!A18</f>
        <v/>
      </c>
      <c r="B19" s="807">
        <f>+'datos de entrada'!B18</f>
        <v>0</v>
      </c>
      <c r="C19" s="990">
        <f>+'datos de entrada'!C18</f>
        <v>0</v>
      </c>
      <c r="D19" s="990">
        <f>+'datos de entrada'!D18</f>
        <v>0</v>
      </c>
      <c r="E19" s="990">
        <f>+'datos de entrada'!E18</f>
        <v>0</v>
      </c>
      <c r="F19" s="990">
        <f>+'datos de entrada'!F18</f>
        <v>0</v>
      </c>
      <c r="G19" s="990">
        <f>+'datos de entrada'!G18</f>
        <v>0</v>
      </c>
      <c r="H19" s="813">
        <f>+'datos de entrada'!H18</f>
        <v>0</v>
      </c>
      <c r="I19" s="213">
        <f t="shared" si="0"/>
        <v>0</v>
      </c>
      <c r="J19" s="210">
        <f t="shared" si="1"/>
        <v>0</v>
      </c>
      <c r="K19" s="198"/>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c r="AT19" s="195"/>
    </row>
    <row r="20" spans="1:46">
      <c r="A20" s="343" t="str">
        <f>+'datos de entrada'!A19</f>
        <v/>
      </c>
      <c r="B20" s="807">
        <f>+'datos de entrada'!B19</f>
        <v>0</v>
      </c>
      <c r="C20" s="990">
        <f>+'datos de entrada'!C19</f>
        <v>0</v>
      </c>
      <c r="D20" s="990">
        <f>+'datos de entrada'!D19</f>
        <v>0</v>
      </c>
      <c r="E20" s="990">
        <f>+'datos de entrada'!E19</f>
        <v>0</v>
      </c>
      <c r="F20" s="990">
        <f>+'datos de entrada'!F19</f>
        <v>0</v>
      </c>
      <c r="G20" s="990">
        <f>+'datos de entrada'!G19</f>
        <v>0</v>
      </c>
      <c r="H20" s="813">
        <f>+'datos de entrada'!H19</f>
        <v>0</v>
      </c>
      <c r="I20" s="213">
        <f t="shared" si="0"/>
        <v>0</v>
      </c>
      <c r="J20" s="210">
        <f t="shared" si="1"/>
        <v>0</v>
      </c>
      <c r="K20" s="198"/>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c r="AT20" s="195"/>
    </row>
    <row r="21" spans="1:46">
      <c r="A21" s="343" t="str">
        <f>+'datos de entrada'!A20</f>
        <v/>
      </c>
      <c r="B21" s="807">
        <f>+'datos de entrada'!B20</f>
        <v>0</v>
      </c>
      <c r="C21" s="990">
        <f>+'datos de entrada'!C20</f>
        <v>0</v>
      </c>
      <c r="D21" s="990">
        <f>+'datos de entrada'!D20</f>
        <v>0</v>
      </c>
      <c r="E21" s="990">
        <f>+'datos de entrada'!E20</f>
        <v>0</v>
      </c>
      <c r="F21" s="990">
        <f>+'datos de entrada'!F20</f>
        <v>0</v>
      </c>
      <c r="G21" s="990">
        <f>+'datos de entrada'!G20</f>
        <v>0</v>
      </c>
      <c r="H21" s="813">
        <f>+'datos de entrada'!H20</f>
        <v>0</v>
      </c>
      <c r="I21" s="213">
        <f t="shared" si="0"/>
        <v>0</v>
      </c>
      <c r="J21" s="210">
        <f t="shared" si="1"/>
        <v>0</v>
      </c>
      <c r="K21" s="198"/>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c r="AT21" s="195"/>
    </row>
    <row r="22" spans="1:46">
      <c r="A22" s="343" t="str">
        <f>+'datos de entrada'!A21</f>
        <v/>
      </c>
      <c r="B22" s="807">
        <f>+'datos de entrada'!B21</f>
        <v>0</v>
      </c>
      <c r="C22" s="990">
        <f>+'datos de entrada'!C21</f>
        <v>0</v>
      </c>
      <c r="D22" s="990">
        <f>+'datos de entrada'!D21</f>
        <v>0</v>
      </c>
      <c r="E22" s="990">
        <f>+'datos de entrada'!E21</f>
        <v>0</v>
      </c>
      <c r="F22" s="990">
        <f>+'datos de entrada'!F21</f>
        <v>0</v>
      </c>
      <c r="G22" s="990">
        <f>+'datos de entrada'!G21</f>
        <v>0</v>
      </c>
      <c r="H22" s="813">
        <f>+'datos de entrada'!H21</f>
        <v>0</v>
      </c>
      <c r="I22" s="213">
        <f t="shared" si="0"/>
        <v>0</v>
      </c>
      <c r="J22" s="210">
        <f t="shared" si="1"/>
        <v>0</v>
      </c>
      <c r="K22" s="198"/>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c r="AT22" s="195"/>
    </row>
    <row r="23" spans="1:46">
      <c r="A23" s="343" t="str">
        <f>+'datos de entrada'!A22</f>
        <v/>
      </c>
      <c r="B23" s="807">
        <f>+'datos de entrada'!B22</f>
        <v>0</v>
      </c>
      <c r="C23" s="990">
        <f>+'datos de entrada'!C22</f>
        <v>0</v>
      </c>
      <c r="D23" s="990">
        <f>+'datos de entrada'!D22</f>
        <v>0</v>
      </c>
      <c r="E23" s="990">
        <f>+'datos de entrada'!E22</f>
        <v>0</v>
      </c>
      <c r="F23" s="990">
        <f>+'datos de entrada'!F22</f>
        <v>0</v>
      </c>
      <c r="G23" s="990">
        <f>+'datos de entrada'!G22</f>
        <v>0</v>
      </c>
      <c r="H23" s="813">
        <f>+'datos de entrada'!H22</f>
        <v>0</v>
      </c>
      <c r="I23" s="213">
        <f t="shared" si="0"/>
        <v>0</v>
      </c>
      <c r="J23" s="210">
        <f t="shared" si="1"/>
        <v>0</v>
      </c>
      <c r="K23" s="198"/>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row>
    <row r="24" spans="1:46">
      <c r="A24" s="343" t="str">
        <f>+'datos de entrada'!A23</f>
        <v/>
      </c>
      <c r="B24" s="807">
        <f>+'datos de entrada'!B23</f>
        <v>0</v>
      </c>
      <c r="C24" s="990">
        <f>+'datos de entrada'!C23</f>
        <v>0</v>
      </c>
      <c r="D24" s="990">
        <f>+'datos de entrada'!D23</f>
        <v>0</v>
      </c>
      <c r="E24" s="990">
        <f>+'datos de entrada'!E23</f>
        <v>0</v>
      </c>
      <c r="F24" s="990">
        <f>+'datos de entrada'!F23</f>
        <v>0</v>
      </c>
      <c r="G24" s="990">
        <f>+'datos de entrada'!G23</f>
        <v>0</v>
      </c>
      <c r="H24" s="813">
        <f>+'datos de entrada'!H23</f>
        <v>0</v>
      </c>
      <c r="I24" s="213">
        <f t="shared" si="0"/>
        <v>0</v>
      </c>
      <c r="J24" s="210">
        <f t="shared" si="1"/>
        <v>0</v>
      </c>
      <c r="K24" s="198"/>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row>
    <row r="25" spans="1:46">
      <c r="A25" s="343" t="str">
        <f>+'datos de entrada'!A24</f>
        <v/>
      </c>
      <c r="B25" s="807">
        <f>+'datos de entrada'!B24</f>
        <v>0</v>
      </c>
      <c r="C25" s="990">
        <f>+'datos de entrada'!C24</f>
        <v>0</v>
      </c>
      <c r="D25" s="990">
        <f>+'datos de entrada'!D24</f>
        <v>0</v>
      </c>
      <c r="E25" s="990">
        <f>+'datos de entrada'!E24</f>
        <v>0</v>
      </c>
      <c r="F25" s="990">
        <f>+'datos de entrada'!F24</f>
        <v>0</v>
      </c>
      <c r="G25" s="990">
        <f>+'datos de entrada'!G24</f>
        <v>0</v>
      </c>
      <c r="H25" s="813">
        <f>+'datos de entrada'!H24</f>
        <v>0</v>
      </c>
      <c r="I25" s="213">
        <f t="shared" si="0"/>
        <v>0</v>
      </c>
      <c r="J25" s="210">
        <f t="shared" si="1"/>
        <v>0</v>
      </c>
      <c r="K25" s="198"/>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row>
    <row r="26" spans="1:46" ht="15.75" thickBot="1">
      <c r="A26" s="344" t="str">
        <f>+'datos de entrada'!A25</f>
        <v/>
      </c>
      <c r="B26" s="808">
        <f>+'datos de entrada'!B25</f>
        <v>0</v>
      </c>
      <c r="C26" s="991">
        <f>+'datos de entrada'!C25</f>
        <v>0</v>
      </c>
      <c r="D26" s="991">
        <f>+'datos de entrada'!D25</f>
        <v>0</v>
      </c>
      <c r="E26" s="991">
        <f>+'datos de entrada'!E25</f>
        <v>0</v>
      </c>
      <c r="F26" s="991">
        <f>+'datos de entrada'!F25</f>
        <v>0</v>
      </c>
      <c r="G26" s="991">
        <f>+'datos de entrada'!G25</f>
        <v>0</v>
      </c>
      <c r="H26" s="814">
        <f>+'datos de entrada'!H25</f>
        <v>0</v>
      </c>
      <c r="I26" s="213">
        <f t="shared" si="0"/>
        <v>0</v>
      </c>
      <c r="J26" s="210">
        <f t="shared" si="1"/>
        <v>0</v>
      </c>
      <c r="K26" s="198"/>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row>
    <row r="27" spans="1:46" ht="15.75" thickBot="1">
      <c r="A27" s="203"/>
      <c r="B27" s="203"/>
      <c r="C27" s="204"/>
      <c r="D27" s="204"/>
      <c r="E27" s="204"/>
      <c r="F27" s="204"/>
      <c r="G27" s="204"/>
      <c r="H27" s="204"/>
      <c r="I27" s="202"/>
      <c r="J27" s="201"/>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row>
    <row r="28" spans="1:46" ht="17.25" customHeight="1">
      <c r="A28" s="1088" t="s">
        <v>592</v>
      </c>
      <c r="B28" s="1089"/>
      <c r="C28" s="204"/>
      <c r="D28" s="204"/>
      <c r="E28" s="204"/>
      <c r="F28" s="204"/>
      <c r="G28" s="204"/>
      <c r="H28" s="204"/>
      <c r="I28" s="202"/>
      <c r="J28" s="201"/>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row>
    <row r="29" spans="1:46" ht="18" customHeight="1">
      <c r="A29" s="1090"/>
      <c r="B29" s="1091"/>
      <c r="C29" s="204"/>
      <c r="D29" s="204"/>
      <c r="E29" s="204"/>
      <c r="F29" s="204"/>
      <c r="G29" s="204"/>
      <c r="H29" s="204"/>
      <c r="I29" s="202"/>
      <c r="J29" s="201"/>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row>
    <row r="30" spans="1:46" ht="15" customHeight="1">
      <c r="A30" s="1069" t="s">
        <v>575</v>
      </c>
      <c r="B30" s="1070" t="s">
        <v>593</v>
      </c>
      <c r="C30" s="195"/>
      <c r="D30" s="195"/>
      <c r="E30" s="195"/>
      <c r="F30" s="195"/>
      <c r="G30" s="202"/>
      <c r="H30" s="201"/>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row>
    <row r="31" spans="1:46" ht="15" customHeight="1">
      <c r="A31" s="1069"/>
      <c r="B31" s="1071"/>
      <c r="C31" s="195"/>
      <c r="D31" s="195"/>
      <c r="E31" s="195"/>
      <c r="F31" s="195"/>
      <c r="G31" s="202"/>
      <c r="H31" s="201"/>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row>
    <row r="32" spans="1:46">
      <c r="A32" s="343" t="str">
        <f>+'datos de entrada'!A31</f>
        <v>CAMISETAS</v>
      </c>
      <c r="B32" s="813">
        <f>+'datos de entrada'!B31</f>
        <v>0</v>
      </c>
      <c r="C32" s="195"/>
      <c r="D32" s="195"/>
      <c r="E32" s="195"/>
      <c r="F32" s="195"/>
      <c r="G32" s="202"/>
      <c r="H32" s="201"/>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row>
    <row r="33" spans="1:46">
      <c r="A33" s="343" t="str">
        <f>+'datos de entrada'!A32</f>
        <v/>
      </c>
      <c r="B33" s="813">
        <f>+'datos de entrada'!B32</f>
        <v>0</v>
      </c>
      <c r="C33" s="195"/>
      <c r="D33" s="195"/>
      <c r="E33" s="195"/>
      <c r="F33" s="195"/>
      <c r="G33" s="202"/>
      <c r="H33" s="201"/>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row>
    <row r="34" spans="1:46">
      <c r="A34" s="343" t="str">
        <f>+'datos de entrada'!A33</f>
        <v/>
      </c>
      <c r="B34" s="813">
        <f>+'datos de entrada'!B33</f>
        <v>0</v>
      </c>
      <c r="C34" s="195"/>
      <c r="D34" s="195"/>
      <c r="E34" s="195"/>
      <c r="F34" s="195"/>
      <c r="G34" s="202"/>
      <c r="H34" s="201"/>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row>
    <row r="35" spans="1:46">
      <c r="A35" s="343" t="str">
        <f>+'datos de entrada'!A34</f>
        <v/>
      </c>
      <c r="B35" s="813">
        <f>+'datos de entrada'!B34</f>
        <v>0</v>
      </c>
      <c r="C35" s="195"/>
      <c r="D35" s="195"/>
      <c r="E35" s="195"/>
      <c r="F35" s="195"/>
      <c r="G35" s="202"/>
      <c r="H35" s="201"/>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row>
    <row r="36" spans="1:46">
      <c r="A36" s="343" t="str">
        <f>+'datos de entrada'!A35</f>
        <v/>
      </c>
      <c r="B36" s="813">
        <f>+'datos de entrada'!B35</f>
        <v>0</v>
      </c>
      <c r="C36" s="195"/>
      <c r="D36" s="195"/>
      <c r="E36" s="195"/>
      <c r="F36" s="195"/>
      <c r="G36" s="202"/>
      <c r="H36" s="201"/>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row>
    <row r="37" spans="1:46">
      <c r="A37" s="343" t="str">
        <f>+'datos de entrada'!A36</f>
        <v/>
      </c>
      <c r="B37" s="813">
        <f>+'datos de entrada'!B36</f>
        <v>0</v>
      </c>
      <c r="C37" s="195"/>
      <c r="D37" s="195"/>
      <c r="E37" s="195"/>
      <c r="F37" s="195"/>
      <c r="G37" s="202"/>
      <c r="H37" s="201"/>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row>
    <row r="38" spans="1:46">
      <c r="A38" s="343" t="str">
        <f>+'datos de entrada'!A37</f>
        <v/>
      </c>
      <c r="B38" s="813">
        <f>+'datos de entrada'!B37</f>
        <v>0</v>
      </c>
      <c r="C38" s="195"/>
      <c r="D38" s="195"/>
      <c r="E38" s="195"/>
      <c r="F38" s="195"/>
      <c r="G38" s="202"/>
      <c r="H38" s="201"/>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row>
    <row r="39" spans="1:46">
      <c r="A39" s="343" t="str">
        <f>+'datos de entrada'!A38</f>
        <v/>
      </c>
      <c r="B39" s="813">
        <f>+'datos de entrada'!B38</f>
        <v>0</v>
      </c>
      <c r="C39" s="195"/>
      <c r="D39" s="195"/>
      <c r="E39" s="195"/>
      <c r="F39" s="195"/>
      <c r="G39" s="202"/>
      <c r="H39" s="201"/>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row>
    <row r="40" spans="1:46">
      <c r="A40" s="343" t="str">
        <f>+'datos de entrada'!A39</f>
        <v/>
      </c>
      <c r="B40" s="813">
        <f>+'datos de entrada'!B39</f>
        <v>0</v>
      </c>
      <c r="C40" s="195"/>
      <c r="D40" s="195"/>
      <c r="E40" s="195"/>
      <c r="F40" s="195"/>
      <c r="G40" s="202"/>
      <c r="H40" s="201"/>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row>
    <row r="41" spans="1:46">
      <c r="A41" s="343" t="str">
        <f>+'datos de entrada'!A40</f>
        <v/>
      </c>
      <c r="B41" s="813">
        <f>+'datos de entrada'!B40</f>
        <v>0</v>
      </c>
      <c r="C41" s="195"/>
      <c r="D41" s="195"/>
      <c r="E41" s="195"/>
      <c r="F41" s="195"/>
      <c r="G41" s="202"/>
      <c r="H41" s="201"/>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row>
    <row r="42" spans="1:46">
      <c r="A42" s="343" t="str">
        <f>+'datos de entrada'!A41</f>
        <v/>
      </c>
      <c r="B42" s="813">
        <f>+'datos de entrada'!B41</f>
        <v>0</v>
      </c>
      <c r="C42" s="195"/>
      <c r="D42" s="195"/>
      <c r="E42" s="195"/>
      <c r="F42" s="195"/>
      <c r="G42" s="202"/>
      <c r="H42" s="201"/>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row>
    <row r="43" spans="1:46" ht="15.75" thickBot="1">
      <c r="A43" s="344" t="str">
        <f>+'datos de entrada'!A42</f>
        <v/>
      </c>
      <c r="B43" s="814">
        <f>+'datos de entrada'!B42</f>
        <v>0</v>
      </c>
      <c r="C43" s="195"/>
      <c r="D43" s="195"/>
      <c r="E43" s="195"/>
      <c r="F43" s="195"/>
      <c r="G43" s="202"/>
      <c r="H43" s="201"/>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row>
    <row r="44" spans="1:46" ht="15.75" thickBot="1">
      <c r="A44" s="203"/>
      <c r="B44" s="203"/>
      <c r="C44" s="204"/>
      <c r="D44" s="204"/>
      <c r="E44" s="204"/>
      <c r="F44" s="204"/>
      <c r="G44" s="204"/>
      <c r="H44" s="204"/>
      <c r="I44" s="202"/>
      <c r="J44" s="201"/>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row>
    <row r="45" spans="1:46" ht="15" customHeight="1">
      <c r="A45" s="1096" t="s">
        <v>594</v>
      </c>
      <c r="B45" s="1097" t="s">
        <v>595</v>
      </c>
      <c r="C45" s="205"/>
      <c r="D45" s="195"/>
      <c r="E45" s="204"/>
      <c r="F45" s="204"/>
      <c r="G45" s="204"/>
      <c r="H45" s="204"/>
      <c r="I45" s="202"/>
      <c r="J45" s="201"/>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row>
    <row r="46" spans="1:46" ht="15" customHeight="1">
      <c r="A46" s="1094"/>
      <c r="B46" s="1098"/>
      <c r="C46" s="205"/>
      <c r="D46" s="195"/>
      <c r="E46" s="204"/>
      <c r="F46" s="204"/>
      <c r="G46" s="204"/>
      <c r="H46" s="204"/>
      <c r="I46" s="202"/>
      <c r="J46" s="201"/>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row>
    <row r="47" spans="1:46">
      <c r="A47" s="343" t="str">
        <f>+'datos de entrada'!A46</f>
        <v>REDES SOCIALES</v>
      </c>
      <c r="B47" s="809">
        <f>+'datos de entrada'!B46</f>
        <v>2000000</v>
      </c>
      <c r="C47" s="206"/>
      <c r="D47" s="204"/>
      <c r="E47" s="204"/>
      <c r="F47" s="204"/>
      <c r="G47" s="204"/>
      <c r="H47" s="204"/>
      <c r="I47" s="202"/>
      <c r="J47" s="201"/>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row>
    <row r="48" spans="1:46">
      <c r="A48" s="343" t="str">
        <f>+'datos de entrada'!A47</f>
        <v>RADIO</v>
      </c>
      <c r="B48" s="809">
        <f>+'datos de entrada'!B47</f>
        <v>2000000</v>
      </c>
      <c r="C48" s="206"/>
      <c r="D48" s="204"/>
      <c r="E48" s="204"/>
      <c r="F48" s="204"/>
      <c r="G48" s="204"/>
      <c r="H48" s="204"/>
      <c r="I48" s="202"/>
      <c r="J48" s="201"/>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row>
    <row r="49" spans="1:46">
      <c r="A49" s="343" t="str">
        <f>+'datos de entrada'!A48</f>
        <v>FLYERS</v>
      </c>
      <c r="B49" s="809">
        <f>+'datos de entrada'!B48</f>
        <v>500000</v>
      </c>
      <c r="C49" s="206"/>
      <c r="D49" s="204"/>
      <c r="E49" s="204"/>
      <c r="F49" s="204"/>
      <c r="G49" s="204"/>
      <c r="H49" s="204"/>
      <c r="I49" s="202"/>
      <c r="J49" s="201"/>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row>
    <row r="50" spans="1:46">
      <c r="A50" s="343" t="str">
        <f>+'datos de entrada'!A49</f>
        <v>OTROS PRODUCTOS PUBLICITARIOS</v>
      </c>
      <c r="B50" s="809">
        <f>+'datos de entrada'!B49</f>
        <v>500000</v>
      </c>
      <c r="C50" s="207"/>
      <c r="D50" s="204"/>
      <c r="E50" s="204"/>
      <c r="F50" s="204"/>
      <c r="G50" s="204"/>
      <c r="H50" s="204"/>
      <c r="I50" s="202"/>
      <c r="J50" s="201"/>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c r="AT50" s="195"/>
    </row>
    <row r="51" spans="1:46">
      <c r="A51" s="343" t="str">
        <f>+'datos de entrada'!A50</f>
        <v/>
      </c>
      <c r="B51" s="809">
        <f>+'datos de entrada'!B50</f>
        <v>0</v>
      </c>
      <c r="C51" s="206"/>
      <c r="D51" s="204"/>
      <c r="E51" s="204"/>
      <c r="F51" s="204"/>
      <c r="G51" s="204"/>
      <c r="H51" s="204"/>
      <c r="I51" s="202"/>
      <c r="J51" s="201"/>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c r="AT51" s="195"/>
    </row>
    <row r="52" spans="1:46">
      <c r="A52" s="343" t="str">
        <f>+'datos de entrada'!A51</f>
        <v/>
      </c>
      <c r="B52" s="809">
        <f>+'datos de entrada'!B51</f>
        <v>0</v>
      </c>
      <c r="C52" s="206"/>
      <c r="D52" s="204"/>
      <c r="E52" s="204"/>
      <c r="F52" s="204"/>
      <c r="G52" s="204"/>
      <c r="H52" s="204"/>
      <c r="I52" s="202"/>
      <c r="J52" s="201"/>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c r="AT52" s="195"/>
    </row>
    <row r="53" spans="1:46">
      <c r="A53" s="343" t="str">
        <f>+'datos de entrada'!A52</f>
        <v/>
      </c>
      <c r="B53" s="809">
        <f>+'datos de entrada'!B52</f>
        <v>0</v>
      </c>
      <c r="C53" s="206"/>
      <c r="D53" s="204"/>
      <c r="E53" s="204"/>
      <c r="F53" s="204"/>
      <c r="G53" s="204"/>
      <c r="H53" s="204"/>
      <c r="I53" s="202"/>
      <c r="J53" s="201"/>
      <c r="K53" s="195"/>
      <c r="L53" s="195"/>
      <c r="M53" s="195"/>
      <c r="N53" s="195"/>
      <c r="O53" s="195"/>
      <c r="P53" s="195"/>
      <c r="Q53" s="195"/>
      <c r="R53" s="195"/>
      <c r="S53" s="195"/>
      <c r="T53" s="195"/>
      <c r="U53" s="195"/>
      <c r="V53" s="195"/>
      <c r="W53" s="195"/>
      <c r="X53" s="195"/>
      <c r="Y53" s="195"/>
      <c r="Z53" s="195"/>
      <c r="AA53" s="195"/>
      <c r="AB53" s="195"/>
      <c r="AC53" s="195"/>
      <c r="AD53" s="195"/>
      <c r="AE53" s="195"/>
      <c r="AF53" s="195"/>
      <c r="AG53" s="195"/>
      <c r="AH53" s="195"/>
      <c r="AI53" s="195"/>
      <c r="AJ53" s="195"/>
      <c r="AK53" s="195"/>
      <c r="AL53" s="195"/>
      <c r="AM53" s="195"/>
      <c r="AN53" s="195"/>
      <c r="AO53" s="195"/>
      <c r="AP53" s="195"/>
      <c r="AQ53" s="195"/>
      <c r="AR53" s="195"/>
      <c r="AS53" s="195"/>
      <c r="AT53" s="195"/>
    </row>
    <row r="54" spans="1:46">
      <c r="A54" s="343" t="str">
        <f>+'datos de entrada'!A53</f>
        <v/>
      </c>
      <c r="B54" s="809">
        <f>+'datos de entrada'!B53</f>
        <v>0</v>
      </c>
      <c r="C54" s="206"/>
      <c r="D54" s="204"/>
      <c r="E54" s="204"/>
      <c r="F54" s="204"/>
      <c r="G54" s="204"/>
      <c r="H54" s="204"/>
      <c r="I54" s="202"/>
      <c r="J54" s="201"/>
      <c r="K54" s="195"/>
      <c r="L54" s="195"/>
      <c r="M54" s="195"/>
      <c r="N54" s="195"/>
      <c r="O54" s="195"/>
      <c r="P54" s="195"/>
      <c r="Q54" s="195"/>
      <c r="R54" s="195"/>
      <c r="S54" s="195"/>
      <c r="T54" s="195"/>
      <c r="U54" s="195"/>
      <c r="V54" s="195"/>
      <c r="W54" s="195"/>
      <c r="X54" s="195"/>
      <c r="Y54" s="195"/>
      <c r="Z54" s="195"/>
      <c r="AA54" s="195"/>
      <c r="AB54" s="195"/>
      <c r="AC54" s="195"/>
      <c r="AD54" s="195"/>
      <c r="AE54" s="195"/>
      <c r="AF54" s="195"/>
      <c r="AG54" s="195"/>
      <c r="AH54" s="195"/>
      <c r="AI54" s="195"/>
      <c r="AJ54" s="195"/>
      <c r="AK54" s="195"/>
      <c r="AL54" s="195"/>
      <c r="AM54" s="195"/>
      <c r="AN54" s="195"/>
      <c r="AO54" s="195"/>
      <c r="AP54" s="195"/>
      <c r="AQ54" s="195"/>
      <c r="AR54" s="195"/>
      <c r="AS54" s="195"/>
      <c r="AT54" s="195"/>
    </row>
    <row r="55" spans="1:46">
      <c r="A55" s="343" t="str">
        <f>+'datos de entrada'!A54</f>
        <v/>
      </c>
      <c r="B55" s="809">
        <f>+'datos de entrada'!B54</f>
        <v>0</v>
      </c>
      <c r="C55" s="206"/>
      <c r="D55" s="204"/>
      <c r="E55" s="204"/>
      <c r="F55" s="204"/>
      <c r="G55" s="204"/>
      <c r="H55" s="204"/>
      <c r="I55" s="202"/>
      <c r="J55" s="201"/>
      <c r="K55" s="195"/>
      <c r="L55" s="195"/>
      <c r="M55" s="195"/>
      <c r="N55" s="195"/>
      <c r="O55" s="195"/>
      <c r="P55" s="195"/>
      <c r="Q55" s="195"/>
      <c r="R55" s="195"/>
      <c r="S55" s="195"/>
      <c r="T55" s="195"/>
      <c r="U55" s="195"/>
      <c r="V55" s="195"/>
      <c r="W55" s="195"/>
      <c r="X55" s="195"/>
      <c r="Y55" s="195"/>
      <c r="Z55" s="195"/>
      <c r="AA55" s="195"/>
      <c r="AB55" s="195"/>
      <c r="AC55" s="195"/>
      <c r="AD55" s="195"/>
      <c r="AE55" s="195"/>
      <c r="AF55" s="195"/>
      <c r="AG55" s="195"/>
      <c r="AH55" s="195"/>
      <c r="AI55" s="195"/>
      <c r="AJ55" s="195"/>
      <c r="AK55" s="195"/>
      <c r="AL55" s="195"/>
      <c r="AM55" s="195"/>
      <c r="AN55" s="195"/>
      <c r="AO55" s="195"/>
      <c r="AP55" s="195"/>
      <c r="AQ55" s="195"/>
      <c r="AR55" s="195"/>
      <c r="AS55" s="195"/>
      <c r="AT55" s="195"/>
    </row>
    <row r="56" spans="1:46">
      <c r="A56" s="343" t="str">
        <f>+'datos de entrada'!A55</f>
        <v>PRESUPUESTO DE MEDIOS AÑO 1</v>
      </c>
      <c r="B56" s="809">
        <f>+'datos de entrada'!B55</f>
        <v>5000000</v>
      </c>
      <c r="C56" s="206"/>
      <c r="D56" s="204"/>
      <c r="E56" s="204"/>
      <c r="F56" s="204"/>
      <c r="G56" s="204"/>
      <c r="H56" s="204"/>
      <c r="I56" s="202"/>
      <c r="J56" s="201"/>
      <c r="K56" s="195"/>
      <c r="L56" s="195"/>
      <c r="M56" s="195"/>
      <c r="N56" s="195"/>
      <c r="O56" s="195"/>
      <c r="P56" s="195"/>
      <c r="Q56" s="195"/>
      <c r="R56" s="195"/>
      <c r="S56" s="195"/>
      <c r="T56" s="195"/>
      <c r="U56" s="195"/>
      <c r="V56" s="195"/>
      <c r="W56" s="195"/>
      <c r="X56" s="195"/>
      <c r="Y56" s="195"/>
      <c r="Z56" s="195"/>
      <c r="AA56" s="195"/>
      <c r="AB56" s="195"/>
      <c r="AC56" s="195"/>
      <c r="AD56" s="195"/>
      <c r="AE56" s="195"/>
      <c r="AF56" s="195"/>
      <c r="AG56" s="195"/>
      <c r="AH56" s="195"/>
      <c r="AI56" s="195"/>
      <c r="AJ56" s="195"/>
      <c r="AK56" s="195"/>
      <c r="AL56" s="195"/>
      <c r="AM56" s="195"/>
      <c r="AN56" s="195"/>
      <c r="AO56" s="195"/>
      <c r="AP56" s="195"/>
      <c r="AQ56" s="195"/>
      <c r="AR56" s="195"/>
      <c r="AS56" s="195"/>
      <c r="AT56" s="195"/>
    </row>
    <row r="57" spans="1:46">
      <c r="A57" s="343" t="str">
        <f>+'datos de entrada'!A56</f>
        <v>PRESUPUESTO DE MEDIOS AÑO 2</v>
      </c>
      <c r="B57" s="809">
        <f>+'datos de entrada'!B56</f>
        <v>10000000</v>
      </c>
      <c r="C57" s="206"/>
      <c r="D57" s="204"/>
      <c r="E57" s="204"/>
      <c r="F57" s="204"/>
      <c r="G57" s="204"/>
      <c r="H57" s="204"/>
      <c r="I57" s="202"/>
      <c r="J57" s="201"/>
      <c r="K57" s="195"/>
      <c r="L57" s="195"/>
      <c r="M57" s="195"/>
      <c r="N57" s="195"/>
      <c r="O57" s="195"/>
      <c r="P57" s="195"/>
      <c r="Q57" s="195"/>
      <c r="R57" s="195"/>
      <c r="S57" s="195"/>
      <c r="T57" s="195"/>
      <c r="U57" s="195"/>
      <c r="V57" s="195"/>
      <c r="W57" s="195"/>
      <c r="X57" s="195"/>
      <c r="Y57" s="195"/>
      <c r="Z57" s="195"/>
      <c r="AA57" s="195"/>
      <c r="AB57" s="195"/>
      <c r="AC57" s="195"/>
      <c r="AD57" s="195"/>
      <c r="AE57" s="195"/>
      <c r="AF57" s="195"/>
      <c r="AG57" s="195"/>
      <c r="AH57" s="195"/>
      <c r="AI57" s="195"/>
      <c r="AJ57" s="195"/>
      <c r="AK57" s="195"/>
      <c r="AL57" s="195"/>
      <c r="AM57" s="195"/>
      <c r="AN57" s="195"/>
      <c r="AO57" s="195"/>
      <c r="AP57" s="195"/>
      <c r="AQ57" s="195"/>
      <c r="AR57" s="195"/>
      <c r="AS57" s="195"/>
      <c r="AT57" s="195"/>
    </row>
    <row r="58" spans="1:46" ht="15.75" thickBot="1">
      <c r="A58" s="344" t="str">
        <f>+'datos de entrada'!A57</f>
        <v>PRESUPUESTO DE MEDIOS AÑO 3</v>
      </c>
      <c r="B58" s="810">
        <f>+'datos de entrada'!B57</f>
        <v>15000000</v>
      </c>
      <c r="C58" s="206"/>
      <c r="D58" s="204"/>
      <c r="E58" s="204"/>
      <c r="F58" s="204"/>
      <c r="G58" s="204"/>
      <c r="H58" s="204"/>
      <c r="I58" s="202"/>
      <c r="J58" s="201"/>
      <c r="K58" s="195"/>
      <c r="L58" s="195"/>
      <c r="M58" s="195"/>
      <c r="N58" s="195"/>
      <c r="O58" s="195"/>
      <c r="P58" s="195"/>
      <c r="Q58" s="195"/>
      <c r="R58" s="195"/>
      <c r="S58" s="195"/>
      <c r="T58" s="195"/>
      <c r="U58" s="195"/>
      <c r="V58" s="195"/>
      <c r="W58" s="195"/>
      <c r="X58" s="195"/>
      <c r="Y58" s="195"/>
      <c r="Z58" s="195"/>
      <c r="AA58" s="195"/>
      <c r="AB58" s="195"/>
      <c r="AC58" s="195"/>
      <c r="AD58" s="195"/>
      <c r="AE58" s="195"/>
      <c r="AF58" s="195"/>
      <c r="AG58" s="195"/>
      <c r="AH58" s="195"/>
      <c r="AI58" s="195"/>
      <c r="AJ58" s="195"/>
      <c r="AK58" s="195"/>
      <c r="AL58" s="195"/>
      <c r="AM58" s="195"/>
      <c r="AN58" s="195"/>
      <c r="AO58" s="195"/>
      <c r="AP58" s="195"/>
      <c r="AQ58" s="195"/>
      <c r="AR58" s="195"/>
      <c r="AS58" s="195"/>
      <c r="AT58" s="195"/>
    </row>
    <row r="59" spans="1:46">
      <c r="A59" s="203"/>
      <c r="B59" s="203"/>
      <c r="C59" s="204"/>
      <c r="D59" s="204"/>
      <c r="E59" s="204"/>
      <c r="F59" s="204"/>
      <c r="G59" s="204"/>
      <c r="H59" s="204"/>
      <c r="I59" s="202"/>
      <c r="J59" s="201"/>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c r="AT59" s="195"/>
    </row>
    <row r="60" spans="1:46" ht="15.75">
      <c r="A60" s="208" t="s">
        <v>597</v>
      </c>
      <c r="B60" s="203"/>
      <c r="C60" s="204"/>
      <c r="D60" s="204"/>
      <c r="E60" s="195"/>
      <c r="F60" s="204"/>
      <c r="G60" s="204"/>
      <c r="H60" s="204"/>
      <c r="I60" s="202"/>
      <c r="J60" s="201"/>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c r="AT60" s="195"/>
    </row>
    <row r="61" spans="1:46" ht="15.75" thickBot="1">
      <c r="A61" s="203"/>
      <c r="B61" s="203"/>
      <c r="C61" s="204"/>
      <c r="D61" s="204"/>
      <c r="E61" s="204"/>
      <c r="F61" s="204"/>
      <c r="G61" s="204"/>
      <c r="H61" s="204"/>
      <c r="I61" s="202"/>
      <c r="J61" s="201"/>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c r="AT61" s="195"/>
    </row>
    <row r="62" spans="1:46">
      <c r="A62" s="1099" t="s">
        <v>598</v>
      </c>
      <c r="B62" s="1100"/>
      <c r="C62" s="1100"/>
      <c r="D62" s="1101"/>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8"/>
      <c r="AG62" s="198"/>
      <c r="AH62" s="198"/>
      <c r="AI62" s="198"/>
      <c r="AJ62" s="198"/>
      <c r="AK62" s="198"/>
      <c r="AL62" s="198"/>
      <c r="AM62" s="198"/>
      <c r="AN62" s="195"/>
      <c r="AO62" s="195"/>
      <c r="AP62" s="195"/>
      <c r="AQ62" s="195"/>
      <c r="AR62" s="195"/>
      <c r="AS62" s="195"/>
      <c r="AT62" s="195"/>
    </row>
    <row r="63" spans="1:46">
      <c r="A63" s="1102"/>
      <c r="B63" s="1103"/>
      <c r="C63" s="1103"/>
      <c r="D63" s="1104"/>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8"/>
      <c r="AG63" s="198"/>
      <c r="AH63" s="198"/>
      <c r="AI63" s="198"/>
      <c r="AJ63" s="198"/>
      <c r="AK63" s="198"/>
      <c r="AL63" s="198"/>
      <c r="AM63" s="198"/>
      <c r="AN63" s="195"/>
      <c r="AO63" s="195"/>
      <c r="AP63" s="195"/>
      <c r="AQ63" s="195"/>
      <c r="AR63" s="195"/>
      <c r="AS63" s="195"/>
      <c r="AT63" s="195"/>
    </row>
    <row r="64" spans="1:46" ht="18">
      <c r="A64" s="356" t="s">
        <v>599</v>
      </c>
      <c r="B64" s="38" t="s">
        <v>600</v>
      </c>
      <c r="C64" s="38" t="s">
        <v>601</v>
      </c>
      <c r="D64" s="357" t="s">
        <v>602</v>
      </c>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8"/>
      <c r="AG64" s="198"/>
      <c r="AH64" s="198"/>
      <c r="AI64" s="198"/>
      <c r="AJ64" s="198"/>
      <c r="AK64" s="198"/>
      <c r="AL64" s="198"/>
      <c r="AM64" s="198"/>
      <c r="AN64" s="195"/>
      <c r="AO64" s="195"/>
      <c r="AP64" s="195"/>
      <c r="AQ64" s="195"/>
      <c r="AR64" s="195"/>
      <c r="AS64" s="195"/>
      <c r="AT64" s="195"/>
    </row>
    <row r="65" spans="1:46" ht="18" customHeight="1">
      <c r="A65" s="343" t="str">
        <f>+'datos de entrada'!A64</f>
        <v>CAMISETAS</v>
      </c>
      <c r="B65" s="811">
        <f>+'datos de entrada'!B64</f>
        <v>13500</v>
      </c>
      <c r="C65" s="811">
        <f>+'datos de entrada'!C64</f>
        <v>14893</v>
      </c>
      <c r="D65" s="812">
        <f>+'datos de entrada'!D64</f>
        <v>16913</v>
      </c>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8"/>
      <c r="AG65" s="198"/>
      <c r="AH65" s="198"/>
      <c r="AI65" s="198"/>
      <c r="AJ65" s="198"/>
      <c r="AK65" s="198"/>
      <c r="AL65" s="198"/>
      <c r="AM65" s="198"/>
      <c r="AN65" s="195"/>
      <c r="AO65" s="195"/>
      <c r="AP65" s="195"/>
      <c r="AQ65" s="195"/>
      <c r="AR65" s="195"/>
      <c r="AS65" s="195"/>
      <c r="AT65" s="195"/>
    </row>
    <row r="66" spans="1:46" ht="18" customHeight="1">
      <c r="A66" s="343" t="str">
        <f>+'datos de entrada'!A65</f>
        <v/>
      </c>
      <c r="B66" s="811">
        <f>+'datos de entrada'!B65</f>
        <v>0</v>
      </c>
      <c r="C66" s="811">
        <f>+'datos de entrada'!C65</f>
        <v>0</v>
      </c>
      <c r="D66" s="812">
        <f>+'datos de entrada'!D65</f>
        <v>0</v>
      </c>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8"/>
      <c r="AG66" s="198"/>
      <c r="AH66" s="198"/>
      <c r="AI66" s="198"/>
      <c r="AJ66" s="198"/>
      <c r="AK66" s="198"/>
      <c r="AL66" s="198"/>
      <c r="AM66" s="198"/>
      <c r="AN66" s="195"/>
      <c r="AO66" s="195"/>
      <c r="AP66" s="195"/>
      <c r="AQ66" s="195"/>
      <c r="AR66" s="195"/>
      <c r="AS66" s="195"/>
      <c r="AT66" s="195"/>
    </row>
    <row r="67" spans="1:46" ht="18" customHeight="1">
      <c r="A67" s="343" t="str">
        <f>+'datos de entrada'!A66</f>
        <v/>
      </c>
      <c r="B67" s="811">
        <f>+'datos de entrada'!B66</f>
        <v>0</v>
      </c>
      <c r="C67" s="811">
        <f>+'datos de entrada'!C66</f>
        <v>0</v>
      </c>
      <c r="D67" s="812">
        <f>+'datos de entrada'!D66</f>
        <v>0</v>
      </c>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8"/>
      <c r="AG67" s="198"/>
      <c r="AH67" s="198"/>
      <c r="AI67" s="198"/>
      <c r="AJ67" s="198"/>
      <c r="AK67" s="198"/>
      <c r="AL67" s="198"/>
      <c r="AM67" s="198"/>
      <c r="AN67" s="195"/>
      <c r="AO67" s="195"/>
      <c r="AP67" s="195"/>
      <c r="AQ67" s="195"/>
      <c r="AR67" s="195"/>
      <c r="AS67" s="195"/>
      <c r="AT67" s="195"/>
    </row>
    <row r="68" spans="1:46" ht="18" customHeight="1">
      <c r="A68" s="343" t="str">
        <f>+'datos de entrada'!A67</f>
        <v/>
      </c>
      <c r="B68" s="811">
        <f>+'datos de entrada'!B67</f>
        <v>0</v>
      </c>
      <c r="C68" s="811">
        <f>+'datos de entrada'!C67</f>
        <v>0</v>
      </c>
      <c r="D68" s="812">
        <f>+'datos de entrada'!D67</f>
        <v>0</v>
      </c>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8"/>
      <c r="AG68" s="198"/>
      <c r="AH68" s="198"/>
      <c r="AI68" s="198"/>
      <c r="AJ68" s="198"/>
      <c r="AK68" s="198"/>
      <c r="AL68" s="198"/>
      <c r="AM68" s="198"/>
      <c r="AN68" s="195"/>
      <c r="AO68" s="195"/>
      <c r="AP68" s="195"/>
      <c r="AQ68" s="195"/>
      <c r="AR68" s="195"/>
      <c r="AS68" s="195"/>
      <c r="AT68" s="195"/>
    </row>
    <row r="69" spans="1:46" ht="18" customHeight="1">
      <c r="A69" s="343" t="str">
        <f>+'datos de entrada'!A68</f>
        <v/>
      </c>
      <c r="B69" s="811">
        <f>+'datos de entrada'!B68</f>
        <v>0</v>
      </c>
      <c r="C69" s="811">
        <f>+'datos de entrada'!C68</f>
        <v>0</v>
      </c>
      <c r="D69" s="812">
        <f>+'datos de entrada'!D68</f>
        <v>0</v>
      </c>
      <c r="E69" s="195"/>
      <c r="F69" s="195"/>
      <c r="G69" s="195"/>
      <c r="H69" s="195"/>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8"/>
      <c r="AG69" s="198"/>
      <c r="AH69" s="198"/>
      <c r="AI69" s="198"/>
      <c r="AJ69" s="198"/>
      <c r="AK69" s="198"/>
      <c r="AL69" s="198"/>
      <c r="AM69" s="198"/>
      <c r="AN69" s="195"/>
      <c r="AO69" s="195"/>
      <c r="AP69" s="195"/>
      <c r="AQ69" s="195"/>
      <c r="AR69" s="195"/>
      <c r="AS69" s="195"/>
      <c r="AT69" s="195"/>
    </row>
    <row r="70" spans="1:46" ht="18" customHeight="1">
      <c r="A70" s="343" t="str">
        <f>+'datos de entrada'!A69</f>
        <v/>
      </c>
      <c r="B70" s="811">
        <f>+'datos de entrada'!B69</f>
        <v>0</v>
      </c>
      <c r="C70" s="811">
        <f>+'datos de entrada'!C69</f>
        <v>0</v>
      </c>
      <c r="D70" s="812">
        <f>+'datos de entrada'!D69</f>
        <v>0</v>
      </c>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8"/>
      <c r="AG70" s="198"/>
      <c r="AH70" s="198"/>
      <c r="AI70" s="198"/>
      <c r="AJ70" s="198"/>
      <c r="AK70" s="198"/>
      <c r="AL70" s="198"/>
      <c r="AM70" s="198"/>
      <c r="AN70" s="195"/>
      <c r="AO70" s="195"/>
      <c r="AP70" s="195"/>
      <c r="AQ70" s="195"/>
      <c r="AR70" s="195"/>
      <c r="AS70" s="195"/>
      <c r="AT70" s="195"/>
    </row>
    <row r="71" spans="1:46" ht="18" customHeight="1">
      <c r="A71" s="343" t="str">
        <f>+'datos de entrada'!A70</f>
        <v/>
      </c>
      <c r="B71" s="811">
        <f>+'datos de entrada'!B70</f>
        <v>0</v>
      </c>
      <c r="C71" s="811">
        <f>+'datos de entrada'!C70</f>
        <v>0</v>
      </c>
      <c r="D71" s="812">
        <f>+'datos de entrada'!D70</f>
        <v>0</v>
      </c>
      <c r="E71" s="195"/>
      <c r="F71" s="195"/>
      <c r="G71" s="195"/>
      <c r="H71" s="195"/>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8"/>
      <c r="AG71" s="198"/>
      <c r="AH71" s="198"/>
      <c r="AI71" s="198"/>
      <c r="AJ71" s="198"/>
      <c r="AK71" s="198"/>
      <c r="AL71" s="198"/>
      <c r="AM71" s="198"/>
      <c r="AN71" s="195"/>
      <c r="AO71" s="195"/>
      <c r="AP71" s="195"/>
      <c r="AQ71" s="195"/>
      <c r="AR71" s="195"/>
      <c r="AS71" s="195"/>
      <c r="AT71" s="195"/>
    </row>
    <row r="72" spans="1:46" ht="18" customHeight="1">
      <c r="A72" s="343" t="str">
        <f>+'datos de entrada'!A71</f>
        <v/>
      </c>
      <c r="B72" s="811">
        <f>+'datos de entrada'!B71</f>
        <v>0</v>
      </c>
      <c r="C72" s="811">
        <f>+'datos de entrada'!C71</f>
        <v>0</v>
      </c>
      <c r="D72" s="812">
        <f>+'datos de entrada'!D71</f>
        <v>0</v>
      </c>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8"/>
      <c r="AG72" s="198"/>
      <c r="AH72" s="198"/>
      <c r="AI72" s="198"/>
      <c r="AJ72" s="198"/>
      <c r="AK72" s="198"/>
      <c r="AL72" s="198"/>
      <c r="AM72" s="198"/>
      <c r="AN72" s="195"/>
      <c r="AO72" s="195"/>
      <c r="AP72" s="195"/>
      <c r="AQ72" s="195"/>
      <c r="AR72" s="195"/>
      <c r="AS72" s="195"/>
      <c r="AT72" s="195"/>
    </row>
    <row r="73" spans="1:46" ht="18" customHeight="1">
      <c r="A73" s="343" t="str">
        <f>+'datos de entrada'!A72</f>
        <v/>
      </c>
      <c r="B73" s="811">
        <f>+'datos de entrada'!B72</f>
        <v>0</v>
      </c>
      <c r="C73" s="811">
        <f>+'datos de entrada'!C72</f>
        <v>0</v>
      </c>
      <c r="D73" s="812">
        <f>+'datos de entrada'!D72</f>
        <v>0</v>
      </c>
      <c r="E73" s="195"/>
      <c r="F73" s="195"/>
      <c r="G73" s="195"/>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8"/>
      <c r="AG73" s="198"/>
      <c r="AH73" s="198"/>
      <c r="AI73" s="198"/>
      <c r="AJ73" s="198"/>
      <c r="AK73" s="198"/>
      <c r="AL73" s="198"/>
      <c r="AM73" s="198"/>
      <c r="AN73" s="195"/>
      <c r="AO73" s="195"/>
      <c r="AP73" s="195"/>
      <c r="AQ73" s="195"/>
      <c r="AR73" s="195"/>
      <c r="AS73" s="195"/>
      <c r="AT73" s="195"/>
    </row>
    <row r="74" spans="1:46" ht="18" customHeight="1">
      <c r="A74" s="343" t="str">
        <f>+'datos de entrada'!A73</f>
        <v/>
      </c>
      <c r="B74" s="811">
        <f>+'datos de entrada'!B73</f>
        <v>0</v>
      </c>
      <c r="C74" s="811">
        <f>+'datos de entrada'!C73</f>
        <v>0</v>
      </c>
      <c r="D74" s="812">
        <f>+'datos de entrada'!D73</f>
        <v>0</v>
      </c>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8"/>
      <c r="AG74" s="198"/>
      <c r="AH74" s="198"/>
      <c r="AI74" s="198"/>
      <c r="AJ74" s="198"/>
      <c r="AK74" s="198"/>
      <c r="AL74" s="198"/>
      <c r="AM74" s="198"/>
      <c r="AN74" s="195"/>
      <c r="AO74" s="195"/>
      <c r="AP74" s="195"/>
      <c r="AQ74" s="195"/>
      <c r="AR74" s="195"/>
      <c r="AS74" s="195"/>
      <c r="AT74" s="195"/>
    </row>
    <row r="75" spans="1:46" ht="18" customHeight="1">
      <c r="A75" s="343" t="str">
        <f>+'datos de entrada'!A74</f>
        <v/>
      </c>
      <c r="B75" s="811">
        <f>+'datos de entrada'!B74</f>
        <v>0</v>
      </c>
      <c r="C75" s="811">
        <f>+'datos de entrada'!C74</f>
        <v>0</v>
      </c>
      <c r="D75" s="812">
        <f>+'datos de entrada'!D74</f>
        <v>0</v>
      </c>
      <c r="E75" s="195"/>
      <c r="F75" s="195"/>
      <c r="G75" s="195"/>
      <c r="H75" s="195"/>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8"/>
      <c r="AG75" s="198"/>
      <c r="AH75" s="198"/>
      <c r="AI75" s="198"/>
      <c r="AJ75" s="198"/>
      <c r="AK75" s="198"/>
      <c r="AL75" s="198"/>
      <c r="AM75" s="198"/>
      <c r="AN75" s="195"/>
      <c r="AO75" s="195"/>
      <c r="AP75" s="195"/>
      <c r="AQ75" s="195"/>
      <c r="AR75" s="195"/>
      <c r="AS75" s="195"/>
      <c r="AT75" s="195"/>
    </row>
    <row r="76" spans="1:46" ht="18" customHeight="1" thickBot="1">
      <c r="A76" s="344" t="str">
        <f>+'datos de entrada'!A75</f>
        <v/>
      </c>
      <c r="B76" s="855">
        <f>+'datos de entrada'!B75</f>
        <v>0</v>
      </c>
      <c r="C76" s="855">
        <f>+'datos de entrada'!C75</f>
        <v>0</v>
      </c>
      <c r="D76" s="856">
        <f>+'datos de entrada'!D75</f>
        <v>0</v>
      </c>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8"/>
      <c r="AG76" s="198"/>
      <c r="AH76" s="198"/>
      <c r="AI76" s="198"/>
      <c r="AJ76" s="198"/>
      <c r="AK76" s="198"/>
      <c r="AL76" s="198"/>
      <c r="AM76" s="198"/>
      <c r="AN76" s="195"/>
      <c r="AO76" s="195"/>
      <c r="AP76" s="195"/>
      <c r="AQ76" s="195"/>
      <c r="AR76" s="195"/>
      <c r="AS76" s="195"/>
      <c r="AT76" s="195"/>
    </row>
    <row r="77" spans="1:46" ht="15.75" thickBot="1">
      <c r="A77" s="219"/>
      <c r="B77" s="194"/>
      <c r="C77" s="194"/>
      <c r="D77" s="194"/>
      <c r="E77" s="194"/>
      <c r="F77" s="194"/>
      <c r="G77" s="194"/>
      <c r="H77" s="194"/>
      <c r="I77" s="194"/>
      <c r="J77" s="194"/>
      <c r="K77" s="194"/>
      <c r="L77" s="194"/>
      <c r="M77" s="194"/>
      <c r="N77" s="194"/>
      <c r="O77" s="195"/>
      <c r="P77" s="195"/>
      <c r="Q77" s="195"/>
      <c r="R77" s="195"/>
      <c r="S77" s="195"/>
      <c r="T77" s="195"/>
      <c r="U77" s="195"/>
      <c r="V77" s="195"/>
      <c r="W77" s="195"/>
      <c r="X77" s="195"/>
      <c r="Y77" s="195"/>
      <c r="Z77" s="195"/>
      <c r="AA77" s="195"/>
      <c r="AB77" s="195"/>
      <c r="AC77" s="195"/>
      <c r="AD77" s="195"/>
      <c r="AE77" s="195"/>
      <c r="AF77" s="198"/>
      <c r="AG77" s="198"/>
      <c r="AH77" s="198"/>
      <c r="AI77" s="198"/>
      <c r="AJ77" s="198"/>
      <c r="AK77" s="198"/>
      <c r="AL77" s="198"/>
      <c r="AM77" s="198"/>
      <c r="AN77" s="195"/>
      <c r="AO77" s="195"/>
      <c r="AP77" s="195"/>
      <c r="AQ77" s="195"/>
      <c r="AR77" s="195"/>
      <c r="AS77" s="195"/>
      <c r="AT77" s="195"/>
    </row>
    <row r="78" spans="1:46" ht="15" customHeight="1">
      <c r="A78" s="1105" t="s">
        <v>603</v>
      </c>
      <c r="B78" s="375" t="str">
        <f>+'datos de entrada'!B77</f>
        <v>FEB</v>
      </c>
      <c r="C78" s="361"/>
      <c r="D78" s="361"/>
      <c r="E78" s="361"/>
      <c r="F78" s="361"/>
      <c r="G78" s="361"/>
      <c r="H78" s="361"/>
      <c r="I78" s="361"/>
      <c r="J78" s="361"/>
      <c r="K78" s="361"/>
      <c r="L78" s="361"/>
      <c r="M78" s="361"/>
      <c r="N78" s="361"/>
      <c r="O78" s="362"/>
      <c r="P78" s="363"/>
      <c r="Q78" s="363"/>
      <c r="R78" s="363"/>
      <c r="S78" s="363"/>
      <c r="T78" s="363"/>
      <c r="U78" s="363"/>
      <c r="V78" s="363"/>
      <c r="W78" s="363"/>
      <c r="X78" s="363"/>
      <c r="Y78" s="363"/>
      <c r="Z78" s="363"/>
      <c r="AA78" s="363"/>
      <c r="AB78" s="364"/>
      <c r="AC78" s="364"/>
      <c r="AD78" s="364"/>
      <c r="AE78" s="364"/>
      <c r="AF78" s="364"/>
      <c r="AG78" s="364"/>
      <c r="AH78" s="364"/>
      <c r="AI78" s="364"/>
      <c r="AJ78" s="364"/>
      <c r="AK78" s="365"/>
      <c r="AL78" s="198"/>
      <c r="AM78" s="198"/>
      <c r="AN78" s="195"/>
      <c r="AO78" s="195"/>
      <c r="AP78" s="195"/>
      <c r="AQ78" s="195"/>
      <c r="AR78" s="195"/>
      <c r="AS78" s="195"/>
      <c r="AT78" s="195"/>
    </row>
    <row r="79" spans="1:46" ht="15.75">
      <c r="A79" s="1106"/>
      <c r="B79" s="374">
        <f>+'datos de entrada'!B78</f>
        <v>2014</v>
      </c>
      <c r="C79" s="366"/>
      <c r="D79" s="367"/>
      <c r="E79" s="367"/>
      <c r="F79" s="367"/>
      <c r="G79" s="367"/>
      <c r="H79" s="367"/>
      <c r="I79" s="367"/>
      <c r="J79" s="367"/>
      <c r="K79" s="367"/>
      <c r="L79" s="367"/>
      <c r="M79" s="367"/>
      <c r="N79" s="368"/>
      <c r="O79" s="367"/>
      <c r="P79" s="367"/>
      <c r="Q79" s="367"/>
      <c r="R79" s="367"/>
      <c r="S79" s="367"/>
      <c r="T79" s="367"/>
      <c r="U79" s="367"/>
      <c r="V79" s="367"/>
      <c r="W79" s="367"/>
      <c r="X79" s="367"/>
      <c r="Y79" s="367"/>
      <c r="Z79" s="367"/>
      <c r="AA79" s="367"/>
      <c r="AB79" s="369"/>
      <c r="AC79" s="370"/>
      <c r="AD79" s="346"/>
      <c r="AE79" s="371"/>
      <c r="AF79" s="372"/>
      <c r="AG79" s="346"/>
      <c r="AH79" s="346"/>
      <c r="AI79" s="346"/>
      <c r="AJ79" s="346"/>
      <c r="AK79" s="373"/>
      <c r="AL79" s="198"/>
      <c r="AM79" s="198"/>
      <c r="AN79" s="195"/>
      <c r="AO79" s="195"/>
      <c r="AP79" s="195"/>
      <c r="AQ79" s="195"/>
      <c r="AR79" s="195"/>
      <c r="AS79" s="195"/>
      <c r="AT79" s="195"/>
    </row>
    <row r="80" spans="1:46" ht="15.75">
      <c r="A80" s="1106"/>
      <c r="B80" s="178">
        <f>+'datos de entrada'!B79</f>
        <v>41683</v>
      </c>
      <c r="C80" s="178">
        <f>+'datos de entrada'!C79</f>
        <v>41713</v>
      </c>
      <c r="D80" s="178">
        <f>+'datos de entrada'!D79</f>
        <v>41743</v>
      </c>
      <c r="E80" s="178">
        <f>+'datos de entrada'!E79</f>
        <v>41773</v>
      </c>
      <c r="F80" s="178">
        <f>+'datos de entrada'!F79</f>
        <v>41803</v>
      </c>
      <c r="G80" s="178">
        <f>+'datos de entrada'!G79</f>
        <v>41833</v>
      </c>
      <c r="H80" s="178">
        <f>+'datos de entrada'!H79</f>
        <v>41863</v>
      </c>
      <c r="I80" s="178">
        <f>+'datos de entrada'!I79</f>
        <v>41893</v>
      </c>
      <c r="J80" s="178">
        <f>+'datos de entrada'!J79</f>
        <v>41923</v>
      </c>
      <c r="K80" s="178">
        <f>+'datos de entrada'!K79</f>
        <v>41953</v>
      </c>
      <c r="L80" s="178">
        <f>+'datos de entrada'!L79</f>
        <v>41983</v>
      </c>
      <c r="M80" s="178">
        <f>+'datos de entrada'!M79</f>
        <v>42013</v>
      </c>
      <c r="N80" s="178">
        <f>+M80+31</f>
        <v>42044</v>
      </c>
      <c r="O80" s="178">
        <f t="shared" ref="O80:AK80" si="2">+N80+31</f>
        <v>42075</v>
      </c>
      <c r="P80" s="178">
        <f t="shared" si="2"/>
        <v>42106</v>
      </c>
      <c r="Q80" s="178">
        <f t="shared" si="2"/>
        <v>42137</v>
      </c>
      <c r="R80" s="178">
        <f t="shared" si="2"/>
        <v>42168</v>
      </c>
      <c r="S80" s="178">
        <f t="shared" si="2"/>
        <v>42199</v>
      </c>
      <c r="T80" s="178">
        <f t="shared" si="2"/>
        <v>42230</v>
      </c>
      <c r="U80" s="178">
        <f t="shared" si="2"/>
        <v>42261</v>
      </c>
      <c r="V80" s="178">
        <f t="shared" si="2"/>
        <v>42292</v>
      </c>
      <c r="W80" s="178">
        <f t="shared" si="2"/>
        <v>42323</v>
      </c>
      <c r="X80" s="178">
        <f t="shared" si="2"/>
        <v>42354</v>
      </c>
      <c r="Y80" s="178">
        <f t="shared" si="2"/>
        <v>42385</v>
      </c>
      <c r="Z80" s="178">
        <f t="shared" si="2"/>
        <v>42416</v>
      </c>
      <c r="AA80" s="178">
        <f t="shared" si="2"/>
        <v>42447</v>
      </c>
      <c r="AB80" s="178">
        <f t="shared" si="2"/>
        <v>42478</v>
      </c>
      <c r="AC80" s="178">
        <f t="shared" si="2"/>
        <v>42509</v>
      </c>
      <c r="AD80" s="178">
        <f t="shared" si="2"/>
        <v>42540</v>
      </c>
      <c r="AE80" s="178">
        <f t="shared" si="2"/>
        <v>42571</v>
      </c>
      <c r="AF80" s="178">
        <f t="shared" si="2"/>
        <v>42602</v>
      </c>
      <c r="AG80" s="178">
        <f t="shared" si="2"/>
        <v>42633</v>
      </c>
      <c r="AH80" s="178">
        <f t="shared" si="2"/>
        <v>42664</v>
      </c>
      <c r="AI80" s="178">
        <f t="shared" si="2"/>
        <v>42695</v>
      </c>
      <c r="AJ80" s="178">
        <f t="shared" si="2"/>
        <v>42726</v>
      </c>
      <c r="AK80" s="358">
        <f t="shared" si="2"/>
        <v>42757</v>
      </c>
      <c r="AL80" s="317"/>
      <c r="AM80" s="317"/>
      <c r="AN80" s="317"/>
      <c r="AO80" s="317"/>
      <c r="AP80" s="195"/>
      <c r="AQ80" s="195"/>
      <c r="AR80" s="195"/>
      <c r="AS80" s="195"/>
      <c r="AT80" s="195"/>
    </row>
    <row r="81" spans="1:46" ht="15.75">
      <c r="A81" s="359">
        <v>200</v>
      </c>
      <c r="B81" s="179">
        <v>1</v>
      </c>
      <c r="C81" s="179">
        <v>2</v>
      </c>
      <c r="D81" s="179">
        <v>3</v>
      </c>
      <c r="E81" s="179">
        <v>4</v>
      </c>
      <c r="F81" s="179">
        <v>5</v>
      </c>
      <c r="G81" s="179">
        <v>6</v>
      </c>
      <c r="H81" s="179">
        <v>7</v>
      </c>
      <c r="I81" s="179">
        <v>8</v>
      </c>
      <c r="J81" s="179">
        <v>9</v>
      </c>
      <c r="K81" s="179">
        <v>10</v>
      </c>
      <c r="L81" s="179">
        <v>11</v>
      </c>
      <c r="M81" s="179">
        <v>12</v>
      </c>
      <c r="N81" s="179">
        <v>13</v>
      </c>
      <c r="O81" s="179">
        <v>14</v>
      </c>
      <c r="P81" s="179">
        <v>15</v>
      </c>
      <c r="Q81" s="179">
        <v>16</v>
      </c>
      <c r="R81" s="179">
        <v>17</v>
      </c>
      <c r="S81" s="179">
        <v>18</v>
      </c>
      <c r="T81" s="179">
        <v>19</v>
      </c>
      <c r="U81" s="179">
        <v>20</v>
      </c>
      <c r="V81" s="179">
        <v>21</v>
      </c>
      <c r="W81" s="179">
        <v>22</v>
      </c>
      <c r="X81" s="179">
        <v>23</v>
      </c>
      <c r="Y81" s="179">
        <v>24</v>
      </c>
      <c r="Z81" s="179">
        <v>25</v>
      </c>
      <c r="AA81" s="179">
        <v>26</v>
      </c>
      <c r="AB81" s="179">
        <v>27</v>
      </c>
      <c r="AC81" s="179">
        <v>28</v>
      </c>
      <c r="AD81" s="179">
        <v>29</v>
      </c>
      <c r="AE81" s="179">
        <v>30</v>
      </c>
      <c r="AF81" s="179">
        <v>31</v>
      </c>
      <c r="AG81" s="179">
        <v>32</v>
      </c>
      <c r="AH81" s="179">
        <v>33</v>
      </c>
      <c r="AI81" s="179">
        <v>34</v>
      </c>
      <c r="AJ81" s="179">
        <v>35</v>
      </c>
      <c r="AK81" s="360">
        <v>36</v>
      </c>
      <c r="AL81" s="318"/>
      <c r="AM81" s="318"/>
      <c r="AN81" s="318"/>
      <c r="AO81" s="318"/>
      <c r="AP81" s="195"/>
      <c r="AQ81" s="195"/>
      <c r="AR81" s="195"/>
      <c r="AS81" s="195"/>
      <c r="AT81" s="195"/>
    </row>
    <row r="82" spans="1:46">
      <c r="A82" s="343" t="str">
        <f>+'datos de entrada'!A81</f>
        <v>CAMISETAS</v>
      </c>
      <c r="B82" s="811">
        <f>+'datos de entrada'!B81</f>
        <v>810</v>
      </c>
      <c r="C82" s="811">
        <f>+'datos de entrada'!C81</f>
        <v>945</v>
      </c>
      <c r="D82" s="811">
        <f>+'datos de entrada'!D81</f>
        <v>945</v>
      </c>
      <c r="E82" s="811">
        <f>+'datos de entrada'!E81</f>
        <v>945</v>
      </c>
      <c r="F82" s="811">
        <f>+'datos de entrada'!F81</f>
        <v>1350</v>
      </c>
      <c r="G82" s="811">
        <f>+'datos de entrada'!G81</f>
        <v>1215</v>
      </c>
      <c r="H82" s="811">
        <f>+'datos de entrada'!H81</f>
        <v>1080</v>
      </c>
      <c r="I82" s="811">
        <f>+'datos de entrada'!I81</f>
        <v>1080</v>
      </c>
      <c r="J82" s="811">
        <f>+'datos de entrada'!J81</f>
        <v>1080</v>
      </c>
      <c r="K82" s="811">
        <f>+'datos de entrada'!K81</f>
        <v>1350</v>
      </c>
      <c r="L82" s="811">
        <f>+'datos de entrada'!L81</f>
        <v>1890</v>
      </c>
      <c r="M82" s="811">
        <f>+'datos de entrada'!M81</f>
        <v>810</v>
      </c>
      <c r="N82" s="815">
        <f>+'GRAFIC VTAS'!N1</f>
        <v>894</v>
      </c>
      <c r="O82" s="815">
        <f>+'GRAFIC VTAS'!O1</f>
        <v>1043</v>
      </c>
      <c r="P82" s="815">
        <f>+'GRAFIC VTAS'!P1</f>
        <v>1043</v>
      </c>
      <c r="Q82" s="815">
        <f>+'GRAFIC VTAS'!Q1</f>
        <v>1043</v>
      </c>
      <c r="R82" s="815">
        <f>+'GRAFIC VTAS'!R1</f>
        <v>1489</v>
      </c>
      <c r="S82" s="815">
        <f>+'GRAFIC VTAS'!S1</f>
        <v>1340</v>
      </c>
      <c r="T82" s="815">
        <f>+'GRAFIC VTAS'!T1</f>
        <v>1191</v>
      </c>
      <c r="U82" s="815">
        <f>+'GRAFIC VTAS'!U1</f>
        <v>1191</v>
      </c>
      <c r="V82" s="815">
        <f>+'GRAFIC VTAS'!V1</f>
        <v>1191</v>
      </c>
      <c r="W82" s="815">
        <f>+'GRAFIC VTAS'!W1</f>
        <v>1489</v>
      </c>
      <c r="X82" s="815">
        <f>+'GRAFIC VTAS'!X1</f>
        <v>2085</v>
      </c>
      <c r="Y82" s="815">
        <f>+'GRAFIC VTAS'!Y1</f>
        <v>894</v>
      </c>
      <c r="Z82" s="815">
        <f>+'GRAFIC VTAS'!Z1</f>
        <v>1015</v>
      </c>
      <c r="AA82" s="815">
        <f>+'GRAFIC VTAS'!AA1</f>
        <v>1184</v>
      </c>
      <c r="AB82" s="815">
        <f>+'GRAFIC VTAS'!AB1</f>
        <v>1184</v>
      </c>
      <c r="AC82" s="815">
        <f>+'GRAFIC VTAS'!AC1</f>
        <v>1184</v>
      </c>
      <c r="AD82" s="815">
        <f>+'GRAFIC VTAS'!AD1</f>
        <v>1691</v>
      </c>
      <c r="AE82" s="815">
        <f>+'GRAFIC VTAS'!AE1</f>
        <v>1522</v>
      </c>
      <c r="AF82" s="815">
        <f>+'GRAFIC VTAS'!AF1</f>
        <v>1353</v>
      </c>
      <c r="AG82" s="815">
        <f>+'GRAFIC VTAS'!AG1</f>
        <v>1353</v>
      </c>
      <c r="AH82" s="815">
        <f>+'GRAFIC VTAS'!AH1</f>
        <v>1353</v>
      </c>
      <c r="AI82" s="815">
        <f>+'GRAFIC VTAS'!AI1</f>
        <v>1691</v>
      </c>
      <c r="AJ82" s="815">
        <f>+'GRAFIC VTAS'!AJ1</f>
        <v>2368</v>
      </c>
      <c r="AK82" s="816">
        <f>+'GRAFIC VTAS'!AK1</f>
        <v>1015</v>
      </c>
      <c r="AL82" s="195"/>
      <c r="AM82" s="195"/>
      <c r="AN82" s="195"/>
      <c r="AO82" s="195"/>
      <c r="AP82" s="195"/>
      <c r="AQ82" s="195"/>
      <c r="AR82" s="195"/>
      <c r="AS82" s="195"/>
      <c r="AT82" s="195"/>
    </row>
    <row r="83" spans="1:46">
      <c r="A83" s="343" t="str">
        <f>+'datos de entrada'!A82</f>
        <v/>
      </c>
      <c r="B83" s="811">
        <f>+'datos de entrada'!B82</f>
        <v>0</v>
      </c>
      <c r="C83" s="811">
        <f>+'datos de entrada'!C82</f>
        <v>0</v>
      </c>
      <c r="D83" s="811">
        <f>+'datos de entrada'!D82</f>
        <v>0</v>
      </c>
      <c r="E83" s="811">
        <f>+'datos de entrada'!E82</f>
        <v>0</v>
      </c>
      <c r="F83" s="811">
        <f>+'datos de entrada'!F82</f>
        <v>0</v>
      </c>
      <c r="G83" s="811">
        <f>+'datos de entrada'!G82</f>
        <v>0</v>
      </c>
      <c r="H83" s="811">
        <f>+'datos de entrada'!H82</f>
        <v>0</v>
      </c>
      <c r="I83" s="811">
        <f>+'datos de entrada'!I82</f>
        <v>0</v>
      </c>
      <c r="J83" s="811">
        <f>+'datos de entrada'!J82</f>
        <v>0</v>
      </c>
      <c r="K83" s="811">
        <f>+'datos de entrada'!K82</f>
        <v>0</v>
      </c>
      <c r="L83" s="811">
        <f>+'datos de entrada'!L82</f>
        <v>0</v>
      </c>
      <c r="M83" s="811">
        <f>+'datos de entrada'!M82</f>
        <v>0</v>
      </c>
      <c r="N83" s="815">
        <f>+'GRAFIC VTAS'!N2</f>
        <v>0</v>
      </c>
      <c r="O83" s="815">
        <f>+'GRAFIC VTAS'!O2</f>
        <v>0</v>
      </c>
      <c r="P83" s="815">
        <f>+'GRAFIC VTAS'!P2</f>
        <v>0</v>
      </c>
      <c r="Q83" s="815">
        <f>+'GRAFIC VTAS'!Q2</f>
        <v>0</v>
      </c>
      <c r="R83" s="815">
        <f>+'GRAFIC VTAS'!R2</f>
        <v>0</v>
      </c>
      <c r="S83" s="815">
        <f>+'GRAFIC VTAS'!S2</f>
        <v>0</v>
      </c>
      <c r="T83" s="815">
        <f>+'GRAFIC VTAS'!T2</f>
        <v>0</v>
      </c>
      <c r="U83" s="815">
        <f>+'GRAFIC VTAS'!U2</f>
        <v>0</v>
      </c>
      <c r="V83" s="815">
        <f>+'GRAFIC VTAS'!V2</f>
        <v>0</v>
      </c>
      <c r="W83" s="815">
        <f>+'GRAFIC VTAS'!W2</f>
        <v>0</v>
      </c>
      <c r="X83" s="815">
        <f>+'GRAFIC VTAS'!X2</f>
        <v>0</v>
      </c>
      <c r="Y83" s="815">
        <f>+'GRAFIC VTAS'!Y2</f>
        <v>0</v>
      </c>
      <c r="Z83" s="815">
        <f>+'GRAFIC VTAS'!Z2</f>
        <v>0</v>
      </c>
      <c r="AA83" s="815">
        <f>+'GRAFIC VTAS'!AA2</f>
        <v>0</v>
      </c>
      <c r="AB83" s="815">
        <f>+'GRAFIC VTAS'!AB2</f>
        <v>0</v>
      </c>
      <c r="AC83" s="815">
        <f>+'GRAFIC VTAS'!AC2</f>
        <v>0</v>
      </c>
      <c r="AD83" s="815">
        <f>+'GRAFIC VTAS'!AD2</f>
        <v>0</v>
      </c>
      <c r="AE83" s="815">
        <f>+'GRAFIC VTAS'!AE2</f>
        <v>0</v>
      </c>
      <c r="AF83" s="815">
        <f>+'GRAFIC VTAS'!AF2</f>
        <v>0</v>
      </c>
      <c r="AG83" s="815">
        <f>+'GRAFIC VTAS'!AG2</f>
        <v>0</v>
      </c>
      <c r="AH83" s="815">
        <f>+'GRAFIC VTAS'!AH2</f>
        <v>0</v>
      </c>
      <c r="AI83" s="815">
        <f>+'GRAFIC VTAS'!AI2</f>
        <v>0</v>
      </c>
      <c r="AJ83" s="815">
        <f>+'GRAFIC VTAS'!AJ2</f>
        <v>0</v>
      </c>
      <c r="AK83" s="816">
        <f>+'GRAFIC VTAS'!AK2</f>
        <v>0</v>
      </c>
      <c r="AL83" s="195"/>
      <c r="AM83" s="195"/>
      <c r="AN83" s="195"/>
      <c r="AO83" s="195"/>
      <c r="AP83" s="195"/>
      <c r="AQ83" s="195"/>
      <c r="AR83" s="195"/>
      <c r="AS83" s="195"/>
      <c r="AT83" s="195"/>
    </row>
    <row r="84" spans="1:46">
      <c r="A84" s="343" t="str">
        <f>+'datos de entrada'!A83</f>
        <v/>
      </c>
      <c r="B84" s="811">
        <f>+'datos de entrada'!B83</f>
        <v>0</v>
      </c>
      <c r="C84" s="811">
        <f>+'datos de entrada'!C83</f>
        <v>0</v>
      </c>
      <c r="D84" s="811">
        <f>+'datos de entrada'!D83</f>
        <v>0</v>
      </c>
      <c r="E84" s="811">
        <f>+'datos de entrada'!E83</f>
        <v>0</v>
      </c>
      <c r="F84" s="811">
        <f>+'datos de entrada'!F83</f>
        <v>0</v>
      </c>
      <c r="G84" s="811">
        <f>+'datos de entrada'!G83</f>
        <v>0</v>
      </c>
      <c r="H84" s="811">
        <f>+'datos de entrada'!H83</f>
        <v>0</v>
      </c>
      <c r="I84" s="811">
        <f>+'datos de entrada'!I83</f>
        <v>0</v>
      </c>
      <c r="J84" s="811">
        <f>+'datos de entrada'!J83</f>
        <v>0</v>
      </c>
      <c r="K84" s="811">
        <f>+'datos de entrada'!K83</f>
        <v>0</v>
      </c>
      <c r="L84" s="811">
        <f>+'datos de entrada'!L83</f>
        <v>0</v>
      </c>
      <c r="M84" s="811">
        <f>+'datos de entrada'!M83</f>
        <v>0</v>
      </c>
      <c r="N84" s="815">
        <f>+'GRAFIC VTAS'!N3</f>
        <v>0</v>
      </c>
      <c r="O84" s="815">
        <f>+'GRAFIC VTAS'!O3</f>
        <v>0</v>
      </c>
      <c r="P84" s="815">
        <f>+'GRAFIC VTAS'!P3</f>
        <v>0</v>
      </c>
      <c r="Q84" s="815">
        <f>+'GRAFIC VTAS'!Q3</f>
        <v>0</v>
      </c>
      <c r="R84" s="815">
        <f>+'GRAFIC VTAS'!R3</f>
        <v>0</v>
      </c>
      <c r="S84" s="815">
        <f>+'GRAFIC VTAS'!S3</f>
        <v>0</v>
      </c>
      <c r="T84" s="815">
        <f>+'GRAFIC VTAS'!T3</f>
        <v>0</v>
      </c>
      <c r="U84" s="815">
        <f>+'GRAFIC VTAS'!U3</f>
        <v>0</v>
      </c>
      <c r="V84" s="815">
        <f>+'GRAFIC VTAS'!V3</f>
        <v>0</v>
      </c>
      <c r="W84" s="815">
        <f>+'GRAFIC VTAS'!W3</f>
        <v>0</v>
      </c>
      <c r="X84" s="815">
        <f>+'GRAFIC VTAS'!X3</f>
        <v>0</v>
      </c>
      <c r="Y84" s="815">
        <f>+'GRAFIC VTAS'!Y3</f>
        <v>0</v>
      </c>
      <c r="Z84" s="815">
        <f>+'GRAFIC VTAS'!Z3</f>
        <v>0</v>
      </c>
      <c r="AA84" s="815">
        <f>+'GRAFIC VTAS'!AA3</f>
        <v>0</v>
      </c>
      <c r="AB84" s="815">
        <f>+'GRAFIC VTAS'!AB3</f>
        <v>0</v>
      </c>
      <c r="AC84" s="815">
        <f>+'GRAFIC VTAS'!AC3</f>
        <v>0</v>
      </c>
      <c r="AD84" s="815">
        <f>+'GRAFIC VTAS'!AD3</f>
        <v>0</v>
      </c>
      <c r="AE84" s="815">
        <f>+'GRAFIC VTAS'!AE3</f>
        <v>0</v>
      </c>
      <c r="AF84" s="815">
        <f>+'GRAFIC VTAS'!AF3</f>
        <v>0</v>
      </c>
      <c r="AG84" s="815">
        <f>+'GRAFIC VTAS'!AG3</f>
        <v>0</v>
      </c>
      <c r="AH84" s="815">
        <f>+'GRAFIC VTAS'!AH3</f>
        <v>0</v>
      </c>
      <c r="AI84" s="815">
        <f>+'GRAFIC VTAS'!AI3</f>
        <v>0</v>
      </c>
      <c r="AJ84" s="815">
        <f>+'GRAFIC VTAS'!AJ3</f>
        <v>0</v>
      </c>
      <c r="AK84" s="816">
        <f>+'GRAFIC VTAS'!AK3</f>
        <v>0</v>
      </c>
      <c r="AL84" s="195"/>
      <c r="AM84" s="195"/>
      <c r="AN84" s="195"/>
      <c r="AO84" s="195"/>
      <c r="AP84" s="195"/>
      <c r="AQ84" s="195"/>
      <c r="AR84" s="195"/>
      <c r="AS84" s="195"/>
      <c r="AT84" s="195"/>
    </row>
    <row r="85" spans="1:46">
      <c r="A85" s="343" t="str">
        <f>+'datos de entrada'!A84</f>
        <v/>
      </c>
      <c r="B85" s="811">
        <f>+'datos de entrada'!B84</f>
        <v>0</v>
      </c>
      <c r="C85" s="811">
        <f>+'datos de entrada'!C84</f>
        <v>0</v>
      </c>
      <c r="D85" s="811">
        <f>+'datos de entrada'!D84</f>
        <v>0</v>
      </c>
      <c r="E85" s="811">
        <f>+'datos de entrada'!E84</f>
        <v>0</v>
      </c>
      <c r="F85" s="811">
        <f>+'datos de entrada'!F84</f>
        <v>0</v>
      </c>
      <c r="G85" s="811">
        <f>+'datos de entrada'!G84</f>
        <v>0</v>
      </c>
      <c r="H85" s="811">
        <f>+'datos de entrada'!H84</f>
        <v>0</v>
      </c>
      <c r="I85" s="811">
        <f>+'datos de entrada'!I84</f>
        <v>0</v>
      </c>
      <c r="J85" s="811">
        <f>+'datos de entrada'!J84</f>
        <v>0</v>
      </c>
      <c r="K85" s="811">
        <f>+'datos de entrada'!K84</f>
        <v>0</v>
      </c>
      <c r="L85" s="811">
        <f>+'datos de entrada'!L84</f>
        <v>0</v>
      </c>
      <c r="M85" s="811">
        <f>+'datos de entrada'!M84</f>
        <v>0</v>
      </c>
      <c r="N85" s="815">
        <f>+'GRAFIC VTAS'!N4</f>
        <v>0</v>
      </c>
      <c r="O85" s="815">
        <f>+'GRAFIC VTAS'!O4</f>
        <v>0</v>
      </c>
      <c r="P85" s="815">
        <f>+'GRAFIC VTAS'!P4</f>
        <v>0</v>
      </c>
      <c r="Q85" s="815">
        <f>+'GRAFIC VTAS'!Q4</f>
        <v>0</v>
      </c>
      <c r="R85" s="815">
        <f>+'GRAFIC VTAS'!R4</f>
        <v>0</v>
      </c>
      <c r="S85" s="815">
        <f>+'GRAFIC VTAS'!S4</f>
        <v>0</v>
      </c>
      <c r="T85" s="815">
        <f>+'GRAFIC VTAS'!T4</f>
        <v>0</v>
      </c>
      <c r="U85" s="815">
        <f>+'GRAFIC VTAS'!U4</f>
        <v>0</v>
      </c>
      <c r="V85" s="815">
        <f>+'GRAFIC VTAS'!V4</f>
        <v>0</v>
      </c>
      <c r="W85" s="815">
        <f>+'GRAFIC VTAS'!W4</f>
        <v>0</v>
      </c>
      <c r="X85" s="815">
        <f>+'GRAFIC VTAS'!X4</f>
        <v>0</v>
      </c>
      <c r="Y85" s="815">
        <f>+'GRAFIC VTAS'!Y4</f>
        <v>0</v>
      </c>
      <c r="Z85" s="815">
        <f>+'GRAFIC VTAS'!Z4</f>
        <v>0</v>
      </c>
      <c r="AA85" s="815">
        <f>+'GRAFIC VTAS'!AA4</f>
        <v>0</v>
      </c>
      <c r="AB85" s="815">
        <f>+'GRAFIC VTAS'!AB4</f>
        <v>0</v>
      </c>
      <c r="AC85" s="815">
        <f>+'GRAFIC VTAS'!AC4</f>
        <v>0</v>
      </c>
      <c r="AD85" s="815">
        <f>+'GRAFIC VTAS'!AD4</f>
        <v>0</v>
      </c>
      <c r="AE85" s="815">
        <f>+'GRAFIC VTAS'!AE4</f>
        <v>0</v>
      </c>
      <c r="AF85" s="815">
        <f>+'GRAFIC VTAS'!AF4</f>
        <v>0</v>
      </c>
      <c r="AG85" s="815">
        <f>+'GRAFIC VTAS'!AG4</f>
        <v>0</v>
      </c>
      <c r="AH85" s="815">
        <f>+'GRAFIC VTAS'!AH4</f>
        <v>0</v>
      </c>
      <c r="AI85" s="815">
        <f>+'GRAFIC VTAS'!AI4</f>
        <v>0</v>
      </c>
      <c r="AJ85" s="815">
        <f>+'GRAFIC VTAS'!AJ4</f>
        <v>0</v>
      </c>
      <c r="AK85" s="816">
        <f>+'GRAFIC VTAS'!AK4</f>
        <v>0</v>
      </c>
      <c r="AL85" s="195"/>
      <c r="AM85" s="195"/>
      <c r="AN85" s="195"/>
      <c r="AO85" s="195"/>
      <c r="AP85" s="195"/>
      <c r="AQ85" s="195"/>
      <c r="AR85" s="195"/>
      <c r="AS85" s="195"/>
      <c r="AT85" s="195"/>
    </row>
    <row r="86" spans="1:46">
      <c r="A86" s="343" t="str">
        <f>+'datos de entrada'!A85</f>
        <v/>
      </c>
      <c r="B86" s="811">
        <f>+'datos de entrada'!B85</f>
        <v>0</v>
      </c>
      <c r="C86" s="811">
        <f>+'datos de entrada'!C85</f>
        <v>0</v>
      </c>
      <c r="D86" s="811">
        <f>+'datos de entrada'!D85</f>
        <v>0</v>
      </c>
      <c r="E86" s="811">
        <f>+'datos de entrada'!E85</f>
        <v>0</v>
      </c>
      <c r="F86" s="811">
        <f>+'datos de entrada'!F85</f>
        <v>0</v>
      </c>
      <c r="G86" s="811">
        <f>+'datos de entrada'!G85</f>
        <v>0</v>
      </c>
      <c r="H86" s="811">
        <f>+'datos de entrada'!H85</f>
        <v>0</v>
      </c>
      <c r="I86" s="811">
        <f>+'datos de entrada'!I85</f>
        <v>0</v>
      </c>
      <c r="J86" s="811">
        <f>+'datos de entrada'!J85</f>
        <v>0</v>
      </c>
      <c r="K86" s="811">
        <f>+'datos de entrada'!K85</f>
        <v>0</v>
      </c>
      <c r="L86" s="811">
        <f>+'datos de entrada'!L85</f>
        <v>0</v>
      </c>
      <c r="M86" s="811">
        <f>+'datos de entrada'!M85</f>
        <v>0</v>
      </c>
      <c r="N86" s="815">
        <f>+'GRAFIC VTAS'!N5</f>
        <v>0</v>
      </c>
      <c r="O86" s="815">
        <f>+'GRAFIC VTAS'!O5</f>
        <v>0</v>
      </c>
      <c r="P86" s="815">
        <f>+'GRAFIC VTAS'!P5</f>
        <v>0</v>
      </c>
      <c r="Q86" s="815">
        <f>+'GRAFIC VTAS'!Q5</f>
        <v>0</v>
      </c>
      <c r="R86" s="815">
        <f>+'GRAFIC VTAS'!R5</f>
        <v>0</v>
      </c>
      <c r="S86" s="815">
        <f>+'GRAFIC VTAS'!S5</f>
        <v>0</v>
      </c>
      <c r="T86" s="815">
        <f>+'GRAFIC VTAS'!T5</f>
        <v>0</v>
      </c>
      <c r="U86" s="815">
        <f>+'GRAFIC VTAS'!U5</f>
        <v>0</v>
      </c>
      <c r="V86" s="815">
        <f>+'GRAFIC VTAS'!V5</f>
        <v>0</v>
      </c>
      <c r="W86" s="815">
        <f>+'GRAFIC VTAS'!W5</f>
        <v>0</v>
      </c>
      <c r="X86" s="815">
        <f>+'GRAFIC VTAS'!X5</f>
        <v>0</v>
      </c>
      <c r="Y86" s="815">
        <f>+'GRAFIC VTAS'!Y5</f>
        <v>0</v>
      </c>
      <c r="Z86" s="815">
        <f>+'GRAFIC VTAS'!Z5</f>
        <v>0</v>
      </c>
      <c r="AA86" s="815">
        <f>+'GRAFIC VTAS'!AA5</f>
        <v>0</v>
      </c>
      <c r="AB86" s="815">
        <f>+'GRAFIC VTAS'!AB5</f>
        <v>0</v>
      </c>
      <c r="AC86" s="815">
        <f>+'GRAFIC VTAS'!AC5</f>
        <v>0</v>
      </c>
      <c r="AD86" s="815">
        <f>+'GRAFIC VTAS'!AD5</f>
        <v>0</v>
      </c>
      <c r="AE86" s="815">
        <f>+'GRAFIC VTAS'!AE5</f>
        <v>0</v>
      </c>
      <c r="AF86" s="815">
        <f>+'GRAFIC VTAS'!AF5</f>
        <v>0</v>
      </c>
      <c r="AG86" s="815">
        <f>+'GRAFIC VTAS'!AG5</f>
        <v>0</v>
      </c>
      <c r="AH86" s="815">
        <f>+'GRAFIC VTAS'!AH5</f>
        <v>0</v>
      </c>
      <c r="AI86" s="815">
        <f>+'GRAFIC VTAS'!AI5</f>
        <v>0</v>
      </c>
      <c r="AJ86" s="815">
        <f>+'GRAFIC VTAS'!AJ5</f>
        <v>0</v>
      </c>
      <c r="AK86" s="816">
        <f>+'GRAFIC VTAS'!AK5</f>
        <v>0</v>
      </c>
      <c r="AL86" s="195"/>
      <c r="AM86" s="195"/>
      <c r="AN86" s="195"/>
      <c r="AO86" s="195"/>
      <c r="AP86" s="195"/>
      <c r="AQ86" s="195"/>
      <c r="AR86" s="195"/>
      <c r="AS86" s="195"/>
      <c r="AT86" s="195"/>
    </row>
    <row r="87" spans="1:46">
      <c r="A87" s="343" t="str">
        <f>+'datos de entrada'!A86</f>
        <v/>
      </c>
      <c r="B87" s="811">
        <f>+'datos de entrada'!B86</f>
        <v>0</v>
      </c>
      <c r="C87" s="811">
        <f>+'datos de entrada'!C86</f>
        <v>0</v>
      </c>
      <c r="D87" s="811">
        <f>+'datos de entrada'!D86</f>
        <v>0</v>
      </c>
      <c r="E87" s="811">
        <f>+'datos de entrada'!E86</f>
        <v>0</v>
      </c>
      <c r="F87" s="811">
        <f>+'datos de entrada'!F86</f>
        <v>0</v>
      </c>
      <c r="G87" s="811">
        <f>+'datos de entrada'!G86</f>
        <v>0</v>
      </c>
      <c r="H87" s="811">
        <f>+'datos de entrada'!H86</f>
        <v>0</v>
      </c>
      <c r="I87" s="811">
        <f>+'datos de entrada'!I86</f>
        <v>0</v>
      </c>
      <c r="J87" s="811">
        <f>+'datos de entrada'!J86</f>
        <v>0</v>
      </c>
      <c r="K87" s="811">
        <f>+'datos de entrada'!K86</f>
        <v>0</v>
      </c>
      <c r="L87" s="811">
        <f>+'datos de entrada'!L86</f>
        <v>0</v>
      </c>
      <c r="M87" s="811">
        <f>+'datos de entrada'!M86</f>
        <v>0</v>
      </c>
      <c r="N87" s="815">
        <f>+'GRAFIC VTAS'!N6</f>
        <v>0</v>
      </c>
      <c r="O87" s="815">
        <f>+'GRAFIC VTAS'!O6</f>
        <v>0</v>
      </c>
      <c r="P87" s="815">
        <f>+'GRAFIC VTAS'!P6</f>
        <v>0</v>
      </c>
      <c r="Q87" s="815">
        <f>+'GRAFIC VTAS'!Q6</f>
        <v>0</v>
      </c>
      <c r="R87" s="815">
        <f>+'GRAFIC VTAS'!R6</f>
        <v>0</v>
      </c>
      <c r="S87" s="815">
        <f>+'GRAFIC VTAS'!S6</f>
        <v>0</v>
      </c>
      <c r="T87" s="815">
        <f>+'GRAFIC VTAS'!T6</f>
        <v>0</v>
      </c>
      <c r="U87" s="815">
        <f>+'GRAFIC VTAS'!U6</f>
        <v>0</v>
      </c>
      <c r="V87" s="815">
        <f>+'GRAFIC VTAS'!V6</f>
        <v>0</v>
      </c>
      <c r="W87" s="815">
        <f>+'GRAFIC VTAS'!W6</f>
        <v>0</v>
      </c>
      <c r="X87" s="815">
        <f>+'GRAFIC VTAS'!X6</f>
        <v>0</v>
      </c>
      <c r="Y87" s="815">
        <f>+'GRAFIC VTAS'!Y6</f>
        <v>0</v>
      </c>
      <c r="Z87" s="815">
        <f>+'GRAFIC VTAS'!Z6</f>
        <v>0</v>
      </c>
      <c r="AA87" s="815">
        <f>+'GRAFIC VTAS'!AA6</f>
        <v>0</v>
      </c>
      <c r="AB87" s="815">
        <f>+'GRAFIC VTAS'!AB6</f>
        <v>0</v>
      </c>
      <c r="AC87" s="815">
        <f>+'GRAFIC VTAS'!AC6</f>
        <v>0</v>
      </c>
      <c r="AD87" s="815">
        <f>+'GRAFIC VTAS'!AD6</f>
        <v>0</v>
      </c>
      <c r="AE87" s="815">
        <f>+'GRAFIC VTAS'!AE6</f>
        <v>0</v>
      </c>
      <c r="AF87" s="815">
        <f>+'GRAFIC VTAS'!AF6</f>
        <v>0</v>
      </c>
      <c r="AG87" s="815">
        <f>+'GRAFIC VTAS'!AG6</f>
        <v>0</v>
      </c>
      <c r="AH87" s="815">
        <f>+'GRAFIC VTAS'!AH6</f>
        <v>0</v>
      </c>
      <c r="AI87" s="815">
        <f>+'GRAFIC VTAS'!AI6</f>
        <v>0</v>
      </c>
      <c r="AJ87" s="815">
        <f>+'GRAFIC VTAS'!AJ6</f>
        <v>0</v>
      </c>
      <c r="AK87" s="816">
        <f>+'GRAFIC VTAS'!AK6</f>
        <v>0</v>
      </c>
      <c r="AL87" s="195"/>
      <c r="AM87" s="195"/>
      <c r="AN87" s="195"/>
      <c r="AO87" s="195"/>
      <c r="AP87" s="195"/>
      <c r="AQ87" s="195"/>
      <c r="AR87" s="195"/>
      <c r="AS87" s="195"/>
      <c r="AT87" s="195"/>
    </row>
    <row r="88" spans="1:46">
      <c r="A88" s="343" t="str">
        <f>+'datos de entrada'!A87</f>
        <v/>
      </c>
      <c r="B88" s="811">
        <f>+'datos de entrada'!B87</f>
        <v>0</v>
      </c>
      <c r="C88" s="811">
        <f>+'datos de entrada'!C87</f>
        <v>0</v>
      </c>
      <c r="D88" s="811">
        <f>+'datos de entrada'!D87</f>
        <v>0</v>
      </c>
      <c r="E88" s="811">
        <f>+'datos de entrada'!E87</f>
        <v>0</v>
      </c>
      <c r="F88" s="811">
        <f>+'datos de entrada'!F87</f>
        <v>0</v>
      </c>
      <c r="G88" s="811">
        <f>+'datos de entrada'!G87</f>
        <v>0</v>
      </c>
      <c r="H88" s="811">
        <f>+'datos de entrada'!H87</f>
        <v>0</v>
      </c>
      <c r="I88" s="811">
        <f>+'datos de entrada'!I87</f>
        <v>0</v>
      </c>
      <c r="J88" s="811">
        <f>+'datos de entrada'!J87</f>
        <v>0</v>
      </c>
      <c r="K88" s="811">
        <f>+'datos de entrada'!K87</f>
        <v>0</v>
      </c>
      <c r="L88" s="811">
        <f>+'datos de entrada'!L87</f>
        <v>0</v>
      </c>
      <c r="M88" s="811">
        <f>+'datos de entrada'!M87</f>
        <v>0</v>
      </c>
      <c r="N88" s="815">
        <f>+'GRAFIC VTAS'!N7</f>
        <v>0</v>
      </c>
      <c r="O88" s="815">
        <f>+'GRAFIC VTAS'!O7</f>
        <v>0</v>
      </c>
      <c r="P88" s="815">
        <f>+'GRAFIC VTAS'!P7</f>
        <v>0</v>
      </c>
      <c r="Q88" s="815">
        <f>+'GRAFIC VTAS'!Q7</f>
        <v>0</v>
      </c>
      <c r="R88" s="815">
        <f>+'GRAFIC VTAS'!R7</f>
        <v>0</v>
      </c>
      <c r="S88" s="815">
        <f>+'GRAFIC VTAS'!S7</f>
        <v>0</v>
      </c>
      <c r="T88" s="815">
        <f>+'GRAFIC VTAS'!T7</f>
        <v>0</v>
      </c>
      <c r="U88" s="815">
        <f>+'GRAFIC VTAS'!U7</f>
        <v>0</v>
      </c>
      <c r="V88" s="815">
        <f>+'GRAFIC VTAS'!V7</f>
        <v>0</v>
      </c>
      <c r="W88" s="815">
        <f>+'GRAFIC VTAS'!W7</f>
        <v>0</v>
      </c>
      <c r="X88" s="815">
        <f>+'GRAFIC VTAS'!X7</f>
        <v>0</v>
      </c>
      <c r="Y88" s="815">
        <f>+'GRAFIC VTAS'!Y7</f>
        <v>0</v>
      </c>
      <c r="Z88" s="815">
        <f>+'GRAFIC VTAS'!Z7</f>
        <v>0</v>
      </c>
      <c r="AA88" s="815">
        <f>+'GRAFIC VTAS'!AA7</f>
        <v>0</v>
      </c>
      <c r="AB88" s="815">
        <f>+'GRAFIC VTAS'!AB7</f>
        <v>0</v>
      </c>
      <c r="AC88" s="815">
        <f>+'GRAFIC VTAS'!AC7</f>
        <v>0</v>
      </c>
      <c r="AD88" s="815">
        <f>+'GRAFIC VTAS'!AD7</f>
        <v>0</v>
      </c>
      <c r="AE88" s="815">
        <f>+'GRAFIC VTAS'!AE7</f>
        <v>0</v>
      </c>
      <c r="AF88" s="815">
        <f>+'GRAFIC VTAS'!AF7</f>
        <v>0</v>
      </c>
      <c r="AG88" s="815">
        <f>+'GRAFIC VTAS'!AG7</f>
        <v>0</v>
      </c>
      <c r="AH88" s="815">
        <f>+'GRAFIC VTAS'!AH7</f>
        <v>0</v>
      </c>
      <c r="AI88" s="815">
        <f>+'GRAFIC VTAS'!AI7</f>
        <v>0</v>
      </c>
      <c r="AJ88" s="815">
        <f>+'GRAFIC VTAS'!AJ7</f>
        <v>0</v>
      </c>
      <c r="AK88" s="816">
        <f>+'GRAFIC VTAS'!AK7</f>
        <v>0</v>
      </c>
      <c r="AL88" s="195"/>
      <c r="AM88" s="195"/>
      <c r="AN88" s="195"/>
      <c r="AO88" s="195"/>
      <c r="AP88" s="195"/>
      <c r="AQ88" s="195"/>
      <c r="AR88" s="195"/>
      <c r="AS88" s="195"/>
      <c r="AT88" s="195"/>
    </row>
    <row r="89" spans="1:46">
      <c r="A89" s="343" t="str">
        <f>+'datos de entrada'!A88</f>
        <v/>
      </c>
      <c r="B89" s="811">
        <f>+'datos de entrada'!B88</f>
        <v>0</v>
      </c>
      <c r="C89" s="811">
        <f>+'datos de entrada'!C88</f>
        <v>0</v>
      </c>
      <c r="D89" s="811">
        <f>+'datos de entrada'!D88</f>
        <v>0</v>
      </c>
      <c r="E89" s="811">
        <f>+'datos de entrada'!E88</f>
        <v>0</v>
      </c>
      <c r="F89" s="811">
        <f>+'datos de entrada'!F88</f>
        <v>0</v>
      </c>
      <c r="G89" s="811">
        <f>+'datos de entrada'!G88</f>
        <v>0</v>
      </c>
      <c r="H89" s="811">
        <f>+'datos de entrada'!H88</f>
        <v>0</v>
      </c>
      <c r="I89" s="811">
        <f>+'datos de entrada'!I88</f>
        <v>0</v>
      </c>
      <c r="J89" s="811">
        <f>+'datos de entrada'!J88</f>
        <v>0</v>
      </c>
      <c r="K89" s="811">
        <f>+'datos de entrada'!K88</f>
        <v>0</v>
      </c>
      <c r="L89" s="811">
        <f>+'datos de entrada'!L88</f>
        <v>0</v>
      </c>
      <c r="M89" s="811">
        <f>+'datos de entrada'!M88</f>
        <v>0</v>
      </c>
      <c r="N89" s="815">
        <f>+'GRAFIC VTAS'!N8</f>
        <v>0</v>
      </c>
      <c r="O89" s="815">
        <f>+'GRAFIC VTAS'!O8</f>
        <v>0</v>
      </c>
      <c r="P89" s="815">
        <f>+'GRAFIC VTAS'!P8</f>
        <v>0</v>
      </c>
      <c r="Q89" s="815">
        <f>+'GRAFIC VTAS'!Q8</f>
        <v>0</v>
      </c>
      <c r="R89" s="815">
        <f>+'GRAFIC VTAS'!R8</f>
        <v>0</v>
      </c>
      <c r="S89" s="815">
        <f>+'GRAFIC VTAS'!S8</f>
        <v>0</v>
      </c>
      <c r="T89" s="815">
        <f>+'GRAFIC VTAS'!T8</f>
        <v>0</v>
      </c>
      <c r="U89" s="815">
        <f>+'GRAFIC VTAS'!U8</f>
        <v>0</v>
      </c>
      <c r="V89" s="815">
        <f>+'GRAFIC VTAS'!V8</f>
        <v>0</v>
      </c>
      <c r="W89" s="815">
        <f>+'GRAFIC VTAS'!W8</f>
        <v>0</v>
      </c>
      <c r="X89" s="815">
        <f>+'GRAFIC VTAS'!X8</f>
        <v>0</v>
      </c>
      <c r="Y89" s="815">
        <f>+'GRAFIC VTAS'!Y8</f>
        <v>0</v>
      </c>
      <c r="Z89" s="815">
        <f>+'GRAFIC VTAS'!Z8</f>
        <v>0</v>
      </c>
      <c r="AA89" s="815">
        <f>+'GRAFIC VTAS'!AA8</f>
        <v>0</v>
      </c>
      <c r="AB89" s="815">
        <f>+'GRAFIC VTAS'!AB8</f>
        <v>0</v>
      </c>
      <c r="AC89" s="815">
        <f>+'GRAFIC VTAS'!AC8</f>
        <v>0</v>
      </c>
      <c r="AD89" s="815">
        <f>+'GRAFIC VTAS'!AD8</f>
        <v>0</v>
      </c>
      <c r="AE89" s="815">
        <f>+'GRAFIC VTAS'!AE8</f>
        <v>0</v>
      </c>
      <c r="AF89" s="815">
        <f>+'GRAFIC VTAS'!AF8</f>
        <v>0</v>
      </c>
      <c r="AG89" s="815">
        <f>+'GRAFIC VTAS'!AG8</f>
        <v>0</v>
      </c>
      <c r="AH89" s="815">
        <f>+'GRAFIC VTAS'!AH8</f>
        <v>0</v>
      </c>
      <c r="AI89" s="815">
        <f>+'GRAFIC VTAS'!AI8</f>
        <v>0</v>
      </c>
      <c r="AJ89" s="815">
        <f>+'GRAFIC VTAS'!AJ8</f>
        <v>0</v>
      </c>
      <c r="AK89" s="816">
        <f>+'GRAFIC VTAS'!AK8</f>
        <v>0</v>
      </c>
      <c r="AL89" s="195"/>
      <c r="AM89" s="195"/>
      <c r="AN89" s="195"/>
      <c r="AO89" s="195"/>
      <c r="AP89" s="195"/>
      <c r="AQ89" s="195"/>
      <c r="AR89" s="195"/>
      <c r="AS89" s="195"/>
      <c r="AT89" s="195"/>
    </row>
    <row r="90" spans="1:46">
      <c r="A90" s="343" t="str">
        <f>+'datos de entrada'!A89</f>
        <v/>
      </c>
      <c r="B90" s="811">
        <f>+'datos de entrada'!B89</f>
        <v>0</v>
      </c>
      <c r="C90" s="811">
        <f>+'datos de entrada'!C89</f>
        <v>0</v>
      </c>
      <c r="D90" s="811">
        <f>+'datos de entrada'!D89</f>
        <v>0</v>
      </c>
      <c r="E90" s="811">
        <f>+'datos de entrada'!E89</f>
        <v>0</v>
      </c>
      <c r="F90" s="811">
        <f>+'datos de entrada'!F89</f>
        <v>0</v>
      </c>
      <c r="G90" s="811">
        <f>+'datos de entrada'!G89</f>
        <v>0</v>
      </c>
      <c r="H90" s="811">
        <f>+'datos de entrada'!H89</f>
        <v>0</v>
      </c>
      <c r="I90" s="811">
        <f>+'datos de entrada'!I89</f>
        <v>0</v>
      </c>
      <c r="J90" s="811">
        <f>+'datos de entrada'!J89</f>
        <v>0</v>
      </c>
      <c r="K90" s="811">
        <f>+'datos de entrada'!K89</f>
        <v>0</v>
      </c>
      <c r="L90" s="811">
        <f>+'datos de entrada'!L89</f>
        <v>0</v>
      </c>
      <c r="M90" s="811">
        <f>+'datos de entrada'!M89</f>
        <v>0</v>
      </c>
      <c r="N90" s="815">
        <f>+'GRAFIC VTAS'!N9</f>
        <v>0</v>
      </c>
      <c r="O90" s="815">
        <f>+'GRAFIC VTAS'!O9</f>
        <v>0</v>
      </c>
      <c r="P90" s="815">
        <f>+'GRAFIC VTAS'!P9</f>
        <v>0</v>
      </c>
      <c r="Q90" s="815">
        <f>+'GRAFIC VTAS'!Q9</f>
        <v>0</v>
      </c>
      <c r="R90" s="815">
        <f>+'GRAFIC VTAS'!R9</f>
        <v>0</v>
      </c>
      <c r="S90" s="815">
        <f>+'GRAFIC VTAS'!S9</f>
        <v>0</v>
      </c>
      <c r="T90" s="815">
        <f>+'GRAFIC VTAS'!T9</f>
        <v>0</v>
      </c>
      <c r="U90" s="815">
        <f>+'GRAFIC VTAS'!U9</f>
        <v>0</v>
      </c>
      <c r="V90" s="815">
        <f>+'GRAFIC VTAS'!V9</f>
        <v>0</v>
      </c>
      <c r="W90" s="815">
        <f>+'GRAFIC VTAS'!W9</f>
        <v>0</v>
      </c>
      <c r="X90" s="815">
        <f>+'GRAFIC VTAS'!X9</f>
        <v>0</v>
      </c>
      <c r="Y90" s="815">
        <f>+'GRAFIC VTAS'!Y9</f>
        <v>0</v>
      </c>
      <c r="Z90" s="815">
        <f>+'GRAFIC VTAS'!Z9</f>
        <v>0</v>
      </c>
      <c r="AA90" s="815">
        <f>+'GRAFIC VTAS'!AA9</f>
        <v>0</v>
      </c>
      <c r="AB90" s="815">
        <f>+'GRAFIC VTAS'!AB9</f>
        <v>0</v>
      </c>
      <c r="AC90" s="815">
        <f>+'GRAFIC VTAS'!AC9</f>
        <v>0</v>
      </c>
      <c r="AD90" s="815">
        <f>+'GRAFIC VTAS'!AD9</f>
        <v>0</v>
      </c>
      <c r="AE90" s="815">
        <f>+'GRAFIC VTAS'!AE9</f>
        <v>0</v>
      </c>
      <c r="AF90" s="815">
        <f>+'GRAFIC VTAS'!AF9</f>
        <v>0</v>
      </c>
      <c r="AG90" s="815">
        <f>+'GRAFIC VTAS'!AG9</f>
        <v>0</v>
      </c>
      <c r="AH90" s="815">
        <f>+'GRAFIC VTAS'!AH9</f>
        <v>0</v>
      </c>
      <c r="AI90" s="815">
        <f>+'GRAFIC VTAS'!AI9</f>
        <v>0</v>
      </c>
      <c r="AJ90" s="815">
        <f>+'GRAFIC VTAS'!AJ9</f>
        <v>0</v>
      </c>
      <c r="AK90" s="816">
        <f>+'GRAFIC VTAS'!AK9</f>
        <v>0</v>
      </c>
      <c r="AL90" s="195"/>
      <c r="AM90" s="195"/>
      <c r="AN90" s="195"/>
      <c r="AO90" s="195"/>
      <c r="AP90" s="195"/>
      <c r="AQ90" s="195"/>
      <c r="AR90" s="195"/>
      <c r="AS90" s="195"/>
      <c r="AT90" s="195"/>
    </row>
    <row r="91" spans="1:46">
      <c r="A91" s="343" t="str">
        <f>+'datos de entrada'!A90</f>
        <v/>
      </c>
      <c r="B91" s="811">
        <f>+'datos de entrada'!B90</f>
        <v>0</v>
      </c>
      <c r="C91" s="811">
        <f>+'datos de entrada'!C90</f>
        <v>0</v>
      </c>
      <c r="D91" s="811">
        <f>+'datos de entrada'!D90</f>
        <v>0</v>
      </c>
      <c r="E91" s="811">
        <f>+'datos de entrada'!E90</f>
        <v>0</v>
      </c>
      <c r="F91" s="811">
        <f>+'datos de entrada'!F90</f>
        <v>0</v>
      </c>
      <c r="G91" s="811">
        <f>+'datos de entrada'!G90</f>
        <v>0</v>
      </c>
      <c r="H91" s="811">
        <f>+'datos de entrada'!H90</f>
        <v>0</v>
      </c>
      <c r="I91" s="811">
        <f>+'datos de entrada'!I90</f>
        <v>0</v>
      </c>
      <c r="J91" s="811">
        <f>+'datos de entrada'!J90</f>
        <v>0</v>
      </c>
      <c r="K91" s="811">
        <f>+'datos de entrada'!K90</f>
        <v>0</v>
      </c>
      <c r="L91" s="811">
        <f>+'datos de entrada'!L90</f>
        <v>0</v>
      </c>
      <c r="M91" s="811">
        <f>+'datos de entrada'!M90</f>
        <v>0</v>
      </c>
      <c r="N91" s="815">
        <f>+'GRAFIC VTAS'!N10</f>
        <v>0</v>
      </c>
      <c r="O91" s="815">
        <f>+'GRAFIC VTAS'!O10</f>
        <v>0</v>
      </c>
      <c r="P91" s="815">
        <f>+'GRAFIC VTAS'!P10</f>
        <v>0</v>
      </c>
      <c r="Q91" s="815">
        <f>+'GRAFIC VTAS'!Q10</f>
        <v>0</v>
      </c>
      <c r="R91" s="815">
        <f>+'GRAFIC VTAS'!R10</f>
        <v>0</v>
      </c>
      <c r="S91" s="815">
        <f>+'GRAFIC VTAS'!S10</f>
        <v>0</v>
      </c>
      <c r="T91" s="815">
        <f>+'GRAFIC VTAS'!T10</f>
        <v>0</v>
      </c>
      <c r="U91" s="815">
        <f>+'GRAFIC VTAS'!U10</f>
        <v>0</v>
      </c>
      <c r="V91" s="815">
        <f>+'GRAFIC VTAS'!V10</f>
        <v>0</v>
      </c>
      <c r="W91" s="815">
        <f>+'GRAFIC VTAS'!W10</f>
        <v>0</v>
      </c>
      <c r="X91" s="815">
        <f>+'GRAFIC VTAS'!X10</f>
        <v>0</v>
      </c>
      <c r="Y91" s="815">
        <f>+'GRAFIC VTAS'!Y10</f>
        <v>0</v>
      </c>
      <c r="Z91" s="815">
        <f>+'GRAFIC VTAS'!Z10</f>
        <v>0</v>
      </c>
      <c r="AA91" s="815">
        <f>+'GRAFIC VTAS'!AA10</f>
        <v>0</v>
      </c>
      <c r="AB91" s="815">
        <f>+'GRAFIC VTAS'!AB10</f>
        <v>0</v>
      </c>
      <c r="AC91" s="815">
        <f>+'GRAFIC VTAS'!AC10</f>
        <v>0</v>
      </c>
      <c r="AD91" s="815">
        <f>+'GRAFIC VTAS'!AD10</f>
        <v>0</v>
      </c>
      <c r="AE91" s="815">
        <f>+'GRAFIC VTAS'!AE10</f>
        <v>0</v>
      </c>
      <c r="AF91" s="815">
        <f>+'GRAFIC VTAS'!AF10</f>
        <v>0</v>
      </c>
      <c r="AG91" s="815">
        <f>+'GRAFIC VTAS'!AG10</f>
        <v>0</v>
      </c>
      <c r="AH91" s="815">
        <f>+'GRAFIC VTAS'!AH10</f>
        <v>0</v>
      </c>
      <c r="AI91" s="815">
        <f>+'GRAFIC VTAS'!AI10</f>
        <v>0</v>
      </c>
      <c r="AJ91" s="815">
        <f>+'GRAFIC VTAS'!AJ10</f>
        <v>0</v>
      </c>
      <c r="AK91" s="816">
        <f>+'GRAFIC VTAS'!AK10</f>
        <v>0</v>
      </c>
      <c r="AL91" s="195"/>
      <c r="AM91" s="195"/>
      <c r="AN91" s="195"/>
      <c r="AO91" s="195"/>
      <c r="AP91" s="195"/>
      <c r="AQ91" s="195"/>
      <c r="AR91" s="195"/>
      <c r="AS91" s="195"/>
      <c r="AT91" s="195"/>
    </row>
    <row r="92" spans="1:46">
      <c r="A92" s="343" t="str">
        <f>+'datos de entrada'!A91</f>
        <v/>
      </c>
      <c r="B92" s="811">
        <f>+'datos de entrada'!B91</f>
        <v>0</v>
      </c>
      <c r="C92" s="811">
        <f>+'datos de entrada'!C91</f>
        <v>0</v>
      </c>
      <c r="D92" s="811">
        <f>+'datos de entrada'!D91</f>
        <v>0</v>
      </c>
      <c r="E92" s="811">
        <f>+'datos de entrada'!E91</f>
        <v>0</v>
      </c>
      <c r="F92" s="811">
        <f>+'datos de entrada'!F91</f>
        <v>0</v>
      </c>
      <c r="G92" s="811">
        <f>+'datos de entrada'!G91</f>
        <v>0</v>
      </c>
      <c r="H92" s="811">
        <f>+'datos de entrada'!H91</f>
        <v>0</v>
      </c>
      <c r="I92" s="811">
        <f>+'datos de entrada'!I91</f>
        <v>0</v>
      </c>
      <c r="J92" s="811">
        <f>+'datos de entrada'!J91</f>
        <v>0</v>
      </c>
      <c r="K92" s="811">
        <f>+'datos de entrada'!K91</f>
        <v>0</v>
      </c>
      <c r="L92" s="811">
        <f>+'datos de entrada'!L91</f>
        <v>0</v>
      </c>
      <c r="M92" s="811">
        <f>+'datos de entrada'!M91</f>
        <v>0</v>
      </c>
      <c r="N92" s="815">
        <f>+'GRAFIC VTAS'!N11</f>
        <v>0</v>
      </c>
      <c r="O92" s="815">
        <f>+'GRAFIC VTAS'!O11</f>
        <v>0</v>
      </c>
      <c r="P92" s="815">
        <f>+'GRAFIC VTAS'!P11</f>
        <v>0</v>
      </c>
      <c r="Q92" s="815">
        <f>+'GRAFIC VTAS'!Q11</f>
        <v>0</v>
      </c>
      <c r="R92" s="815">
        <f>+'GRAFIC VTAS'!R11</f>
        <v>0</v>
      </c>
      <c r="S92" s="815">
        <f>+'GRAFIC VTAS'!S11</f>
        <v>0</v>
      </c>
      <c r="T92" s="815">
        <f>+'GRAFIC VTAS'!T11</f>
        <v>0</v>
      </c>
      <c r="U92" s="815">
        <f>+'GRAFIC VTAS'!U11</f>
        <v>0</v>
      </c>
      <c r="V92" s="815">
        <f>+'GRAFIC VTAS'!V11</f>
        <v>0</v>
      </c>
      <c r="W92" s="815">
        <f>+'GRAFIC VTAS'!W11</f>
        <v>0</v>
      </c>
      <c r="X92" s="815">
        <f>+'GRAFIC VTAS'!X11</f>
        <v>0</v>
      </c>
      <c r="Y92" s="815">
        <f>+'GRAFIC VTAS'!Y11</f>
        <v>0</v>
      </c>
      <c r="Z92" s="815">
        <f>+'GRAFIC VTAS'!Z11</f>
        <v>0</v>
      </c>
      <c r="AA92" s="815">
        <f>+'GRAFIC VTAS'!AA11</f>
        <v>0</v>
      </c>
      <c r="AB92" s="815">
        <f>+'GRAFIC VTAS'!AB11</f>
        <v>0</v>
      </c>
      <c r="AC92" s="815">
        <f>+'GRAFIC VTAS'!AC11</f>
        <v>0</v>
      </c>
      <c r="AD92" s="815">
        <f>+'GRAFIC VTAS'!AD11</f>
        <v>0</v>
      </c>
      <c r="AE92" s="815">
        <f>+'GRAFIC VTAS'!AE11</f>
        <v>0</v>
      </c>
      <c r="AF92" s="815">
        <f>+'GRAFIC VTAS'!AF11</f>
        <v>0</v>
      </c>
      <c r="AG92" s="815">
        <f>+'GRAFIC VTAS'!AG11</f>
        <v>0</v>
      </c>
      <c r="AH92" s="815">
        <f>+'GRAFIC VTAS'!AH11</f>
        <v>0</v>
      </c>
      <c r="AI92" s="815">
        <f>+'GRAFIC VTAS'!AI11</f>
        <v>0</v>
      </c>
      <c r="AJ92" s="815">
        <f>+'GRAFIC VTAS'!AJ11</f>
        <v>0</v>
      </c>
      <c r="AK92" s="816">
        <f>+'GRAFIC VTAS'!AK11</f>
        <v>0</v>
      </c>
      <c r="AL92" s="195"/>
      <c r="AM92" s="195"/>
      <c r="AN92" s="195"/>
      <c r="AO92" s="195"/>
      <c r="AP92" s="195"/>
      <c r="AQ92" s="195"/>
      <c r="AR92" s="195"/>
      <c r="AS92" s="195"/>
      <c r="AT92" s="195"/>
    </row>
    <row r="93" spans="1:46" ht="15.75" thickBot="1">
      <c r="A93" s="344" t="str">
        <f>+'datos de entrada'!A92</f>
        <v/>
      </c>
      <c r="B93" s="817">
        <f>+'datos de entrada'!B92</f>
        <v>0</v>
      </c>
      <c r="C93" s="817">
        <f>+'datos de entrada'!C92</f>
        <v>0</v>
      </c>
      <c r="D93" s="817">
        <f>+'datos de entrada'!D92</f>
        <v>0</v>
      </c>
      <c r="E93" s="817">
        <f>+'datos de entrada'!E92</f>
        <v>0</v>
      </c>
      <c r="F93" s="817">
        <f>+'datos de entrada'!F92</f>
        <v>0</v>
      </c>
      <c r="G93" s="817">
        <f>+'datos de entrada'!G92</f>
        <v>0</v>
      </c>
      <c r="H93" s="817">
        <f>+'datos de entrada'!H92</f>
        <v>0</v>
      </c>
      <c r="I93" s="817">
        <f>+'datos de entrada'!I92</f>
        <v>0</v>
      </c>
      <c r="J93" s="817">
        <f>+'datos de entrada'!J92</f>
        <v>0</v>
      </c>
      <c r="K93" s="817">
        <f>+'datos de entrada'!K92</f>
        <v>0</v>
      </c>
      <c r="L93" s="817">
        <f>+'datos de entrada'!L92</f>
        <v>0</v>
      </c>
      <c r="M93" s="817">
        <f>+'datos de entrada'!M92</f>
        <v>0</v>
      </c>
      <c r="N93" s="818">
        <f>+'GRAFIC VTAS'!N12</f>
        <v>0</v>
      </c>
      <c r="O93" s="818">
        <f>+'GRAFIC VTAS'!O12</f>
        <v>0</v>
      </c>
      <c r="P93" s="818">
        <f>+'GRAFIC VTAS'!P12</f>
        <v>0</v>
      </c>
      <c r="Q93" s="818">
        <f>+'GRAFIC VTAS'!Q12</f>
        <v>0</v>
      </c>
      <c r="R93" s="818">
        <f>+'GRAFIC VTAS'!R12</f>
        <v>0</v>
      </c>
      <c r="S93" s="818">
        <f>+'GRAFIC VTAS'!S12</f>
        <v>0</v>
      </c>
      <c r="T93" s="818">
        <f>+'GRAFIC VTAS'!T12</f>
        <v>0</v>
      </c>
      <c r="U93" s="818">
        <f>+'GRAFIC VTAS'!U12</f>
        <v>0</v>
      </c>
      <c r="V93" s="818">
        <f>+'GRAFIC VTAS'!V12</f>
        <v>0</v>
      </c>
      <c r="W93" s="818">
        <f>+'GRAFIC VTAS'!W12</f>
        <v>0</v>
      </c>
      <c r="X93" s="818">
        <f>+'GRAFIC VTAS'!X12</f>
        <v>0</v>
      </c>
      <c r="Y93" s="818">
        <f>+'GRAFIC VTAS'!Y12</f>
        <v>0</v>
      </c>
      <c r="Z93" s="818">
        <f>+'GRAFIC VTAS'!Z12</f>
        <v>0</v>
      </c>
      <c r="AA93" s="818">
        <f>+'GRAFIC VTAS'!AA12</f>
        <v>0</v>
      </c>
      <c r="AB93" s="818">
        <f>+'GRAFIC VTAS'!AB12</f>
        <v>0</v>
      </c>
      <c r="AC93" s="818">
        <f>+'GRAFIC VTAS'!AC12</f>
        <v>0</v>
      </c>
      <c r="AD93" s="818">
        <f>+'GRAFIC VTAS'!AD12</f>
        <v>0</v>
      </c>
      <c r="AE93" s="818">
        <f>+'GRAFIC VTAS'!AE12</f>
        <v>0</v>
      </c>
      <c r="AF93" s="818">
        <f>+'GRAFIC VTAS'!AF12</f>
        <v>0</v>
      </c>
      <c r="AG93" s="818">
        <f>+'GRAFIC VTAS'!AG12</f>
        <v>0</v>
      </c>
      <c r="AH93" s="818">
        <f>+'GRAFIC VTAS'!AH12</f>
        <v>0</v>
      </c>
      <c r="AI93" s="818">
        <f>+'GRAFIC VTAS'!AI12</f>
        <v>0</v>
      </c>
      <c r="AJ93" s="818">
        <f>+'GRAFIC VTAS'!AJ12</f>
        <v>0</v>
      </c>
      <c r="AK93" s="819">
        <f>+'GRAFIC VTAS'!AK12</f>
        <v>0</v>
      </c>
      <c r="AL93" s="195"/>
      <c r="AM93" s="195"/>
      <c r="AN93" s="195"/>
      <c r="AO93" s="195"/>
      <c r="AP93" s="195"/>
      <c r="AQ93" s="195"/>
      <c r="AR93" s="195"/>
      <c r="AS93" s="195"/>
      <c r="AT93" s="195"/>
    </row>
    <row r="94" spans="1:46" ht="15.75" thickBot="1">
      <c r="A94" s="212"/>
      <c r="B94" s="221">
        <f t="shared" ref="B94:M94" si="3">+B80+365</f>
        <v>42048</v>
      </c>
      <c r="C94" s="221">
        <f t="shared" si="3"/>
        <v>42078</v>
      </c>
      <c r="D94" s="221">
        <f t="shared" si="3"/>
        <v>42108</v>
      </c>
      <c r="E94" s="221">
        <f t="shared" si="3"/>
        <v>42138</v>
      </c>
      <c r="F94" s="221">
        <f t="shared" si="3"/>
        <v>42168</v>
      </c>
      <c r="G94" s="221">
        <f t="shared" si="3"/>
        <v>42198</v>
      </c>
      <c r="H94" s="221">
        <f t="shared" si="3"/>
        <v>42228</v>
      </c>
      <c r="I94" s="221">
        <f t="shared" si="3"/>
        <v>42258</v>
      </c>
      <c r="J94" s="221">
        <f t="shared" si="3"/>
        <v>42288</v>
      </c>
      <c r="K94" s="221">
        <f t="shared" si="3"/>
        <v>42318</v>
      </c>
      <c r="L94" s="221">
        <f t="shared" si="3"/>
        <v>42348</v>
      </c>
      <c r="M94" s="221">
        <f t="shared" si="3"/>
        <v>42378</v>
      </c>
      <c r="N94" s="210"/>
      <c r="O94" s="212"/>
      <c r="P94" s="212"/>
      <c r="Q94" s="212"/>
      <c r="R94" s="212"/>
      <c r="S94" s="212"/>
      <c r="T94" s="212"/>
      <c r="U94" s="212"/>
      <c r="V94" s="212"/>
      <c r="W94" s="212"/>
      <c r="X94" s="212"/>
      <c r="Y94" s="212"/>
      <c r="Z94" s="212"/>
      <c r="AA94" s="212"/>
      <c r="AB94" s="198"/>
      <c r="AC94" s="198"/>
      <c r="AD94" s="198">
        <v>2020</v>
      </c>
      <c r="AE94" s="198">
        <v>365</v>
      </c>
      <c r="AF94" s="198">
        <v>4383</v>
      </c>
      <c r="AG94" s="195"/>
      <c r="AH94" s="195"/>
      <c r="AI94" s="195"/>
      <c r="AJ94" s="195"/>
      <c r="AK94" s="195"/>
      <c r="AL94" s="195"/>
      <c r="AM94" s="195"/>
      <c r="AN94" s="195"/>
      <c r="AO94" s="195"/>
      <c r="AP94" s="195"/>
      <c r="AQ94" s="195"/>
      <c r="AR94" s="195"/>
      <c r="AS94" s="195"/>
      <c r="AT94" s="195"/>
    </row>
    <row r="95" spans="1:46">
      <c r="A95" s="376"/>
      <c r="B95" s="377">
        <f t="shared" ref="B95:M95" si="4">+B94+365</f>
        <v>42413</v>
      </c>
      <c r="C95" s="378">
        <f t="shared" si="4"/>
        <v>42443</v>
      </c>
      <c r="D95" s="221">
        <f t="shared" si="4"/>
        <v>42473</v>
      </c>
      <c r="E95" s="221">
        <f t="shared" si="4"/>
        <v>42503</v>
      </c>
      <c r="F95" s="382">
        <f t="shared" si="4"/>
        <v>42533</v>
      </c>
      <c r="G95" s="378">
        <f t="shared" si="4"/>
        <v>42563</v>
      </c>
      <c r="H95" s="221">
        <f t="shared" si="4"/>
        <v>42593</v>
      </c>
      <c r="I95" s="221">
        <f t="shared" si="4"/>
        <v>42623</v>
      </c>
      <c r="J95" s="221">
        <f t="shared" si="4"/>
        <v>42653</v>
      </c>
      <c r="K95" s="221">
        <f t="shared" si="4"/>
        <v>42683</v>
      </c>
      <c r="L95" s="221">
        <f t="shared" si="4"/>
        <v>42713</v>
      </c>
      <c r="M95" s="221">
        <f t="shared" si="4"/>
        <v>42743</v>
      </c>
      <c r="N95" s="210"/>
      <c r="O95" s="212"/>
      <c r="P95" s="212"/>
      <c r="Q95" s="212"/>
      <c r="R95" s="212"/>
      <c r="S95" s="212"/>
      <c r="T95" s="212"/>
      <c r="U95" s="212"/>
      <c r="V95" s="212"/>
      <c r="W95" s="212"/>
      <c r="X95" s="212"/>
      <c r="Y95" s="212"/>
      <c r="Z95" s="212"/>
      <c r="AA95" s="212"/>
      <c r="AB95" s="198"/>
      <c r="AC95" s="198"/>
      <c r="AD95" s="198">
        <v>2021</v>
      </c>
      <c r="AE95" s="198">
        <v>366</v>
      </c>
      <c r="AF95" s="198">
        <v>4749</v>
      </c>
      <c r="AG95" s="195"/>
      <c r="AH95" s="195"/>
      <c r="AI95" s="195"/>
      <c r="AJ95" s="195"/>
      <c r="AK95" s="195"/>
      <c r="AL95" s="195"/>
      <c r="AM95" s="195"/>
      <c r="AN95" s="195"/>
      <c r="AO95" s="195"/>
      <c r="AP95" s="195"/>
      <c r="AQ95" s="195"/>
      <c r="AR95" s="195"/>
      <c r="AS95" s="195"/>
      <c r="AT95" s="195"/>
    </row>
    <row r="96" spans="1:46" ht="15.75">
      <c r="A96" s="1081" t="s">
        <v>618</v>
      </c>
      <c r="B96" s="1082"/>
      <c r="C96" s="1083"/>
      <c r="D96" s="210"/>
      <c r="E96" s="210"/>
      <c r="F96" s="1084" t="s">
        <v>772</v>
      </c>
      <c r="G96" s="1085"/>
      <c r="H96" s="210"/>
      <c r="I96" s="210"/>
      <c r="J96" s="228"/>
      <c r="K96" s="228"/>
      <c r="L96" s="228"/>
      <c r="M96" s="228"/>
      <c r="N96" s="210"/>
      <c r="O96" s="212"/>
      <c r="P96" s="212"/>
      <c r="Q96" s="212"/>
      <c r="R96" s="212"/>
      <c r="S96" s="212"/>
      <c r="T96" s="212"/>
      <c r="U96" s="212"/>
      <c r="V96" s="212"/>
      <c r="W96" s="212"/>
      <c r="X96" s="212"/>
      <c r="Y96" s="212"/>
      <c r="Z96" s="212"/>
      <c r="AA96" s="212"/>
      <c r="AB96" s="198"/>
      <c r="AC96" s="198"/>
      <c r="AD96" s="198">
        <v>2022</v>
      </c>
      <c r="AE96" s="198">
        <v>365</v>
      </c>
      <c r="AF96" s="198">
        <v>5114</v>
      </c>
      <c r="AG96" s="195"/>
      <c r="AH96" s="195"/>
      <c r="AI96" s="195"/>
      <c r="AJ96" s="195"/>
      <c r="AK96" s="195"/>
      <c r="AL96" s="195"/>
      <c r="AM96" s="195"/>
      <c r="AN96" s="195"/>
      <c r="AO96" s="195"/>
      <c r="AP96" s="195"/>
      <c r="AQ96" s="195"/>
      <c r="AR96" s="195"/>
      <c r="AS96" s="195"/>
      <c r="AT96" s="195"/>
    </row>
    <row r="97" spans="1:46">
      <c r="A97" s="351"/>
      <c r="B97" s="367"/>
      <c r="C97" s="379"/>
      <c r="D97" s="212"/>
      <c r="E97" s="212"/>
      <c r="F97" s="1086"/>
      <c r="G97" s="1087"/>
      <c r="H97" s="194"/>
      <c r="I97" s="210"/>
      <c r="J97" s="228"/>
      <c r="K97" s="228"/>
      <c r="L97" s="228"/>
      <c r="M97" s="228"/>
      <c r="N97" s="210"/>
      <c r="O97" s="212"/>
      <c r="P97" s="212"/>
      <c r="Q97" s="212"/>
      <c r="R97" s="212"/>
      <c r="S97" s="212"/>
      <c r="T97" s="212"/>
      <c r="U97" s="212"/>
      <c r="V97" s="212"/>
      <c r="W97" s="212"/>
      <c r="X97" s="212"/>
      <c r="Y97" s="212"/>
      <c r="Z97" s="212"/>
      <c r="AA97" s="212"/>
      <c r="AB97" s="198"/>
      <c r="AC97" s="198"/>
      <c r="AD97" s="198">
        <v>2023</v>
      </c>
      <c r="AE97" s="198">
        <v>365</v>
      </c>
      <c r="AF97" s="198">
        <v>5479</v>
      </c>
      <c r="AG97" s="195"/>
      <c r="AH97" s="195"/>
      <c r="AI97" s="195"/>
      <c r="AJ97" s="195"/>
      <c r="AK97" s="195"/>
      <c r="AL97" s="195"/>
      <c r="AM97" s="195"/>
      <c r="AN97" s="195"/>
      <c r="AO97" s="195"/>
      <c r="AP97" s="195"/>
      <c r="AQ97" s="195"/>
      <c r="AR97" s="195"/>
      <c r="AS97" s="195"/>
      <c r="AT97" s="195"/>
    </row>
    <row r="98" spans="1:46" ht="15.75">
      <c r="A98" s="1114" t="s">
        <v>575</v>
      </c>
      <c r="B98" s="1116" t="s">
        <v>619</v>
      </c>
      <c r="C98" s="1112" t="s">
        <v>620</v>
      </c>
      <c r="D98" s="225"/>
      <c r="E98" s="225"/>
      <c r="F98" s="383" t="s">
        <v>619</v>
      </c>
      <c r="G98" s="384" t="s">
        <v>620</v>
      </c>
      <c r="H98" s="380"/>
      <c r="I98" s="225"/>
      <c r="J98" s="228"/>
      <c r="K98" s="228"/>
      <c r="L98" s="228"/>
      <c r="M98" s="228"/>
      <c r="N98" s="210"/>
      <c r="O98" s="212"/>
      <c r="P98" s="212"/>
      <c r="Q98" s="212"/>
      <c r="R98" s="212"/>
      <c r="S98" s="212"/>
      <c r="T98" s="212"/>
      <c r="U98" s="212"/>
      <c r="V98" s="212"/>
      <c r="W98" s="212"/>
      <c r="X98" s="212"/>
      <c r="Y98" s="212"/>
      <c r="Z98" s="212"/>
      <c r="AA98" s="212"/>
      <c r="AB98" s="198"/>
      <c r="AC98" s="198"/>
      <c r="AD98" s="198">
        <v>2024</v>
      </c>
      <c r="AE98" s="198">
        <v>365</v>
      </c>
      <c r="AF98" s="198">
        <v>5844</v>
      </c>
      <c r="AG98" s="195"/>
      <c r="AH98" s="195"/>
      <c r="AI98" s="195"/>
      <c r="AJ98" s="195"/>
      <c r="AK98" s="195"/>
      <c r="AL98" s="195"/>
      <c r="AM98" s="195"/>
      <c r="AN98" s="195"/>
      <c r="AO98" s="195"/>
      <c r="AP98" s="195"/>
      <c r="AQ98" s="195"/>
      <c r="AR98" s="195"/>
      <c r="AS98" s="195"/>
      <c r="AT98" s="195"/>
    </row>
    <row r="99" spans="1:46">
      <c r="A99" s="1115"/>
      <c r="B99" s="1117"/>
      <c r="C99" s="1113"/>
      <c r="D99" s="226"/>
      <c r="E99" s="226"/>
      <c r="F99" s="385"/>
      <c r="G99" s="386"/>
      <c r="H99" s="224"/>
      <c r="I99" s="226"/>
      <c r="J99" s="228"/>
      <c r="K99" s="228"/>
      <c r="L99" s="228"/>
      <c r="M99" s="228"/>
      <c r="N99" s="210"/>
      <c r="O99" s="212"/>
      <c r="P99" s="212"/>
      <c r="Q99" s="212"/>
      <c r="R99" s="212"/>
      <c r="S99" s="212"/>
      <c r="T99" s="212"/>
      <c r="U99" s="212"/>
      <c r="V99" s="212"/>
      <c r="W99" s="212"/>
      <c r="X99" s="212"/>
      <c r="Y99" s="212"/>
      <c r="Z99" s="212"/>
      <c r="AA99" s="212"/>
      <c r="AB99" s="198"/>
      <c r="AC99" s="198"/>
      <c r="AD99" s="198">
        <v>2025</v>
      </c>
      <c r="AE99" s="198">
        <v>366</v>
      </c>
      <c r="AF99" s="198">
        <v>6210</v>
      </c>
      <c r="AG99" s="195"/>
      <c r="AH99" s="195"/>
      <c r="AI99" s="195"/>
      <c r="AJ99" s="195"/>
      <c r="AK99" s="195"/>
      <c r="AL99" s="195"/>
      <c r="AM99" s="195"/>
      <c r="AN99" s="195"/>
      <c r="AO99" s="195"/>
      <c r="AP99" s="195"/>
      <c r="AQ99" s="195"/>
      <c r="AR99" s="195"/>
      <c r="AS99" s="195"/>
      <c r="AT99" s="195"/>
    </row>
    <row r="100" spans="1:46">
      <c r="A100" s="343">
        <f>+'datos de entrada'!A99</f>
        <v>0</v>
      </c>
      <c r="B100" s="811">
        <f>+'datos de entrada'!B99</f>
        <v>1393</v>
      </c>
      <c r="C100" s="812">
        <f>+'datos de entrada'!C99</f>
        <v>2020</v>
      </c>
      <c r="D100" s="227"/>
      <c r="E100" s="227"/>
      <c r="F100" s="821">
        <f>+'datos de entrada'!F99</f>
        <v>0.10318518518518519</v>
      </c>
      <c r="G100" s="813">
        <f>+'datos de entrada'!G99</f>
        <v>0.13563419055932316</v>
      </c>
      <c r="H100" s="204"/>
      <c r="I100" s="233"/>
      <c r="J100" s="228"/>
      <c r="K100" s="228"/>
      <c r="L100" s="228"/>
      <c r="M100" s="228"/>
      <c r="N100" s="210"/>
      <c r="O100" s="212"/>
      <c r="P100" s="212"/>
      <c r="Q100" s="212"/>
      <c r="R100" s="212"/>
      <c r="S100" s="212"/>
      <c r="T100" s="212"/>
      <c r="U100" s="212"/>
      <c r="V100" s="212"/>
      <c r="W100" s="212"/>
      <c r="X100" s="212"/>
      <c r="Y100" s="212"/>
      <c r="Z100" s="212"/>
      <c r="AA100" s="212"/>
      <c r="AB100" s="198"/>
      <c r="AC100" s="198"/>
      <c r="AD100" s="198">
        <v>2026</v>
      </c>
      <c r="AE100" s="198">
        <v>365</v>
      </c>
      <c r="AF100" s="198">
        <v>6575</v>
      </c>
      <c r="AG100" s="195"/>
      <c r="AH100" s="195"/>
      <c r="AI100" s="195"/>
      <c r="AJ100" s="195"/>
      <c r="AK100" s="195"/>
      <c r="AL100" s="195"/>
      <c r="AM100" s="195"/>
      <c r="AN100" s="195"/>
      <c r="AO100" s="195"/>
      <c r="AP100" s="195"/>
      <c r="AQ100" s="195"/>
      <c r="AR100" s="195"/>
      <c r="AS100" s="195"/>
      <c r="AT100" s="195"/>
    </row>
    <row r="101" spans="1:46">
      <c r="A101" s="343">
        <f>+'datos de entrada'!A100</f>
        <v>0</v>
      </c>
      <c r="B101" s="811">
        <f>+'datos de entrada'!B100</f>
        <v>0</v>
      </c>
      <c r="C101" s="812">
        <f>+'datos de entrada'!C100</f>
        <v>0</v>
      </c>
      <c r="D101" s="227"/>
      <c r="E101" s="227"/>
      <c r="F101" s="821">
        <f>+'datos de entrada'!F100</f>
        <v>0</v>
      </c>
      <c r="G101" s="813">
        <f>+'datos de entrada'!G100</f>
        <v>0</v>
      </c>
      <c r="H101" s="204"/>
      <c r="I101" s="233"/>
      <c r="J101" s="228"/>
      <c r="K101" s="228"/>
      <c r="L101" s="228"/>
      <c r="M101" s="228"/>
      <c r="N101" s="210"/>
      <c r="O101" s="212"/>
      <c r="P101" s="212"/>
      <c r="Q101" s="212"/>
      <c r="R101" s="212"/>
      <c r="S101" s="212"/>
      <c r="T101" s="212"/>
      <c r="U101" s="212"/>
      <c r="V101" s="212"/>
      <c r="W101" s="212"/>
      <c r="X101" s="212"/>
      <c r="Y101" s="212"/>
      <c r="Z101" s="212"/>
      <c r="AA101" s="212"/>
      <c r="AB101" s="198"/>
      <c r="AC101" s="198"/>
      <c r="AD101" s="198">
        <v>2027</v>
      </c>
      <c r="AE101" s="198">
        <v>365</v>
      </c>
      <c r="AF101" s="198">
        <v>6940</v>
      </c>
      <c r="AG101" s="195"/>
      <c r="AH101" s="195"/>
      <c r="AI101" s="195"/>
      <c r="AJ101" s="195"/>
      <c r="AK101" s="195"/>
      <c r="AL101" s="195"/>
      <c r="AM101" s="195"/>
      <c r="AN101" s="195"/>
      <c r="AO101" s="195"/>
      <c r="AP101" s="195"/>
      <c r="AQ101" s="195"/>
      <c r="AR101" s="195"/>
      <c r="AS101" s="195"/>
      <c r="AT101" s="195"/>
    </row>
    <row r="102" spans="1:46">
      <c r="A102" s="343">
        <f>+'datos de entrada'!A101</f>
        <v>0</v>
      </c>
      <c r="B102" s="811">
        <f>+'datos de entrada'!B101</f>
        <v>0</v>
      </c>
      <c r="C102" s="812">
        <f>+'datos de entrada'!C101</f>
        <v>0</v>
      </c>
      <c r="D102" s="227"/>
      <c r="E102" s="227"/>
      <c r="F102" s="821">
        <f>+'datos de entrada'!F101</f>
        <v>0</v>
      </c>
      <c r="G102" s="813">
        <f>+'datos de entrada'!G101</f>
        <v>0</v>
      </c>
      <c r="H102" s="204"/>
      <c r="I102" s="233"/>
      <c r="J102" s="228"/>
      <c r="K102" s="228"/>
      <c r="L102" s="228"/>
      <c r="M102" s="228"/>
      <c r="N102" s="210"/>
      <c r="O102" s="212"/>
      <c r="P102" s="212"/>
      <c r="Q102" s="212"/>
      <c r="R102" s="212"/>
      <c r="S102" s="212"/>
      <c r="T102" s="212"/>
      <c r="U102" s="212"/>
      <c r="V102" s="212"/>
      <c r="W102" s="212"/>
      <c r="X102" s="212"/>
      <c r="Y102" s="212"/>
      <c r="Z102" s="212"/>
      <c r="AA102" s="212"/>
      <c r="AB102" s="198"/>
      <c r="AC102" s="198"/>
      <c r="AD102" s="198">
        <v>2028</v>
      </c>
      <c r="AE102" s="198">
        <v>365</v>
      </c>
      <c r="AF102" s="198">
        <v>7305</v>
      </c>
      <c r="AG102" s="195"/>
      <c r="AH102" s="195"/>
      <c r="AI102" s="195"/>
      <c r="AJ102" s="195"/>
      <c r="AK102" s="195"/>
      <c r="AL102" s="195"/>
      <c r="AM102" s="195"/>
      <c r="AN102" s="195"/>
      <c r="AO102" s="195"/>
      <c r="AP102" s="195"/>
      <c r="AQ102" s="195"/>
      <c r="AR102" s="195"/>
      <c r="AS102" s="195"/>
      <c r="AT102" s="195"/>
    </row>
    <row r="103" spans="1:46">
      <c r="A103" s="343">
        <f>+'datos de entrada'!A102</f>
        <v>0</v>
      </c>
      <c r="B103" s="811">
        <f>+'datos de entrada'!B102</f>
        <v>0</v>
      </c>
      <c r="C103" s="812">
        <f>+'datos de entrada'!C102</f>
        <v>0</v>
      </c>
      <c r="D103" s="227"/>
      <c r="E103" s="227"/>
      <c r="F103" s="821">
        <f>+'datos de entrada'!F102</f>
        <v>0</v>
      </c>
      <c r="G103" s="813">
        <f>+'datos de entrada'!G102</f>
        <v>0</v>
      </c>
      <c r="H103" s="381"/>
      <c r="I103" s="234"/>
      <c r="J103" s="228"/>
      <c r="K103" s="228"/>
      <c r="L103" s="228"/>
      <c r="M103" s="228"/>
      <c r="N103" s="210"/>
      <c r="O103" s="212"/>
      <c r="P103" s="212"/>
      <c r="Q103" s="212"/>
      <c r="R103" s="212"/>
      <c r="S103" s="212"/>
      <c r="T103" s="212"/>
      <c r="U103" s="212"/>
      <c r="V103" s="212"/>
      <c r="W103" s="212"/>
      <c r="X103" s="212"/>
      <c r="Y103" s="212"/>
      <c r="Z103" s="212"/>
      <c r="AA103" s="212"/>
      <c r="AB103" s="198"/>
      <c r="AC103" s="198"/>
      <c r="AD103" s="198"/>
      <c r="AE103" s="198"/>
      <c r="AF103" s="198"/>
      <c r="AG103" s="195"/>
      <c r="AH103" s="195"/>
      <c r="AI103" s="195"/>
      <c r="AJ103" s="195"/>
      <c r="AK103" s="195"/>
      <c r="AL103" s="195"/>
      <c r="AM103" s="195"/>
      <c r="AN103" s="195"/>
      <c r="AO103" s="195"/>
      <c r="AP103" s="195"/>
      <c r="AQ103" s="195"/>
      <c r="AR103" s="195"/>
      <c r="AS103" s="195"/>
      <c r="AT103" s="195"/>
    </row>
    <row r="104" spans="1:46">
      <c r="A104" s="343">
        <f>+'datos de entrada'!A103</f>
        <v>0</v>
      </c>
      <c r="B104" s="811">
        <f>+'datos de entrada'!B103</f>
        <v>0</v>
      </c>
      <c r="C104" s="812">
        <f>+'datos de entrada'!C103</f>
        <v>0</v>
      </c>
      <c r="D104" s="227"/>
      <c r="E104" s="227"/>
      <c r="F104" s="821">
        <f>+'datos de entrada'!F103</f>
        <v>0</v>
      </c>
      <c r="G104" s="813">
        <f>+'datos de entrada'!G103</f>
        <v>0</v>
      </c>
      <c r="H104" s="204"/>
      <c r="I104" s="233"/>
      <c r="J104" s="228"/>
      <c r="K104" s="228"/>
      <c r="L104" s="228"/>
      <c r="M104" s="228"/>
      <c r="N104" s="210"/>
      <c r="O104" s="212"/>
      <c r="P104" s="212"/>
      <c r="Q104" s="212"/>
      <c r="R104" s="212"/>
      <c r="S104" s="212"/>
      <c r="T104" s="212"/>
      <c r="U104" s="212"/>
      <c r="V104" s="212"/>
      <c r="W104" s="212"/>
      <c r="X104" s="212"/>
      <c r="Y104" s="212"/>
      <c r="Z104" s="212"/>
      <c r="AA104" s="212"/>
      <c r="AB104" s="198"/>
      <c r="AC104" s="198"/>
      <c r="AD104" s="198"/>
      <c r="AE104" s="198"/>
      <c r="AF104" s="198"/>
      <c r="AG104" s="195"/>
      <c r="AH104" s="195"/>
      <c r="AI104" s="195"/>
      <c r="AJ104" s="195"/>
      <c r="AK104" s="195"/>
      <c r="AL104" s="195"/>
      <c r="AM104" s="195"/>
      <c r="AN104" s="195"/>
      <c r="AO104" s="195"/>
      <c r="AP104" s="195"/>
      <c r="AQ104" s="195"/>
      <c r="AR104" s="195"/>
      <c r="AS104" s="195"/>
      <c r="AT104" s="195"/>
    </row>
    <row r="105" spans="1:46">
      <c r="A105" s="343">
        <f>+'datos de entrada'!A104</f>
        <v>0</v>
      </c>
      <c r="B105" s="811">
        <f>+'datos de entrada'!B104</f>
        <v>0</v>
      </c>
      <c r="C105" s="812">
        <f>+'datos de entrada'!C104</f>
        <v>0</v>
      </c>
      <c r="D105" s="227"/>
      <c r="E105" s="227"/>
      <c r="F105" s="821">
        <f>+'datos de entrada'!F104</f>
        <v>0</v>
      </c>
      <c r="G105" s="813">
        <f>+'datos de entrada'!G104</f>
        <v>0</v>
      </c>
      <c r="H105" s="204"/>
      <c r="I105" s="233"/>
      <c r="J105" s="228"/>
      <c r="K105" s="228"/>
      <c r="L105" s="228"/>
      <c r="M105" s="228"/>
      <c r="N105" s="210"/>
      <c r="O105" s="212"/>
      <c r="P105" s="212"/>
      <c r="Q105" s="212"/>
      <c r="R105" s="212"/>
      <c r="S105" s="212"/>
      <c r="T105" s="212"/>
      <c r="U105" s="212"/>
      <c r="V105" s="212"/>
      <c r="W105" s="212"/>
      <c r="X105" s="212"/>
      <c r="Y105" s="212"/>
      <c r="Z105" s="212"/>
      <c r="AA105" s="212"/>
      <c r="AB105" s="198"/>
      <c r="AC105" s="198"/>
      <c r="AD105" s="198"/>
      <c r="AE105" s="198"/>
      <c r="AF105" s="198"/>
      <c r="AG105" s="195"/>
      <c r="AH105" s="195"/>
      <c r="AI105" s="195"/>
      <c r="AJ105" s="195"/>
      <c r="AK105" s="195"/>
      <c r="AL105" s="195"/>
      <c r="AM105" s="195"/>
      <c r="AN105" s="195"/>
      <c r="AO105" s="195"/>
      <c r="AP105" s="195"/>
      <c r="AQ105" s="195"/>
      <c r="AR105" s="195"/>
      <c r="AS105" s="195"/>
      <c r="AT105" s="195"/>
    </row>
    <row r="106" spans="1:46">
      <c r="A106" s="343">
        <f>+'datos de entrada'!A105</f>
        <v>0</v>
      </c>
      <c r="B106" s="811">
        <f>+'datos de entrada'!B105</f>
        <v>0</v>
      </c>
      <c r="C106" s="812">
        <f>+'datos de entrada'!C105</f>
        <v>0</v>
      </c>
      <c r="D106" s="227"/>
      <c r="E106" s="227"/>
      <c r="F106" s="821">
        <f>+'datos de entrada'!F105</f>
        <v>0</v>
      </c>
      <c r="G106" s="813">
        <f>+'datos de entrada'!G105</f>
        <v>0</v>
      </c>
      <c r="H106" s="204"/>
      <c r="I106" s="233"/>
      <c r="J106" s="228"/>
      <c r="K106" s="228"/>
      <c r="L106" s="228"/>
      <c r="M106" s="228"/>
      <c r="N106" s="210"/>
      <c r="O106" s="212"/>
      <c r="P106" s="212"/>
      <c r="Q106" s="212"/>
      <c r="R106" s="212"/>
      <c r="S106" s="212"/>
      <c r="T106" s="212"/>
      <c r="U106" s="212"/>
      <c r="V106" s="212"/>
      <c r="W106" s="212"/>
      <c r="X106" s="212"/>
      <c r="Y106" s="212"/>
      <c r="Z106" s="212"/>
      <c r="AA106" s="212"/>
      <c r="AB106" s="198"/>
      <c r="AC106" s="198"/>
      <c r="AD106" s="198"/>
      <c r="AE106" s="198"/>
      <c r="AF106" s="198"/>
      <c r="AG106" s="195"/>
      <c r="AH106" s="195"/>
      <c r="AI106" s="195"/>
      <c r="AJ106" s="195"/>
      <c r="AK106" s="195"/>
      <c r="AL106" s="195"/>
      <c r="AM106" s="195"/>
      <c r="AN106" s="195"/>
      <c r="AO106" s="195"/>
      <c r="AP106" s="195"/>
      <c r="AQ106" s="195"/>
      <c r="AR106" s="195"/>
      <c r="AS106" s="195"/>
      <c r="AT106" s="195"/>
    </row>
    <row r="107" spans="1:46">
      <c r="A107" s="343">
        <f>+'datos de entrada'!A106</f>
        <v>0</v>
      </c>
      <c r="B107" s="811">
        <f>+'datos de entrada'!B106</f>
        <v>0</v>
      </c>
      <c r="C107" s="812">
        <f>+'datos de entrada'!C106</f>
        <v>0</v>
      </c>
      <c r="D107" s="227"/>
      <c r="E107" s="227"/>
      <c r="F107" s="821">
        <f>+'datos de entrada'!F106</f>
        <v>0</v>
      </c>
      <c r="G107" s="813">
        <f>+'datos de entrada'!G106</f>
        <v>0</v>
      </c>
      <c r="H107" s="204"/>
      <c r="I107" s="233"/>
      <c r="J107" s="228"/>
      <c r="K107" s="228"/>
      <c r="L107" s="228"/>
      <c r="M107" s="228"/>
      <c r="N107" s="210"/>
      <c r="O107" s="212"/>
      <c r="P107" s="212"/>
      <c r="Q107" s="212"/>
      <c r="R107" s="212"/>
      <c r="S107" s="212"/>
      <c r="T107" s="212"/>
      <c r="U107" s="212"/>
      <c r="V107" s="212"/>
      <c r="W107" s="212"/>
      <c r="X107" s="212"/>
      <c r="Y107" s="212"/>
      <c r="Z107" s="212"/>
      <c r="AA107" s="212"/>
      <c r="AB107" s="198"/>
      <c r="AC107" s="198"/>
      <c r="AD107" s="198"/>
      <c r="AE107" s="198"/>
      <c r="AF107" s="198"/>
      <c r="AG107" s="195"/>
      <c r="AH107" s="195"/>
      <c r="AI107" s="195"/>
      <c r="AJ107" s="195"/>
      <c r="AK107" s="195"/>
      <c r="AL107" s="195"/>
      <c r="AM107" s="195"/>
      <c r="AN107" s="195"/>
      <c r="AO107" s="195"/>
      <c r="AP107" s="195"/>
      <c r="AQ107" s="195"/>
      <c r="AR107" s="195"/>
      <c r="AS107" s="195"/>
      <c r="AT107" s="195"/>
    </row>
    <row r="108" spans="1:46">
      <c r="A108" s="343">
        <f>+'datos de entrada'!A107</f>
        <v>0</v>
      </c>
      <c r="B108" s="811">
        <f>+'datos de entrada'!B107</f>
        <v>0</v>
      </c>
      <c r="C108" s="812">
        <f>+'datos de entrada'!C107</f>
        <v>0</v>
      </c>
      <c r="D108" s="227"/>
      <c r="E108" s="227"/>
      <c r="F108" s="821">
        <f>+'datos de entrada'!F107</f>
        <v>0</v>
      </c>
      <c r="G108" s="813">
        <f>+'datos de entrada'!G107</f>
        <v>0</v>
      </c>
      <c r="H108" s="204"/>
      <c r="I108" s="233"/>
      <c r="J108" s="228"/>
      <c r="K108" s="228"/>
      <c r="L108" s="228"/>
      <c r="M108" s="228"/>
      <c r="N108" s="210"/>
      <c r="O108" s="212"/>
      <c r="P108" s="212"/>
      <c r="Q108" s="212"/>
      <c r="R108" s="212"/>
      <c r="S108" s="212"/>
      <c r="T108" s="212"/>
      <c r="U108" s="212"/>
      <c r="V108" s="212"/>
      <c r="W108" s="212"/>
      <c r="X108" s="212"/>
      <c r="Y108" s="212"/>
      <c r="Z108" s="212"/>
      <c r="AA108" s="212"/>
      <c r="AB108" s="198"/>
      <c r="AC108" s="198"/>
      <c r="AD108" s="198"/>
      <c r="AE108" s="198"/>
      <c r="AF108" s="198"/>
      <c r="AG108" s="195"/>
      <c r="AH108" s="195"/>
      <c r="AI108" s="195"/>
      <c r="AJ108" s="195"/>
      <c r="AK108" s="195"/>
      <c r="AL108" s="195"/>
      <c r="AM108" s="195"/>
      <c r="AN108" s="195"/>
      <c r="AO108" s="195"/>
      <c r="AP108" s="195"/>
      <c r="AQ108" s="195"/>
      <c r="AR108" s="195"/>
      <c r="AS108" s="195"/>
      <c r="AT108" s="195"/>
    </row>
    <row r="109" spans="1:46">
      <c r="A109" s="343">
        <f>+'datos de entrada'!A108</f>
        <v>0</v>
      </c>
      <c r="B109" s="811">
        <f>+'datos de entrada'!B108</f>
        <v>0</v>
      </c>
      <c r="C109" s="812">
        <f>+'datos de entrada'!C108</f>
        <v>0</v>
      </c>
      <c r="D109" s="227"/>
      <c r="E109" s="227"/>
      <c r="F109" s="821">
        <f>+'datos de entrada'!F108</f>
        <v>0</v>
      </c>
      <c r="G109" s="813">
        <f>+'datos de entrada'!G108</f>
        <v>0</v>
      </c>
      <c r="H109" s="204"/>
      <c r="I109" s="233"/>
      <c r="J109" s="228"/>
      <c r="K109" s="228"/>
      <c r="L109" s="228"/>
      <c r="M109" s="228"/>
      <c r="N109" s="210"/>
      <c r="O109" s="212"/>
      <c r="P109" s="212"/>
      <c r="Q109" s="212"/>
      <c r="R109" s="212"/>
      <c r="S109" s="212"/>
      <c r="T109" s="212"/>
      <c r="U109" s="212"/>
      <c r="V109" s="212"/>
      <c r="W109" s="212"/>
      <c r="X109" s="212"/>
      <c r="Y109" s="212"/>
      <c r="Z109" s="212"/>
      <c r="AA109" s="212"/>
      <c r="AB109" s="198"/>
      <c r="AC109" s="198"/>
      <c r="AD109" s="198"/>
      <c r="AE109" s="198"/>
      <c r="AF109" s="198"/>
      <c r="AG109" s="195"/>
      <c r="AH109" s="195"/>
      <c r="AI109" s="195"/>
      <c r="AJ109" s="195"/>
      <c r="AK109" s="195"/>
      <c r="AL109" s="195"/>
      <c r="AM109" s="195"/>
      <c r="AN109" s="195"/>
      <c r="AO109" s="195"/>
      <c r="AP109" s="195"/>
      <c r="AQ109" s="195"/>
      <c r="AR109" s="195"/>
      <c r="AS109" s="195"/>
      <c r="AT109" s="195"/>
    </row>
    <row r="110" spans="1:46">
      <c r="A110" s="343">
        <f>+'datos de entrada'!A109</f>
        <v>0</v>
      </c>
      <c r="B110" s="811">
        <f>+'datos de entrada'!B109</f>
        <v>0</v>
      </c>
      <c r="C110" s="812">
        <f>+'datos de entrada'!C109</f>
        <v>0</v>
      </c>
      <c r="D110" s="227"/>
      <c r="E110" s="227"/>
      <c r="F110" s="821">
        <f>+'datos de entrada'!F109</f>
        <v>0</v>
      </c>
      <c r="G110" s="813">
        <f>+'datos de entrada'!G109</f>
        <v>0</v>
      </c>
      <c r="H110" s="204"/>
      <c r="I110" s="233"/>
      <c r="J110" s="228"/>
      <c r="K110" s="228"/>
      <c r="L110" s="228"/>
      <c r="M110" s="228"/>
      <c r="N110" s="210"/>
      <c r="O110" s="212"/>
      <c r="P110" s="212"/>
      <c r="Q110" s="212"/>
      <c r="R110" s="212"/>
      <c r="S110" s="212"/>
      <c r="T110" s="212"/>
      <c r="U110" s="212"/>
      <c r="V110" s="212"/>
      <c r="W110" s="212"/>
      <c r="X110" s="212"/>
      <c r="Y110" s="212"/>
      <c r="Z110" s="212"/>
      <c r="AA110" s="212"/>
      <c r="AB110" s="198"/>
      <c r="AC110" s="198"/>
      <c r="AD110" s="198"/>
      <c r="AE110" s="198"/>
      <c r="AF110" s="198"/>
      <c r="AG110" s="195"/>
      <c r="AH110" s="195"/>
      <c r="AI110" s="195"/>
      <c r="AJ110" s="195"/>
      <c r="AK110" s="195"/>
      <c r="AL110" s="195"/>
      <c r="AM110" s="195"/>
      <c r="AN110" s="195"/>
      <c r="AO110" s="195"/>
      <c r="AP110" s="195"/>
      <c r="AQ110" s="195"/>
      <c r="AR110" s="195"/>
      <c r="AS110" s="195"/>
      <c r="AT110" s="195"/>
    </row>
    <row r="111" spans="1:46" ht="15.75" thickBot="1">
      <c r="A111" s="344">
        <f>+'datos de entrada'!A110</f>
        <v>0</v>
      </c>
      <c r="B111" s="817">
        <f>+'datos de entrada'!B110</f>
        <v>0</v>
      </c>
      <c r="C111" s="820">
        <f>+'datos de entrada'!C110</f>
        <v>0</v>
      </c>
      <c r="D111" s="227"/>
      <c r="E111" s="227"/>
      <c r="F111" s="822">
        <f>+'datos de entrada'!F110</f>
        <v>0</v>
      </c>
      <c r="G111" s="814">
        <f>+'datos de entrada'!G110</f>
        <v>0</v>
      </c>
      <c r="H111" s="204"/>
      <c r="I111" s="233"/>
      <c r="J111" s="228"/>
      <c r="K111" s="228"/>
      <c r="L111" s="228"/>
      <c r="M111" s="228"/>
      <c r="N111" s="210"/>
      <c r="O111" s="212"/>
      <c r="P111" s="212"/>
      <c r="Q111" s="212"/>
      <c r="R111" s="212"/>
      <c r="S111" s="212"/>
      <c r="T111" s="212"/>
      <c r="U111" s="212"/>
      <c r="V111" s="212"/>
      <c r="W111" s="212"/>
      <c r="X111" s="212"/>
      <c r="Y111" s="212"/>
      <c r="Z111" s="212"/>
      <c r="AA111" s="212"/>
      <c r="AB111" s="198"/>
      <c r="AC111" s="198"/>
      <c r="AD111" s="198"/>
      <c r="AE111" s="198"/>
      <c r="AF111" s="198"/>
      <c r="AG111" s="195"/>
      <c r="AH111" s="195"/>
      <c r="AI111" s="195"/>
      <c r="AJ111" s="195"/>
      <c r="AK111" s="195"/>
      <c r="AL111" s="195"/>
      <c r="AM111" s="195"/>
      <c r="AN111" s="195"/>
      <c r="AO111" s="195"/>
      <c r="AP111" s="195"/>
      <c r="AQ111" s="195"/>
      <c r="AR111" s="195"/>
      <c r="AS111" s="195"/>
      <c r="AT111" s="195"/>
    </row>
    <row r="112" spans="1:46">
      <c r="A112" s="193"/>
      <c r="B112" s="223"/>
      <c r="C112" s="223"/>
      <c r="D112" s="228"/>
      <c r="E112" s="228"/>
      <c r="F112" s="223"/>
      <c r="G112" s="223"/>
      <c r="H112" s="223"/>
      <c r="I112" s="223"/>
      <c r="J112" s="228"/>
      <c r="K112" s="228"/>
      <c r="L112" s="228"/>
      <c r="M112" s="228"/>
      <c r="N112" s="210"/>
      <c r="O112" s="212"/>
      <c r="P112" s="212"/>
      <c r="Q112" s="212"/>
      <c r="R112" s="212"/>
      <c r="S112" s="212"/>
      <c r="T112" s="212"/>
      <c r="U112" s="212"/>
      <c r="V112" s="212"/>
      <c r="W112" s="212"/>
      <c r="X112" s="212"/>
      <c r="Y112" s="212"/>
      <c r="Z112" s="212"/>
      <c r="AA112" s="212"/>
      <c r="AB112" s="198"/>
      <c r="AC112" s="198"/>
      <c r="AD112" s="198"/>
      <c r="AE112" s="198"/>
      <c r="AF112" s="198"/>
      <c r="AG112" s="195"/>
      <c r="AH112" s="195"/>
      <c r="AI112" s="195"/>
      <c r="AJ112" s="195"/>
      <c r="AK112" s="195"/>
      <c r="AL112" s="195"/>
      <c r="AM112" s="195"/>
      <c r="AN112" s="195"/>
      <c r="AO112" s="195"/>
      <c r="AP112" s="195"/>
      <c r="AQ112" s="195"/>
      <c r="AR112" s="195"/>
      <c r="AS112" s="195"/>
      <c r="AT112" s="195"/>
    </row>
    <row r="113" spans="1:46" ht="15.75" thickBot="1">
      <c r="A113" s="193"/>
      <c r="B113" s="223"/>
      <c r="C113" s="223"/>
      <c r="D113" s="228"/>
      <c r="E113" s="228"/>
      <c r="F113" s="223"/>
      <c r="G113" s="223"/>
      <c r="H113" s="223"/>
      <c r="I113" s="223"/>
      <c r="J113" s="223"/>
      <c r="K113" s="223"/>
      <c r="L113" s="223"/>
      <c r="M113" s="223"/>
      <c r="N113" s="194"/>
      <c r="O113" s="193"/>
      <c r="P113" s="193"/>
      <c r="Q113" s="193"/>
      <c r="R113" s="193"/>
      <c r="S113" s="193"/>
      <c r="T113" s="193"/>
      <c r="U113" s="193"/>
      <c r="V113" s="193"/>
      <c r="W113" s="193"/>
      <c r="X113" s="193"/>
      <c r="Y113" s="193"/>
      <c r="Z113" s="193"/>
      <c r="AA113" s="193"/>
      <c r="AB113" s="195"/>
      <c r="AC113" s="195"/>
      <c r="AD113" s="195"/>
      <c r="AE113" s="195"/>
      <c r="AF113" s="195"/>
      <c r="AG113" s="195"/>
      <c r="AH113" s="195"/>
      <c r="AI113" s="195"/>
      <c r="AJ113" s="195"/>
      <c r="AK113" s="195"/>
      <c r="AL113" s="195"/>
      <c r="AM113" s="195"/>
      <c r="AN113" s="195"/>
      <c r="AO113" s="195"/>
      <c r="AP113" s="195"/>
      <c r="AQ113" s="195"/>
      <c r="AR113" s="195"/>
      <c r="AS113" s="195"/>
      <c r="AT113" s="195"/>
    </row>
    <row r="114" spans="1:46" ht="18" hidden="1">
      <c r="A114" s="6" t="s">
        <v>621</v>
      </c>
      <c r="C114" s="14"/>
      <c r="D114" s="14"/>
      <c r="E114" s="14"/>
      <c r="F114" s="14"/>
      <c r="G114" s="14"/>
      <c r="H114" s="14"/>
      <c r="I114" s="14"/>
      <c r="J114" s="14"/>
      <c r="K114" s="14"/>
      <c r="L114" s="14"/>
      <c r="M114" s="14"/>
      <c r="N114" s="1"/>
      <c r="O114" s="3"/>
      <c r="P114" s="3"/>
      <c r="Q114" s="3"/>
      <c r="R114" s="3"/>
      <c r="S114" s="3"/>
      <c r="T114" s="3"/>
      <c r="U114" s="3"/>
      <c r="V114" s="3"/>
      <c r="W114" s="3"/>
      <c r="X114" s="3"/>
      <c r="Y114" s="3"/>
      <c r="Z114" s="3"/>
      <c r="AA114" s="3"/>
      <c r="AG114" s="195"/>
      <c r="AH114" s="195"/>
      <c r="AI114" s="195"/>
      <c r="AJ114" s="195"/>
      <c r="AK114" s="195"/>
      <c r="AL114" s="195"/>
      <c r="AM114" s="195"/>
      <c r="AN114" s="195"/>
      <c r="AO114" s="195"/>
      <c r="AP114" s="195"/>
      <c r="AQ114" s="195"/>
      <c r="AR114" s="195"/>
      <c r="AS114" s="195"/>
      <c r="AT114" s="195"/>
    </row>
    <row r="115" spans="1:46" ht="15.75" hidden="1">
      <c r="A115" s="20">
        <v>1000</v>
      </c>
      <c r="C115" s="14"/>
      <c r="D115" s="14"/>
      <c r="E115" s="14"/>
      <c r="F115" s="14"/>
      <c r="G115" s="14"/>
      <c r="H115" s="14"/>
      <c r="I115" s="14"/>
      <c r="J115" s="14"/>
      <c r="K115" s="14"/>
      <c r="L115" s="14"/>
      <c r="M115" s="14"/>
      <c r="N115" s="1"/>
      <c r="O115" s="3"/>
      <c r="P115" s="3"/>
      <c r="Q115" s="3"/>
      <c r="R115" s="3"/>
      <c r="S115" s="3"/>
      <c r="T115" s="3"/>
      <c r="U115" s="3"/>
      <c r="V115" s="3"/>
      <c r="W115" s="3"/>
      <c r="X115" s="3"/>
      <c r="Y115" s="3"/>
      <c r="Z115" s="3"/>
      <c r="AA115" s="3"/>
      <c r="AG115" s="195"/>
      <c r="AH115" s="195"/>
      <c r="AI115" s="195"/>
      <c r="AJ115" s="195"/>
      <c r="AK115" s="195"/>
      <c r="AL115" s="195"/>
      <c r="AM115" s="195"/>
      <c r="AN115" s="195"/>
      <c r="AO115" s="195"/>
      <c r="AP115" s="195"/>
      <c r="AQ115" s="195"/>
      <c r="AR115" s="195"/>
      <c r="AS115" s="195"/>
      <c r="AT115" s="195"/>
    </row>
    <row r="116" spans="1:46" hidden="1">
      <c r="A116" s="1118"/>
      <c r="B116" s="1075" t="s">
        <v>622</v>
      </c>
      <c r="C116" s="14"/>
      <c r="D116" s="14"/>
      <c r="E116" s="14"/>
      <c r="F116" s="14"/>
      <c r="G116" s="14"/>
      <c r="H116" s="14"/>
      <c r="I116" s="14"/>
      <c r="J116" s="14"/>
      <c r="K116" s="14"/>
      <c r="L116" s="14"/>
      <c r="M116" s="14"/>
      <c r="N116" s="1"/>
      <c r="O116" s="3"/>
      <c r="P116" s="3"/>
      <c r="Q116" s="3"/>
      <c r="R116" s="3"/>
      <c r="S116" s="3"/>
      <c r="T116" s="3"/>
      <c r="U116" s="3"/>
      <c r="V116" s="3"/>
      <c r="W116" s="3"/>
      <c r="X116" s="3"/>
      <c r="Y116" s="3"/>
      <c r="Z116" s="3"/>
      <c r="AA116" s="3"/>
      <c r="AG116" s="195"/>
      <c r="AH116" s="195"/>
      <c r="AI116" s="195"/>
      <c r="AJ116" s="195"/>
      <c r="AK116" s="195"/>
      <c r="AL116" s="195"/>
      <c r="AM116" s="195"/>
      <c r="AN116" s="195"/>
      <c r="AO116" s="195"/>
      <c r="AP116" s="195"/>
      <c r="AQ116" s="195"/>
      <c r="AR116" s="195"/>
      <c r="AS116" s="195"/>
      <c r="AT116" s="195"/>
    </row>
    <row r="117" spans="1:46" hidden="1">
      <c r="A117" s="1118"/>
      <c r="B117" s="1076"/>
      <c r="C117" s="14"/>
      <c r="D117" s="14"/>
      <c r="E117" s="14"/>
      <c r="F117" s="14"/>
      <c r="G117" s="14"/>
      <c r="H117" s="14"/>
      <c r="I117" s="14"/>
      <c r="J117" s="14"/>
      <c r="K117" s="14"/>
      <c r="L117" s="14"/>
      <c r="M117" s="14"/>
      <c r="N117" s="1"/>
      <c r="O117" s="3"/>
      <c r="P117" s="3"/>
      <c r="Q117" s="3"/>
      <c r="R117" s="3"/>
      <c r="S117" s="3"/>
      <c r="T117" s="3"/>
      <c r="U117" s="3"/>
      <c r="V117" s="3"/>
      <c r="W117" s="3"/>
      <c r="X117" s="3"/>
      <c r="Y117" s="3"/>
      <c r="Z117" s="3"/>
      <c r="AA117" s="3"/>
      <c r="AG117" s="195"/>
      <c r="AH117" s="195"/>
      <c r="AI117" s="195"/>
      <c r="AJ117" s="195"/>
      <c r="AK117" s="195"/>
      <c r="AL117" s="195"/>
      <c r="AM117" s="195"/>
      <c r="AN117" s="195"/>
      <c r="AO117" s="195"/>
      <c r="AP117" s="195"/>
      <c r="AQ117" s="195"/>
      <c r="AR117" s="195"/>
      <c r="AS117" s="195"/>
      <c r="AT117" s="195"/>
    </row>
    <row r="118" spans="1:46" hidden="1">
      <c r="A118" s="21" t="s">
        <v>623</v>
      </c>
      <c r="B118" s="182"/>
      <c r="C118" s="14"/>
      <c r="D118" s="14"/>
      <c r="E118" s="14"/>
      <c r="F118" s="14"/>
      <c r="G118" s="14"/>
      <c r="H118" s="14"/>
      <c r="I118" s="14"/>
      <c r="J118" s="14"/>
      <c r="K118" s="14"/>
      <c r="L118" s="14"/>
      <c r="M118" s="14"/>
      <c r="N118" s="1"/>
      <c r="O118" s="3"/>
      <c r="P118" s="3"/>
      <c r="Q118" s="3"/>
      <c r="R118" s="3"/>
      <c r="S118" s="3"/>
      <c r="T118" s="3"/>
      <c r="U118" s="3"/>
      <c r="V118" s="3"/>
      <c r="W118" s="3"/>
      <c r="X118" s="3"/>
      <c r="Y118" s="3"/>
      <c r="Z118" s="3"/>
      <c r="AA118" s="3"/>
      <c r="AG118" s="195"/>
      <c r="AH118" s="195"/>
      <c r="AI118" s="195"/>
      <c r="AJ118" s="195"/>
      <c r="AK118" s="195"/>
      <c r="AL118" s="195"/>
      <c r="AM118" s="195"/>
      <c r="AN118" s="195"/>
      <c r="AO118" s="195"/>
      <c r="AP118" s="195"/>
      <c r="AQ118" s="195"/>
      <c r="AR118" s="195"/>
      <c r="AS118" s="195"/>
      <c r="AT118" s="195"/>
    </row>
    <row r="119" spans="1:46" hidden="1">
      <c r="A119" s="21" t="s">
        <v>624</v>
      </c>
      <c r="B119" s="182"/>
      <c r="C119" s="14"/>
      <c r="D119" s="14"/>
      <c r="E119" s="14"/>
      <c r="F119" s="14"/>
      <c r="G119" s="14"/>
      <c r="H119" s="14"/>
      <c r="I119" s="14"/>
      <c r="J119" s="14"/>
      <c r="K119" s="14"/>
      <c r="L119" s="14"/>
      <c r="M119" s="14"/>
      <c r="N119" s="1"/>
      <c r="O119" s="3"/>
      <c r="P119" s="3"/>
      <c r="Q119" s="3"/>
      <c r="R119" s="3"/>
      <c r="S119" s="3"/>
      <c r="T119" s="3"/>
      <c r="U119" s="3"/>
      <c r="V119" s="3"/>
      <c r="W119" s="3"/>
      <c r="X119" s="3"/>
      <c r="Y119" s="3"/>
      <c r="Z119" s="3"/>
      <c r="AA119" s="3"/>
      <c r="AG119" s="195"/>
      <c r="AH119" s="195"/>
      <c r="AI119" s="195"/>
      <c r="AJ119" s="195"/>
      <c r="AK119" s="195"/>
      <c r="AL119" s="195"/>
      <c r="AM119" s="195"/>
      <c r="AN119" s="195"/>
      <c r="AO119" s="195"/>
      <c r="AP119" s="195"/>
      <c r="AQ119" s="195"/>
      <c r="AR119" s="195"/>
      <c r="AS119" s="195"/>
      <c r="AT119" s="195"/>
    </row>
    <row r="120" spans="1:46" ht="15.75" hidden="1">
      <c r="A120" s="21" t="s">
        <v>625</v>
      </c>
      <c r="B120" s="182"/>
      <c r="C120" s="1"/>
      <c r="D120" s="1"/>
      <c r="E120" s="1"/>
      <c r="F120" s="1"/>
      <c r="G120" s="1"/>
      <c r="H120" s="1"/>
      <c r="I120" s="1"/>
      <c r="J120" s="1"/>
      <c r="K120" s="1"/>
      <c r="L120" s="1"/>
      <c r="M120" s="1"/>
      <c r="N120" s="22"/>
      <c r="AG120" s="195"/>
      <c r="AH120" s="195"/>
      <c r="AI120" s="195"/>
      <c r="AJ120" s="195"/>
      <c r="AK120" s="195"/>
      <c r="AL120" s="195"/>
      <c r="AM120" s="195"/>
      <c r="AN120" s="195"/>
      <c r="AO120" s="195"/>
      <c r="AP120" s="195"/>
      <c r="AQ120" s="195"/>
      <c r="AR120" s="195"/>
      <c r="AS120" s="195"/>
      <c r="AT120" s="195"/>
    </row>
    <row r="121" spans="1:46" hidden="1">
      <c r="A121" s="21" t="s">
        <v>626</v>
      </c>
      <c r="B121" s="182"/>
      <c r="C121" s="5"/>
      <c r="AG121" s="195"/>
      <c r="AH121" s="195"/>
      <c r="AI121" s="195"/>
      <c r="AJ121" s="195"/>
      <c r="AK121" s="195"/>
      <c r="AL121" s="195"/>
      <c r="AM121" s="195"/>
      <c r="AN121" s="195"/>
      <c r="AO121" s="195"/>
      <c r="AP121" s="195"/>
      <c r="AQ121" s="195"/>
      <c r="AR121" s="195"/>
      <c r="AS121" s="195"/>
      <c r="AT121" s="195"/>
    </row>
    <row r="122" spans="1:46" hidden="1">
      <c r="A122" s="21" t="s">
        <v>627</v>
      </c>
      <c r="B122" s="182"/>
      <c r="C122" s="5"/>
      <c r="AG122" s="195"/>
      <c r="AH122" s="195"/>
      <c r="AI122" s="195"/>
      <c r="AJ122" s="195"/>
      <c r="AK122" s="195"/>
      <c r="AL122" s="195"/>
      <c r="AM122" s="195"/>
      <c r="AN122" s="195"/>
      <c r="AO122" s="195"/>
      <c r="AP122" s="195"/>
      <c r="AQ122" s="195"/>
      <c r="AR122" s="195"/>
      <c r="AS122" s="195"/>
      <c r="AT122" s="195"/>
    </row>
    <row r="123" spans="1:46" hidden="1">
      <c r="A123" s="21" t="s">
        <v>628</v>
      </c>
      <c r="B123" s="182"/>
      <c r="C123" s="5"/>
      <c r="AG123" s="195"/>
      <c r="AH123" s="195"/>
      <c r="AI123" s="195"/>
      <c r="AJ123" s="195"/>
      <c r="AK123" s="195"/>
      <c r="AL123" s="195"/>
      <c r="AM123" s="195"/>
      <c r="AN123" s="195"/>
      <c r="AO123" s="195"/>
      <c r="AP123" s="195"/>
      <c r="AQ123" s="195"/>
      <c r="AR123" s="195"/>
      <c r="AS123" s="195"/>
      <c r="AT123" s="195"/>
    </row>
    <row r="124" spans="1:46" hidden="1">
      <c r="A124" s="21" t="s">
        <v>629</v>
      </c>
      <c r="B124" s="182"/>
      <c r="C124" s="5"/>
      <c r="AG124" s="195"/>
      <c r="AH124" s="195"/>
      <c r="AI124" s="195"/>
      <c r="AJ124" s="195"/>
      <c r="AK124" s="195"/>
      <c r="AL124" s="195"/>
      <c r="AM124" s="195"/>
      <c r="AN124" s="195"/>
      <c r="AO124" s="195"/>
      <c r="AP124" s="195"/>
      <c r="AQ124" s="195"/>
      <c r="AR124" s="195"/>
      <c r="AS124" s="195"/>
      <c r="AT124" s="195"/>
    </row>
    <row r="125" spans="1:46" hidden="1">
      <c r="A125" s="21" t="s">
        <v>630</v>
      </c>
      <c r="B125" s="182"/>
      <c r="C125" s="5"/>
      <c r="AG125" s="195"/>
      <c r="AH125" s="195"/>
      <c r="AI125" s="195"/>
      <c r="AJ125" s="195"/>
      <c r="AK125" s="195"/>
      <c r="AL125" s="195"/>
      <c r="AM125" s="195"/>
      <c r="AN125" s="195"/>
      <c r="AO125" s="195"/>
      <c r="AP125" s="195"/>
      <c r="AQ125" s="195"/>
      <c r="AR125" s="195"/>
      <c r="AS125" s="195"/>
      <c r="AT125" s="195"/>
    </row>
    <row r="126" spans="1:46" hidden="1">
      <c r="A126" s="21" t="s">
        <v>631</v>
      </c>
      <c r="B126" s="182"/>
      <c r="C126" s="5"/>
      <c r="AG126" s="195"/>
      <c r="AH126" s="195"/>
      <c r="AI126" s="195"/>
      <c r="AJ126" s="195"/>
      <c r="AK126" s="195"/>
      <c r="AL126" s="195"/>
      <c r="AM126" s="195"/>
      <c r="AN126" s="195"/>
      <c r="AO126" s="195"/>
      <c r="AP126" s="195"/>
      <c r="AQ126" s="195"/>
      <c r="AR126" s="195"/>
      <c r="AS126" s="195"/>
      <c r="AT126" s="195"/>
    </row>
    <row r="127" spans="1:46" hidden="1">
      <c r="A127" s="23">
        <v>0</v>
      </c>
      <c r="B127" s="182"/>
      <c r="C127" s="5"/>
      <c r="AG127" s="195"/>
      <c r="AH127" s="195"/>
      <c r="AI127" s="195"/>
      <c r="AJ127" s="195"/>
      <c r="AK127" s="195"/>
      <c r="AL127" s="195"/>
      <c r="AM127" s="195"/>
      <c r="AN127" s="195"/>
      <c r="AO127" s="195"/>
      <c r="AP127" s="195"/>
      <c r="AQ127" s="195"/>
      <c r="AR127" s="195"/>
      <c r="AS127" s="195"/>
      <c r="AT127" s="195"/>
    </row>
    <row r="128" spans="1:46" hidden="1">
      <c r="A128" s="23">
        <v>0</v>
      </c>
      <c r="B128" s="182"/>
      <c r="C128" s="5"/>
      <c r="AG128" s="195"/>
      <c r="AH128" s="195"/>
      <c r="AI128" s="195"/>
      <c r="AJ128" s="195"/>
      <c r="AK128" s="195"/>
      <c r="AL128" s="195"/>
      <c r="AM128" s="195"/>
      <c r="AN128" s="195"/>
      <c r="AO128" s="195"/>
      <c r="AP128" s="195"/>
      <c r="AQ128" s="195"/>
      <c r="AR128" s="195"/>
      <c r="AS128" s="195"/>
      <c r="AT128" s="195"/>
    </row>
    <row r="129" spans="1:46" hidden="1">
      <c r="A129" s="23"/>
      <c r="B129" s="182"/>
      <c r="C129" s="5"/>
      <c r="AG129" s="195"/>
      <c r="AH129" s="195"/>
      <c r="AI129" s="195"/>
      <c r="AJ129" s="195"/>
      <c r="AK129" s="195"/>
      <c r="AL129" s="195"/>
      <c r="AM129" s="195"/>
      <c r="AN129" s="195"/>
      <c r="AO129" s="195"/>
      <c r="AP129" s="195"/>
      <c r="AQ129" s="195"/>
      <c r="AR129" s="195"/>
      <c r="AS129" s="195"/>
      <c r="AT129" s="195"/>
    </row>
    <row r="130" spans="1:46" hidden="1">
      <c r="C130" s="5"/>
      <c r="AG130" s="195"/>
      <c r="AH130" s="195"/>
      <c r="AI130" s="195"/>
      <c r="AJ130" s="195"/>
      <c r="AK130" s="195"/>
      <c r="AL130" s="195"/>
      <c r="AM130" s="195"/>
      <c r="AN130" s="195"/>
      <c r="AO130" s="195"/>
      <c r="AP130" s="195"/>
      <c r="AQ130" s="195"/>
      <c r="AR130" s="195"/>
      <c r="AS130" s="195"/>
      <c r="AT130" s="195"/>
    </row>
    <row r="131" spans="1:46" hidden="1">
      <c r="C131" s="5"/>
      <c r="AG131" s="195"/>
      <c r="AH131" s="195"/>
      <c r="AI131" s="195"/>
      <c r="AJ131" s="195"/>
      <c r="AK131" s="195"/>
      <c r="AL131" s="195"/>
      <c r="AM131" s="195"/>
      <c r="AN131" s="195"/>
      <c r="AO131" s="195"/>
      <c r="AP131" s="195"/>
      <c r="AQ131" s="195"/>
      <c r="AR131" s="195"/>
      <c r="AS131" s="195"/>
      <c r="AT131" s="195"/>
    </row>
    <row r="132" spans="1:46" hidden="1">
      <c r="A132" s="24"/>
      <c r="B132" s="3"/>
      <c r="C132" s="17"/>
      <c r="D132" s="3"/>
      <c r="E132" s="3"/>
      <c r="F132" s="3"/>
      <c r="AG132" s="195"/>
      <c r="AH132" s="195"/>
      <c r="AI132" s="195"/>
      <c r="AJ132" s="195"/>
      <c r="AK132" s="195"/>
      <c r="AL132" s="195"/>
      <c r="AM132" s="195"/>
      <c r="AN132" s="195"/>
      <c r="AO132" s="195"/>
      <c r="AP132" s="195"/>
      <c r="AQ132" s="195"/>
      <c r="AR132" s="195"/>
      <c r="AS132" s="195"/>
      <c r="AT132" s="195"/>
    </row>
    <row r="133" spans="1:46" hidden="1">
      <c r="AG133" s="195"/>
      <c r="AH133" s="195"/>
      <c r="AI133" s="195"/>
      <c r="AJ133" s="195"/>
      <c r="AK133" s="195"/>
      <c r="AL133" s="195"/>
      <c r="AM133" s="195"/>
      <c r="AN133" s="195"/>
      <c r="AO133" s="195"/>
      <c r="AP133" s="195"/>
      <c r="AQ133" s="195"/>
      <c r="AR133" s="195"/>
      <c r="AS133" s="195"/>
      <c r="AT133" s="195"/>
    </row>
    <row r="134" spans="1:46" hidden="1">
      <c r="AG134" s="195"/>
      <c r="AH134" s="195"/>
      <c r="AI134" s="195"/>
      <c r="AJ134" s="195"/>
      <c r="AK134" s="195"/>
      <c r="AL134" s="195"/>
      <c r="AM134" s="195"/>
      <c r="AN134" s="195"/>
      <c r="AO134" s="195"/>
      <c r="AP134" s="195"/>
      <c r="AQ134" s="195"/>
      <c r="AR134" s="195"/>
      <c r="AS134" s="195"/>
      <c r="AT134" s="195"/>
    </row>
    <row r="135" spans="1:46" hidden="1">
      <c r="A135" s="24"/>
      <c r="B135" s="25"/>
      <c r="AG135" s="195"/>
      <c r="AH135" s="195"/>
      <c r="AI135" s="195"/>
      <c r="AJ135" s="195"/>
      <c r="AK135" s="195"/>
      <c r="AL135" s="195"/>
      <c r="AM135" s="195"/>
      <c r="AN135" s="195"/>
      <c r="AO135" s="195"/>
      <c r="AP135" s="195"/>
      <c r="AQ135" s="195"/>
      <c r="AR135" s="195"/>
      <c r="AS135" s="195"/>
      <c r="AT135" s="195"/>
    </row>
    <row r="136" spans="1:46" hidden="1">
      <c r="AG136" s="195"/>
      <c r="AH136" s="195"/>
      <c r="AI136" s="195"/>
      <c r="AJ136" s="195"/>
      <c r="AK136" s="195"/>
      <c r="AL136" s="195"/>
      <c r="AM136" s="195"/>
      <c r="AN136" s="195"/>
      <c r="AO136" s="195"/>
      <c r="AP136" s="195"/>
      <c r="AQ136" s="195"/>
      <c r="AR136" s="195"/>
      <c r="AS136" s="195"/>
      <c r="AT136" s="195"/>
    </row>
    <row r="137" spans="1:46" ht="30.75" customHeight="1">
      <c r="A137" s="388" t="s">
        <v>632</v>
      </c>
      <c r="B137" s="389"/>
      <c r="C137" s="390"/>
      <c r="D137" s="195"/>
      <c r="E137" s="1056" t="str">
        <f>+'inversion af'!A1</f>
        <v>CONCEPTO</v>
      </c>
      <c r="F137" s="1056"/>
      <c r="G137" s="326" t="str">
        <f>+'inversion af'!E1</f>
        <v>COSTO TOTAL</v>
      </c>
      <c r="H137" s="326" t="str">
        <f>+'inversion af'!F1</f>
        <v>FUENTE DE RECURSOS</v>
      </c>
      <c r="I137" s="326" t="str">
        <f>+'inversion af'!H1</f>
        <v>ADQUIRIDOS EN EL:</v>
      </c>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c r="AT137" s="195"/>
    </row>
    <row r="138" spans="1:46">
      <c r="A138" s="391"/>
      <c r="B138" s="7"/>
      <c r="C138" s="392"/>
      <c r="D138" s="195"/>
      <c r="E138" s="323" t="str">
        <f>+'inversion af'!A2</f>
        <v>MAQUINARIA</v>
      </c>
      <c r="F138" s="324"/>
      <c r="G138" s="825">
        <f>+'inversion af'!E2</f>
        <v>30800000</v>
      </c>
      <c r="H138" s="325" t="str">
        <f>+'inversion af'!F2</f>
        <v>APORTE DE SOCIOS</v>
      </c>
      <c r="I138" s="325" t="str">
        <f>+'inversion af'!H2</f>
        <v>INICIO DEL PROYECTO</v>
      </c>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c r="AT138" s="195"/>
    </row>
    <row r="139" spans="1:46" ht="16.5" thickBot="1">
      <c r="A139" s="393" t="s">
        <v>633</v>
      </c>
      <c r="B139" s="7"/>
      <c r="C139" s="392"/>
      <c r="D139" s="195"/>
      <c r="E139" s="323" t="str">
        <f>+'inversion af'!A3</f>
        <v>Motocicleta</v>
      </c>
      <c r="F139" s="324"/>
      <c r="G139" s="825">
        <f>+'inversion af'!E3</f>
        <v>8000000</v>
      </c>
      <c r="H139" s="325" t="str">
        <f>+'inversion af'!F3</f>
        <v>APORTE DE SOCIOS</v>
      </c>
      <c r="I139" s="325" t="str">
        <f>+'inversion af'!H3</f>
        <v>INICIO DEL PROYECTO</v>
      </c>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195"/>
      <c r="AO139" s="195"/>
      <c r="AP139" s="195"/>
      <c r="AQ139" s="195"/>
      <c r="AR139" s="195"/>
      <c r="AS139" s="195"/>
      <c r="AT139" s="195"/>
    </row>
    <row r="140" spans="1:46" ht="15.75">
      <c r="A140" s="410" t="s">
        <v>13</v>
      </c>
      <c r="B140" s="7"/>
      <c r="C140" s="392"/>
      <c r="D140" s="195"/>
      <c r="E140" s="323" t="str">
        <f>+'inversion af'!A4</f>
        <v xml:space="preserve">MUEBLES </v>
      </c>
      <c r="F140" s="324"/>
      <c r="G140" s="825">
        <f>+'inversion af'!E4</f>
        <v>8550000</v>
      </c>
      <c r="H140" s="325" t="str">
        <f>+'inversion af'!F4</f>
        <v>APORTE DE SOCIOS</v>
      </c>
      <c r="I140" s="325" t="str">
        <f>+'inversion af'!H4</f>
        <v>INICIO DEL PROYECTO</v>
      </c>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c r="AT140" s="195"/>
    </row>
    <row r="141" spans="1:46" ht="15.75">
      <c r="A141" s="393" t="s">
        <v>634</v>
      </c>
      <c r="B141" s="7"/>
      <c r="C141" s="392"/>
      <c r="D141" s="195"/>
      <c r="E141" s="323">
        <f>+'inversion af'!A5</f>
        <v>0</v>
      </c>
      <c r="F141" s="324"/>
      <c r="G141" s="825">
        <f>+'inversion af'!E5</f>
        <v>0</v>
      </c>
      <c r="H141" s="325">
        <f>+'inversion af'!F5</f>
        <v>0</v>
      </c>
      <c r="I141" s="325">
        <f>+'inversion af'!H5</f>
        <v>0</v>
      </c>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c r="AT141" s="195"/>
    </row>
    <row r="142" spans="1:46">
      <c r="A142" s="394"/>
      <c r="B142" s="17"/>
      <c r="C142" s="392"/>
      <c r="D142" s="195"/>
      <c r="E142" s="323">
        <f>+'inversion af'!A6</f>
        <v>0</v>
      </c>
      <c r="F142" s="324"/>
      <c r="G142" s="825">
        <f>+'inversion af'!E6</f>
        <v>0</v>
      </c>
      <c r="H142" s="325">
        <f>+'inversion af'!F6</f>
        <v>0</v>
      </c>
      <c r="I142" s="325">
        <f>+'inversion af'!H6</f>
        <v>0</v>
      </c>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c r="AT142" s="195"/>
    </row>
    <row r="143" spans="1:46" ht="18" customHeight="1">
      <c r="A143" s="395" t="s">
        <v>635</v>
      </c>
      <c r="B143" s="26" t="s">
        <v>636</v>
      </c>
      <c r="C143" s="396" t="s">
        <v>637</v>
      </c>
      <c r="D143" s="199"/>
      <c r="E143" s="323">
        <f>+'inversion af'!A7</f>
        <v>0</v>
      </c>
      <c r="F143" s="324"/>
      <c r="G143" s="825">
        <f>+'inversion af'!E7</f>
        <v>0</v>
      </c>
      <c r="H143" s="325">
        <f>+'inversion af'!F7</f>
        <v>0</v>
      </c>
      <c r="I143" s="325">
        <f>+'inversion af'!H7</f>
        <v>0</v>
      </c>
      <c r="J143" s="247"/>
      <c r="K143" s="247"/>
      <c r="L143" s="247"/>
      <c r="M143" s="247"/>
      <c r="N143" s="247"/>
      <c r="O143" s="247"/>
      <c r="P143" s="247"/>
      <c r="Q143" s="248"/>
      <c r="R143" s="195"/>
      <c r="S143" s="195"/>
      <c r="T143" s="195"/>
      <c r="U143" s="195"/>
      <c r="V143" s="195"/>
      <c r="W143" s="195"/>
      <c r="X143" s="195"/>
      <c r="Y143" s="195"/>
      <c r="Z143" s="195"/>
      <c r="AA143" s="195"/>
      <c r="AB143" s="195"/>
      <c r="AC143" s="195"/>
      <c r="AD143" s="195"/>
      <c r="AE143" s="195"/>
      <c r="AF143" s="195"/>
      <c r="AG143" s="195"/>
      <c r="AH143" s="195"/>
      <c r="AI143" s="195"/>
      <c r="AJ143" s="195"/>
      <c r="AK143" s="195"/>
      <c r="AL143" s="195"/>
      <c r="AM143" s="195"/>
      <c r="AN143" s="195"/>
      <c r="AO143" s="195"/>
      <c r="AP143" s="195"/>
      <c r="AQ143" s="195"/>
      <c r="AR143" s="195"/>
      <c r="AS143" s="195"/>
      <c r="AT143" s="195"/>
    </row>
    <row r="144" spans="1:46" ht="15.75">
      <c r="A144" s="397"/>
      <c r="B144" s="28"/>
      <c r="C144" s="398"/>
      <c r="D144" s="199"/>
      <c r="E144" s="323">
        <f>+'inversion af'!A8</f>
        <v>0</v>
      </c>
      <c r="F144" s="324"/>
      <c r="G144" s="825">
        <f>+'inversion af'!E8</f>
        <v>0</v>
      </c>
      <c r="H144" s="325">
        <f>+'inversion af'!F8</f>
        <v>0</v>
      </c>
      <c r="I144" s="325">
        <f>+'inversion af'!H8</f>
        <v>0</v>
      </c>
      <c r="J144" s="199"/>
      <c r="K144" s="199"/>
      <c r="L144" s="199"/>
      <c r="M144" s="199"/>
      <c r="N144" s="199"/>
      <c r="O144" s="199"/>
      <c r="P144" s="199"/>
      <c r="Q144" s="195"/>
      <c r="R144" s="195"/>
      <c r="S144" s="195"/>
      <c r="T144" s="195"/>
      <c r="U144" s="195"/>
      <c r="V144" s="195"/>
      <c r="W144" s="195"/>
      <c r="X144" s="195"/>
      <c r="Y144" s="195"/>
      <c r="Z144" s="195"/>
      <c r="AA144" s="195"/>
      <c r="AB144" s="195"/>
      <c r="AC144" s="195"/>
      <c r="AD144" s="195"/>
      <c r="AE144" s="195"/>
      <c r="AF144" s="195"/>
      <c r="AG144" s="195"/>
      <c r="AH144" s="195"/>
      <c r="AI144" s="195"/>
      <c r="AJ144" s="195"/>
      <c r="AK144" s="195"/>
      <c r="AL144" s="195"/>
      <c r="AM144" s="195"/>
      <c r="AN144" s="195"/>
      <c r="AO144" s="195"/>
      <c r="AP144" s="195"/>
      <c r="AQ144" s="195"/>
      <c r="AR144" s="195"/>
      <c r="AS144" s="195"/>
      <c r="AT144" s="195"/>
    </row>
    <row r="145" spans="1:46">
      <c r="A145" s="343" t="str">
        <f>+'datos de entrada'!A144</f>
        <v>TERRENOS</v>
      </c>
      <c r="B145" s="823">
        <f ca="1">+'datos de entrada'!B144</f>
        <v>0</v>
      </c>
      <c r="C145" s="399">
        <v>100000000</v>
      </c>
      <c r="D145" s="199"/>
      <c r="E145" s="323">
        <f>+'inversion af'!A9</f>
        <v>0</v>
      </c>
      <c r="F145" s="324"/>
      <c r="G145" s="825">
        <f>+'inversion af'!E9</f>
        <v>0</v>
      </c>
      <c r="H145" s="325">
        <f>+'inversion af'!F9</f>
        <v>0</v>
      </c>
      <c r="I145" s="325">
        <f>+'inversion af'!H9</f>
        <v>0</v>
      </c>
      <c r="J145" s="199"/>
      <c r="K145" s="199"/>
      <c r="L145" s="199"/>
      <c r="M145" s="199"/>
      <c r="N145" s="199"/>
      <c r="O145" s="199"/>
      <c r="P145" s="199"/>
      <c r="Q145" s="195"/>
      <c r="R145" s="195"/>
      <c r="S145" s="195"/>
      <c r="T145" s="195"/>
      <c r="U145" s="195"/>
      <c r="V145" s="195"/>
      <c r="W145" s="195"/>
      <c r="X145" s="195"/>
      <c r="Y145" s="195"/>
      <c r="Z145" s="195"/>
      <c r="AA145" s="195"/>
      <c r="AB145" s="195"/>
      <c r="AC145" s="195"/>
      <c r="AD145" s="195"/>
      <c r="AE145" s="195"/>
      <c r="AF145" s="195"/>
      <c r="AG145" s="195"/>
      <c r="AH145" s="195"/>
      <c r="AI145" s="195"/>
      <c r="AJ145" s="195"/>
      <c r="AK145" s="195"/>
      <c r="AL145" s="195"/>
      <c r="AM145" s="195"/>
      <c r="AN145" s="195"/>
      <c r="AO145" s="195"/>
      <c r="AP145" s="195"/>
      <c r="AQ145" s="195"/>
      <c r="AR145" s="195"/>
      <c r="AS145" s="195"/>
      <c r="AT145" s="195"/>
    </row>
    <row r="146" spans="1:46">
      <c r="A146" s="343" t="str">
        <f>+'datos de entrada'!A145</f>
        <v>EDIFICIOS</v>
      </c>
      <c r="B146" s="823">
        <f ca="1">+'datos de entrada'!B145</f>
        <v>0</v>
      </c>
      <c r="C146" s="400">
        <v>20</v>
      </c>
      <c r="D146" s="199"/>
      <c r="E146" s="323">
        <f>+'inversion af'!A10</f>
        <v>0</v>
      </c>
      <c r="F146" s="324"/>
      <c r="G146" s="825">
        <f>+'inversion af'!E10</f>
        <v>0</v>
      </c>
      <c r="H146" s="325">
        <f>+'inversion af'!F10</f>
        <v>0</v>
      </c>
      <c r="I146" s="325">
        <f>+'inversion af'!H10</f>
        <v>0</v>
      </c>
      <c r="J146" s="199"/>
      <c r="K146" s="199"/>
      <c r="L146" s="199"/>
      <c r="M146" s="199"/>
      <c r="N146" s="199"/>
      <c r="O146" s="199"/>
      <c r="P146" s="199"/>
      <c r="Q146" s="195"/>
      <c r="R146" s="195"/>
      <c r="S146" s="195"/>
      <c r="T146" s="195"/>
      <c r="U146" s="195"/>
      <c r="V146" s="195"/>
      <c r="W146" s="195"/>
      <c r="X146" s="195"/>
      <c r="Y146" s="195"/>
      <c r="Z146" s="195"/>
      <c r="AA146" s="195"/>
      <c r="AB146" s="195"/>
      <c r="AC146" s="195"/>
      <c r="AD146" s="195"/>
      <c r="AE146" s="195"/>
      <c r="AF146" s="195"/>
      <c r="AG146" s="195"/>
      <c r="AH146" s="195"/>
      <c r="AI146" s="195"/>
      <c r="AJ146" s="195"/>
      <c r="AK146" s="195"/>
      <c r="AL146" s="195"/>
      <c r="AM146" s="195"/>
      <c r="AN146" s="195"/>
      <c r="AO146" s="195"/>
      <c r="AP146" s="195"/>
      <c r="AQ146" s="195"/>
      <c r="AR146" s="195"/>
      <c r="AS146" s="195"/>
      <c r="AT146" s="195"/>
    </row>
    <row r="147" spans="1:46">
      <c r="A147" s="343" t="str">
        <f>+'datos de entrada'!A146</f>
        <v>MAQUINAS</v>
      </c>
      <c r="B147" s="823">
        <f ca="1">+'datos de entrada'!B146</f>
        <v>30800000</v>
      </c>
      <c r="C147" s="400">
        <v>10</v>
      </c>
      <c r="D147" s="203"/>
      <c r="E147" s="323">
        <f>+'inversion af'!A11</f>
        <v>0</v>
      </c>
      <c r="F147" s="324"/>
      <c r="G147" s="825">
        <f>+'inversion af'!E11</f>
        <v>0</v>
      </c>
      <c r="H147" s="325">
        <f>+'inversion af'!F11</f>
        <v>0</v>
      </c>
      <c r="I147" s="325">
        <f>+'inversion af'!H11</f>
        <v>0</v>
      </c>
      <c r="J147" s="199"/>
      <c r="K147" s="199"/>
      <c r="L147" s="199"/>
      <c r="M147" s="199"/>
      <c r="N147" s="199"/>
      <c r="O147" s="199"/>
      <c r="P147" s="199"/>
      <c r="Q147" s="195"/>
      <c r="R147" s="195"/>
      <c r="S147" s="195"/>
      <c r="T147" s="195"/>
      <c r="U147" s="195"/>
      <c r="V147" s="195"/>
      <c r="W147" s="195"/>
      <c r="X147" s="195"/>
      <c r="Y147" s="195"/>
      <c r="Z147" s="195"/>
      <c r="AA147" s="195"/>
      <c r="AB147" s="195"/>
      <c r="AC147" s="195"/>
      <c r="AD147" s="195"/>
      <c r="AE147" s="195"/>
      <c r="AF147" s="195"/>
      <c r="AG147" s="195"/>
      <c r="AH147" s="195"/>
      <c r="AI147" s="195"/>
      <c r="AJ147" s="195"/>
      <c r="AK147" s="195"/>
      <c r="AL147" s="195"/>
      <c r="AM147" s="195"/>
      <c r="AN147" s="195"/>
      <c r="AO147" s="195"/>
      <c r="AP147" s="195"/>
      <c r="AQ147" s="195"/>
      <c r="AR147" s="195"/>
      <c r="AS147" s="195"/>
      <c r="AT147" s="195"/>
    </row>
    <row r="148" spans="1:46">
      <c r="A148" s="343" t="str">
        <f>+'datos de entrada'!A147</f>
        <v>EQUIPOS</v>
      </c>
      <c r="B148" s="823">
        <f ca="1">+'datos de entrada'!B147</f>
        <v>0</v>
      </c>
      <c r="C148" s="400">
        <v>5</v>
      </c>
      <c r="D148" s="203"/>
      <c r="E148" s="323">
        <f>+'inversion af'!A12</f>
        <v>0</v>
      </c>
      <c r="F148" s="324"/>
      <c r="G148" s="825">
        <f>+'inversion af'!E12</f>
        <v>0</v>
      </c>
      <c r="H148" s="325">
        <f>+'inversion af'!F12</f>
        <v>0</v>
      </c>
      <c r="I148" s="325">
        <f>+'inversion af'!H12</f>
        <v>0</v>
      </c>
      <c r="J148" s="203"/>
      <c r="K148" s="203"/>
      <c r="L148" s="203"/>
      <c r="M148" s="203"/>
      <c r="N148" s="203"/>
      <c r="O148" s="199"/>
      <c r="P148" s="199"/>
      <c r="Q148" s="195"/>
      <c r="R148" s="195"/>
      <c r="S148" s="195"/>
      <c r="T148" s="195"/>
      <c r="U148" s="195"/>
      <c r="V148" s="195"/>
      <c r="W148" s="195"/>
      <c r="X148" s="195"/>
      <c r="Y148" s="195"/>
      <c r="Z148" s="195"/>
      <c r="AA148" s="195"/>
      <c r="AB148" s="195"/>
      <c r="AC148" s="195"/>
      <c r="AD148" s="195"/>
      <c r="AE148" s="195"/>
      <c r="AF148" s="195"/>
      <c r="AG148" s="195"/>
      <c r="AH148" s="195"/>
      <c r="AI148" s="195"/>
      <c r="AJ148" s="195"/>
      <c r="AK148" s="195"/>
      <c r="AL148" s="195"/>
      <c r="AM148" s="195"/>
      <c r="AN148" s="195"/>
      <c r="AO148" s="195"/>
      <c r="AP148" s="195"/>
      <c r="AQ148" s="195"/>
      <c r="AR148" s="195"/>
      <c r="AS148" s="195"/>
      <c r="AT148" s="195"/>
    </row>
    <row r="149" spans="1:46">
      <c r="A149" s="343" t="str">
        <f>+'datos de entrada'!A148</f>
        <v>VEHICULOS</v>
      </c>
      <c r="B149" s="823">
        <f ca="1">+'datos de entrada'!B148</f>
        <v>8000000</v>
      </c>
      <c r="C149" s="400">
        <v>5</v>
      </c>
      <c r="D149" s="203"/>
      <c r="E149" s="323">
        <f>+'inversion af'!A13</f>
        <v>0</v>
      </c>
      <c r="F149" s="324"/>
      <c r="G149" s="825">
        <f>+'inversion af'!E13</f>
        <v>0</v>
      </c>
      <c r="H149" s="325">
        <f>+'inversion af'!F13</f>
        <v>0</v>
      </c>
      <c r="I149" s="325">
        <f>+'inversion af'!H13</f>
        <v>0</v>
      </c>
      <c r="J149" s="203"/>
      <c r="K149" s="203"/>
      <c r="L149" s="203"/>
      <c r="M149" s="203"/>
      <c r="N149" s="203"/>
      <c r="O149" s="199"/>
      <c r="P149" s="199"/>
      <c r="Q149" s="195"/>
      <c r="R149" s="195"/>
      <c r="S149" s="195"/>
      <c r="T149" s="195"/>
      <c r="U149" s="195"/>
      <c r="V149" s="195"/>
      <c r="W149" s="195"/>
      <c r="X149" s="195"/>
      <c r="Y149" s="195"/>
      <c r="Z149" s="195"/>
      <c r="AA149" s="195"/>
      <c r="AB149" s="195"/>
      <c r="AC149" s="195"/>
      <c r="AD149" s="195"/>
      <c r="AE149" s="195"/>
      <c r="AF149" s="195"/>
      <c r="AG149" s="195"/>
      <c r="AH149" s="195"/>
      <c r="AI149" s="195"/>
      <c r="AJ149" s="195"/>
      <c r="AK149" s="195"/>
      <c r="AL149" s="195"/>
      <c r="AM149" s="195"/>
      <c r="AN149" s="195"/>
      <c r="AO149" s="195"/>
      <c r="AP149" s="195"/>
      <c r="AQ149" s="195"/>
      <c r="AR149" s="195"/>
      <c r="AS149" s="195"/>
      <c r="AT149" s="195"/>
    </row>
    <row r="150" spans="1:46">
      <c r="A150" s="343" t="str">
        <f>+'datos de entrada'!A149</f>
        <v>MUEBLES Y ENSERES</v>
      </c>
      <c r="B150" s="823">
        <f ca="1">+'datos de entrada'!B149</f>
        <v>8550000</v>
      </c>
      <c r="C150" s="400">
        <v>1</v>
      </c>
      <c r="D150" s="203"/>
      <c r="E150" s="323">
        <f>+'inversion af'!A14</f>
        <v>0</v>
      </c>
      <c r="F150" s="324"/>
      <c r="G150" s="825">
        <f>+'inversion af'!E14</f>
        <v>0</v>
      </c>
      <c r="H150" s="325">
        <f>+'inversion af'!F14</f>
        <v>0</v>
      </c>
      <c r="I150" s="325">
        <f>+'inversion af'!H14</f>
        <v>0</v>
      </c>
      <c r="J150" s="203"/>
      <c r="K150" s="203"/>
      <c r="L150" s="203"/>
      <c r="M150" s="203"/>
      <c r="N150" s="203"/>
      <c r="O150" s="199"/>
      <c r="P150" s="199"/>
      <c r="Q150" s="195"/>
      <c r="R150" s="195"/>
      <c r="S150" s="195"/>
      <c r="T150" s="195"/>
      <c r="U150" s="195"/>
      <c r="V150" s="195"/>
      <c r="W150" s="195"/>
      <c r="X150" s="195"/>
      <c r="Y150" s="195"/>
      <c r="Z150" s="195"/>
      <c r="AA150" s="195"/>
      <c r="AB150" s="195"/>
      <c r="AC150" s="195"/>
      <c r="AD150" s="195"/>
      <c r="AE150" s="195"/>
      <c r="AF150" s="195"/>
      <c r="AG150" s="195"/>
      <c r="AH150" s="195"/>
      <c r="AI150" s="195"/>
      <c r="AJ150" s="195"/>
      <c r="AK150" s="195"/>
      <c r="AL150" s="195"/>
      <c r="AM150" s="195"/>
      <c r="AN150" s="195"/>
      <c r="AO150" s="195"/>
      <c r="AP150" s="195"/>
      <c r="AQ150" s="195"/>
      <c r="AR150" s="195"/>
      <c r="AS150" s="195"/>
      <c r="AT150" s="195"/>
    </row>
    <row r="151" spans="1:46">
      <c r="A151" s="343" t="str">
        <f>+'datos de entrada'!A150</f>
        <v>HERRAMIENTAS</v>
      </c>
      <c r="B151" s="823">
        <f ca="1">+'datos de entrada'!B150</f>
        <v>0</v>
      </c>
      <c r="C151" s="400">
        <v>3</v>
      </c>
      <c r="D151" s="203"/>
      <c r="E151" s="323">
        <f>+'inversion af'!A15</f>
        <v>0</v>
      </c>
      <c r="F151" s="324"/>
      <c r="G151" s="825">
        <f>+'inversion af'!E15</f>
        <v>0</v>
      </c>
      <c r="H151" s="325">
        <f>+'inversion af'!F15</f>
        <v>0</v>
      </c>
      <c r="I151" s="325">
        <f>+'inversion af'!H15</f>
        <v>0</v>
      </c>
      <c r="J151" s="203"/>
      <c r="K151" s="203"/>
      <c r="L151" s="203"/>
      <c r="M151" s="203"/>
      <c r="N151" s="203"/>
      <c r="O151" s="199"/>
      <c r="P151" s="199"/>
      <c r="Q151" s="195"/>
      <c r="R151" s="195"/>
      <c r="S151" s="195"/>
      <c r="T151" s="195"/>
      <c r="U151" s="195"/>
      <c r="V151" s="195"/>
      <c r="W151" s="195"/>
      <c r="X151" s="195"/>
      <c r="Y151" s="195"/>
      <c r="Z151" s="195"/>
      <c r="AA151" s="195"/>
      <c r="AB151" s="195"/>
      <c r="AC151" s="195"/>
      <c r="AD151" s="195"/>
      <c r="AE151" s="195"/>
      <c r="AF151" s="195"/>
      <c r="AG151" s="195"/>
      <c r="AH151" s="195"/>
      <c r="AI151" s="195"/>
      <c r="AJ151" s="195"/>
      <c r="AK151" s="195"/>
      <c r="AL151" s="195"/>
      <c r="AM151" s="195"/>
      <c r="AN151" s="195"/>
      <c r="AO151" s="195"/>
      <c r="AP151" s="195"/>
      <c r="AQ151" s="195"/>
      <c r="AR151" s="195"/>
      <c r="AS151" s="195"/>
      <c r="AT151" s="195"/>
    </row>
    <row r="152" spans="1:46">
      <c r="A152" s="343" t="str">
        <f>+'datos de entrada'!A151</f>
        <v>COMPUTAD. PRODUC.</v>
      </c>
      <c r="B152" s="823">
        <f ca="1">+'datos de entrada'!B151</f>
        <v>0</v>
      </c>
      <c r="C152" s="400">
        <v>10</v>
      </c>
      <c r="D152" s="203"/>
      <c r="E152" s="323">
        <f>+'inversion af'!A16</f>
        <v>0</v>
      </c>
      <c r="F152" s="324"/>
      <c r="G152" s="825">
        <f>+'inversion af'!E16</f>
        <v>0</v>
      </c>
      <c r="H152" s="325">
        <f>+'inversion af'!F16</f>
        <v>0</v>
      </c>
      <c r="I152" s="325">
        <f>+'inversion af'!H16</f>
        <v>0</v>
      </c>
      <c r="J152" s="203"/>
      <c r="K152" s="203"/>
      <c r="L152" s="203"/>
      <c r="M152" s="203"/>
      <c r="N152" s="203"/>
      <c r="O152" s="199"/>
      <c r="P152" s="199"/>
      <c r="Q152" s="195"/>
      <c r="R152" s="195"/>
      <c r="S152" s="195"/>
      <c r="T152" s="195"/>
      <c r="U152" s="195"/>
      <c r="V152" s="195"/>
      <c r="W152" s="195"/>
      <c r="X152" s="195"/>
      <c r="Y152" s="195"/>
      <c r="Z152" s="195"/>
      <c r="AA152" s="195"/>
      <c r="AB152" s="195"/>
      <c r="AC152" s="195"/>
      <c r="AD152" s="195"/>
      <c r="AE152" s="195"/>
      <c r="AF152" s="195"/>
      <c r="AG152" s="195"/>
      <c r="AH152" s="195"/>
      <c r="AI152" s="195"/>
      <c r="AJ152" s="195"/>
      <c r="AK152" s="195"/>
      <c r="AL152" s="195"/>
      <c r="AM152" s="195"/>
      <c r="AN152" s="195"/>
      <c r="AO152" s="195"/>
      <c r="AP152" s="195"/>
      <c r="AQ152" s="195"/>
      <c r="AR152" s="195"/>
      <c r="AS152" s="195"/>
      <c r="AT152" s="195"/>
    </row>
    <row r="153" spans="1:46" ht="15.75" thickBot="1">
      <c r="A153" s="344" t="str">
        <f>+'datos de entrada'!A152</f>
        <v>COMPUTAD. ADMON.</v>
      </c>
      <c r="B153" s="824">
        <f ca="1">+'datos de entrada'!B152</f>
        <v>0</v>
      </c>
      <c r="C153" s="401">
        <v>3</v>
      </c>
      <c r="D153" s="203"/>
      <c r="E153" s="323">
        <f>+'inversion af'!A17</f>
        <v>0</v>
      </c>
      <c r="F153" s="324"/>
      <c r="G153" s="825">
        <f>+'inversion af'!E17</f>
        <v>0</v>
      </c>
      <c r="H153" s="325">
        <f>+'inversion af'!F17</f>
        <v>0</v>
      </c>
      <c r="I153" s="325">
        <f>+'inversion af'!H17</f>
        <v>0</v>
      </c>
      <c r="J153" s="203"/>
      <c r="K153" s="203"/>
      <c r="L153" s="203"/>
      <c r="M153" s="203"/>
      <c r="N153" s="203"/>
      <c r="O153" s="199"/>
      <c r="P153" s="199"/>
      <c r="Q153" s="195"/>
      <c r="R153" s="195"/>
      <c r="S153" s="195"/>
      <c r="T153" s="195"/>
      <c r="U153" s="195"/>
      <c r="V153" s="195"/>
      <c r="W153" s="195"/>
      <c r="X153" s="195"/>
      <c r="Y153" s="195"/>
      <c r="Z153" s="195"/>
      <c r="AA153" s="195"/>
      <c r="AB153" s="195"/>
      <c r="AC153" s="195"/>
      <c r="AD153" s="195"/>
      <c r="AE153" s="195"/>
      <c r="AF153" s="195"/>
      <c r="AG153" s="195"/>
      <c r="AH153" s="195"/>
      <c r="AI153" s="195"/>
      <c r="AJ153" s="195"/>
      <c r="AK153" s="195"/>
      <c r="AL153" s="195"/>
      <c r="AM153" s="195"/>
      <c r="AN153" s="195"/>
      <c r="AO153" s="195"/>
      <c r="AP153" s="195"/>
      <c r="AQ153" s="195"/>
      <c r="AR153" s="195"/>
      <c r="AS153" s="195"/>
      <c r="AT153" s="195"/>
    </row>
    <row r="154" spans="1:46">
      <c r="A154" s="387"/>
      <c r="B154" s="7"/>
      <c r="C154" s="7"/>
      <c r="D154" s="203"/>
      <c r="E154" s="323">
        <f>+'inversion af'!A18</f>
        <v>0</v>
      </c>
      <c r="F154" s="324"/>
      <c r="G154" s="825">
        <f>+'inversion af'!E18</f>
        <v>0</v>
      </c>
      <c r="H154" s="325">
        <f>+'inversion af'!F18</f>
        <v>0</v>
      </c>
      <c r="I154" s="325">
        <f>+'inversion af'!H18</f>
        <v>0</v>
      </c>
      <c r="J154" s="203"/>
      <c r="K154" s="203"/>
      <c r="L154" s="203"/>
      <c r="M154" s="203"/>
      <c r="N154" s="203"/>
      <c r="O154" s="199"/>
      <c r="P154" s="199"/>
      <c r="Q154" s="195"/>
      <c r="R154" s="195"/>
      <c r="S154" s="195"/>
      <c r="T154" s="195"/>
      <c r="U154" s="195"/>
      <c r="V154" s="195"/>
      <c r="W154" s="195"/>
      <c r="X154" s="195"/>
      <c r="Y154" s="195"/>
      <c r="Z154" s="195"/>
      <c r="AA154" s="195"/>
      <c r="AB154" s="195"/>
      <c r="AC154" s="195"/>
      <c r="AD154" s="195"/>
      <c r="AE154" s="195"/>
      <c r="AF154" s="195"/>
      <c r="AG154" s="195"/>
      <c r="AH154" s="195"/>
      <c r="AI154" s="195"/>
      <c r="AJ154" s="195"/>
      <c r="AK154" s="195"/>
      <c r="AL154" s="195"/>
      <c r="AM154" s="195"/>
      <c r="AN154" s="195"/>
      <c r="AO154" s="195"/>
      <c r="AP154" s="195"/>
      <c r="AQ154" s="195"/>
      <c r="AR154" s="195"/>
      <c r="AS154" s="195"/>
      <c r="AT154" s="195"/>
    </row>
    <row r="155" spans="1:46">
      <c r="A155" s="203"/>
      <c r="B155" s="203"/>
      <c r="C155" s="203"/>
      <c r="D155" s="203"/>
      <c r="E155" s="323">
        <f>+'inversion af'!A19</f>
        <v>0</v>
      </c>
      <c r="F155" s="324"/>
      <c r="G155" s="825">
        <f>+'inversion af'!E19</f>
        <v>0</v>
      </c>
      <c r="H155" s="325">
        <f>+'inversion af'!F19</f>
        <v>0</v>
      </c>
      <c r="I155" s="325">
        <f>+'inversion af'!H19</f>
        <v>0</v>
      </c>
      <c r="J155" s="203"/>
      <c r="K155" s="203"/>
      <c r="L155" s="203"/>
      <c r="M155" s="203"/>
      <c r="N155" s="203"/>
      <c r="O155" s="199"/>
      <c r="P155" s="199"/>
      <c r="Q155" s="195"/>
      <c r="R155" s="195"/>
      <c r="S155" s="195"/>
      <c r="T155" s="195"/>
      <c r="U155" s="195"/>
      <c r="V155" s="195"/>
      <c r="W155" s="195"/>
      <c r="X155" s="195"/>
      <c r="Y155" s="195"/>
      <c r="Z155" s="195"/>
      <c r="AA155" s="195"/>
      <c r="AB155" s="195"/>
      <c r="AC155" s="195"/>
      <c r="AD155" s="195"/>
      <c r="AE155" s="195"/>
      <c r="AF155" s="195"/>
      <c r="AG155" s="195"/>
      <c r="AH155" s="195"/>
      <c r="AI155" s="195"/>
      <c r="AJ155" s="195"/>
      <c r="AK155" s="195"/>
      <c r="AL155" s="195"/>
      <c r="AM155" s="195"/>
      <c r="AN155" s="195"/>
      <c r="AO155" s="195"/>
      <c r="AP155" s="195"/>
      <c r="AQ155" s="195"/>
      <c r="AR155" s="195"/>
      <c r="AS155" s="195"/>
      <c r="AT155" s="195"/>
    </row>
    <row r="156" spans="1:46" ht="15.75" thickBot="1">
      <c r="A156" s="193"/>
      <c r="B156" s="193"/>
      <c r="C156" s="194"/>
      <c r="D156" s="194"/>
      <c r="E156" s="323">
        <f>+'inversion af'!A20</f>
        <v>0</v>
      </c>
      <c r="F156" s="324"/>
      <c r="G156" s="825">
        <f>+'inversion af'!E20</f>
        <v>0</v>
      </c>
      <c r="H156" s="325">
        <f>+'inversion af'!F20</f>
        <v>0</v>
      </c>
      <c r="I156" s="325">
        <f>+'inversion af'!H20</f>
        <v>0</v>
      </c>
      <c r="J156" s="203"/>
      <c r="K156" s="203"/>
      <c r="L156" s="203"/>
      <c r="M156" s="203"/>
      <c r="N156" s="203"/>
      <c r="O156" s="199"/>
      <c r="P156" s="199"/>
      <c r="Q156" s="195"/>
      <c r="R156" s="195"/>
      <c r="S156" s="195"/>
      <c r="T156" s="195"/>
      <c r="U156" s="195"/>
      <c r="V156" s="195"/>
      <c r="W156" s="195"/>
      <c r="X156" s="195"/>
      <c r="Y156" s="195"/>
      <c r="Z156" s="195"/>
      <c r="AA156" s="195"/>
      <c r="AB156" s="195"/>
      <c r="AC156" s="195"/>
      <c r="AD156" s="195"/>
      <c r="AE156" s="195"/>
      <c r="AF156" s="195"/>
      <c r="AG156" s="195"/>
      <c r="AH156" s="195"/>
      <c r="AI156" s="195"/>
      <c r="AJ156" s="195"/>
      <c r="AK156" s="195"/>
      <c r="AL156" s="195"/>
      <c r="AM156" s="195"/>
      <c r="AN156" s="195"/>
      <c r="AO156" s="195"/>
      <c r="AP156" s="195"/>
      <c r="AQ156" s="195"/>
      <c r="AR156" s="195"/>
      <c r="AS156" s="195"/>
      <c r="AT156" s="195"/>
    </row>
    <row r="157" spans="1:46" ht="15.75">
      <c r="A157" s="410" t="s">
        <v>13</v>
      </c>
      <c r="B157" s="389"/>
      <c r="C157" s="390"/>
      <c r="D157" s="210"/>
      <c r="E157" s="323">
        <f>+'inversion af'!A21</f>
        <v>0</v>
      </c>
      <c r="F157" s="324"/>
      <c r="G157" s="825">
        <f>+'inversion af'!E21</f>
        <v>0</v>
      </c>
      <c r="H157" s="325">
        <f>+'inversion af'!F21</f>
        <v>0</v>
      </c>
      <c r="I157" s="325">
        <f>+'inversion af'!H21</f>
        <v>0</v>
      </c>
      <c r="J157" s="203"/>
      <c r="K157" s="203"/>
      <c r="L157" s="203"/>
      <c r="M157" s="203"/>
      <c r="N157" s="203"/>
      <c r="O157" s="199"/>
      <c r="P157" s="199"/>
      <c r="Q157" s="195"/>
      <c r="R157" s="195"/>
      <c r="S157" s="195"/>
      <c r="T157" s="195"/>
      <c r="U157" s="195"/>
      <c r="V157" s="195"/>
      <c r="W157" s="195"/>
      <c r="X157" s="195"/>
      <c r="Y157" s="195"/>
      <c r="Z157" s="195"/>
      <c r="AA157" s="195"/>
      <c r="AB157" s="195"/>
      <c r="AC157" s="195"/>
      <c r="AD157" s="195"/>
      <c r="AE157" s="195"/>
      <c r="AF157" s="195"/>
      <c r="AG157" s="195"/>
      <c r="AH157" s="195"/>
      <c r="AI157" s="195"/>
      <c r="AJ157" s="195"/>
      <c r="AK157" s="195"/>
      <c r="AL157" s="195"/>
      <c r="AM157" s="195"/>
      <c r="AN157" s="195"/>
      <c r="AO157" s="195"/>
      <c r="AP157" s="195"/>
      <c r="AQ157" s="195"/>
      <c r="AR157" s="195"/>
      <c r="AS157" s="195"/>
      <c r="AT157" s="195"/>
    </row>
    <row r="158" spans="1:46" ht="15.75">
      <c r="A158" s="393" t="s">
        <v>638</v>
      </c>
      <c r="B158" s="7"/>
      <c r="C158" s="392"/>
      <c r="D158" s="210"/>
      <c r="E158" s="323">
        <f>+'inversion af'!A22</f>
        <v>0</v>
      </c>
      <c r="F158" s="324"/>
      <c r="G158" s="825">
        <f>+'inversion af'!E22</f>
        <v>0</v>
      </c>
      <c r="H158" s="325">
        <f>+'inversion af'!F22</f>
        <v>0</v>
      </c>
      <c r="I158" s="325">
        <f>+'inversion af'!H22</f>
        <v>0</v>
      </c>
      <c r="J158" s="203"/>
      <c r="K158" s="203"/>
      <c r="L158" s="203"/>
      <c r="M158" s="203"/>
      <c r="N158" s="203"/>
      <c r="O158" s="199"/>
      <c r="P158" s="199"/>
      <c r="Q158" s="195"/>
      <c r="R158" s="195"/>
      <c r="S158" s="195"/>
      <c r="T158" s="195"/>
      <c r="U158" s="195"/>
      <c r="V158" s="195"/>
      <c r="W158" s="195"/>
      <c r="X158" s="195"/>
      <c r="Y158" s="195"/>
      <c r="Z158" s="195"/>
      <c r="AA158" s="195"/>
      <c r="AB158" s="195"/>
      <c r="AC158" s="195"/>
      <c r="AD158" s="195"/>
      <c r="AE158" s="195"/>
      <c r="AF158" s="195"/>
      <c r="AG158" s="195"/>
      <c r="AH158" s="195"/>
      <c r="AI158" s="195"/>
      <c r="AJ158" s="195"/>
      <c r="AK158" s="195"/>
      <c r="AL158" s="195"/>
      <c r="AM158" s="195"/>
      <c r="AN158" s="195"/>
      <c r="AO158" s="195"/>
      <c r="AP158" s="195"/>
      <c r="AQ158" s="195"/>
      <c r="AR158" s="195"/>
      <c r="AS158" s="195"/>
      <c r="AT158" s="195"/>
    </row>
    <row r="159" spans="1:46" ht="15" customHeight="1">
      <c r="A159" s="394"/>
      <c r="B159" s="17"/>
      <c r="C159" s="392"/>
      <c r="D159" s="319"/>
      <c r="E159" s="323">
        <f>+'inversion af'!A23</f>
        <v>0</v>
      </c>
      <c r="F159" s="324"/>
      <c r="G159" s="825">
        <f>+'inversion af'!E23</f>
        <v>0</v>
      </c>
      <c r="H159" s="325">
        <f>+'inversion af'!F23</f>
        <v>0</v>
      </c>
      <c r="I159" s="325">
        <f>+'inversion af'!H23</f>
        <v>0</v>
      </c>
      <c r="J159" s="203"/>
      <c r="K159" s="203"/>
      <c r="L159" s="203"/>
      <c r="M159" s="203"/>
      <c r="N159" s="203"/>
      <c r="O159" s="199"/>
      <c r="P159" s="199"/>
      <c r="Q159" s="195"/>
      <c r="R159" s="195"/>
      <c r="S159" s="195"/>
      <c r="T159" s="195"/>
      <c r="U159" s="195"/>
      <c r="V159" s="195"/>
      <c r="W159" s="195"/>
      <c r="X159" s="195"/>
      <c r="Y159" s="195"/>
      <c r="Z159" s="195"/>
      <c r="AA159" s="195"/>
      <c r="AB159" s="195"/>
      <c r="AC159" s="195"/>
      <c r="AD159" s="195"/>
      <c r="AE159" s="195"/>
      <c r="AF159" s="195"/>
      <c r="AG159" s="195"/>
      <c r="AH159" s="195"/>
      <c r="AI159" s="195"/>
      <c r="AJ159" s="195"/>
      <c r="AK159" s="195"/>
      <c r="AL159" s="195"/>
      <c r="AM159" s="195"/>
      <c r="AN159" s="195"/>
      <c r="AO159" s="195"/>
      <c r="AP159" s="195"/>
      <c r="AQ159" s="195"/>
      <c r="AR159" s="195"/>
      <c r="AS159" s="195"/>
      <c r="AT159" s="195"/>
    </row>
    <row r="160" spans="1:46" ht="15.75">
      <c r="A160" s="395" t="s">
        <v>635</v>
      </c>
      <c r="B160" s="31" t="s">
        <v>636</v>
      </c>
      <c r="C160" s="402" t="s">
        <v>639</v>
      </c>
      <c r="D160" s="322"/>
      <c r="E160" s="323">
        <f>+'inversion af'!A24</f>
        <v>0</v>
      </c>
      <c r="F160" s="324"/>
      <c r="G160" s="825">
        <f>+'inversion af'!E24</f>
        <v>0</v>
      </c>
      <c r="H160" s="325">
        <f>+'inversion af'!F24</f>
        <v>0</v>
      </c>
      <c r="I160" s="325">
        <f>+'inversion af'!H24</f>
        <v>0</v>
      </c>
      <c r="J160" s="203"/>
      <c r="K160" s="203"/>
      <c r="L160" s="203"/>
      <c r="M160" s="203"/>
      <c r="N160" s="203"/>
      <c r="O160" s="199"/>
      <c r="P160" s="199"/>
      <c r="Q160" s="195"/>
      <c r="R160" s="195"/>
      <c r="S160" s="195"/>
      <c r="T160" s="195"/>
      <c r="U160" s="195"/>
      <c r="V160" s="195"/>
      <c r="W160" s="195"/>
      <c r="X160" s="195"/>
      <c r="Y160" s="195"/>
      <c r="Z160" s="195"/>
      <c r="AA160" s="195"/>
      <c r="AB160" s="195"/>
      <c r="AC160" s="195"/>
      <c r="AD160" s="195"/>
      <c r="AE160" s="195"/>
      <c r="AF160" s="195"/>
      <c r="AG160" s="195"/>
      <c r="AH160" s="195"/>
      <c r="AI160" s="195"/>
      <c r="AJ160" s="195"/>
      <c r="AK160" s="195"/>
      <c r="AL160" s="195"/>
      <c r="AM160" s="195"/>
      <c r="AN160" s="195"/>
      <c r="AO160" s="195"/>
      <c r="AP160" s="195"/>
      <c r="AQ160" s="195"/>
      <c r="AR160" s="195"/>
      <c r="AS160" s="195"/>
      <c r="AT160" s="195"/>
    </row>
    <row r="161" spans="1:46" ht="15.75">
      <c r="A161" s="397"/>
      <c r="B161" s="33"/>
      <c r="C161" s="403" t="s">
        <v>641</v>
      </c>
      <c r="D161" s="320"/>
      <c r="E161" s="323">
        <f>+'inversion af'!A25</f>
        <v>0</v>
      </c>
      <c r="F161" s="324"/>
      <c r="G161" s="825">
        <f>+'inversion af'!E25</f>
        <v>0</v>
      </c>
      <c r="H161" s="325">
        <f>+'inversion af'!F25</f>
        <v>0</v>
      </c>
      <c r="I161" s="325">
        <f>+'inversion af'!H25</f>
        <v>0</v>
      </c>
      <c r="J161" s="203"/>
      <c r="K161" s="203"/>
      <c r="L161" s="203"/>
      <c r="M161" s="203"/>
      <c r="N161" s="203"/>
      <c r="O161" s="199"/>
      <c r="P161" s="199"/>
      <c r="Q161" s="195"/>
      <c r="R161" s="195"/>
      <c r="S161" s="195"/>
      <c r="T161" s="195"/>
      <c r="U161" s="195"/>
      <c r="V161" s="195"/>
      <c r="W161" s="195"/>
      <c r="X161" s="195"/>
      <c r="Y161" s="195"/>
      <c r="Z161" s="195"/>
      <c r="AA161" s="195"/>
      <c r="AB161" s="195"/>
      <c r="AC161" s="195"/>
      <c r="AD161" s="195"/>
      <c r="AE161" s="195"/>
      <c r="AF161" s="195"/>
      <c r="AG161" s="195"/>
      <c r="AH161" s="195"/>
      <c r="AI161" s="195"/>
      <c r="AJ161" s="195"/>
      <c r="AK161" s="195"/>
      <c r="AL161" s="195"/>
      <c r="AM161" s="195"/>
      <c r="AN161" s="195"/>
      <c r="AO161" s="195"/>
      <c r="AP161" s="195"/>
      <c r="AQ161" s="195"/>
      <c r="AR161" s="195"/>
      <c r="AS161" s="195"/>
      <c r="AT161" s="195"/>
    </row>
    <row r="162" spans="1:46">
      <c r="A162" s="343" t="str">
        <f>+'datos de entrada'!A161</f>
        <v>TERRENOS</v>
      </c>
      <c r="B162" s="853">
        <f ca="1">+'datos de entrada'!B161</f>
        <v>0</v>
      </c>
      <c r="C162" s="404">
        <v>1000000</v>
      </c>
      <c r="D162" s="321"/>
      <c r="E162" s="323">
        <f>+'inversion af'!A26</f>
        <v>0</v>
      </c>
      <c r="F162" s="324"/>
      <c r="G162" s="825">
        <f>+'inversion af'!E26</f>
        <v>0</v>
      </c>
      <c r="H162" s="325">
        <f>+'inversion af'!F26</f>
        <v>0</v>
      </c>
      <c r="I162" s="325">
        <f>+'inversion af'!H26</f>
        <v>0</v>
      </c>
      <c r="J162" s="203"/>
      <c r="K162" s="203"/>
      <c r="L162" s="203"/>
      <c r="M162" s="203"/>
      <c r="N162" s="203"/>
      <c r="O162" s="199"/>
      <c r="P162" s="199"/>
      <c r="Q162" s="195"/>
      <c r="R162" s="195"/>
      <c r="S162" s="195"/>
      <c r="T162" s="195"/>
      <c r="U162" s="195"/>
      <c r="V162" s="195"/>
      <c r="W162" s="195"/>
      <c r="X162" s="195"/>
      <c r="Y162" s="195"/>
      <c r="Z162" s="195"/>
      <c r="AA162" s="195"/>
      <c r="AB162" s="195"/>
      <c r="AC162" s="195"/>
      <c r="AD162" s="195"/>
      <c r="AE162" s="195"/>
      <c r="AF162" s="195"/>
      <c r="AG162" s="195"/>
      <c r="AH162" s="195"/>
      <c r="AI162" s="195"/>
      <c r="AJ162" s="195"/>
      <c r="AK162" s="195"/>
      <c r="AL162" s="195"/>
      <c r="AM162" s="195"/>
      <c r="AN162" s="195"/>
      <c r="AO162" s="195"/>
      <c r="AP162" s="195"/>
      <c r="AQ162" s="195"/>
      <c r="AR162" s="195"/>
      <c r="AS162" s="195"/>
      <c r="AT162" s="195"/>
    </row>
    <row r="163" spans="1:46">
      <c r="A163" s="343" t="str">
        <f>+'datos de entrada'!A162</f>
        <v>EDIFICIOS</v>
      </c>
      <c r="B163" s="853">
        <f ca="1">+'datos de entrada'!B162</f>
        <v>0</v>
      </c>
      <c r="C163" s="405">
        <v>20</v>
      </c>
      <c r="D163" s="321"/>
      <c r="E163" s="323">
        <f>+'inversion af'!A27</f>
        <v>0</v>
      </c>
      <c r="F163" s="324"/>
      <c r="G163" s="825">
        <f>+'inversion af'!E27</f>
        <v>0</v>
      </c>
      <c r="H163" s="325">
        <f>+'inversion af'!F27</f>
        <v>0</v>
      </c>
      <c r="I163" s="325">
        <f>+'inversion af'!H27</f>
        <v>0</v>
      </c>
      <c r="J163" s="203"/>
      <c r="K163" s="203"/>
      <c r="L163" s="203"/>
      <c r="M163" s="203"/>
      <c r="N163" s="203"/>
      <c r="O163" s="199"/>
      <c r="P163" s="199"/>
      <c r="Q163" s="195"/>
      <c r="R163" s="195"/>
      <c r="S163" s="195"/>
      <c r="T163" s="195"/>
      <c r="U163" s="195"/>
      <c r="V163" s="195"/>
      <c r="W163" s="195"/>
      <c r="X163" s="195"/>
      <c r="Y163" s="195"/>
      <c r="Z163" s="195"/>
      <c r="AA163" s="195"/>
      <c r="AB163" s="195"/>
      <c r="AC163" s="195"/>
      <c r="AD163" s="195"/>
      <c r="AE163" s="195"/>
      <c r="AF163" s="195"/>
      <c r="AG163" s="195"/>
      <c r="AH163" s="195"/>
      <c r="AI163" s="195"/>
      <c r="AJ163" s="195"/>
      <c r="AK163" s="195"/>
      <c r="AL163" s="195"/>
      <c r="AM163" s="195"/>
      <c r="AN163" s="195"/>
      <c r="AO163" s="195"/>
      <c r="AP163" s="195"/>
      <c r="AQ163" s="195"/>
      <c r="AR163" s="195"/>
      <c r="AS163" s="195"/>
      <c r="AT163" s="195"/>
    </row>
    <row r="164" spans="1:46">
      <c r="A164" s="343" t="str">
        <f>+'datos de entrada'!A163</f>
        <v>MAQUINAS</v>
      </c>
      <c r="B164" s="853">
        <f ca="1">+'datos de entrada'!B163</f>
        <v>0</v>
      </c>
      <c r="C164" s="405">
        <v>10</v>
      </c>
      <c r="D164" s="321"/>
      <c r="E164" s="323">
        <f>+'inversion af'!A28</f>
        <v>0</v>
      </c>
      <c r="F164" s="324"/>
      <c r="G164" s="825">
        <f>+'inversion af'!E28</f>
        <v>0</v>
      </c>
      <c r="H164" s="325">
        <f>+'inversion af'!F28</f>
        <v>0</v>
      </c>
      <c r="I164" s="325">
        <f>+'inversion af'!H28</f>
        <v>0</v>
      </c>
      <c r="J164" s="203"/>
      <c r="K164" s="203"/>
      <c r="L164" s="203"/>
      <c r="M164" s="203"/>
      <c r="N164" s="203"/>
      <c r="O164" s="199"/>
      <c r="P164" s="199"/>
      <c r="Q164" s="195"/>
      <c r="R164" s="195"/>
      <c r="S164" s="195"/>
      <c r="T164" s="195"/>
      <c r="U164" s="195"/>
      <c r="V164" s="195"/>
      <c r="W164" s="195"/>
      <c r="X164" s="195"/>
      <c r="Y164" s="195"/>
      <c r="Z164" s="195"/>
      <c r="AA164" s="195"/>
      <c r="AB164" s="195"/>
      <c r="AC164" s="195"/>
      <c r="AD164" s="195"/>
      <c r="AE164" s="195"/>
      <c r="AF164" s="195"/>
      <c r="AG164" s="195"/>
      <c r="AH164" s="195"/>
      <c r="AI164" s="195"/>
      <c r="AJ164" s="195"/>
      <c r="AK164" s="195"/>
      <c r="AL164" s="195"/>
      <c r="AM164" s="195"/>
      <c r="AN164" s="195"/>
      <c r="AO164" s="195"/>
      <c r="AP164" s="195"/>
      <c r="AQ164" s="195"/>
      <c r="AR164" s="195"/>
      <c r="AS164" s="195"/>
      <c r="AT164" s="195"/>
    </row>
    <row r="165" spans="1:46">
      <c r="A165" s="343" t="str">
        <f>+'datos de entrada'!A164</f>
        <v>EQUIPOS</v>
      </c>
      <c r="B165" s="853">
        <f ca="1">+'datos de entrada'!B164</f>
        <v>0</v>
      </c>
      <c r="C165" s="405">
        <v>5</v>
      </c>
      <c r="D165" s="321"/>
      <c r="E165" s="323">
        <f>+'inversion af'!A29</f>
        <v>0</v>
      </c>
      <c r="F165" s="324"/>
      <c r="G165" s="825">
        <f>+'inversion af'!E29</f>
        <v>0</v>
      </c>
      <c r="H165" s="325">
        <f>+'inversion af'!F29</f>
        <v>0</v>
      </c>
      <c r="I165" s="325">
        <f>+'inversion af'!H29</f>
        <v>0</v>
      </c>
      <c r="J165" s="203"/>
      <c r="K165" s="203"/>
      <c r="L165" s="203"/>
      <c r="M165" s="203"/>
      <c r="N165" s="203"/>
      <c r="O165" s="199"/>
      <c r="P165" s="199"/>
      <c r="Q165" s="195"/>
      <c r="R165" s="195"/>
      <c r="S165" s="195"/>
      <c r="T165" s="195"/>
      <c r="U165" s="195"/>
      <c r="V165" s="195"/>
      <c r="W165" s="195"/>
      <c r="X165" s="195"/>
      <c r="Y165" s="195"/>
      <c r="Z165" s="195"/>
      <c r="AA165" s="195"/>
      <c r="AB165" s="195"/>
      <c r="AC165" s="195"/>
      <c r="AD165" s="195"/>
      <c r="AE165" s="195"/>
      <c r="AF165" s="195"/>
      <c r="AG165" s="195"/>
      <c r="AH165" s="195"/>
      <c r="AI165" s="195"/>
      <c r="AJ165" s="195"/>
      <c r="AK165" s="195"/>
      <c r="AL165" s="195"/>
      <c r="AM165" s="195"/>
      <c r="AN165" s="195"/>
      <c r="AO165" s="195"/>
      <c r="AP165" s="195"/>
      <c r="AQ165" s="195"/>
      <c r="AR165" s="195"/>
      <c r="AS165" s="195"/>
      <c r="AT165" s="195"/>
    </row>
    <row r="166" spans="1:46">
      <c r="A166" s="343" t="str">
        <f>+'datos de entrada'!A165</f>
        <v>VEHICULOS</v>
      </c>
      <c r="B166" s="853">
        <f ca="1">+'datos de entrada'!B165</f>
        <v>0</v>
      </c>
      <c r="C166" s="405">
        <v>5</v>
      </c>
      <c r="D166" s="321"/>
      <c r="E166" s="323">
        <f>+'inversion af'!A30</f>
        <v>0</v>
      </c>
      <c r="F166" s="324"/>
      <c r="G166" s="825">
        <f>+'inversion af'!E30</f>
        <v>0</v>
      </c>
      <c r="H166" s="325">
        <f>+'inversion af'!F30</f>
        <v>0</v>
      </c>
      <c r="I166" s="325">
        <f>+'inversion af'!H30</f>
        <v>0</v>
      </c>
      <c r="J166" s="203"/>
      <c r="K166" s="203"/>
      <c r="L166" s="203"/>
      <c r="M166" s="203"/>
      <c r="N166" s="203"/>
      <c r="O166" s="199"/>
      <c r="P166" s="199"/>
      <c r="Q166" s="195"/>
      <c r="R166" s="195"/>
      <c r="S166" s="195"/>
      <c r="T166" s="195"/>
      <c r="U166" s="195"/>
      <c r="V166" s="195"/>
      <c r="W166" s="195"/>
      <c r="X166" s="195"/>
      <c r="Y166" s="195"/>
      <c r="Z166" s="195"/>
      <c r="AA166" s="195"/>
      <c r="AB166" s="195"/>
      <c r="AC166" s="195"/>
      <c r="AD166" s="195"/>
      <c r="AE166" s="195"/>
      <c r="AF166" s="195"/>
      <c r="AG166" s="195"/>
      <c r="AH166" s="195"/>
      <c r="AI166" s="195"/>
      <c r="AJ166" s="195"/>
      <c r="AK166" s="195"/>
      <c r="AL166" s="195"/>
      <c r="AM166" s="195"/>
      <c r="AN166" s="195"/>
      <c r="AO166" s="195"/>
      <c r="AP166" s="195"/>
      <c r="AQ166" s="195"/>
      <c r="AR166" s="195"/>
      <c r="AS166" s="195"/>
      <c r="AT166" s="195"/>
    </row>
    <row r="167" spans="1:46">
      <c r="A167" s="343" t="str">
        <f>+'datos de entrada'!A166</f>
        <v>MUEBLES Y ENSERES</v>
      </c>
      <c r="B167" s="853">
        <f ca="1">+'datos de entrada'!B166</f>
        <v>0</v>
      </c>
      <c r="C167" s="405">
        <v>1</v>
      </c>
      <c r="D167" s="321"/>
      <c r="E167" s="323">
        <f>+'inversion af'!A31</f>
        <v>0</v>
      </c>
      <c r="F167" s="324"/>
      <c r="G167" s="825">
        <f>+'inversion af'!E31</f>
        <v>0</v>
      </c>
      <c r="H167" s="325">
        <f>+'inversion af'!F31</f>
        <v>0</v>
      </c>
      <c r="I167" s="325">
        <f>+'inversion af'!H31</f>
        <v>0</v>
      </c>
      <c r="J167" s="203"/>
      <c r="K167" s="203"/>
      <c r="L167" s="203"/>
      <c r="M167" s="203"/>
      <c r="N167" s="203"/>
      <c r="O167" s="199"/>
      <c r="P167" s="199"/>
      <c r="Q167" s="195"/>
      <c r="R167" s="195"/>
      <c r="S167" s="195"/>
      <c r="T167" s="195"/>
      <c r="U167" s="195"/>
      <c r="V167" s="195"/>
      <c r="W167" s="195"/>
      <c r="X167" s="195"/>
      <c r="Y167" s="195"/>
      <c r="Z167" s="195"/>
      <c r="AA167" s="195"/>
      <c r="AB167" s="195"/>
      <c r="AC167" s="195"/>
      <c r="AD167" s="195"/>
      <c r="AE167" s="195"/>
      <c r="AF167" s="195"/>
      <c r="AG167" s="195"/>
      <c r="AH167" s="195"/>
      <c r="AI167" s="195"/>
      <c r="AJ167" s="195"/>
      <c r="AK167" s="195"/>
      <c r="AL167" s="195"/>
      <c r="AM167" s="195"/>
      <c r="AN167" s="195"/>
      <c r="AO167" s="195"/>
      <c r="AP167" s="195"/>
      <c r="AQ167" s="195"/>
      <c r="AR167" s="195"/>
      <c r="AS167" s="195"/>
      <c r="AT167" s="195"/>
    </row>
    <row r="168" spans="1:46">
      <c r="A168" s="343" t="str">
        <f>+'datos de entrada'!A167</f>
        <v>HERRAMIENTAS</v>
      </c>
      <c r="B168" s="853">
        <f ca="1">+'datos de entrada'!B167</f>
        <v>0</v>
      </c>
      <c r="C168" s="405">
        <v>3</v>
      </c>
      <c r="D168" s="321"/>
      <c r="E168" s="323">
        <f>+'inversion af'!A32</f>
        <v>0</v>
      </c>
      <c r="F168" s="324"/>
      <c r="G168" s="825">
        <f>+'inversion af'!E32</f>
        <v>0</v>
      </c>
      <c r="H168" s="325">
        <f>+'inversion af'!F32</f>
        <v>0</v>
      </c>
      <c r="I168" s="325">
        <f>+'inversion af'!H32</f>
        <v>0</v>
      </c>
      <c r="J168" s="203"/>
      <c r="K168" s="203"/>
      <c r="L168" s="203"/>
      <c r="M168" s="203"/>
      <c r="N168" s="203"/>
      <c r="O168" s="199"/>
      <c r="P168" s="199"/>
      <c r="Q168" s="195"/>
      <c r="R168" s="195"/>
      <c r="S168" s="195"/>
      <c r="T168" s="195"/>
      <c r="U168" s="195"/>
      <c r="V168" s="195"/>
      <c r="W168" s="195"/>
      <c r="X168" s="195"/>
      <c r="Y168" s="195"/>
      <c r="Z168" s="195"/>
      <c r="AA168" s="195"/>
      <c r="AB168" s="195"/>
      <c r="AC168" s="195"/>
      <c r="AD168" s="195"/>
      <c r="AE168" s="195"/>
      <c r="AF168" s="195"/>
      <c r="AG168" s="195"/>
      <c r="AH168" s="195"/>
      <c r="AI168" s="195"/>
      <c r="AJ168" s="195"/>
      <c r="AK168" s="195"/>
      <c r="AL168" s="195"/>
      <c r="AM168" s="195"/>
      <c r="AN168" s="195"/>
      <c r="AO168" s="195"/>
      <c r="AP168" s="195"/>
      <c r="AQ168" s="195"/>
      <c r="AR168" s="195"/>
      <c r="AS168" s="195"/>
      <c r="AT168" s="195"/>
    </row>
    <row r="169" spans="1:46">
      <c r="A169" s="343" t="str">
        <f>+'datos de entrada'!A168</f>
        <v>COMPUTAD. PRODUC.</v>
      </c>
      <c r="B169" s="853">
        <f ca="1">+'datos de entrada'!B168</f>
        <v>0</v>
      </c>
      <c r="C169" s="405">
        <v>10</v>
      </c>
      <c r="D169" s="321"/>
      <c r="E169" s="323">
        <f>+'inversion af'!A33</f>
        <v>0</v>
      </c>
      <c r="F169" s="324"/>
      <c r="G169" s="825">
        <f>+'inversion af'!E33</f>
        <v>0</v>
      </c>
      <c r="H169" s="325">
        <f>+'inversion af'!F33</f>
        <v>0</v>
      </c>
      <c r="I169" s="325">
        <f>+'inversion af'!H33</f>
        <v>0</v>
      </c>
      <c r="J169" s="203"/>
      <c r="K169" s="203"/>
      <c r="L169" s="203"/>
      <c r="M169" s="203"/>
      <c r="N169" s="203"/>
      <c r="O169" s="199"/>
      <c r="P169" s="199"/>
      <c r="Q169" s="195"/>
      <c r="R169" s="195"/>
      <c r="S169" s="195"/>
      <c r="T169" s="195"/>
      <c r="U169" s="195"/>
      <c r="V169" s="195"/>
      <c r="W169" s="195"/>
      <c r="X169" s="195"/>
      <c r="Y169" s="195"/>
      <c r="Z169" s="195"/>
      <c r="AA169" s="195"/>
      <c r="AB169" s="195"/>
      <c r="AC169" s="195"/>
      <c r="AD169" s="195"/>
      <c r="AE169" s="195"/>
      <c r="AF169" s="195"/>
      <c r="AG169" s="195"/>
      <c r="AH169" s="195"/>
      <c r="AI169" s="195"/>
      <c r="AJ169" s="195"/>
      <c r="AK169" s="195"/>
      <c r="AL169" s="195"/>
      <c r="AM169" s="195"/>
      <c r="AN169" s="195"/>
      <c r="AO169" s="195"/>
      <c r="AP169" s="195"/>
      <c r="AQ169" s="195"/>
      <c r="AR169" s="195"/>
      <c r="AS169" s="195"/>
      <c r="AT169" s="195"/>
    </row>
    <row r="170" spans="1:46" ht="15.75" thickBot="1">
      <c r="A170" s="344" t="str">
        <f>+'datos de entrada'!A169</f>
        <v>COMPUTAD. ADMON.</v>
      </c>
      <c r="B170" s="854">
        <f ca="1">+'datos de entrada'!B169</f>
        <v>0</v>
      </c>
      <c r="C170" s="406">
        <v>3</v>
      </c>
      <c r="D170" s="321"/>
      <c r="E170" s="323">
        <f>+'inversion af'!A34</f>
        <v>0</v>
      </c>
      <c r="F170" s="324"/>
      <c r="G170" s="825">
        <f>+'inversion af'!E34</f>
        <v>0</v>
      </c>
      <c r="H170" s="325">
        <f>+'inversion af'!F34</f>
        <v>0</v>
      </c>
      <c r="I170" s="325">
        <f>+'inversion af'!H34</f>
        <v>0</v>
      </c>
      <c r="J170" s="203"/>
      <c r="K170" s="203"/>
      <c r="L170" s="203"/>
      <c r="M170" s="203"/>
      <c r="N170" s="203"/>
      <c r="O170" s="199"/>
      <c r="P170" s="199"/>
      <c r="Q170" s="195"/>
      <c r="R170" s="195"/>
      <c r="S170" s="195"/>
      <c r="T170" s="195"/>
      <c r="U170" s="195"/>
      <c r="V170" s="195"/>
      <c r="W170" s="195"/>
      <c r="X170" s="195"/>
      <c r="Y170" s="195"/>
      <c r="Z170" s="195"/>
      <c r="AA170" s="195"/>
      <c r="AB170" s="195"/>
      <c r="AC170" s="195"/>
      <c r="AD170" s="195"/>
      <c r="AE170" s="195"/>
      <c r="AF170" s="195"/>
      <c r="AG170" s="195"/>
      <c r="AH170" s="195"/>
      <c r="AI170" s="195"/>
      <c r="AJ170" s="195"/>
      <c r="AK170" s="195"/>
      <c r="AL170" s="195"/>
      <c r="AM170" s="195"/>
      <c r="AN170" s="195"/>
      <c r="AO170" s="195"/>
      <c r="AP170" s="195"/>
      <c r="AQ170" s="195"/>
      <c r="AR170" s="195"/>
      <c r="AS170" s="195"/>
      <c r="AT170" s="195"/>
    </row>
    <row r="171" spans="1:46">
      <c r="A171" s="254"/>
      <c r="B171" s="255"/>
      <c r="C171" s="254"/>
      <c r="D171" s="254">
        <v>0</v>
      </c>
      <c r="E171" s="323">
        <f>+'inversion af'!A35</f>
        <v>0</v>
      </c>
      <c r="F171" s="324"/>
      <c r="G171" s="825">
        <f>+'inversion af'!E35</f>
        <v>0</v>
      </c>
      <c r="H171" s="325">
        <f>+'inversion af'!F35</f>
        <v>0</v>
      </c>
      <c r="I171" s="325">
        <f>+'inversion af'!H35</f>
        <v>0</v>
      </c>
      <c r="J171" s="203"/>
      <c r="K171" s="203"/>
      <c r="L171" s="203"/>
      <c r="M171" s="203"/>
      <c r="N171" s="203"/>
      <c r="O171" s="199"/>
      <c r="P171" s="199"/>
      <c r="Q171" s="195"/>
      <c r="R171" s="195"/>
      <c r="S171" s="195"/>
      <c r="T171" s="195"/>
      <c r="U171" s="195"/>
      <c r="V171" s="195"/>
      <c r="W171" s="195"/>
      <c r="X171" s="195"/>
      <c r="Y171" s="195"/>
      <c r="Z171" s="195"/>
      <c r="AA171" s="195"/>
      <c r="AB171" s="195"/>
      <c r="AC171" s="195"/>
      <c r="AD171" s="195"/>
      <c r="AE171" s="195"/>
      <c r="AF171" s="195"/>
      <c r="AG171" s="195"/>
      <c r="AH171" s="195"/>
      <c r="AI171" s="195"/>
      <c r="AJ171" s="195"/>
      <c r="AK171" s="195"/>
      <c r="AL171" s="195"/>
      <c r="AM171" s="195"/>
      <c r="AN171" s="195"/>
      <c r="AO171" s="195"/>
      <c r="AP171" s="195"/>
      <c r="AQ171" s="195"/>
      <c r="AR171" s="195"/>
      <c r="AS171" s="195"/>
      <c r="AT171" s="195"/>
    </row>
    <row r="172" spans="1:46">
      <c r="A172" s="254"/>
      <c r="B172" s="255"/>
      <c r="C172" s="254"/>
      <c r="D172" s="254">
        <v>0</v>
      </c>
      <c r="E172" s="323">
        <f>+'inversion af'!A36</f>
        <v>0</v>
      </c>
      <c r="F172" s="324"/>
      <c r="G172" s="825">
        <f>+'inversion af'!E36</f>
        <v>0</v>
      </c>
      <c r="H172" s="325">
        <f>+'inversion af'!F36</f>
        <v>0</v>
      </c>
      <c r="I172" s="325">
        <f>+'inversion af'!H36</f>
        <v>0</v>
      </c>
      <c r="J172" s="203"/>
      <c r="K172" s="203"/>
      <c r="L172" s="203"/>
      <c r="M172" s="203"/>
      <c r="N172" s="203"/>
      <c r="O172" s="199"/>
      <c r="P172" s="199"/>
      <c r="Q172" s="195"/>
      <c r="R172" s="195"/>
      <c r="S172" s="195"/>
      <c r="T172" s="195"/>
      <c r="U172" s="195"/>
      <c r="V172" s="195"/>
      <c r="W172" s="195"/>
      <c r="X172" s="195"/>
      <c r="Y172" s="195"/>
      <c r="Z172" s="195"/>
      <c r="AA172" s="195"/>
      <c r="AB172" s="195"/>
      <c r="AC172" s="195"/>
      <c r="AD172" s="195"/>
      <c r="AE172" s="195"/>
      <c r="AF172" s="195"/>
      <c r="AG172" s="195"/>
      <c r="AH172" s="195"/>
      <c r="AI172" s="195"/>
      <c r="AJ172" s="195"/>
      <c r="AK172" s="195"/>
      <c r="AL172" s="195"/>
      <c r="AM172" s="195"/>
      <c r="AN172" s="195"/>
      <c r="AO172" s="195"/>
      <c r="AP172" s="195"/>
      <c r="AQ172" s="195"/>
      <c r="AR172" s="195"/>
      <c r="AS172" s="195"/>
      <c r="AT172" s="195"/>
    </row>
    <row r="173" spans="1:46" ht="15.75" thickBot="1">
      <c r="A173" s="212"/>
      <c r="B173" s="212"/>
      <c r="C173" s="210"/>
      <c r="D173" s="210"/>
      <c r="E173" s="323">
        <f>+'inversion af'!A37</f>
        <v>0</v>
      </c>
      <c r="F173" s="324"/>
      <c r="G173" s="825">
        <f>+'inversion af'!E37</f>
        <v>0</v>
      </c>
      <c r="H173" s="325">
        <f>+'inversion af'!F37</f>
        <v>0</v>
      </c>
      <c r="I173" s="325">
        <f>+'inversion af'!H37</f>
        <v>0</v>
      </c>
      <c r="J173" s="203"/>
      <c r="K173" s="203"/>
      <c r="L173" s="203"/>
      <c r="M173" s="203"/>
      <c r="N173" s="203"/>
      <c r="O173" s="199"/>
      <c r="P173" s="199"/>
      <c r="Q173" s="195"/>
      <c r="R173" s="195"/>
      <c r="S173" s="195"/>
      <c r="T173" s="195"/>
      <c r="U173" s="195"/>
      <c r="V173" s="195"/>
      <c r="W173" s="195"/>
      <c r="X173" s="195"/>
      <c r="Y173" s="195"/>
      <c r="Z173" s="195"/>
      <c r="AA173" s="195"/>
      <c r="AB173" s="195"/>
      <c r="AC173" s="195"/>
      <c r="AD173" s="195"/>
      <c r="AE173" s="195"/>
      <c r="AF173" s="195"/>
      <c r="AG173" s="195"/>
      <c r="AH173" s="195"/>
      <c r="AI173" s="195"/>
      <c r="AJ173" s="195"/>
      <c r="AK173" s="195"/>
      <c r="AL173" s="195"/>
      <c r="AM173" s="195"/>
      <c r="AN173" s="195"/>
      <c r="AO173" s="195"/>
      <c r="AP173" s="195"/>
      <c r="AQ173" s="195"/>
      <c r="AR173" s="195"/>
      <c r="AS173" s="195"/>
      <c r="AT173" s="195"/>
    </row>
    <row r="174" spans="1:46" ht="15.75">
      <c r="A174" s="410" t="s">
        <v>13</v>
      </c>
      <c r="B174" s="389"/>
      <c r="C174" s="390"/>
      <c r="D174" s="194"/>
      <c r="E174" s="323">
        <f>+'inversion af'!A38</f>
        <v>0</v>
      </c>
      <c r="F174" s="324"/>
      <c r="G174" s="825">
        <f>+'inversion af'!E38</f>
        <v>0</v>
      </c>
      <c r="H174" s="325">
        <f>+'inversion af'!F38</f>
        <v>0</v>
      </c>
      <c r="I174" s="325">
        <f>+'inversion af'!H38</f>
        <v>0</v>
      </c>
      <c r="J174" s="203"/>
      <c r="K174" s="203"/>
      <c r="L174" s="203"/>
      <c r="M174" s="203"/>
      <c r="N174" s="203"/>
      <c r="O174" s="199"/>
      <c r="P174" s="199"/>
      <c r="Q174" s="195"/>
      <c r="R174" s="195"/>
      <c r="S174" s="195"/>
      <c r="T174" s="195"/>
      <c r="U174" s="195"/>
      <c r="V174" s="195"/>
      <c r="W174" s="195"/>
      <c r="X174" s="195"/>
      <c r="Y174" s="195"/>
      <c r="Z174" s="195"/>
      <c r="AA174" s="195"/>
      <c r="AB174" s="195"/>
      <c r="AC174" s="195"/>
      <c r="AD174" s="195"/>
      <c r="AE174" s="195"/>
      <c r="AF174" s="195"/>
      <c r="AG174" s="195"/>
      <c r="AH174" s="195"/>
      <c r="AI174" s="195"/>
      <c r="AJ174" s="195"/>
      <c r="AK174" s="195"/>
      <c r="AL174" s="195"/>
      <c r="AM174" s="195"/>
      <c r="AN174" s="195"/>
      <c r="AO174" s="195"/>
      <c r="AP174" s="195"/>
      <c r="AQ174" s="195"/>
      <c r="AR174" s="195"/>
      <c r="AS174" s="195"/>
      <c r="AT174" s="195"/>
    </row>
    <row r="175" spans="1:46" ht="15.75">
      <c r="A175" s="393" t="s">
        <v>646</v>
      </c>
      <c r="B175" s="7"/>
      <c r="C175" s="392"/>
      <c r="D175" s="194"/>
      <c r="E175" s="323">
        <f>+'inversion af'!A39</f>
        <v>0</v>
      </c>
      <c r="F175" s="324"/>
      <c r="G175" s="825">
        <f>+'inversion af'!E39</f>
        <v>0</v>
      </c>
      <c r="H175" s="325">
        <f>+'inversion af'!F39</f>
        <v>0</v>
      </c>
      <c r="I175" s="325">
        <f>+'inversion af'!H39</f>
        <v>0</v>
      </c>
      <c r="J175" s="194"/>
      <c r="K175" s="194"/>
      <c r="L175" s="194"/>
      <c r="M175" s="194"/>
      <c r="N175" s="194"/>
      <c r="O175" s="195"/>
      <c r="P175" s="195"/>
      <c r="Q175" s="195"/>
      <c r="R175" s="195"/>
      <c r="S175" s="195"/>
      <c r="T175" s="195"/>
      <c r="U175" s="195"/>
      <c r="V175" s="195"/>
      <c r="W175" s="195"/>
      <c r="X175" s="195"/>
      <c r="Y175" s="195"/>
      <c r="Z175" s="195"/>
      <c r="AA175" s="195"/>
      <c r="AB175" s="195"/>
      <c r="AC175" s="195"/>
      <c r="AD175" s="195"/>
      <c r="AE175" s="195"/>
      <c r="AF175" s="195"/>
      <c r="AG175" s="195"/>
      <c r="AH175" s="195"/>
      <c r="AI175" s="195"/>
      <c r="AJ175" s="195"/>
      <c r="AK175" s="195"/>
      <c r="AL175" s="195"/>
      <c r="AM175" s="195"/>
      <c r="AN175" s="195"/>
      <c r="AO175" s="195"/>
      <c r="AP175" s="195"/>
      <c r="AQ175" s="195"/>
      <c r="AR175" s="195"/>
      <c r="AS175" s="195"/>
      <c r="AT175" s="195"/>
    </row>
    <row r="176" spans="1:46">
      <c r="A176" s="394"/>
      <c r="B176" s="17"/>
      <c r="C176" s="392"/>
      <c r="D176" s="194"/>
      <c r="E176" s="323">
        <f>+'inversion af'!A40</f>
        <v>0</v>
      </c>
      <c r="F176" s="324"/>
      <c r="G176" s="825">
        <f>+'inversion af'!E40</f>
        <v>0</v>
      </c>
      <c r="H176" s="325">
        <f>+'inversion af'!F40</f>
        <v>0</v>
      </c>
      <c r="I176" s="325">
        <f>+'inversion af'!H40</f>
        <v>0</v>
      </c>
      <c r="J176" s="194"/>
      <c r="K176" s="194"/>
      <c r="L176" s="194"/>
      <c r="M176" s="194"/>
      <c r="N176" s="194"/>
      <c r="O176" s="195"/>
      <c r="P176" s="195"/>
      <c r="Q176" s="195"/>
      <c r="R176" s="195"/>
      <c r="S176" s="195"/>
      <c r="T176" s="195"/>
      <c r="U176" s="195"/>
      <c r="V176" s="195"/>
      <c r="W176" s="195"/>
      <c r="X176" s="195"/>
      <c r="Y176" s="195"/>
      <c r="Z176" s="195"/>
      <c r="AA176" s="195"/>
      <c r="AB176" s="195"/>
      <c r="AC176" s="195"/>
      <c r="AD176" s="195"/>
      <c r="AE176" s="195"/>
      <c r="AF176" s="195"/>
      <c r="AG176" s="195"/>
      <c r="AH176" s="195"/>
      <c r="AI176" s="195"/>
      <c r="AJ176" s="195"/>
      <c r="AK176" s="195"/>
      <c r="AL176" s="195"/>
      <c r="AM176" s="195"/>
      <c r="AN176" s="195"/>
      <c r="AO176" s="195"/>
      <c r="AP176" s="195"/>
      <c r="AQ176" s="195"/>
      <c r="AR176" s="195"/>
      <c r="AS176" s="195"/>
      <c r="AT176" s="195"/>
    </row>
    <row r="177" spans="1:46" ht="15.75">
      <c r="A177" s="395" t="s">
        <v>635</v>
      </c>
      <c r="B177" s="31" t="s">
        <v>636</v>
      </c>
      <c r="C177" s="402" t="s">
        <v>639</v>
      </c>
      <c r="D177" s="194"/>
      <c r="E177" s="323">
        <f>+'inversion af'!A41</f>
        <v>0</v>
      </c>
      <c r="F177" s="324"/>
      <c r="G177" s="825">
        <f>+'inversion af'!E41</f>
        <v>0</v>
      </c>
      <c r="H177" s="325">
        <f>+'inversion af'!F41</f>
        <v>0</v>
      </c>
      <c r="I177" s="325">
        <f>+'inversion af'!H41</f>
        <v>0</v>
      </c>
      <c r="J177" s="194"/>
      <c r="K177" s="194"/>
      <c r="L177" s="194"/>
      <c r="M177" s="194"/>
      <c r="N177" s="194"/>
      <c r="O177" s="195"/>
      <c r="P177" s="195"/>
      <c r="Q177" s="195"/>
      <c r="R177" s="195"/>
      <c r="S177" s="195"/>
      <c r="T177" s="195"/>
      <c r="U177" s="195"/>
      <c r="V177" s="195"/>
      <c r="W177" s="195"/>
      <c r="X177" s="195"/>
      <c r="Y177" s="195"/>
      <c r="Z177" s="195"/>
      <c r="AA177" s="195"/>
      <c r="AB177" s="195"/>
      <c r="AC177" s="195"/>
      <c r="AD177" s="195"/>
      <c r="AE177" s="195"/>
      <c r="AF177" s="195"/>
      <c r="AG177" s="195"/>
      <c r="AH177" s="195"/>
      <c r="AI177" s="195"/>
      <c r="AJ177" s="195"/>
      <c r="AK177" s="195"/>
      <c r="AL177" s="195"/>
      <c r="AM177" s="195"/>
      <c r="AN177" s="195"/>
      <c r="AO177" s="195"/>
      <c r="AP177" s="195"/>
      <c r="AQ177" s="195"/>
      <c r="AR177" s="195"/>
      <c r="AS177" s="195"/>
      <c r="AT177" s="195"/>
    </row>
    <row r="178" spans="1:46">
      <c r="A178" s="397"/>
      <c r="B178" s="33"/>
      <c r="C178" s="407" t="s">
        <v>641</v>
      </c>
      <c r="D178" s="194"/>
      <c r="E178" s="323">
        <f>+'inversion af'!A42</f>
        <v>0</v>
      </c>
      <c r="F178" s="324"/>
      <c r="G178" s="825">
        <f>+'inversion af'!E42</f>
        <v>0</v>
      </c>
      <c r="H178" s="325">
        <f>+'inversion af'!F42</f>
        <v>0</v>
      </c>
      <c r="I178" s="325">
        <f>+'inversion af'!H42</f>
        <v>0</v>
      </c>
      <c r="J178" s="194"/>
      <c r="K178" s="194"/>
      <c r="L178" s="194"/>
      <c r="M178" s="194"/>
      <c r="N178" s="194"/>
      <c r="O178" s="195"/>
      <c r="P178" s="195"/>
      <c r="Q178" s="195"/>
      <c r="R178" s="195"/>
      <c r="S178" s="195"/>
      <c r="T178" s="195"/>
      <c r="U178" s="195"/>
      <c r="V178" s="195"/>
      <c r="W178" s="195"/>
      <c r="X178" s="195"/>
      <c r="Y178" s="195"/>
      <c r="Z178" s="195"/>
      <c r="AA178" s="195"/>
      <c r="AB178" s="195"/>
      <c r="AC178" s="195"/>
      <c r="AD178" s="195"/>
      <c r="AE178" s="195"/>
      <c r="AF178" s="195"/>
      <c r="AG178" s="195"/>
      <c r="AH178" s="195"/>
      <c r="AI178" s="195"/>
      <c r="AJ178" s="195"/>
      <c r="AK178" s="195"/>
      <c r="AL178" s="195"/>
      <c r="AM178" s="195"/>
      <c r="AN178" s="195"/>
      <c r="AO178" s="195"/>
      <c r="AP178" s="195"/>
      <c r="AQ178" s="195"/>
      <c r="AR178" s="195"/>
      <c r="AS178" s="195"/>
      <c r="AT178" s="195"/>
    </row>
    <row r="179" spans="1:46">
      <c r="A179" s="408" t="s">
        <v>623</v>
      </c>
      <c r="B179" s="826">
        <f ca="1">+'inversion af'!K117</f>
        <v>0</v>
      </c>
      <c r="C179" s="404">
        <v>1000000</v>
      </c>
      <c r="D179" s="194"/>
      <c r="E179" s="323">
        <f>+'inversion af'!A43</f>
        <v>0</v>
      </c>
      <c r="F179" s="324"/>
      <c r="G179" s="825">
        <f>+'inversion af'!E43</f>
        <v>0</v>
      </c>
      <c r="H179" s="325">
        <f>+'inversion af'!F43</f>
        <v>0</v>
      </c>
      <c r="I179" s="325">
        <f>+'inversion af'!H43</f>
        <v>0</v>
      </c>
      <c r="J179" s="194"/>
      <c r="K179" s="194"/>
      <c r="L179" s="194"/>
      <c r="M179" s="194"/>
      <c r="N179" s="194"/>
      <c r="O179" s="195"/>
      <c r="P179" s="195"/>
      <c r="Q179" s="195"/>
      <c r="R179" s="195"/>
      <c r="S179" s="195"/>
      <c r="T179" s="195"/>
      <c r="U179" s="195"/>
      <c r="V179" s="195"/>
      <c r="W179" s="195"/>
      <c r="X179" s="195"/>
      <c r="Y179" s="195"/>
      <c r="Z179" s="195"/>
      <c r="AA179" s="195"/>
      <c r="AB179" s="195"/>
      <c r="AC179" s="195"/>
      <c r="AD179" s="195"/>
      <c r="AE179" s="195"/>
      <c r="AF179" s="195"/>
      <c r="AG179" s="195"/>
      <c r="AH179" s="195"/>
      <c r="AI179" s="195"/>
      <c r="AJ179" s="195"/>
      <c r="AK179" s="195"/>
      <c r="AL179" s="195"/>
      <c r="AM179" s="195"/>
      <c r="AN179" s="195"/>
      <c r="AO179" s="195"/>
      <c r="AP179" s="195"/>
      <c r="AQ179" s="195"/>
      <c r="AR179" s="195"/>
      <c r="AS179" s="195"/>
      <c r="AT179" s="195"/>
    </row>
    <row r="180" spans="1:46">
      <c r="A180" s="408" t="s">
        <v>624</v>
      </c>
      <c r="B180" s="826">
        <f ca="1">+'inversion af'!K118</f>
        <v>0</v>
      </c>
      <c r="C180" s="405">
        <v>20</v>
      </c>
      <c r="D180" s="194"/>
      <c r="E180" s="323">
        <f>+'inversion af'!A44</f>
        <v>0</v>
      </c>
      <c r="F180" s="324"/>
      <c r="G180" s="825">
        <f>+'inversion af'!E44</f>
        <v>0</v>
      </c>
      <c r="H180" s="325">
        <f>+'inversion af'!F44</f>
        <v>0</v>
      </c>
      <c r="I180" s="325">
        <f>+'inversion af'!H44</f>
        <v>0</v>
      </c>
      <c r="J180" s="194"/>
      <c r="K180" s="194"/>
      <c r="L180" s="194"/>
      <c r="M180" s="194"/>
      <c r="N180" s="194"/>
      <c r="O180" s="195"/>
      <c r="P180" s="195"/>
      <c r="Q180" s="195"/>
      <c r="R180" s="195"/>
      <c r="S180" s="195"/>
      <c r="T180" s="195"/>
      <c r="U180" s="195"/>
      <c r="V180" s="195"/>
      <c r="W180" s="195"/>
      <c r="X180" s="195"/>
      <c r="Y180" s="195"/>
      <c r="Z180" s="195"/>
      <c r="AA180" s="195"/>
      <c r="AB180" s="195"/>
      <c r="AC180" s="195"/>
      <c r="AD180" s="195"/>
      <c r="AE180" s="195"/>
      <c r="AF180" s="195"/>
      <c r="AG180" s="195"/>
      <c r="AH180" s="195"/>
      <c r="AI180" s="195"/>
      <c r="AJ180" s="195"/>
      <c r="AK180" s="195"/>
      <c r="AL180" s="195"/>
      <c r="AM180" s="195"/>
      <c r="AN180" s="195"/>
      <c r="AO180" s="195"/>
      <c r="AP180" s="195"/>
      <c r="AQ180" s="195"/>
      <c r="AR180" s="195"/>
      <c r="AS180" s="195"/>
      <c r="AT180" s="195"/>
    </row>
    <row r="181" spans="1:46">
      <c r="A181" s="408" t="s">
        <v>625</v>
      </c>
      <c r="B181" s="826">
        <f ca="1">+'inversion af'!K119</f>
        <v>0</v>
      </c>
      <c r="C181" s="405">
        <v>10</v>
      </c>
      <c r="D181" s="194"/>
      <c r="E181" s="323">
        <f>+'inversion af'!A45</f>
        <v>0</v>
      </c>
      <c r="F181" s="324"/>
      <c r="G181" s="825">
        <f>+'inversion af'!E45</f>
        <v>0</v>
      </c>
      <c r="H181" s="325">
        <f>+'inversion af'!F45</f>
        <v>0</v>
      </c>
      <c r="I181" s="325">
        <f>+'inversion af'!H45</f>
        <v>0</v>
      </c>
      <c r="J181" s="194"/>
      <c r="K181" s="194"/>
      <c r="L181" s="194"/>
      <c r="M181" s="194"/>
      <c r="N181" s="194"/>
      <c r="O181" s="195"/>
      <c r="P181" s="195"/>
      <c r="Q181" s="195"/>
      <c r="R181" s="195"/>
      <c r="S181" s="195"/>
      <c r="T181" s="195"/>
      <c r="U181" s="195"/>
      <c r="V181" s="195"/>
      <c r="W181" s="195"/>
      <c r="X181" s="195"/>
      <c r="Y181" s="195"/>
      <c r="Z181" s="195"/>
      <c r="AA181" s="195"/>
      <c r="AB181" s="195"/>
      <c r="AC181" s="195"/>
      <c r="AD181" s="195"/>
      <c r="AE181" s="195"/>
      <c r="AF181" s="195"/>
      <c r="AG181" s="195"/>
      <c r="AH181" s="195"/>
      <c r="AI181" s="195"/>
      <c r="AJ181" s="195"/>
      <c r="AK181" s="195"/>
      <c r="AL181" s="195"/>
      <c r="AM181" s="195"/>
      <c r="AN181" s="195"/>
      <c r="AO181" s="195"/>
      <c r="AP181" s="195"/>
      <c r="AQ181" s="195"/>
      <c r="AR181" s="195"/>
      <c r="AS181" s="195"/>
      <c r="AT181" s="195"/>
    </row>
    <row r="182" spans="1:46">
      <c r="A182" s="408" t="s">
        <v>626</v>
      </c>
      <c r="B182" s="826">
        <f ca="1">+'inversion af'!K120</f>
        <v>0</v>
      </c>
      <c r="C182" s="405">
        <v>5</v>
      </c>
      <c r="D182" s="194"/>
      <c r="E182" s="323">
        <f>+'inversion af'!A46</f>
        <v>0</v>
      </c>
      <c r="F182" s="324"/>
      <c r="G182" s="825">
        <f>+'inversion af'!E46</f>
        <v>0</v>
      </c>
      <c r="H182" s="325">
        <f>+'inversion af'!F46</f>
        <v>0</v>
      </c>
      <c r="I182" s="325">
        <f>+'inversion af'!H46</f>
        <v>0</v>
      </c>
      <c r="J182" s="194"/>
      <c r="K182" s="194"/>
      <c r="L182" s="194"/>
      <c r="M182" s="194"/>
      <c r="N182" s="194"/>
      <c r="O182" s="195"/>
      <c r="P182" s="195"/>
      <c r="Q182" s="195"/>
      <c r="R182" s="195"/>
      <c r="S182" s="195"/>
      <c r="T182" s="195"/>
      <c r="U182" s="195"/>
      <c r="V182" s="195"/>
      <c r="W182" s="195"/>
      <c r="X182" s="195"/>
      <c r="Y182" s="195"/>
      <c r="Z182" s="195"/>
      <c r="AA182" s="195"/>
      <c r="AB182" s="195"/>
      <c r="AC182" s="195"/>
      <c r="AD182" s="195"/>
      <c r="AE182" s="195"/>
      <c r="AF182" s="195"/>
      <c r="AG182" s="195"/>
      <c r="AH182" s="195"/>
      <c r="AI182" s="195"/>
      <c r="AJ182" s="195"/>
      <c r="AK182" s="195"/>
      <c r="AL182" s="195"/>
      <c r="AM182" s="195"/>
      <c r="AN182" s="195"/>
      <c r="AO182" s="195"/>
      <c r="AP182" s="195"/>
      <c r="AQ182" s="195"/>
      <c r="AR182" s="195"/>
      <c r="AS182" s="195"/>
      <c r="AT182" s="195"/>
    </row>
    <row r="183" spans="1:46">
      <c r="A183" s="408" t="s">
        <v>627</v>
      </c>
      <c r="B183" s="826">
        <f ca="1">+'inversion af'!K121</f>
        <v>0</v>
      </c>
      <c r="C183" s="405">
        <v>5</v>
      </c>
      <c r="D183" s="194"/>
      <c r="E183" s="323">
        <f>+'inversion af'!A47</f>
        <v>0</v>
      </c>
      <c r="F183" s="324"/>
      <c r="G183" s="825">
        <f>+'inversion af'!E47</f>
        <v>0</v>
      </c>
      <c r="H183" s="325">
        <f>+'inversion af'!F47</f>
        <v>0</v>
      </c>
      <c r="I183" s="325">
        <f>+'inversion af'!H47</f>
        <v>0</v>
      </c>
      <c r="J183" s="194"/>
      <c r="K183" s="194"/>
      <c r="L183" s="194"/>
      <c r="M183" s="194"/>
      <c r="N183" s="194"/>
      <c r="O183" s="195"/>
      <c r="P183" s="195"/>
      <c r="Q183" s="195"/>
      <c r="R183" s="195"/>
      <c r="S183" s="195"/>
      <c r="T183" s="195"/>
      <c r="U183" s="195"/>
      <c r="V183" s="195"/>
      <c r="W183" s="195"/>
      <c r="X183" s="195"/>
      <c r="Y183" s="195"/>
      <c r="Z183" s="195"/>
      <c r="AA183" s="195"/>
      <c r="AB183" s="195"/>
      <c r="AC183" s="195"/>
      <c r="AD183" s="195"/>
      <c r="AE183" s="195"/>
      <c r="AF183" s="195"/>
      <c r="AG183" s="195"/>
      <c r="AH183" s="195"/>
      <c r="AI183" s="195"/>
      <c r="AJ183" s="195"/>
      <c r="AK183" s="195"/>
      <c r="AL183" s="195"/>
      <c r="AM183" s="195"/>
      <c r="AN183" s="195"/>
      <c r="AO183" s="195"/>
      <c r="AP183" s="195"/>
      <c r="AQ183" s="195"/>
      <c r="AR183" s="195"/>
      <c r="AS183" s="195"/>
      <c r="AT183" s="195"/>
    </row>
    <row r="184" spans="1:46">
      <c r="A184" s="408" t="s">
        <v>628</v>
      </c>
      <c r="B184" s="826">
        <f ca="1">+'inversion af'!K122</f>
        <v>0</v>
      </c>
      <c r="C184" s="405">
        <v>1</v>
      </c>
      <c r="D184" s="194"/>
      <c r="E184" s="323">
        <f>+'inversion af'!A48</f>
        <v>0</v>
      </c>
      <c r="F184" s="324"/>
      <c r="G184" s="825">
        <f>+'inversion af'!E48</f>
        <v>0</v>
      </c>
      <c r="H184" s="325">
        <f>+'inversion af'!F48</f>
        <v>0</v>
      </c>
      <c r="I184" s="325">
        <f>+'inversion af'!H48</f>
        <v>0</v>
      </c>
      <c r="J184" s="194"/>
      <c r="K184" s="194"/>
      <c r="L184" s="194"/>
      <c r="M184" s="194"/>
      <c r="N184" s="194"/>
      <c r="O184" s="195"/>
      <c r="P184" s="195"/>
      <c r="Q184" s="195"/>
      <c r="R184" s="195"/>
      <c r="S184" s="195"/>
      <c r="T184" s="195"/>
      <c r="U184" s="195"/>
      <c r="V184" s="195"/>
      <c r="W184" s="195"/>
      <c r="X184" s="195"/>
      <c r="Y184" s="195"/>
      <c r="Z184" s="195"/>
      <c r="AA184" s="195"/>
      <c r="AB184" s="195"/>
      <c r="AC184" s="195"/>
      <c r="AD184" s="195"/>
      <c r="AE184" s="195"/>
      <c r="AF184" s="195"/>
      <c r="AG184" s="195"/>
      <c r="AH184" s="195"/>
      <c r="AI184" s="195"/>
      <c r="AJ184" s="195"/>
      <c r="AK184" s="195"/>
      <c r="AL184" s="195"/>
      <c r="AM184" s="195"/>
      <c r="AN184" s="195"/>
      <c r="AO184" s="195"/>
      <c r="AP184" s="195"/>
      <c r="AQ184" s="195"/>
      <c r="AR184" s="195"/>
      <c r="AS184" s="195"/>
      <c r="AT184" s="195"/>
    </row>
    <row r="185" spans="1:46">
      <c r="A185" s="408" t="s">
        <v>629</v>
      </c>
      <c r="B185" s="826">
        <f ca="1">+'inversion af'!K123</f>
        <v>0</v>
      </c>
      <c r="C185" s="405">
        <v>3</v>
      </c>
      <c r="D185" s="194"/>
      <c r="E185" s="323">
        <f>+'inversion af'!A49</f>
        <v>0</v>
      </c>
      <c r="F185" s="324"/>
      <c r="G185" s="825">
        <f>+'inversion af'!E49</f>
        <v>0</v>
      </c>
      <c r="H185" s="325">
        <f>+'inversion af'!F49</f>
        <v>0</v>
      </c>
      <c r="I185" s="325">
        <f>+'inversion af'!H49</f>
        <v>0</v>
      </c>
      <c r="J185" s="194"/>
      <c r="K185" s="194"/>
      <c r="L185" s="194"/>
      <c r="M185" s="194"/>
      <c r="N185" s="194"/>
      <c r="O185" s="195"/>
      <c r="P185" s="195"/>
      <c r="Q185" s="195"/>
      <c r="R185" s="195"/>
      <c r="S185" s="195"/>
      <c r="T185" s="195"/>
      <c r="U185" s="195"/>
      <c r="V185" s="195"/>
      <c r="W185" s="195"/>
      <c r="X185" s="195"/>
      <c r="Y185" s="195"/>
      <c r="Z185" s="195"/>
      <c r="AA185" s="195"/>
      <c r="AB185" s="195"/>
      <c r="AC185" s="195"/>
      <c r="AD185" s="195"/>
      <c r="AE185" s="195"/>
      <c r="AF185" s="195"/>
      <c r="AG185" s="195"/>
      <c r="AH185" s="195"/>
      <c r="AI185" s="195"/>
      <c r="AJ185" s="195"/>
      <c r="AK185" s="195"/>
      <c r="AL185" s="195"/>
      <c r="AM185" s="195"/>
      <c r="AN185" s="195"/>
      <c r="AO185" s="195"/>
      <c r="AP185" s="195"/>
      <c r="AQ185" s="195"/>
      <c r="AR185" s="195"/>
      <c r="AS185" s="195"/>
      <c r="AT185" s="195"/>
    </row>
    <row r="186" spans="1:46">
      <c r="A186" s="408" t="s">
        <v>630</v>
      </c>
      <c r="B186" s="826">
        <f ca="1">+'inversion af'!K124</f>
        <v>0</v>
      </c>
      <c r="C186" s="405">
        <v>10</v>
      </c>
      <c r="D186" s="194"/>
      <c r="E186" s="323">
        <f>+'inversion af'!A50</f>
        <v>0</v>
      </c>
      <c r="F186" s="324"/>
      <c r="G186" s="825">
        <f>+'inversion af'!E50</f>
        <v>0</v>
      </c>
      <c r="H186" s="325">
        <f>+'inversion af'!F50</f>
        <v>0</v>
      </c>
      <c r="I186" s="325">
        <f>+'inversion af'!H50</f>
        <v>0</v>
      </c>
      <c r="J186" s="194"/>
      <c r="K186" s="194"/>
      <c r="L186" s="194"/>
      <c r="M186" s="194"/>
      <c r="N186" s="194"/>
      <c r="O186" s="195"/>
      <c r="P186" s="195"/>
      <c r="Q186" s="195"/>
      <c r="R186" s="195"/>
      <c r="S186" s="195"/>
      <c r="T186" s="195"/>
      <c r="U186" s="195"/>
      <c r="V186" s="195"/>
      <c r="W186" s="195"/>
      <c r="X186" s="195"/>
      <c r="Y186" s="195"/>
      <c r="Z186" s="195"/>
      <c r="AA186" s="195"/>
      <c r="AB186" s="195"/>
      <c r="AC186" s="195"/>
      <c r="AD186" s="195"/>
      <c r="AE186" s="195"/>
      <c r="AF186" s="195"/>
      <c r="AG186" s="195"/>
      <c r="AH186" s="195"/>
      <c r="AI186" s="195"/>
      <c r="AJ186" s="195"/>
      <c r="AK186" s="195"/>
      <c r="AL186" s="195"/>
      <c r="AM186" s="195"/>
      <c r="AN186" s="195"/>
      <c r="AO186" s="195"/>
      <c r="AP186" s="195"/>
      <c r="AQ186" s="195"/>
      <c r="AR186" s="195"/>
      <c r="AS186" s="195"/>
      <c r="AT186" s="195"/>
    </row>
    <row r="187" spans="1:46" ht="15.75" thickBot="1">
      <c r="A187" s="409" t="s">
        <v>631</v>
      </c>
      <c r="B187" s="827">
        <f ca="1">+'inversion af'!K125</f>
        <v>0</v>
      </c>
      <c r="C187" s="406">
        <v>3</v>
      </c>
      <c r="D187" s="194"/>
      <c r="E187" s="323">
        <f>+'inversion af'!A51</f>
        <v>0</v>
      </c>
      <c r="F187" s="324"/>
      <c r="G187" s="825">
        <f>+'inversion af'!E51</f>
        <v>0</v>
      </c>
      <c r="H187" s="325">
        <f>+'inversion af'!F51</f>
        <v>0</v>
      </c>
      <c r="I187" s="325">
        <f>+'inversion af'!H51</f>
        <v>0</v>
      </c>
      <c r="J187" s="194"/>
      <c r="K187" s="249"/>
      <c r="L187" s="249"/>
      <c r="M187" s="249"/>
      <c r="N187" s="249"/>
      <c r="O187" s="195"/>
      <c r="P187" s="195"/>
      <c r="Q187" s="195"/>
      <c r="R187" s="195"/>
      <c r="S187" s="195"/>
      <c r="T187" s="195"/>
      <c r="U187" s="195"/>
      <c r="V187" s="195"/>
      <c r="W187" s="195"/>
      <c r="X187" s="195"/>
      <c r="Y187" s="195"/>
      <c r="Z187" s="195"/>
      <c r="AA187" s="195"/>
      <c r="AB187" s="195"/>
      <c r="AC187" s="195"/>
      <c r="AD187" s="195"/>
      <c r="AE187" s="195"/>
      <c r="AF187" s="195"/>
      <c r="AG187" s="195"/>
      <c r="AH187" s="195"/>
      <c r="AI187" s="195"/>
      <c r="AJ187" s="195"/>
      <c r="AK187" s="195"/>
      <c r="AL187" s="195"/>
      <c r="AM187" s="195"/>
      <c r="AN187" s="195"/>
      <c r="AO187" s="195"/>
      <c r="AP187" s="195"/>
      <c r="AQ187" s="195"/>
      <c r="AR187" s="195"/>
      <c r="AS187" s="195"/>
      <c r="AT187" s="195"/>
    </row>
    <row r="188" spans="1:46">
      <c r="A188" s="203"/>
      <c r="B188" s="203"/>
      <c r="C188" s="203"/>
      <c r="D188" s="194"/>
      <c r="E188" s="194"/>
      <c r="F188" s="194"/>
      <c r="G188" s="194"/>
      <c r="H188" s="194"/>
      <c r="I188" s="194"/>
      <c r="J188" s="194"/>
      <c r="K188" s="249"/>
      <c r="L188" s="249"/>
      <c r="M188" s="249"/>
      <c r="N188" s="249"/>
      <c r="O188" s="195"/>
      <c r="P188" s="195"/>
      <c r="Q188" s="195"/>
      <c r="R188" s="195"/>
      <c r="S188" s="195"/>
      <c r="T188" s="195"/>
      <c r="U188" s="195"/>
      <c r="V188" s="195"/>
      <c r="W188" s="195"/>
      <c r="X188" s="195"/>
      <c r="Y188" s="195"/>
      <c r="Z188" s="195"/>
      <c r="AA188" s="195"/>
      <c r="AB188" s="195"/>
      <c r="AC188" s="195"/>
      <c r="AD188" s="195"/>
      <c r="AE188" s="195"/>
      <c r="AF188" s="195"/>
      <c r="AG188" s="195"/>
      <c r="AH188" s="195"/>
      <c r="AI188" s="195"/>
      <c r="AJ188" s="195"/>
      <c r="AK188" s="195"/>
      <c r="AL188" s="195"/>
      <c r="AM188" s="195"/>
      <c r="AN188" s="195"/>
      <c r="AO188" s="195"/>
      <c r="AP188" s="195"/>
      <c r="AQ188" s="195"/>
      <c r="AR188" s="195"/>
      <c r="AS188" s="195"/>
      <c r="AT188" s="195"/>
    </row>
    <row r="189" spans="1:46">
      <c r="A189" s="203"/>
      <c r="B189" s="203"/>
      <c r="C189" s="203"/>
      <c r="D189" s="194"/>
      <c r="E189" s="194"/>
      <c r="F189" s="194"/>
      <c r="G189" s="194"/>
      <c r="H189" s="194"/>
      <c r="I189" s="194"/>
      <c r="J189" s="194"/>
      <c r="K189" s="249"/>
      <c r="L189" s="249"/>
      <c r="M189" s="195"/>
      <c r="N189" s="250"/>
      <c r="O189" s="251"/>
      <c r="P189" s="195"/>
      <c r="Q189" s="195"/>
      <c r="R189" s="195"/>
      <c r="S189" s="195"/>
      <c r="T189" s="195"/>
      <c r="U189" s="195"/>
      <c r="V189" s="195"/>
      <c r="W189" s="195"/>
      <c r="X189" s="195"/>
      <c r="Y189" s="195"/>
      <c r="Z189" s="195"/>
      <c r="AA189" s="195"/>
      <c r="AB189" s="195"/>
      <c r="AC189" s="195"/>
      <c r="AD189" s="195"/>
      <c r="AE189" s="195"/>
      <c r="AF189" s="195"/>
      <c r="AG189" s="195"/>
      <c r="AH189" s="195"/>
      <c r="AI189" s="195"/>
      <c r="AJ189" s="195"/>
      <c r="AK189" s="195"/>
      <c r="AL189" s="195"/>
      <c r="AM189" s="195"/>
      <c r="AN189" s="195"/>
      <c r="AO189" s="195"/>
      <c r="AP189" s="195"/>
      <c r="AQ189" s="195"/>
      <c r="AR189" s="195"/>
      <c r="AS189" s="195"/>
      <c r="AT189" s="195"/>
    </row>
    <row r="190" spans="1:46">
      <c r="A190" s="263"/>
      <c r="B190" s="263"/>
      <c r="C190" s="195"/>
      <c r="D190" s="194"/>
      <c r="E190" s="194"/>
      <c r="F190" s="194"/>
      <c r="G190" s="194"/>
      <c r="H190" s="194"/>
      <c r="I190" s="194"/>
      <c r="J190" s="194"/>
      <c r="K190" s="249"/>
      <c r="L190" s="249"/>
      <c r="M190" s="195"/>
      <c r="N190" s="250"/>
      <c r="O190" s="251"/>
      <c r="P190" s="195"/>
      <c r="Q190" s="195"/>
      <c r="R190" s="195"/>
      <c r="S190" s="195"/>
      <c r="T190" s="195"/>
      <c r="U190" s="195"/>
      <c r="V190" s="195"/>
      <c r="W190" s="195"/>
      <c r="X190" s="195"/>
      <c r="Y190" s="195"/>
      <c r="Z190" s="195"/>
      <c r="AA190" s="195"/>
      <c r="AB190" s="195"/>
      <c r="AC190" s="195"/>
      <c r="AD190" s="195"/>
      <c r="AE190" s="195"/>
      <c r="AF190" s="195"/>
      <c r="AG190" s="195"/>
      <c r="AH190" s="195"/>
      <c r="AI190" s="195"/>
      <c r="AJ190" s="195"/>
      <c r="AK190" s="195"/>
      <c r="AL190" s="195"/>
      <c r="AM190" s="195"/>
      <c r="AN190" s="195"/>
      <c r="AO190" s="195"/>
      <c r="AP190" s="195"/>
      <c r="AQ190" s="195"/>
      <c r="AR190" s="195"/>
      <c r="AS190" s="195"/>
      <c r="AT190" s="195"/>
    </row>
    <row r="191" spans="1:46" ht="15.75" thickBot="1">
      <c r="A191" s="195"/>
      <c r="B191" s="195"/>
      <c r="C191" s="195"/>
      <c r="D191" s="195"/>
      <c r="E191" s="195"/>
      <c r="F191" s="195"/>
      <c r="G191" s="195"/>
      <c r="H191" s="195"/>
      <c r="I191" s="195"/>
      <c r="J191" s="195"/>
      <c r="K191" s="249"/>
      <c r="L191" s="249"/>
      <c r="M191" s="195"/>
      <c r="N191" s="250"/>
      <c r="O191" s="251"/>
      <c r="P191" s="195"/>
      <c r="Q191" s="195"/>
      <c r="R191" s="195"/>
      <c r="S191" s="195"/>
      <c r="T191" s="195"/>
      <c r="U191" s="195"/>
      <c r="V191" s="195"/>
      <c r="W191" s="195"/>
      <c r="X191" s="195"/>
      <c r="Y191" s="195"/>
      <c r="Z191" s="195"/>
      <c r="AA191" s="195"/>
      <c r="AB191" s="195"/>
      <c r="AC191" s="195"/>
      <c r="AD191" s="195"/>
      <c r="AE191" s="195"/>
      <c r="AF191" s="195"/>
      <c r="AG191" s="195"/>
      <c r="AH191" s="195"/>
      <c r="AI191" s="195"/>
      <c r="AJ191" s="195"/>
      <c r="AK191" s="195"/>
      <c r="AL191" s="195"/>
      <c r="AM191" s="195"/>
      <c r="AN191" s="195"/>
      <c r="AO191" s="195"/>
      <c r="AP191" s="195"/>
      <c r="AQ191" s="195"/>
      <c r="AR191" s="195"/>
      <c r="AS191" s="195"/>
      <c r="AT191" s="195"/>
    </row>
    <row r="192" spans="1:46" ht="18" customHeight="1">
      <c r="A192" s="1121" t="s">
        <v>650</v>
      </c>
      <c r="B192" s="1119" t="s">
        <v>640</v>
      </c>
      <c r="C192" s="1119"/>
      <c r="D192" s="1119"/>
      <c r="E192" s="1119"/>
      <c r="F192" s="1119"/>
      <c r="G192" s="1125" t="s">
        <v>647</v>
      </c>
      <c r="H192" s="1125" t="s">
        <v>648</v>
      </c>
      <c r="I192" s="1065" t="s">
        <v>649</v>
      </c>
      <c r="J192" s="195"/>
      <c r="K192" s="249"/>
      <c r="L192" s="249"/>
      <c r="M192" s="195"/>
      <c r="N192" s="250"/>
      <c r="O192" s="251"/>
      <c r="P192" s="195"/>
      <c r="Q192" s="195"/>
      <c r="R192" s="195"/>
      <c r="S192" s="195"/>
      <c r="T192" s="195"/>
      <c r="U192" s="195"/>
      <c r="V192" s="195"/>
      <c r="W192" s="195"/>
      <c r="X192" s="195"/>
      <c r="Y192" s="195"/>
      <c r="Z192" s="195"/>
      <c r="AA192" s="195"/>
      <c r="AB192" s="195"/>
      <c r="AC192" s="195"/>
      <c r="AD192" s="195"/>
      <c r="AE192" s="195"/>
      <c r="AF192" s="195"/>
      <c r="AG192" s="195"/>
      <c r="AH192" s="195"/>
      <c r="AI192" s="195"/>
      <c r="AJ192" s="195"/>
      <c r="AK192" s="195"/>
      <c r="AL192" s="195"/>
      <c r="AM192" s="195"/>
      <c r="AN192" s="195"/>
      <c r="AO192" s="195"/>
      <c r="AP192" s="195"/>
      <c r="AQ192" s="195"/>
      <c r="AR192" s="195"/>
      <c r="AS192" s="195"/>
      <c r="AT192" s="195"/>
    </row>
    <row r="193" spans="1:46" ht="15.75">
      <c r="A193" s="1122"/>
      <c r="B193" s="38" t="s">
        <v>647</v>
      </c>
      <c r="C193" s="38" t="s">
        <v>642</v>
      </c>
      <c r="D193" s="38" t="s">
        <v>651</v>
      </c>
      <c r="E193" s="38" t="s">
        <v>644</v>
      </c>
      <c r="F193" s="38" t="s">
        <v>645</v>
      </c>
      <c r="G193" s="1126"/>
      <c r="H193" s="1126"/>
      <c r="I193" s="1066"/>
      <c r="J193" s="195"/>
      <c r="K193" s="249"/>
      <c r="L193" s="249"/>
      <c r="M193" s="195"/>
      <c r="N193" s="250"/>
      <c r="O193" s="251"/>
      <c r="P193" s="195"/>
      <c r="Q193" s="195"/>
      <c r="R193" s="195"/>
      <c r="S193" s="195"/>
      <c r="T193" s="195"/>
      <c r="U193" s="195"/>
      <c r="V193" s="195"/>
      <c r="W193" s="195"/>
      <c r="X193" s="195"/>
      <c r="Y193" s="195"/>
      <c r="Z193" s="195"/>
      <c r="AA193" s="195"/>
      <c r="AB193" s="195"/>
      <c r="AC193" s="195"/>
      <c r="AD193" s="195"/>
      <c r="AE193" s="195"/>
      <c r="AF193" s="195"/>
      <c r="AG193" s="195"/>
      <c r="AH193" s="195"/>
      <c r="AI193" s="195"/>
      <c r="AJ193" s="195"/>
      <c r="AK193" s="195"/>
      <c r="AL193" s="195"/>
      <c r="AM193" s="195"/>
      <c r="AN193" s="195"/>
      <c r="AO193" s="195"/>
      <c r="AP193" s="195"/>
      <c r="AQ193" s="195"/>
      <c r="AR193" s="195"/>
      <c r="AS193" s="195"/>
      <c r="AT193" s="195"/>
    </row>
    <row r="194" spans="1:46">
      <c r="A194" s="1120" t="s">
        <v>652</v>
      </c>
      <c r="B194" s="828">
        <f>+'datos de entrada'!B193</f>
        <v>0</v>
      </c>
      <c r="C194" s="327">
        <f>+'datos de entrada'!C193</f>
        <v>0</v>
      </c>
      <c r="D194" s="848">
        <f>+'datos de entrada'!D193</f>
        <v>0</v>
      </c>
      <c r="E194" s="327">
        <f>+'datos de entrada'!E193</f>
        <v>0</v>
      </c>
      <c r="F194" s="327">
        <f>+'datos de entrada'!F193</f>
        <v>0</v>
      </c>
      <c r="G194" s="828">
        <f>+'datos de entrada'!G193</f>
        <v>70000000</v>
      </c>
      <c r="H194" s="851" t="str">
        <f>+'datos de entrada'!H193</f>
        <v>APORTE DE SOCIOS</v>
      </c>
      <c r="I194" s="849" t="str">
        <f>+'datos de entrada'!I193</f>
        <v>INICIO DEL PROYECTO</v>
      </c>
      <c r="J194" s="261"/>
      <c r="K194" s="261"/>
      <c r="L194" s="249"/>
      <c r="M194" s="195"/>
      <c r="N194" s="250"/>
      <c r="O194" s="251"/>
      <c r="P194" s="195"/>
      <c r="Q194" s="195"/>
      <c r="R194" s="195"/>
      <c r="S194" s="195"/>
      <c r="T194" s="195"/>
      <c r="U194" s="195"/>
      <c r="V194" s="195"/>
      <c r="W194" s="195"/>
      <c r="X194" s="195"/>
      <c r="Y194" s="195"/>
      <c r="Z194" s="195"/>
      <c r="AA194" s="195"/>
      <c r="AB194" s="195"/>
      <c r="AC194" s="195"/>
      <c r="AD194" s="195"/>
      <c r="AE194" s="195"/>
      <c r="AF194" s="195"/>
      <c r="AG194" s="195"/>
      <c r="AH194" s="195"/>
      <c r="AI194" s="195"/>
      <c r="AJ194" s="195"/>
      <c r="AK194" s="195"/>
      <c r="AL194" s="195"/>
      <c r="AM194" s="195"/>
      <c r="AN194" s="195"/>
      <c r="AO194" s="195"/>
      <c r="AP194" s="195"/>
      <c r="AQ194" s="195"/>
      <c r="AR194" s="195"/>
      <c r="AS194" s="195"/>
      <c r="AT194" s="195"/>
    </row>
    <row r="195" spans="1:46">
      <c r="A195" s="1120"/>
      <c r="B195" s="829"/>
      <c r="C195" s="413">
        <f>+$B$217</f>
        <v>0</v>
      </c>
      <c r="D195" s="414">
        <f>+$B$219</f>
        <v>0</v>
      </c>
      <c r="E195" s="415">
        <v>0</v>
      </c>
      <c r="F195" s="416">
        <f>+$B$218</f>
        <v>0</v>
      </c>
      <c r="G195" s="828">
        <f>+'datos de entrada'!G194</f>
        <v>0</v>
      </c>
      <c r="H195" s="851">
        <f>+'datos de entrada'!H194</f>
        <v>0</v>
      </c>
      <c r="I195" s="849">
        <f>+'datos de entrada'!I194</f>
        <v>0</v>
      </c>
      <c r="J195" s="261"/>
      <c r="K195" s="261"/>
      <c r="L195" s="249"/>
      <c r="M195" s="195"/>
      <c r="N195" s="250"/>
      <c r="O195" s="251"/>
      <c r="P195" s="195"/>
      <c r="Q195" s="195"/>
      <c r="R195" s="195"/>
      <c r="S195" s="195"/>
      <c r="T195" s="195"/>
      <c r="U195" s="195"/>
      <c r="V195" s="195"/>
      <c r="W195" s="195"/>
      <c r="X195" s="195"/>
      <c r="Y195" s="195"/>
      <c r="Z195" s="195"/>
      <c r="AA195" s="195"/>
      <c r="AB195" s="195"/>
      <c r="AC195" s="195"/>
      <c r="AD195" s="195"/>
      <c r="AE195" s="195"/>
      <c r="AF195" s="195"/>
      <c r="AG195" s="195"/>
      <c r="AH195" s="195"/>
      <c r="AI195" s="195"/>
      <c r="AJ195" s="195"/>
      <c r="AK195" s="195"/>
      <c r="AL195" s="195"/>
      <c r="AM195" s="195"/>
      <c r="AN195" s="195"/>
      <c r="AO195" s="195"/>
      <c r="AP195" s="195"/>
      <c r="AQ195" s="195"/>
      <c r="AR195" s="195"/>
      <c r="AS195" s="195"/>
      <c r="AT195" s="195"/>
    </row>
    <row r="196" spans="1:46">
      <c r="A196" s="1120"/>
      <c r="B196" s="830"/>
      <c r="C196" s="413">
        <f>+$B$217</f>
        <v>0</v>
      </c>
      <c r="D196" s="414">
        <f>+$B$219</f>
        <v>0</v>
      </c>
      <c r="E196" s="415">
        <v>0</v>
      </c>
      <c r="F196" s="416">
        <f>+$B$218</f>
        <v>0</v>
      </c>
      <c r="G196" s="828">
        <f>+'datos de entrada'!G195</f>
        <v>0</v>
      </c>
      <c r="H196" s="851">
        <f>+'datos de entrada'!H195</f>
        <v>0</v>
      </c>
      <c r="I196" s="849">
        <f>+'datos de entrada'!I195</f>
        <v>0</v>
      </c>
      <c r="J196" s="261"/>
      <c r="K196" s="261"/>
      <c r="L196" s="249"/>
      <c r="M196" s="195"/>
      <c r="N196" s="250"/>
      <c r="O196" s="251"/>
      <c r="P196" s="195"/>
      <c r="Q196" s="195"/>
      <c r="R196" s="195"/>
      <c r="S196" s="195"/>
      <c r="T196" s="195"/>
      <c r="U196" s="195"/>
      <c r="V196" s="195"/>
      <c r="W196" s="195"/>
      <c r="X196" s="195"/>
      <c r="Y196" s="195"/>
      <c r="Z196" s="195"/>
      <c r="AA196" s="195"/>
      <c r="AB196" s="195"/>
      <c r="AC196" s="195"/>
      <c r="AD196" s="195"/>
      <c r="AE196" s="195"/>
      <c r="AF196" s="195"/>
      <c r="AG196" s="195"/>
      <c r="AH196" s="195"/>
      <c r="AI196" s="195"/>
      <c r="AJ196" s="195"/>
      <c r="AK196" s="195"/>
      <c r="AL196" s="195"/>
      <c r="AM196" s="195"/>
      <c r="AN196" s="195"/>
      <c r="AO196" s="195"/>
      <c r="AP196" s="195"/>
      <c r="AQ196" s="195"/>
      <c r="AR196" s="195"/>
      <c r="AS196" s="195"/>
      <c r="AT196" s="195"/>
    </row>
    <row r="197" spans="1:46" ht="15.75">
      <c r="A197" s="411" t="s">
        <v>654</v>
      </c>
      <c r="B197" s="828">
        <f>+'datos de entrada'!B196</f>
        <v>70000000</v>
      </c>
      <c r="C197" s="417"/>
      <c r="D197" s="355"/>
      <c r="E197" s="355"/>
      <c r="F197" s="355"/>
      <c r="G197" s="828">
        <f>+'datos de entrada'!G196</f>
        <v>0</v>
      </c>
      <c r="H197" s="851">
        <f>+'datos de entrada'!H196</f>
        <v>0</v>
      </c>
      <c r="I197" s="849">
        <f>+'datos de entrada'!I196</f>
        <v>0</v>
      </c>
      <c r="J197" s="261"/>
      <c r="K197" s="261"/>
      <c r="L197" s="249"/>
      <c r="M197" s="195"/>
      <c r="N197" s="249"/>
      <c r="O197" s="195"/>
      <c r="P197" s="195"/>
      <c r="Q197" s="195"/>
      <c r="R197" s="195"/>
      <c r="S197" s="195"/>
      <c r="T197" s="195"/>
      <c r="U197" s="195"/>
      <c r="V197" s="195"/>
      <c r="W197" s="195"/>
      <c r="X197" s="195"/>
      <c r="Y197" s="195"/>
      <c r="Z197" s="195"/>
      <c r="AA197" s="195"/>
      <c r="AB197" s="195"/>
      <c r="AC197" s="195"/>
      <c r="AD197" s="195"/>
      <c r="AE197" s="195"/>
      <c r="AF197" s="195"/>
      <c r="AG197" s="195"/>
      <c r="AH197" s="195"/>
      <c r="AI197" s="195"/>
      <c r="AJ197" s="195"/>
      <c r="AK197" s="195"/>
      <c r="AL197" s="195"/>
      <c r="AM197" s="195"/>
      <c r="AN197" s="195"/>
      <c r="AO197" s="195"/>
      <c r="AP197" s="195"/>
      <c r="AQ197" s="195"/>
      <c r="AR197" s="195"/>
      <c r="AS197" s="195"/>
      <c r="AT197" s="195"/>
    </row>
    <row r="198" spans="1:46" ht="16.5" thickBot="1">
      <c r="A198" s="412" t="s">
        <v>655</v>
      </c>
      <c r="B198" s="831">
        <f>+'datos de entrada'!B197</f>
        <v>0</v>
      </c>
      <c r="C198" s="418"/>
      <c r="D198" s="419"/>
      <c r="E198" s="419"/>
      <c r="F198" s="419"/>
      <c r="G198" s="831">
        <f>+'datos de entrada'!G197</f>
        <v>0</v>
      </c>
      <c r="H198" s="852">
        <f>+'datos de entrada'!H197</f>
        <v>0</v>
      </c>
      <c r="I198" s="850">
        <f>+'datos de entrada'!I197</f>
        <v>0</v>
      </c>
      <c r="J198" s="261"/>
      <c r="K198" s="261"/>
      <c r="L198" s="249"/>
      <c r="M198" s="195"/>
      <c r="N198" s="249"/>
      <c r="O198" s="195"/>
      <c r="P198" s="195"/>
      <c r="Q198" s="195"/>
      <c r="R198" s="195"/>
      <c r="S198" s="195"/>
      <c r="T198" s="195"/>
      <c r="U198" s="195"/>
      <c r="V198" s="195"/>
      <c r="W198" s="195"/>
      <c r="X198" s="195"/>
      <c r="Y198" s="195"/>
      <c r="Z198" s="195"/>
      <c r="AA198" s="195"/>
      <c r="AB198" s="195"/>
      <c r="AC198" s="195"/>
      <c r="AD198" s="195"/>
      <c r="AE198" s="195"/>
      <c r="AF198" s="195"/>
      <c r="AG198" s="195"/>
      <c r="AH198" s="195"/>
      <c r="AI198" s="195"/>
      <c r="AJ198" s="195"/>
      <c r="AK198" s="195"/>
      <c r="AL198" s="195"/>
      <c r="AM198" s="195"/>
      <c r="AN198" s="195"/>
      <c r="AO198" s="195"/>
      <c r="AP198" s="195"/>
      <c r="AQ198" s="195"/>
      <c r="AR198" s="195"/>
      <c r="AS198" s="195"/>
      <c r="AT198" s="195"/>
    </row>
    <row r="199" spans="1:46" ht="15.75" thickBot="1">
      <c r="A199" s="193"/>
      <c r="B199" s="193"/>
      <c r="C199" s="195"/>
      <c r="D199" s="195"/>
      <c r="E199" s="195"/>
      <c r="F199" s="195"/>
      <c r="G199" s="195"/>
      <c r="H199" s="195"/>
      <c r="I199" s="195"/>
      <c r="J199" s="195"/>
      <c r="K199" s="249"/>
      <c r="L199" s="249"/>
      <c r="M199" s="249"/>
      <c r="N199" s="249"/>
      <c r="O199" s="195"/>
      <c r="P199" s="195"/>
      <c r="Q199" s="195"/>
      <c r="R199" s="195"/>
      <c r="S199" s="195"/>
      <c r="T199" s="195"/>
      <c r="U199" s="195"/>
      <c r="V199" s="195"/>
      <c r="W199" s="195"/>
      <c r="X199" s="195"/>
      <c r="Y199" s="195"/>
      <c r="Z199" s="195"/>
      <c r="AA199" s="195"/>
      <c r="AB199" s="195"/>
      <c r="AC199" s="195"/>
      <c r="AD199" s="195"/>
      <c r="AE199" s="195"/>
      <c r="AF199" s="195"/>
      <c r="AG199" s="195"/>
      <c r="AH199" s="195"/>
      <c r="AI199" s="195"/>
      <c r="AJ199" s="195"/>
      <c r="AK199" s="195"/>
      <c r="AL199" s="195"/>
      <c r="AM199" s="195"/>
      <c r="AN199" s="195"/>
      <c r="AO199" s="195"/>
      <c r="AP199" s="195"/>
      <c r="AQ199" s="195"/>
      <c r="AR199" s="195"/>
      <c r="AS199" s="195"/>
      <c r="AT199" s="195"/>
    </row>
    <row r="200" spans="1:46">
      <c r="A200" s="420"/>
      <c r="B200" s="421"/>
      <c r="C200" s="195"/>
      <c r="D200" s="195"/>
      <c r="E200" s="195"/>
      <c r="F200" s="195"/>
      <c r="G200" s="195"/>
      <c r="H200" s="195"/>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195"/>
      <c r="AG200" s="195"/>
      <c r="AH200" s="195"/>
      <c r="AI200" s="195"/>
      <c r="AJ200" s="195"/>
      <c r="AK200" s="195"/>
      <c r="AL200" s="195"/>
      <c r="AM200" s="195"/>
      <c r="AN200" s="195"/>
      <c r="AO200" s="195"/>
      <c r="AP200" s="195"/>
      <c r="AQ200" s="195"/>
      <c r="AR200" s="195"/>
      <c r="AS200" s="195"/>
      <c r="AT200" s="195"/>
    </row>
    <row r="201" spans="1:46" s="43" customFormat="1" ht="18">
      <c r="A201" s="431" t="s">
        <v>656</v>
      </c>
      <c r="B201" s="392"/>
      <c r="C201" s="203"/>
      <c r="D201" s="199"/>
      <c r="E201" s="199"/>
      <c r="F201" s="199"/>
      <c r="G201" s="195"/>
      <c r="H201" s="195"/>
      <c r="I201" s="195"/>
      <c r="J201" s="264"/>
      <c r="K201" s="264"/>
      <c r="L201" s="264"/>
      <c r="M201" s="264"/>
      <c r="N201" s="199"/>
      <c r="O201" s="199"/>
      <c r="P201" s="199"/>
      <c r="Q201" s="199"/>
      <c r="R201" s="199"/>
      <c r="S201" s="199"/>
      <c r="T201" s="199"/>
      <c r="U201" s="199"/>
      <c r="V201" s="199"/>
      <c r="W201" s="199"/>
      <c r="X201" s="199"/>
      <c r="Y201" s="199"/>
      <c r="Z201" s="199"/>
      <c r="AA201" s="199"/>
      <c r="AB201" s="264"/>
      <c r="AC201" s="264"/>
      <c r="AD201" s="264"/>
      <c r="AE201" s="264"/>
      <c r="AF201" s="264"/>
      <c r="AG201" s="264"/>
      <c r="AH201" s="264"/>
      <c r="AI201" s="264"/>
      <c r="AJ201" s="264"/>
      <c r="AK201" s="264"/>
      <c r="AL201" s="264"/>
      <c r="AM201" s="264"/>
      <c r="AN201" s="264"/>
      <c r="AO201" s="264"/>
      <c r="AP201" s="264"/>
      <c r="AQ201" s="264"/>
      <c r="AR201" s="264"/>
      <c r="AS201" s="264"/>
      <c r="AT201" s="264"/>
    </row>
    <row r="202" spans="1:46" s="43" customFormat="1">
      <c r="A202" s="423"/>
      <c r="B202" s="392"/>
      <c r="C202" s="203"/>
      <c r="D202" s="199"/>
      <c r="E202" s="199"/>
      <c r="F202" s="199"/>
      <c r="G202" s="195"/>
      <c r="H202" s="195"/>
      <c r="I202" s="195"/>
      <c r="J202" s="264"/>
      <c r="K202" s="264"/>
      <c r="L202" s="264"/>
      <c r="M202" s="264"/>
      <c r="N202" s="199"/>
      <c r="O202" s="199"/>
      <c r="P202" s="199"/>
      <c r="Q202" s="199"/>
      <c r="R202" s="199"/>
      <c r="S202" s="199"/>
      <c r="T202" s="199"/>
      <c r="U202" s="199"/>
      <c r="V202" s="199"/>
      <c r="W202" s="199"/>
      <c r="X202" s="199"/>
      <c r="Y202" s="199"/>
      <c r="Z202" s="199"/>
      <c r="AA202" s="199"/>
      <c r="AB202" s="264"/>
      <c r="AC202" s="264"/>
      <c r="AD202" s="264"/>
      <c r="AE202" s="264"/>
      <c r="AF202" s="264"/>
      <c r="AG202" s="264"/>
      <c r="AH202" s="264"/>
      <c r="AI202" s="264"/>
      <c r="AJ202" s="264"/>
      <c r="AK202" s="264"/>
      <c r="AL202" s="264"/>
      <c r="AM202" s="264"/>
      <c r="AN202" s="264"/>
      <c r="AO202" s="264"/>
      <c r="AP202" s="264"/>
      <c r="AQ202" s="264"/>
      <c r="AR202" s="264"/>
      <c r="AS202" s="264"/>
      <c r="AT202" s="264"/>
    </row>
    <row r="203" spans="1:46" s="43" customFormat="1" ht="15.75">
      <c r="A203" s="422" t="s">
        <v>657</v>
      </c>
      <c r="B203" s="392"/>
      <c r="C203" s="203"/>
      <c r="D203" s="199"/>
      <c r="E203" s="199"/>
      <c r="F203" s="199"/>
      <c r="G203" s="195"/>
      <c r="H203" s="195"/>
      <c r="I203" s="195"/>
      <c r="J203" s="264"/>
      <c r="K203" s="264"/>
      <c r="L203" s="264"/>
      <c r="M203" s="264"/>
      <c r="N203" s="199"/>
      <c r="O203" s="199"/>
      <c r="P203" s="199"/>
      <c r="Q203" s="199"/>
      <c r="R203" s="199"/>
      <c r="S203" s="199"/>
      <c r="T203" s="199"/>
      <c r="U203" s="199"/>
      <c r="V203" s="199"/>
      <c r="W203" s="199"/>
      <c r="X203" s="199"/>
      <c r="Y203" s="199"/>
      <c r="Z203" s="199"/>
      <c r="AA203" s="199"/>
      <c r="AB203" s="264"/>
      <c r="AC203" s="264"/>
      <c r="AD203" s="264"/>
      <c r="AE203" s="264"/>
      <c r="AF203" s="264"/>
      <c r="AG203" s="264"/>
      <c r="AH203" s="264"/>
      <c r="AI203" s="264"/>
      <c r="AJ203" s="264"/>
      <c r="AK203" s="264"/>
      <c r="AL203" s="264"/>
      <c r="AM203" s="264"/>
      <c r="AN203" s="264"/>
      <c r="AO203" s="264"/>
      <c r="AP203" s="264"/>
      <c r="AQ203" s="264"/>
      <c r="AR203" s="264"/>
      <c r="AS203" s="264"/>
      <c r="AT203" s="264"/>
    </row>
    <row r="204" spans="1:46" s="43" customFormat="1">
      <c r="A204" s="394"/>
      <c r="B204" s="386"/>
      <c r="C204" s="203"/>
      <c r="D204" s="199"/>
      <c r="E204" s="199"/>
      <c r="F204" s="199"/>
      <c r="G204" s="195"/>
      <c r="H204" s="195"/>
      <c r="I204" s="195"/>
      <c r="J204" s="199"/>
      <c r="K204" s="264"/>
      <c r="L204" s="264"/>
      <c r="M204" s="264"/>
      <c r="N204" s="199"/>
      <c r="O204" s="199"/>
      <c r="P204" s="199"/>
      <c r="Q204" s="199"/>
      <c r="R204" s="199"/>
      <c r="S204" s="199"/>
      <c r="T204" s="199"/>
      <c r="U204" s="199"/>
      <c r="V204" s="199"/>
      <c r="W204" s="199"/>
      <c r="X204" s="199"/>
      <c r="Y204" s="199"/>
      <c r="Z204" s="199"/>
      <c r="AA204" s="199"/>
      <c r="AB204" s="264"/>
      <c r="AC204" s="264"/>
      <c r="AD204" s="264"/>
      <c r="AE204" s="264"/>
      <c r="AF204" s="264"/>
      <c r="AG204" s="264"/>
      <c r="AH204" s="264"/>
      <c r="AI204" s="264"/>
      <c r="AJ204" s="264"/>
      <c r="AK204" s="264"/>
      <c r="AL204" s="264"/>
      <c r="AM204" s="264"/>
      <c r="AN204" s="264"/>
      <c r="AO204" s="264"/>
      <c r="AP204" s="264"/>
      <c r="AQ204" s="264"/>
      <c r="AR204" s="264"/>
      <c r="AS204" s="264"/>
      <c r="AT204" s="264"/>
    </row>
    <row r="205" spans="1:46" s="43" customFormat="1">
      <c r="A205" s="424"/>
      <c r="B205" s="392"/>
      <c r="C205" s="203"/>
      <c r="D205" s="199"/>
      <c r="E205" s="199"/>
      <c r="F205" s="199"/>
      <c r="G205" s="195"/>
      <c r="H205" s="195"/>
      <c r="I205" s="195"/>
      <c r="J205" s="264"/>
      <c r="K205" s="264"/>
      <c r="L205" s="264"/>
      <c r="M205" s="264"/>
      <c r="N205" s="199"/>
      <c r="O205" s="199"/>
      <c r="P205" s="199"/>
      <c r="Q205" s="199"/>
      <c r="R205" s="199"/>
      <c r="S205" s="199"/>
      <c r="T205" s="199"/>
      <c r="U205" s="199"/>
      <c r="V205" s="199"/>
      <c r="W205" s="199"/>
      <c r="X205" s="199"/>
      <c r="Y205" s="199"/>
      <c r="Z205" s="199"/>
      <c r="AA205" s="199"/>
      <c r="AB205" s="264"/>
      <c r="AC205" s="264"/>
      <c r="AD205" s="264"/>
      <c r="AE205" s="264"/>
      <c r="AF205" s="264"/>
      <c r="AG205" s="264"/>
      <c r="AH205" s="264"/>
      <c r="AI205" s="264"/>
      <c r="AJ205" s="264"/>
      <c r="AK205" s="264"/>
      <c r="AL205" s="264"/>
      <c r="AM205" s="264"/>
      <c r="AN205" s="264"/>
      <c r="AO205" s="264"/>
      <c r="AP205" s="264"/>
      <c r="AQ205" s="264"/>
      <c r="AR205" s="264"/>
      <c r="AS205" s="264"/>
      <c r="AT205" s="264"/>
    </row>
    <row r="206" spans="1:46" s="43" customFormat="1">
      <c r="A206" s="424"/>
      <c r="B206" s="392"/>
      <c r="C206" s="203"/>
      <c r="D206" s="199"/>
      <c r="E206" s="199"/>
      <c r="F206" s="199"/>
      <c r="G206" s="199"/>
      <c r="H206" s="264"/>
      <c r="I206" s="264"/>
      <c r="J206" s="264"/>
      <c r="K206" s="264"/>
      <c r="L206" s="264"/>
      <c r="M206" s="264"/>
      <c r="N206" s="199"/>
      <c r="O206" s="199"/>
      <c r="P206" s="199"/>
      <c r="Q206" s="199"/>
      <c r="R206" s="199"/>
      <c r="S206" s="199"/>
      <c r="T206" s="199"/>
      <c r="U206" s="199"/>
      <c r="V206" s="199"/>
      <c r="W206" s="199"/>
      <c r="X206" s="199"/>
      <c r="Y206" s="199"/>
      <c r="Z206" s="199"/>
      <c r="AA206" s="199"/>
      <c r="AB206" s="264"/>
      <c r="AC206" s="264"/>
      <c r="AD206" s="264"/>
      <c r="AE206" s="264"/>
      <c r="AF206" s="264"/>
      <c r="AG206" s="264"/>
      <c r="AH206" s="264"/>
      <c r="AI206" s="264"/>
      <c r="AJ206" s="264"/>
      <c r="AK206" s="264"/>
      <c r="AL206" s="264"/>
      <c r="AM206" s="264"/>
      <c r="AN206" s="264"/>
      <c r="AO206" s="264"/>
      <c r="AP206" s="264"/>
      <c r="AQ206" s="264"/>
      <c r="AR206" s="264"/>
      <c r="AS206" s="264"/>
      <c r="AT206" s="264"/>
    </row>
    <row r="207" spans="1:46" s="43" customFormat="1">
      <c r="A207" s="425" t="s">
        <v>658</v>
      </c>
      <c r="B207" s="832">
        <f>+'datos de entrada'!B206</f>
        <v>0</v>
      </c>
      <c r="C207" s="203"/>
      <c r="D207" s="199"/>
      <c r="E207" s="199"/>
      <c r="F207" s="199"/>
      <c r="G207" s="199"/>
      <c r="H207" s="264"/>
      <c r="I207" s="264"/>
      <c r="J207" s="264"/>
      <c r="K207" s="264"/>
      <c r="L207" s="264"/>
      <c r="M207" s="264"/>
      <c r="N207" s="199"/>
      <c r="O207" s="199"/>
      <c r="P207" s="199"/>
      <c r="Q207" s="199"/>
      <c r="R207" s="199"/>
      <c r="S207" s="199"/>
      <c r="T207" s="199"/>
      <c r="U207" s="199"/>
      <c r="V207" s="199"/>
      <c r="W207" s="199"/>
      <c r="X207" s="199"/>
      <c r="Y207" s="199"/>
      <c r="Z207" s="199"/>
      <c r="AA207" s="199"/>
      <c r="AB207" s="264"/>
      <c r="AC207" s="264"/>
      <c r="AD207" s="264"/>
      <c r="AE207" s="264"/>
      <c r="AF207" s="264"/>
      <c r="AG207" s="264"/>
      <c r="AH207" s="264"/>
      <c r="AI207" s="264"/>
      <c r="AJ207" s="264"/>
      <c r="AK207" s="264"/>
      <c r="AL207" s="264"/>
      <c r="AM207" s="264"/>
      <c r="AN207" s="264"/>
      <c r="AO207" s="264"/>
      <c r="AP207" s="264"/>
      <c r="AQ207" s="264"/>
      <c r="AR207" s="264"/>
      <c r="AS207" s="264"/>
      <c r="AT207" s="264"/>
    </row>
    <row r="208" spans="1:46" s="43" customFormat="1">
      <c r="A208" s="425" t="s">
        <v>659</v>
      </c>
      <c r="B208" s="426">
        <f>+'datos de entrada'!B207</f>
        <v>0</v>
      </c>
      <c r="C208" s="203"/>
      <c r="D208" s="199"/>
      <c r="E208" s="199"/>
      <c r="F208" s="199"/>
      <c r="G208" s="199"/>
      <c r="H208" s="264"/>
      <c r="I208" s="264"/>
      <c r="J208" s="264"/>
      <c r="K208" s="264"/>
      <c r="L208" s="264"/>
      <c r="M208" s="264"/>
      <c r="N208" s="199"/>
      <c r="O208" s="199"/>
      <c r="P208" s="199"/>
      <c r="Q208" s="199"/>
      <c r="R208" s="199"/>
      <c r="S208" s="199"/>
      <c r="T208" s="199"/>
      <c r="U208" s="199"/>
      <c r="V208" s="199"/>
      <c r="W208" s="199"/>
      <c r="X208" s="199"/>
      <c r="Y208" s="199"/>
      <c r="Z208" s="199"/>
      <c r="AA208" s="199"/>
      <c r="AB208" s="264"/>
      <c r="AC208" s="264"/>
      <c r="AD208" s="264"/>
      <c r="AE208" s="264"/>
      <c r="AF208" s="264"/>
      <c r="AG208" s="264"/>
      <c r="AH208" s="264"/>
      <c r="AI208" s="264"/>
      <c r="AJ208" s="264"/>
      <c r="AK208" s="264"/>
      <c r="AL208" s="264"/>
      <c r="AM208" s="264"/>
      <c r="AN208" s="264"/>
      <c r="AO208" s="264"/>
      <c r="AP208" s="264"/>
      <c r="AQ208" s="264"/>
      <c r="AR208" s="264"/>
      <c r="AS208" s="264"/>
      <c r="AT208" s="264"/>
    </row>
    <row r="209" spans="1:46" s="43" customFormat="1">
      <c r="A209" s="425" t="s">
        <v>660</v>
      </c>
      <c r="B209" s="833">
        <f>+'datos de entrada'!B208</f>
        <v>0</v>
      </c>
      <c r="C209" s="203"/>
      <c r="D209" s="199"/>
      <c r="E209" s="199"/>
      <c r="F209" s="199"/>
      <c r="G209" s="199"/>
      <c r="H209" s="264"/>
      <c r="I209" s="264"/>
      <c r="J209" s="264"/>
      <c r="K209" s="264"/>
      <c r="L209" s="264"/>
      <c r="M209" s="264"/>
      <c r="N209" s="199"/>
      <c r="O209" s="199"/>
      <c r="P209" s="199"/>
      <c r="Q209" s="199"/>
      <c r="R209" s="199"/>
      <c r="S209" s="199"/>
      <c r="T209" s="199"/>
      <c r="U209" s="199"/>
      <c r="V209" s="199"/>
      <c r="W209" s="199"/>
      <c r="X209" s="199"/>
      <c r="Y209" s="199"/>
      <c r="Z209" s="199"/>
      <c r="AA209" s="199"/>
      <c r="AB209" s="264"/>
      <c r="AC209" s="264"/>
      <c r="AD209" s="264"/>
      <c r="AE209" s="264"/>
      <c r="AF209" s="264"/>
      <c r="AG209" s="264"/>
      <c r="AH209" s="264"/>
      <c r="AI209" s="264"/>
      <c r="AJ209" s="264"/>
      <c r="AK209" s="264"/>
      <c r="AL209" s="264"/>
      <c r="AM209" s="264"/>
      <c r="AN209" s="264"/>
      <c r="AO209" s="264"/>
      <c r="AP209" s="264"/>
      <c r="AQ209" s="264"/>
      <c r="AR209" s="264"/>
      <c r="AS209" s="264"/>
      <c r="AT209" s="264"/>
    </row>
    <row r="210" spans="1:46" s="43" customFormat="1">
      <c r="A210" s="427"/>
      <c r="B210" s="428">
        <v>0</v>
      </c>
      <c r="C210" s="203"/>
      <c r="D210" s="199"/>
      <c r="E210" s="199"/>
      <c r="F210" s="199"/>
      <c r="G210" s="199"/>
      <c r="H210" s="264"/>
      <c r="I210" s="264"/>
      <c r="J210" s="264"/>
      <c r="K210" s="264"/>
      <c r="L210" s="264"/>
      <c r="M210" s="264"/>
      <c r="N210" s="199"/>
      <c r="O210" s="199"/>
      <c r="P210" s="199"/>
      <c r="Q210" s="199"/>
      <c r="R210" s="199"/>
      <c r="S210" s="199"/>
      <c r="T210" s="199"/>
      <c r="U210" s="199"/>
      <c r="V210" s="199"/>
      <c r="W210" s="199"/>
      <c r="X210" s="199"/>
      <c r="Y210" s="199"/>
      <c r="Z210" s="199"/>
      <c r="AA210" s="199"/>
      <c r="AB210" s="264"/>
      <c r="AC210" s="264"/>
      <c r="AD210" s="264"/>
      <c r="AE210" s="264"/>
      <c r="AF210" s="264"/>
      <c r="AG210" s="264"/>
      <c r="AH210" s="264"/>
      <c r="AI210" s="264"/>
      <c r="AJ210" s="264"/>
      <c r="AK210" s="264"/>
      <c r="AL210" s="264"/>
      <c r="AM210" s="264"/>
      <c r="AN210" s="264"/>
      <c r="AO210" s="264"/>
      <c r="AP210" s="264"/>
      <c r="AQ210" s="264"/>
      <c r="AR210" s="264"/>
      <c r="AS210" s="264"/>
      <c r="AT210" s="264"/>
    </row>
    <row r="211" spans="1:46" s="43" customFormat="1">
      <c r="A211" s="429"/>
      <c r="B211" s="392"/>
      <c r="C211" s="203"/>
      <c r="D211" s="199"/>
      <c r="E211" s="199"/>
      <c r="F211" s="199"/>
      <c r="G211" s="199"/>
      <c r="H211" s="264"/>
      <c r="I211" s="264"/>
      <c r="J211" s="264"/>
      <c r="K211" s="264"/>
      <c r="L211" s="264"/>
      <c r="M211" s="264"/>
      <c r="N211" s="199"/>
      <c r="O211" s="199"/>
      <c r="P211" s="199"/>
      <c r="Q211" s="199"/>
      <c r="R211" s="199"/>
      <c r="S211" s="199"/>
      <c r="T211" s="199"/>
      <c r="U211" s="199"/>
      <c r="V211" s="199"/>
      <c r="W211" s="199"/>
      <c r="X211" s="199"/>
      <c r="Y211" s="199"/>
      <c r="Z211" s="199"/>
      <c r="AA211" s="199"/>
      <c r="AB211" s="264"/>
      <c r="AC211" s="264"/>
      <c r="AD211" s="264"/>
      <c r="AE211" s="264"/>
      <c r="AF211" s="264"/>
      <c r="AG211" s="264"/>
      <c r="AH211" s="264"/>
      <c r="AI211" s="264"/>
      <c r="AJ211" s="264"/>
      <c r="AK211" s="264"/>
      <c r="AL211" s="264"/>
      <c r="AM211" s="264"/>
      <c r="AN211" s="264"/>
      <c r="AO211" s="264"/>
      <c r="AP211" s="264"/>
      <c r="AQ211" s="264"/>
      <c r="AR211" s="264"/>
      <c r="AS211" s="264"/>
      <c r="AT211" s="264"/>
    </row>
    <row r="212" spans="1:46" s="43" customFormat="1">
      <c r="A212" s="391"/>
      <c r="B212" s="392"/>
      <c r="C212" s="199"/>
      <c r="D212" s="203"/>
      <c r="E212" s="203"/>
      <c r="F212" s="203"/>
      <c r="G212" s="203"/>
      <c r="H212" s="253"/>
      <c r="I212" s="253"/>
      <c r="J212" s="253"/>
      <c r="K212" s="253"/>
      <c r="L212" s="253"/>
      <c r="M212" s="253"/>
      <c r="N212" s="203"/>
      <c r="O212" s="199"/>
      <c r="P212" s="199"/>
      <c r="Q212" s="199"/>
      <c r="R212" s="199"/>
      <c r="S212" s="199"/>
      <c r="T212" s="199"/>
      <c r="U212" s="199"/>
      <c r="V212" s="199"/>
      <c r="W212" s="199"/>
      <c r="X212" s="199"/>
      <c r="Y212" s="199"/>
      <c r="Z212" s="199"/>
      <c r="AA212" s="199"/>
      <c r="AB212" s="264"/>
      <c r="AC212" s="264"/>
      <c r="AD212" s="264"/>
      <c r="AE212" s="264"/>
      <c r="AF212" s="264"/>
      <c r="AG212" s="264"/>
      <c r="AH212" s="264"/>
      <c r="AI212" s="264"/>
      <c r="AJ212" s="264"/>
      <c r="AK212" s="264"/>
      <c r="AL212" s="264"/>
      <c r="AM212" s="264"/>
      <c r="AN212" s="264"/>
      <c r="AO212" s="264"/>
      <c r="AP212" s="264"/>
      <c r="AQ212" s="264"/>
      <c r="AR212" s="264"/>
      <c r="AS212" s="264"/>
      <c r="AT212" s="264"/>
    </row>
    <row r="213" spans="1:46" s="43" customFormat="1" ht="15.75">
      <c r="A213" s="422" t="s">
        <v>661</v>
      </c>
      <c r="B213" s="392"/>
      <c r="C213" s="203"/>
      <c r="D213" s="203"/>
      <c r="E213" s="203"/>
      <c r="F213" s="203"/>
      <c r="G213" s="203"/>
      <c r="H213" s="253"/>
      <c r="I213" s="253"/>
      <c r="J213" s="253"/>
      <c r="K213" s="253"/>
      <c r="L213" s="253"/>
      <c r="M213" s="253"/>
      <c r="N213" s="203"/>
      <c r="O213" s="199"/>
      <c r="P213" s="199"/>
      <c r="Q213" s="199"/>
      <c r="R213" s="199"/>
      <c r="S213" s="199"/>
      <c r="T213" s="199"/>
      <c r="U213" s="199"/>
      <c r="V213" s="199"/>
      <c r="W213" s="199"/>
      <c r="X213" s="199"/>
      <c r="Y213" s="199"/>
      <c r="Z213" s="199"/>
      <c r="AA213" s="199"/>
      <c r="AB213" s="264"/>
      <c r="AC213" s="264"/>
      <c r="AD213" s="264"/>
      <c r="AE213" s="264"/>
      <c r="AF213" s="264"/>
      <c r="AG213" s="264"/>
      <c r="AH213" s="264"/>
      <c r="AI213" s="264"/>
      <c r="AJ213" s="264"/>
      <c r="AK213" s="264"/>
      <c r="AL213" s="264"/>
      <c r="AM213" s="264"/>
      <c r="AN213" s="264"/>
      <c r="AO213" s="264"/>
      <c r="AP213" s="264"/>
      <c r="AQ213" s="264"/>
      <c r="AR213" s="264"/>
      <c r="AS213" s="264"/>
      <c r="AT213" s="264"/>
    </row>
    <row r="214" spans="1:46" s="43" customFormat="1">
      <c r="A214" s="394"/>
      <c r="B214" s="386"/>
      <c r="C214" s="203"/>
      <c r="D214" s="203"/>
      <c r="E214" s="203"/>
      <c r="F214" s="203"/>
      <c r="G214" s="203"/>
      <c r="H214" s="253"/>
      <c r="I214" s="253"/>
      <c r="J214" s="253"/>
      <c r="K214" s="253"/>
      <c r="L214" s="253"/>
      <c r="M214" s="253"/>
      <c r="N214" s="203"/>
      <c r="O214" s="199"/>
      <c r="P214" s="199"/>
      <c r="Q214" s="199"/>
      <c r="R214" s="199"/>
      <c r="S214" s="199"/>
      <c r="T214" s="199"/>
      <c r="U214" s="199"/>
      <c r="V214" s="199"/>
      <c r="W214" s="199"/>
      <c r="X214" s="199"/>
      <c r="Y214" s="199"/>
      <c r="Z214" s="199"/>
      <c r="AA214" s="199"/>
      <c r="AB214" s="264"/>
      <c r="AC214" s="264"/>
      <c r="AD214" s="264"/>
      <c r="AE214" s="264"/>
      <c r="AF214" s="264"/>
      <c r="AG214" s="264"/>
      <c r="AH214" s="264"/>
      <c r="AI214" s="264"/>
      <c r="AJ214" s="264"/>
      <c r="AK214" s="264"/>
      <c r="AL214" s="264"/>
      <c r="AM214" s="264"/>
      <c r="AN214" s="264"/>
      <c r="AO214" s="264"/>
      <c r="AP214" s="264"/>
      <c r="AQ214" s="264"/>
      <c r="AR214" s="264"/>
      <c r="AS214" s="264"/>
      <c r="AT214" s="264"/>
    </row>
    <row r="215" spans="1:46" s="43" customFormat="1">
      <c r="A215" s="424"/>
      <c r="B215" s="392"/>
      <c r="C215" s="203"/>
      <c r="D215" s="203"/>
      <c r="E215" s="203"/>
      <c r="F215" s="203"/>
      <c r="G215" s="203"/>
      <c r="H215" s="253"/>
      <c r="I215" s="253"/>
      <c r="J215" s="253"/>
      <c r="K215" s="253"/>
      <c r="L215" s="253"/>
      <c r="M215" s="253"/>
      <c r="N215" s="203"/>
      <c r="O215" s="199"/>
      <c r="P215" s="199"/>
      <c r="Q215" s="199"/>
      <c r="R215" s="199"/>
      <c r="S215" s="199"/>
      <c r="T215" s="199"/>
      <c r="U215" s="199"/>
      <c r="V215" s="199"/>
      <c r="W215" s="199"/>
      <c r="X215" s="199"/>
      <c r="Y215" s="199"/>
      <c r="Z215" s="199"/>
      <c r="AA215" s="199"/>
      <c r="AB215" s="264"/>
      <c r="AC215" s="264"/>
      <c r="AD215" s="264"/>
      <c r="AE215" s="264"/>
      <c r="AF215" s="264"/>
      <c r="AG215" s="264"/>
      <c r="AH215" s="264"/>
      <c r="AI215" s="264"/>
      <c r="AJ215" s="264"/>
      <c r="AK215" s="264"/>
      <c r="AL215" s="264"/>
      <c r="AM215" s="264"/>
      <c r="AN215" s="264"/>
      <c r="AO215" s="264"/>
      <c r="AP215" s="264"/>
      <c r="AQ215" s="264"/>
      <c r="AR215" s="264"/>
      <c r="AS215" s="264"/>
      <c r="AT215" s="264"/>
    </row>
    <row r="216" spans="1:46" s="43" customFormat="1">
      <c r="A216" s="424"/>
      <c r="B216" s="392"/>
      <c r="C216" s="203"/>
      <c r="D216" s="203"/>
      <c r="E216" s="203"/>
      <c r="F216" s="203"/>
      <c r="G216" s="203"/>
      <c r="H216" s="253"/>
      <c r="I216" s="253"/>
      <c r="J216" s="253"/>
      <c r="K216" s="253"/>
      <c r="L216" s="253"/>
      <c r="M216" s="253"/>
      <c r="N216" s="203"/>
      <c r="O216" s="199"/>
      <c r="P216" s="199"/>
      <c r="Q216" s="199"/>
      <c r="R216" s="199"/>
      <c r="S216" s="199"/>
      <c r="T216" s="199"/>
      <c r="U216" s="199"/>
      <c r="V216" s="199"/>
      <c r="W216" s="199"/>
      <c r="X216" s="199"/>
      <c r="Y216" s="199"/>
      <c r="Z216" s="199"/>
      <c r="AA216" s="199"/>
      <c r="AB216" s="264"/>
      <c r="AC216" s="264"/>
      <c r="AD216" s="264"/>
      <c r="AE216" s="264"/>
      <c r="AF216" s="264"/>
      <c r="AG216" s="264"/>
      <c r="AH216" s="264"/>
      <c r="AI216" s="264"/>
      <c r="AJ216" s="264"/>
      <c r="AK216" s="264"/>
      <c r="AL216" s="264"/>
      <c r="AM216" s="264"/>
      <c r="AN216" s="264"/>
      <c r="AO216" s="264"/>
      <c r="AP216" s="264"/>
      <c r="AQ216" s="264"/>
      <c r="AR216" s="264"/>
      <c r="AS216" s="264"/>
      <c r="AT216" s="264"/>
    </row>
    <row r="217" spans="1:46" s="43" customFormat="1">
      <c r="A217" s="425" t="s">
        <v>658</v>
      </c>
      <c r="B217" s="426">
        <f>+'datos de entrada'!B216</f>
        <v>0</v>
      </c>
      <c r="C217" s="203"/>
      <c r="D217" s="203"/>
      <c r="E217" s="203"/>
      <c r="F217" s="203"/>
      <c r="G217" s="203"/>
      <c r="H217" s="253"/>
      <c r="I217" s="253"/>
      <c r="J217" s="253"/>
      <c r="K217" s="253"/>
      <c r="L217" s="253"/>
      <c r="M217" s="253"/>
      <c r="N217" s="203"/>
      <c r="O217" s="199"/>
      <c r="P217" s="199"/>
      <c r="Q217" s="199"/>
      <c r="R217" s="199"/>
      <c r="S217" s="199"/>
      <c r="T217" s="199"/>
      <c r="U217" s="199"/>
      <c r="V217" s="199"/>
      <c r="W217" s="199"/>
      <c r="X217" s="199"/>
      <c r="Y217" s="199"/>
      <c r="Z217" s="199"/>
      <c r="AA217" s="199"/>
      <c r="AB217" s="264"/>
      <c r="AC217" s="264"/>
      <c r="AD217" s="264"/>
      <c r="AE217" s="264"/>
      <c r="AF217" s="264"/>
      <c r="AG217" s="264"/>
      <c r="AH217" s="264"/>
      <c r="AI217" s="264"/>
      <c r="AJ217" s="264"/>
      <c r="AK217" s="264"/>
      <c r="AL217" s="264"/>
      <c r="AM217" s="264"/>
      <c r="AN217" s="264"/>
      <c r="AO217" s="264"/>
      <c r="AP217" s="264"/>
      <c r="AQ217" s="264"/>
      <c r="AR217" s="264"/>
      <c r="AS217" s="264"/>
      <c r="AT217" s="264"/>
    </row>
    <row r="218" spans="1:46" s="43" customFormat="1">
      <c r="A218" s="425" t="s">
        <v>659</v>
      </c>
      <c r="B218" s="426">
        <f>+'datos de entrada'!B217</f>
        <v>0</v>
      </c>
      <c r="C218" s="203"/>
      <c r="D218" s="203"/>
      <c r="E218" s="203"/>
      <c r="F218" s="203"/>
      <c r="G218" s="203"/>
      <c r="H218" s="253"/>
      <c r="I218" s="253"/>
      <c r="J218" s="253"/>
      <c r="K218" s="253"/>
      <c r="L218" s="253"/>
      <c r="M218" s="253"/>
      <c r="N218" s="203"/>
      <c r="O218" s="199"/>
      <c r="P218" s="199"/>
      <c r="Q218" s="199"/>
      <c r="R218" s="199"/>
      <c r="S218" s="199"/>
      <c r="T218" s="199"/>
      <c r="U218" s="199"/>
      <c r="V218" s="199"/>
      <c r="W218" s="199"/>
      <c r="X218" s="199"/>
      <c r="Y218" s="199"/>
      <c r="Z218" s="199"/>
      <c r="AA218" s="199"/>
      <c r="AB218" s="264"/>
      <c r="AC218" s="264"/>
      <c r="AD218" s="264"/>
      <c r="AE218" s="264"/>
      <c r="AF218" s="264"/>
      <c r="AG218" s="264"/>
      <c r="AH218" s="264"/>
      <c r="AI218" s="264"/>
      <c r="AJ218" s="264"/>
      <c r="AK218" s="264"/>
      <c r="AL218" s="264"/>
      <c r="AM218" s="264"/>
      <c r="AN218" s="264"/>
      <c r="AO218" s="264"/>
      <c r="AP218" s="264"/>
      <c r="AQ218" s="264"/>
      <c r="AR218" s="264"/>
      <c r="AS218" s="264"/>
      <c r="AT218" s="264"/>
    </row>
    <row r="219" spans="1:46" s="43" customFormat="1" ht="15.75" thickBot="1">
      <c r="A219" s="430" t="s">
        <v>660</v>
      </c>
      <c r="B219" s="834">
        <f>+'datos de entrada'!B218</f>
        <v>0</v>
      </c>
      <c r="C219" s="203"/>
      <c r="D219" s="203"/>
      <c r="E219" s="203"/>
      <c r="F219" s="203"/>
      <c r="G219" s="203"/>
      <c r="H219" s="253"/>
      <c r="I219" s="253"/>
      <c r="J219" s="253"/>
      <c r="K219" s="253"/>
      <c r="L219" s="253"/>
      <c r="M219" s="253"/>
      <c r="N219" s="203"/>
      <c r="O219" s="199"/>
      <c r="P219" s="199"/>
      <c r="Q219" s="199"/>
      <c r="R219" s="199"/>
      <c r="S219" s="199"/>
      <c r="T219" s="199"/>
      <c r="U219" s="199"/>
      <c r="V219" s="199"/>
      <c r="W219" s="199"/>
      <c r="X219" s="199"/>
      <c r="Y219" s="199"/>
      <c r="Z219" s="199"/>
      <c r="AA219" s="199"/>
      <c r="AB219" s="264"/>
      <c r="AC219" s="264"/>
      <c r="AD219" s="264"/>
      <c r="AE219" s="264"/>
      <c r="AF219" s="264"/>
      <c r="AG219" s="264"/>
      <c r="AH219" s="264"/>
      <c r="AI219" s="264"/>
      <c r="AJ219" s="264"/>
      <c r="AK219" s="264"/>
      <c r="AL219" s="264"/>
      <c r="AM219" s="264"/>
      <c r="AN219" s="264"/>
      <c r="AO219" s="264"/>
      <c r="AP219" s="264"/>
      <c r="AQ219" s="264"/>
      <c r="AR219" s="264"/>
      <c r="AS219" s="264"/>
      <c r="AT219" s="264"/>
    </row>
    <row r="220" spans="1:46" s="43" customFormat="1">
      <c r="A220" s="271"/>
      <c r="B220" s="277">
        <v>0</v>
      </c>
      <c r="C220" s="203"/>
      <c r="D220" s="203"/>
      <c r="E220" s="203"/>
      <c r="F220" s="203"/>
      <c r="G220" s="203"/>
      <c r="H220" s="253"/>
      <c r="I220" s="253"/>
      <c r="J220" s="253"/>
      <c r="K220" s="253"/>
      <c r="L220" s="253"/>
      <c r="M220" s="253"/>
      <c r="N220" s="203"/>
      <c r="O220" s="199"/>
      <c r="P220" s="199"/>
      <c r="Q220" s="199"/>
      <c r="R220" s="199"/>
      <c r="S220" s="199"/>
      <c r="T220" s="199"/>
      <c r="U220" s="199"/>
      <c r="V220" s="199"/>
      <c r="W220" s="199"/>
      <c r="X220" s="199"/>
      <c r="Y220" s="199"/>
      <c r="Z220" s="199"/>
      <c r="AA220" s="199"/>
      <c r="AB220" s="264"/>
      <c r="AC220" s="264"/>
      <c r="AD220" s="264"/>
      <c r="AE220" s="264"/>
      <c r="AF220" s="264"/>
      <c r="AG220" s="264"/>
      <c r="AH220" s="264"/>
      <c r="AI220" s="264"/>
      <c r="AJ220" s="264"/>
      <c r="AK220" s="264"/>
      <c r="AL220" s="264"/>
      <c r="AM220" s="264"/>
      <c r="AN220" s="264"/>
      <c r="AO220" s="264"/>
      <c r="AP220" s="264"/>
      <c r="AQ220" s="264"/>
      <c r="AR220" s="264"/>
      <c r="AS220" s="264"/>
      <c r="AT220" s="264"/>
    </row>
    <row r="221" spans="1:46" s="43" customFormat="1">
      <c r="A221" s="276"/>
      <c r="B221" s="203"/>
      <c r="C221" s="203"/>
      <c r="D221" s="203"/>
      <c r="E221" s="203"/>
      <c r="F221" s="203"/>
      <c r="G221" s="203"/>
      <c r="H221" s="253"/>
      <c r="I221" s="253"/>
      <c r="J221" s="253"/>
      <c r="K221" s="253"/>
      <c r="L221" s="253"/>
      <c r="M221" s="253"/>
      <c r="N221" s="203"/>
      <c r="O221" s="199"/>
      <c r="P221" s="199"/>
      <c r="Q221" s="199"/>
      <c r="R221" s="199"/>
      <c r="S221" s="199"/>
      <c r="T221" s="199"/>
      <c r="U221" s="199"/>
      <c r="V221" s="199"/>
      <c r="W221" s="199"/>
      <c r="X221" s="199"/>
      <c r="Y221" s="199"/>
      <c r="Z221" s="199"/>
      <c r="AA221" s="199"/>
      <c r="AB221" s="264"/>
      <c r="AC221" s="264"/>
      <c r="AD221" s="264"/>
      <c r="AE221" s="264"/>
      <c r="AF221" s="264"/>
      <c r="AG221" s="264"/>
      <c r="AH221" s="264"/>
      <c r="AI221" s="264"/>
      <c r="AJ221" s="264"/>
      <c r="AK221" s="264"/>
      <c r="AL221" s="264"/>
      <c r="AM221" s="264"/>
      <c r="AN221" s="264"/>
      <c r="AO221" s="264"/>
      <c r="AP221" s="264"/>
      <c r="AQ221" s="264"/>
      <c r="AR221" s="264"/>
      <c r="AS221" s="264"/>
      <c r="AT221" s="264"/>
    </row>
    <row r="222" spans="1:46" s="43" customFormat="1">
      <c r="A222" s="282"/>
      <c r="B222" s="224"/>
      <c r="C222" s="199"/>
      <c r="D222" s="203"/>
      <c r="E222" s="203"/>
      <c r="F222" s="203"/>
      <c r="G222" s="203"/>
      <c r="H222" s="253"/>
      <c r="I222" s="253"/>
      <c r="J222" s="253"/>
      <c r="K222" s="253"/>
      <c r="L222" s="253"/>
      <c r="M222" s="253"/>
      <c r="N222" s="203"/>
      <c r="O222" s="199"/>
      <c r="P222" s="199"/>
      <c r="Q222" s="199"/>
      <c r="R222" s="199"/>
      <c r="S222" s="199"/>
      <c r="T222" s="199"/>
      <c r="U222" s="199"/>
      <c r="V222" s="199"/>
      <c r="W222" s="199"/>
      <c r="X222" s="199"/>
      <c r="Y222" s="199"/>
      <c r="Z222" s="199"/>
      <c r="AA222" s="199"/>
      <c r="AB222" s="264"/>
      <c r="AC222" s="264"/>
      <c r="AD222" s="264"/>
      <c r="AE222" s="264"/>
      <c r="AF222" s="264"/>
      <c r="AG222" s="264"/>
      <c r="AH222" s="264"/>
      <c r="AI222" s="264"/>
      <c r="AJ222" s="264"/>
      <c r="AK222" s="264"/>
      <c r="AL222" s="264"/>
      <c r="AM222" s="264"/>
      <c r="AN222" s="264"/>
      <c r="AO222" s="264"/>
      <c r="AP222" s="264"/>
      <c r="AQ222" s="264"/>
      <c r="AR222" s="264"/>
      <c r="AS222" s="264"/>
      <c r="AT222" s="264"/>
    </row>
    <row r="223" spans="1:46" hidden="1">
      <c r="A223" s="3"/>
      <c r="B223" s="3"/>
      <c r="C223" s="193"/>
      <c r="D223" s="193"/>
      <c r="E223" s="193"/>
      <c r="F223" s="193"/>
      <c r="G223" s="193"/>
      <c r="H223" s="193"/>
      <c r="I223" s="193"/>
      <c r="J223" s="193"/>
      <c r="K223" s="194"/>
      <c r="L223" s="194"/>
      <c r="M223" s="194"/>
      <c r="N223" s="194"/>
      <c r="O223" s="195"/>
      <c r="P223" s="195"/>
      <c r="Q223" s="195"/>
      <c r="R223" s="195"/>
      <c r="S223" s="195"/>
      <c r="T223" s="195"/>
      <c r="U223" s="195"/>
      <c r="V223" s="195"/>
      <c r="W223" s="195"/>
      <c r="X223" s="195"/>
      <c r="Y223" s="195"/>
      <c r="Z223" s="195"/>
      <c r="AA223" s="195"/>
      <c r="AB223" s="195"/>
      <c r="AC223" s="195"/>
      <c r="AD223" s="195"/>
      <c r="AE223" s="195"/>
      <c r="AF223" s="195"/>
      <c r="AG223" s="195"/>
      <c r="AH223" s="195"/>
      <c r="AI223" s="195"/>
      <c r="AJ223" s="195"/>
      <c r="AK223" s="195"/>
      <c r="AL223" s="195"/>
      <c r="AM223" s="195"/>
      <c r="AN223" s="195"/>
      <c r="AO223" s="195"/>
      <c r="AP223" s="195"/>
      <c r="AQ223" s="195"/>
      <c r="AR223" s="195"/>
      <c r="AS223" s="195"/>
      <c r="AT223" s="195"/>
    </row>
    <row r="224" spans="1:46" hidden="1">
      <c r="A224" s="1"/>
      <c r="B224" s="1"/>
      <c r="C224" s="194"/>
      <c r="D224" s="194"/>
      <c r="E224" s="194"/>
      <c r="F224" s="194"/>
      <c r="G224" s="194"/>
      <c r="H224" s="194"/>
      <c r="I224" s="194"/>
      <c r="J224" s="194"/>
      <c r="K224" s="194"/>
      <c r="L224" s="194"/>
      <c r="M224" s="194"/>
      <c r="N224" s="194"/>
      <c r="O224" s="195"/>
      <c r="P224" s="195"/>
      <c r="Q224" s="195"/>
      <c r="R224" s="195"/>
      <c r="S224" s="195"/>
      <c r="T224" s="195"/>
      <c r="U224" s="195"/>
      <c r="V224" s="195"/>
      <c r="W224" s="195"/>
      <c r="X224" s="195"/>
      <c r="Y224" s="195"/>
      <c r="Z224" s="195"/>
      <c r="AA224" s="195"/>
      <c r="AB224" s="195"/>
      <c r="AC224" s="195"/>
      <c r="AD224" s="195"/>
      <c r="AE224" s="195"/>
      <c r="AF224" s="195"/>
      <c r="AG224" s="195"/>
      <c r="AH224" s="195"/>
      <c r="AI224" s="195"/>
      <c r="AJ224" s="195"/>
      <c r="AK224" s="195"/>
      <c r="AL224" s="195"/>
      <c r="AM224" s="195"/>
      <c r="AN224" s="195"/>
      <c r="AO224" s="195"/>
      <c r="AP224" s="195"/>
      <c r="AQ224" s="195"/>
      <c r="AR224" s="195"/>
      <c r="AS224" s="195"/>
      <c r="AT224" s="195"/>
    </row>
    <row r="225" spans="3:46" hidden="1">
      <c r="C225" s="195"/>
      <c r="D225" s="195"/>
      <c r="E225" s="195"/>
      <c r="F225" s="195"/>
      <c r="G225" s="195"/>
      <c r="H225" s="195"/>
      <c r="I225" s="195"/>
      <c r="J225" s="194"/>
      <c r="K225" s="194"/>
      <c r="L225" s="194"/>
      <c r="M225" s="194"/>
      <c r="N225" s="194"/>
      <c r="O225" s="195"/>
      <c r="P225" s="195"/>
      <c r="Q225" s="195"/>
      <c r="R225" s="195"/>
      <c r="S225" s="195"/>
      <c r="T225" s="195"/>
      <c r="U225" s="195"/>
      <c r="V225" s="195"/>
      <c r="W225" s="195"/>
      <c r="X225" s="195"/>
      <c r="Y225" s="195"/>
      <c r="Z225" s="195"/>
      <c r="AA225" s="195"/>
      <c r="AB225" s="195"/>
      <c r="AC225" s="195"/>
      <c r="AD225" s="195"/>
      <c r="AE225" s="195"/>
      <c r="AF225" s="195"/>
      <c r="AG225" s="195"/>
      <c r="AH225" s="195"/>
      <c r="AI225" s="195"/>
      <c r="AJ225" s="195"/>
      <c r="AK225" s="195"/>
      <c r="AL225" s="195"/>
      <c r="AM225" s="195"/>
      <c r="AN225" s="195"/>
      <c r="AO225" s="195"/>
      <c r="AP225" s="195"/>
      <c r="AQ225" s="195"/>
      <c r="AR225" s="195"/>
      <c r="AS225" s="195"/>
      <c r="AT225" s="195"/>
    </row>
    <row r="226" spans="3:46" hidden="1">
      <c r="C226" s="195"/>
      <c r="D226" s="195"/>
      <c r="E226" s="195"/>
      <c r="F226" s="195"/>
      <c r="G226" s="195"/>
      <c r="H226" s="195"/>
      <c r="I226" s="195"/>
      <c r="J226" s="194"/>
      <c r="K226" s="194"/>
      <c r="L226" s="194"/>
      <c r="M226" s="194"/>
      <c r="N226" s="194"/>
      <c r="O226" s="195"/>
      <c r="P226" s="195"/>
      <c r="Q226" s="195"/>
      <c r="R226" s="195"/>
      <c r="S226" s="195"/>
      <c r="T226" s="195"/>
      <c r="U226" s="195"/>
      <c r="V226" s="195"/>
      <c r="W226" s="195"/>
      <c r="X226" s="195"/>
      <c r="Y226" s="195"/>
      <c r="Z226" s="195"/>
      <c r="AA226" s="195"/>
      <c r="AB226" s="195"/>
      <c r="AC226" s="195"/>
      <c r="AD226" s="195"/>
      <c r="AE226" s="195"/>
      <c r="AF226" s="195"/>
      <c r="AG226" s="195"/>
      <c r="AH226" s="195"/>
      <c r="AI226" s="195"/>
      <c r="AJ226" s="195"/>
      <c r="AK226" s="195"/>
      <c r="AL226" s="195"/>
      <c r="AM226" s="195"/>
      <c r="AN226" s="195"/>
      <c r="AO226" s="195"/>
      <c r="AP226" s="195"/>
      <c r="AQ226" s="195"/>
      <c r="AR226" s="195"/>
      <c r="AS226" s="195"/>
      <c r="AT226" s="195"/>
    </row>
    <row r="227" spans="3:46" hidden="1">
      <c r="C227" s="195"/>
      <c r="D227" s="195"/>
      <c r="E227" s="195"/>
      <c r="F227" s="195"/>
      <c r="G227" s="195"/>
      <c r="H227" s="195"/>
      <c r="I227" s="195"/>
      <c r="J227" s="194"/>
      <c r="K227" s="194"/>
      <c r="L227" s="194"/>
      <c r="M227" s="194"/>
      <c r="N227" s="194"/>
      <c r="O227" s="195"/>
      <c r="P227" s="195"/>
      <c r="Q227" s="195"/>
      <c r="R227" s="195"/>
      <c r="S227" s="195"/>
      <c r="T227" s="195"/>
      <c r="U227" s="195"/>
      <c r="V227" s="195"/>
      <c r="W227" s="195"/>
      <c r="X227" s="195"/>
      <c r="Y227" s="195"/>
      <c r="Z227" s="195"/>
      <c r="AA227" s="195"/>
      <c r="AB227" s="195"/>
      <c r="AC227" s="195"/>
      <c r="AD227" s="195"/>
      <c r="AE227" s="195"/>
      <c r="AF227" s="195"/>
      <c r="AG227" s="195"/>
      <c r="AH227" s="195"/>
      <c r="AI227" s="195"/>
      <c r="AJ227" s="195"/>
      <c r="AK227" s="195"/>
      <c r="AL227" s="195"/>
      <c r="AM227" s="195"/>
      <c r="AN227" s="195"/>
      <c r="AO227" s="195"/>
      <c r="AP227" s="195"/>
      <c r="AQ227" s="195"/>
      <c r="AR227" s="195"/>
      <c r="AS227" s="195"/>
      <c r="AT227" s="195"/>
    </row>
    <row r="228" spans="3:46" hidden="1">
      <c r="C228" s="195"/>
      <c r="D228" s="195"/>
      <c r="E228" s="195"/>
      <c r="F228" s="195"/>
      <c r="G228" s="195"/>
      <c r="H228" s="195"/>
      <c r="I228" s="195"/>
      <c r="J228" s="194"/>
      <c r="K228" s="194"/>
      <c r="L228" s="194"/>
      <c r="M228" s="194"/>
      <c r="N228" s="194"/>
      <c r="O228" s="195"/>
      <c r="P228" s="195"/>
      <c r="Q228" s="195"/>
      <c r="R228" s="195"/>
      <c r="S228" s="195"/>
      <c r="T228" s="195"/>
      <c r="U228" s="195"/>
      <c r="V228" s="195"/>
      <c r="W228" s="195"/>
      <c r="X228" s="195"/>
      <c r="Y228" s="195"/>
      <c r="Z228" s="195"/>
      <c r="AA228" s="195"/>
      <c r="AB228" s="195"/>
      <c r="AC228" s="195"/>
      <c r="AD228" s="195"/>
      <c r="AE228" s="195"/>
      <c r="AF228" s="195"/>
      <c r="AG228" s="195"/>
      <c r="AH228" s="195"/>
      <c r="AI228" s="195"/>
      <c r="AJ228" s="195"/>
      <c r="AK228" s="195"/>
      <c r="AL228" s="195"/>
      <c r="AM228" s="195"/>
      <c r="AN228" s="195"/>
      <c r="AO228" s="195"/>
      <c r="AP228" s="195"/>
      <c r="AQ228" s="195"/>
      <c r="AR228" s="195"/>
      <c r="AS228" s="195"/>
      <c r="AT228" s="195"/>
    </row>
    <row r="229" spans="3:46" hidden="1">
      <c r="C229" s="195"/>
      <c r="D229" s="195"/>
      <c r="E229" s="195"/>
      <c r="F229" s="195"/>
      <c r="G229" s="195"/>
      <c r="H229" s="195"/>
      <c r="I229" s="195"/>
      <c r="J229" s="194"/>
      <c r="K229" s="194"/>
      <c r="L229" s="194"/>
      <c r="M229" s="194"/>
      <c r="N229" s="194"/>
      <c r="O229" s="195"/>
      <c r="P229" s="195"/>
      <c r="Q229" s="195"/>
      <c r="R229" s="195"/>
      <c r="S229" s="195"/>
      <c r="T229" s="195"/>
      <c r="U229" s="195"/>
      <c r="V229" s="195"/>
      <c r="W229" s="195"/>
      <c r="X229" s="195"/>
      <c r="Y229" s="195"/>
      <c r="Z229" s="195"/>
      <c r="AA229" s="195"/>
      <c r="AB229" s="195"/>
      <c r="AC229" s="195"/>
      <c r="AD229" s="195"/>
      <c r="AE229" s="195"/>
      <c r="AF229" s="195"/>
      <c r="AG229" s="195"/>
      <c r="AH229" s="195"/>
      <c r="AI229" s="195"/>
      <c r="AJ229" s="195"/>
      <c r="AK229" s="195"/>
      <c r="AL229" s="195"/>
      <c r="AM229" s="195"/>
      <c r="AN229" s="195"/>
      <c r="AO229" s="195"/>
      <c r="AP229" s="195"/>
      <c r="AQ229" s="195"/>
      <c r="AR229" s="195"/>
      <c r="AS229" s="195"/>
      <c r="AT229" s="195"/>
    </row>
    <row r="230" spans="3:46" hidden="1">
      <c r="C230" s="195"/>
      <c r="D230" s="195"/>
      <c r="E230" s="195"/>
      <c r="F230" s="195"/>
      <c r="G230" s="195"/>
      <c r="H230" s="195"/>
      <c r="I230" s="195"/>
      <c r="J230" s="194"/>
      <c r="K230" s="194"/>
      <c r="L230" s="194"/>
      <c r="M230" s="194"/>
      <c r="N230" s="194"/>
      <c r="O230" s="195"/>
      <c r="P230" s="195"/>
      <c r="Q230" s="195"/>
      <c r="R230" s="195"/>
      <c r="S230" s="195"/>
      <c r="T230" s="195"/>
      <c r="U230" s="195"/>
      <c r="V230" s="195"/>
      <c r="W230" s="195"/>
      <c r="X230" s="195"/>
      <c r="Y230" s="195"/>
      <c r="Z230" s="195"/>
      <c r="AA230" s="195"/>
      <c r="AB230" s="195"/>
      <c r="AC230" s="195"/>
      <c r="AD230" s="195"/>
      <c r="AE230" s="195"/>
      <c r="AF230" s="195"/>
      <c r="AG230" s="195"/>
      <c r="AH230" s="195"/>
      <c r="AI230" s="195"/>
      <c r="AJ230" s="195"/>
      <c r="AK230" s="195"/>
      <c r="AL230" s="195"/>
      <c r="AM230" s="195"/>
      <c r="AN230" s="195"/>
      <c r="AO230" s="195"/>
      <c r="AP230" s="195"/>
      <c r="AQ230" s="195"/>
      <c r="AR230" s="195"/>
      <c r="AS230" s="195"/>
      <c r="AT230" s="195"/>
    </row>
    <row r="231" spans="3:46" hidden="1">
      <c r="C231" s="195"/>
      <c r="D231" s="195"/>
      <c r="E231" s="195"/>
      <c r="F231" s="195"/>
      <c r="G231" s="195"/>
      <c r="H231" s="195"/>
      <c r="I231" s="195"/>
      <c r="J231" s="194"/>
      <c r="K231" s="194"/>
      <c r="L231" s="194"/>
      <c r="M231" s="194"/>
      <c r="N231" s="194"/>
      <c r="O231" s="195"/>
      <c r="P231" s="195"/>
      <c r="Q231" s="195"/>
      <c r="R231" s="195"/>
      <c r="S231" s="195"/>
      <c r="T231" s="195"/>
      <c r="U231" s="195"/>
      <c r="V231" s="195"/>
      <c r="W231" s="195"/>
      <c r="X231" s="195"/>
      <c r="Y231" s="195"/>
      <c r="Z231" s="195"/>
      <c r="AA231" s="195"/>
      <c r="AB231" s="195"/>
      <c r="AC231" s="195"/>
      <c r="AD231" s="195"/>
      <c r="AE231" s="195"/>
      <c r="AF231" s="195"/>
      <c r="AG231" s="195"/>
      <c r="AH231" s="195"/>
      <c r="AI231" s="195"/>
      <c r="AJ231" s="195"/>
      <c r="AK231" s="195"/>
      <c r="AL231" s="195"/>
      <c r="AM231" s="195"/>
      <c r="AN231" s="195"/>
      <c r="AO231" s="195"/>
      <c r="AP231" s="195"/>
      <c r="AQ231" s="195"/>
      <c r="AR231" s="195"/>
      <c r="AS231" s="195"/>
      <c r="AT231" s="195"/>
    </row>
    <row r="232" spans="3:46" hidden="1">
      <c r="C232" s="195"/>
      <c r="D232" s="195"/>
      <c r="E232" s="195"/>
      <c r="F232" s="195"/>
      <c r="G232" s="195"/>
      <c r="H232" s="195"/>
      <c r="I232" s="195"/>
      <c r="J232" s="194"/>
      <c r="K232" s="194"/>
      <c r="L232" s="194"/>
      <c r="M232" s="194"/>
      <c r="N232" s="194"/>
      <c r="O232" s="195"/>
      <c r="P232" s="195"/>
      <c r="Q232" s="195"/>
      <c r="R232" s="195"/>
      <c r="S232" s="195"/>
      <c r="T232" s="195"/>
      <c r="U232" s="195"/>
      <c r="V232" s="195"/>
      <c r="W232" s="195"/>
      <c r="X232" s="195"/>
      <c r="Y232" s="195"/>
      <c r="Z232" s="195"/>
      <c r="AA232" s="195"/>
      <c r="AB232" s="195"/>
      <c r="AC232" s="195"/>
      <c r="AD232" s="195"/>
      <c r="AE232" s="195"/>
      <c r="AF232" s="195"/>
      <c r="AG232" s="195"/>
      <c r="AH232" s="195"/>
      <c r="AI232" s="195"/>
      <c r="AJ232" s="195"/>
      <c r="AK232" s="195"/>
      <c r="AL232" s="195"/>
      <c r="AM232" s="195"/>
      <c r="AN232" s="195"/>
      <c r="AO232" s="195"/>
      <c r="AP232" s="195"/>
      <c r="AQ232" s="195"/>
      <c r="AR232" s="195"/>
      <c r="AS232" s="195"/>
      <c r="AT232" s="195"/>
    </row>
    <row r="233" spans="3:46" hidden="1">
      <c r="C233" s="195"/>
      <c r="D233" s="195"/>
      <c r="E233" s="195"/>
      <c r="F233" s="195"/>
      <c r="G233" s="195"/>
      <c r="H233" s="195"/>
      <c r="I233" s="195"/>
      <c r="J233" s="194"/>
      <c r="K233" s="194"/>
      <c r="L233" s="194"/>
      <c r="M233" s="194"/>
      <c r="N233" s="194"/>
      <c r="O233" s="195"/>
      <c r="P233" s="195"/>
      <c r="Q233" s="195"/>
      <c r="R233" s="195"/>
      <c r="S233" s="195"/>
      <c r="T233" s="195"/>
      <c r="U233" s="195"/>
      <c r="V233" s="195"/>
      <c r="W233" s="195"/>
      <c r="X233" s="195"/>
      <c r="Y233" s="195"/>
      <c r="Z233" s="195"/>
      <c r="AA233" s="195"/>
      <c r="AB233" s="195"/>
      <c r="AC233" s="195"/>
      <c r="AD233" s="195"/>
      <c r="AE233" s="195"/>
      <c r="AF233" s="195"/>
      <c r="AG233" s="195"/>
      <c r="AH233" s="195"/>
      <c r="AI233" s="195"/>
      <c r="AJ233" s="195"/>
      <c r="AK233" s="195"/>
      <c r="AL233" s="195"/>
      <c r="AM233" s="195"/>
      <c r="AN233" s="195"/>
      <c r="AO233" s="195"/>
      <c r="AP233" s="195"/>
      <c r="AQ233" s="195"/>
      <c r="AR233" s="195"/>
      <c r="AS233" s="195"/>
      <c r="AT233" s="195"/>
    </row>
    <row r="234" spans="3:46" hidden="1">
      <c r="C234" s="195"/>
      <c r="D234" s="195"/>
      <c r="E234" s="195"/>
      <c r="F234" s="195"/>
      <c r="G234" s="195"/>
      <c r="H234" s="195"/>
      <c r="I234" s="195"/>
      <c r="J234" s="194"/>
      <c r="K234" s="194"/>
      <c r="L234" s="194"/>
      <c r="M234" s="194"/>
      <c r="N234" s="194"/>
      <c r="O234" s="195"/>
      <c r="P234" s="195"/>
      <c r="Q234" s="195"/>
      <c r="R234" s="195"/>
      <c r="S234" s="195"/>
      <c r="T234" s="195"/>
      <c r="U234" s="195"/>
      <c r="V234" s="195"/>
      <c r="W234" s="195"/>
      <c r="X234" s="195"/>
      <c r="Y234" s="195"/>
      <c r="Z234" s="195"/>
      <c r="AA234" s="195"/>
      <c r="AB234" s="195"/>
      <c r="AC234" s="195"/>
      <c r="AD234" s="195"/>
      <c r="AE234" s="195"/>
      <c r="AF234" s="195"/>
      <c r="AG234" s="195"/>
      <c r="AH234" s="195"/>
      <c r="AI234" s="195"/>
      <c r="AJ234" s="195"/>
      <c r="AK234" s="195"/>
      <c r="AL234" s="195"/>
      <c r="AM234" s="195"/>
      <c r="AN234" s="195"/>
      <c r="AO234" s="195"/>
      <c r="AP234" s="195"/>
      <c r="AQ234" s="195"/>
      <c r="AR234" s="195"/>
      <c r="AS234" s="195"/>
      <c r="AT234" s="195"/>
    </row>
    <row r="235" spans="3:46" hidden="1">
      <c r="C235" s="195"/>
      <c r="D235" s="195"/>
      <c r="E235" s="195"/>
      <c r="F235" s="195"/>
      <c r="G235" s="195"/>
      <c r="H235" s="195"/>
      <c r="I235" s="195"/>
      <c r="J235" s="194"/>
      <c r="K235" s="194"/>
      <c r="L235" s="194"/>
      <c r="M235" s="194"/>
      <c r="N235" s="194"/>
      <c r="O235" s="195"/>
      <c r="P235" s="195"/>
      <c r="Q235" s="195"/>
      <c r="R235" s="195"/>
      <c r="S235" s="195"/>
      <c r="T235" s="195"/>
      <c r="U235" s="195"/>
      <c r="V235" s="195"/>
      <c r="W235" s="195"/>
      <c r="X235" s="195"/>
      <c r="Y235" s="195"/>
      <c r="Z235" s="195"/>
      <c r="AA235" s="195"/>
      <c r="AB235" s="195"/>
      <c r="AC235" s="195"/>
      <c r="AD235" s="195"/>
      <c r="AE235" s="195"/>
      <c r="AF235" s="195"/>
      <c r="AG235" s="195"/>
      <c r="AH235" s="195"/>
      <c r="AI235" s="195"/>
      <c r="AJ235" s="195"/>
      <c r="AK235" s="195"/>
      <c r="AL235" s="195"/>
      <c r="AM235" s="195"/>
      <c r="AN235" s="195"/>
      <c r="AO235" s="195"/>
      <c r="AP235" s="195"/>
      <c r="AQ235" s="195"/>
      <c r="AR235" s="195"/>
      <c r="AS235" s="195"/>
      <c r="AT235" s="195"/>
    </row>
    <row r="236" spans="3:46" hidden="1">
      <c r="C236" s="195"/>
      <c r="D236" s="195"/>
      <c r="E236" s="195"/>
      <c r="F236" s="195"/>
      <c r="G236" s="195"/>
      <c r="H236" s="195"/>
      <c r="I236" s="195"/>
      <c r="J236" s="194"/>
      <c r="K236" s="194"/>
      <c r="L236" s="194"/>
      <c r="M236" s="194"/>
      <c r="N236" s="194"/>
      <c r="O236" s="195"/>
      <c r="P236" s="195"/>
      <c r="Q236" s="195"/>
      <c r="R236" s="195"/>
      <c r="S236" s="195"/>
      <c r="T236" s="195"/>
      <c r="U236" s="195"/>
      <c r="V236" s="195"/>
      <c r="W236" s="195"/>
      <c r="X236" s="195"/>
      <c r="Y236" s="195"/>
      <c r="Z236" s="195"/>
      <c r="AA236" s="195"/>
      <c r="AB236" s="195"/>
      <c r="AC236" s="195"/>
      <c r="AD236" s="195"/>
      <c r="AE236" s="195"/>
      <c r="AF236" s="195"/>
      <c r="AG236" s="195"/>
      <c r="AH236" s="195"/>
      <c r="AI236" s="195"/>
      <c r="AJ236" s="195"/>
      <c r="AK236" s="195"/>
      <c r="AL236" s="195"/>
      <c r="AM236" s="195"/>
      <c r="AN236" s="195"/>
      <c r="AO236" s="195"/>
      <c r="AP236" s="195"/>
      <c r="AQ236" s="195"/>
      <c r="AR236" s="195"/>
      <c r="AS236" s="195"/>
      <c r="AT236" s="195"/>
    </row>
    <row r="237" spans="3:46" hidden="1">
      <c r="C237" s="195"/>
      <c r="D237" s="195"/>
      <c r="E237" s="195"/>
      <c r="F237" s="195"/>
      <c r="G237" s="195"/>
      <c r="H237" s="195"/>
      <c r="I237" s="195"/>
      <c r="J237" s="194"/>
      <c r="K237" s="194"/>
      <c r="L237" s="194"/>
      <c r="M237" s="194"/>
      <c r="N237" s="194"/>
      <c r="O237" s="195"/>
      <c r="P237" s="195"/>
      <c r="Q237" s="195"/>
      <c r="R237" s="195"/>
      <c r="S237" s="195"/>
      <c r="T237" s="195"/>
      <c r="U237" s="195"/>
      <c r="V237" s="195"/>
      <c r="W237" s="195"/>
      <c r="X237" s="195"/>
      <c r="Y237" s="195"/>
      <c r="Z237" s="195"/>
      <c r="AA237" s="195"/>
      <c r="AB237" s="195"/>
      <c r="AC237" s="195"/>
      <c r="AD237" s="195"/>
      <c r="AE237" s="195"/>
      <c r="AF237" s="195"/>
      <c r="AG237" s="195"/>
      <c r="AH237" s="195"/>
      <c r="AI237" s="195"/>
      <c r="AJ237" s="195"/>
      <c r="AK237" s="195"/>
      <c r="AL237" s="195"/>
      <c r="AM237" s="195"/>
      <c r="AN237" s="195"/>
      <c r="AO237" s="195"/>
      <c r="AP237" s="195"/>
      <c r="AQ237" s="195"/>
      <c r="AR237" s="195"/>
      <c r="AS237" s="195"/>
      <c r="AT237" s="195"/>
    </row>
    <row r="238" spans="3:46" hidden="1">
      <c r="C238" s="195"/>
      <c r="D238" s="195"/>
      <c r="E238" s="195"/>
      <c r="F238" s="195"/>
      <c r="G238" s="195"/>
      <c r="H238" s="195"/>
      <c r="I238" s="195"/>
      <c r="J238" s="194"/>
      <c r="K238" s="194"/>
      <c r="L238" s="194"/>
      <c r="M238" s="194"/>
      <c r="N238" s="194"/>
      <c r="O238" s="195"/>
      <c r="P238" s="195"/>
      <c r="Q238" s="195"/>
      <c r="R238" s="195"/>
      <c r="S238" s="195"/>
      <c r="T238" s="195"/>
      <c r="U238" s="195"/>
      <c r="V238" s="195"/>
      <c r="W238" s="195"/>
      <c r="X238" s="195"/>
      <c r="Y238" s="195"/>
      <c r="Z238" s="195"/>
      <c r="AA238" s="195"/>
      <c r="AB238" s="195"/>
      <c r="AC238" s="195"/>
      <c r="AD238" s="195"/>
      <c r="AE238" s="195"/>
      <c r="AF238" s="195"/>
      <c r="AG238" s="195"/>
      <c r="AH238" s="195"/>
      <c r="AI238" s="195"/>
      <c r="AJ238" s="195"/>
      <c r="AK238" s="195"/>
      <c r="AL238" s="195"/>
      <c r="AM238" s="195"/>
      <c r="AN238" s="195"/>
      <c r="AO238" s="195"/>
      <c r="AP238" s="195"/>
      <c r="AQ238" s="195"/>
      <c r="AR238" s="195"/>
      <c r="AS238" s="195"/>
      <c r="AT238" s="195"/>
    </row>
    <row r="239" spans="3:46" hidden="1">
      <c r="C239" s="195"/>
      <c r="D239" s="195"/>
      <c r="E239" s="195"/>
      <c r="F239" s="195"/>
      <c r="G239" s="195"/>
      <c r="H239" s="195"/>
      <c r="I239" s="195"/>
      <c r="J239" s="194"/>
      <c r="K239" s="194"/>
      <c r="L239" s="194"/>
      <c r="M239" s="194"/>
      <c r="N239" s="194"/>
      <c r="O239" s="195"/>
      <c r="P239" s="195"/>
      <c r="Q239" s="195"/>
      <c r="R239" s="195"/>
      <c r="S239" s="195"/>
      <c r="T239" s="195"/>
      <c r="U239" s="195"/>
      <c r="V239" s="195"/>
      <c r="W239" s="195"/>
      <c r="X239" s="195"/>
      <c r="Y239" s="195"/>
      <c r="Z239" s="195"/>
      <c r="AA239" s="195"/>
      <c r="AB239" s="195"/>
      <c r="AC239" s="195"/>
      <c r="AD239" s="195"/>
      <c r="AE239" s="195"/>
      <c r="AF239" s="195"/>
      <c r="AG239" s="195"/>
      <c r="AH239" s="195"/>
      <c r="AI239" s="195"/>
      <c r="AJ239" s="195"/>
      <c r="AK239" s="195"/>
      <c r="AL239" s="195"/>
      <c r="AM239" s="195"/>
      <c r="AN239" s="195"/>
      <c r="AO239" s="195"/>
      <c r="AP239" s="195"/>
      <c r="AQ239" s="195"/>
      <c r="AR239" s="195"/>
      <c r="AS239" s="195"/>
      <c r="AT239" s="195"/>
    </row>
    <row r="240" spans="3:46" hidden="1">
      <c r="C240" s="195"/>
      <c r="D240" s="195"/>
      <c r="E240" s="195"/>
      <c r="F240" s="195"/>
      <c r="G240" s="195"/>
      <c r="H240" s="195"/>
      <c r="I240" s="195"/>
      <c r="J240" s="194"/>
      <c r="K240" s="194"/>
      <c r="L240" s="194"/>
      <c r="M240" s="194"/>
      <c r="N240" s="194"/>
      <c r="O240" s="195"/>
      <c r="P240" s="195"/>
      <c r="Q240" s="195"/>
      <c r="R240" s="195"/>
      <c r="S240" s="195"/>
      <c r="T240" s="195"/>
      <c r="U240" s="195"/>
      <c r="V240" s="195"/>
      <c r="W240" s="195"/>
      <c r="X240" s="195"/>
      <c r="Y240" s="195"/>
      <c r="Z240" s="195"/>
      <c r="AA240" s="195"/>
      <c r="AB240" s="195"/>
      <c r="AC240" s="195"/>
      <c r="AD240" s="195"/>
      <c r="AE240" s="195"/>
      <c r="AF240" s="195"/>
      <c r="AG240" s="195"/>
      <c r="AH240" s="195"/>
      <c r="AI240" s="195"/>
      <c r="AJ240" s="195"/>
      <c r="AK240" s="195"/>
      <c r="AL240" s="195"/>
      <c r="AM240" s="195"/>
      <c r="AN240" s="195"/>
      <c r="AO240" s="195"/>
      <c r="AP240" s="195"/>
      <c r="AQ240" s="195"/>
      <c r="AR240" s="195"/>
      <c r="AS240" s="195"/>
      <c r="AT240" s="195"/>
    </row>
    <row r="241" spans="1:46" hidden="1">
      <c r="A241" s="3"/>
      <c r="B241" s="3"/>
      <c r="C241" s="193"/>
      <c r="D241" s="193"/>
      <c r="E241" s="193"/>
      <c r="F241" s="194"/>
      <c r="G241" s="194"/>
      <c r="H241" s="194"/>
      <c r="I241" s="194"/>
      <c r="J241" s="194"/>
      <c r="K241" s="194"/>
      <c r="L241" s="194"/>
      <c r="M241" s="194"/>
      <c r="N241" s="194"/>
      <c r="O241" s="195"/>
      <c r="P241" s="195"/>
      <c r="Q241" s="195"/>
      <c r="R241" s="195"/>
      <c r="S241" s="195"/>
      <c r="T241" s="195"/>
      <c r="U241" s="195"/>
      <c r="V241" s="195"/>
      <c r="W241" s="195"/>
      <c r="X241" s="195"/>
      <c r="Y241" s="195"/>
      <c r="Z241" s="195"/>
      <c r="AA241" s="195"/>
      <c r="AB241" s="195"/>
      <c r="AC241" s="195"/>
      <c r="AD241" s="195"/>
      <c r="AE241" s="195"/>
      <c r="AF241" s="195"/>
      <c r="AG241" s="195"/>
      <c r="AH241" s="195"/>
      <c r="AI241" s="195"/>
      <c r="AJ241" s="195"/>
      <c r="AK241" s="195"/>
      <c r="AL241" s="195"/>
      <c r="AM241" s="195"/>
      <c r="AN241" s="195"/>
      <c r="AO241" s="195"/>
      <c r="AP241" s="195"/>
      <c r="AQ241" s="195"/>
      <c r="AR241" s="195"/>
      <c r="AS241" s="195"/>
      <c r="AT241" s="195"/>
    </row>
    <row r="242" spans="1:46" hidden="1">
      <c r="C242" s="195"/>
      <c r="D242" s="195"/>
      <c r="E242" s="195"/>
      <c r="F242" s="195"/>
      <c r="G242" s="195"/>
      <c r="H242" s="195"/>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195"/>
      <c r="AG242" s="195"/>
      <c r="AH242" s="195"/>
      <c r="AI242" s="195"/>
      <c r="AJ242" s="195"/>
      <c r="AK242" s="195"/>
      <c r="AL242" s="195"/>
      <c r="AM242" s="195"/>
      <c r="AN242" s="195"/>
      <c r="AO242" s="195"/>
      <c r="AP242" s="195"/>
      <c r="AQ242" s="195"/>
      <c r="AR242" s="195"/>
      <c r="AS242" s="195"/>
      <c r="AT242" s="195"/>
    </row>
    <row r="243" spans="1:46" ht="15.75">
      <c r="A243" s="170" t="s">
        <v>662</v>
      </c>
      <c r="B243" s="1"/>
      <c r="C243" s="194"/>
      <c r="D243" s="194"/>
      <c r="E243" s="194"/>
      <c r="F243" s="194"/>
      <c r="G243" s="194"/>
      <c r="H243" s="19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195"/>
      <c r="AG243" s="195"/>
      <c r="AH243" s="195"/>
      <c r="AI243" s="195"/>
      <c r="AJ243" s="195"/>
      <c r="AK243" s="195"/>
      <c r="AL243" s="195"/>
      <c r="AM243" s="195"/>
      <c r="AN243" s="195"/>
      <c r="AO243" s="195"/>
      <c r="AP243" s="195"/>
      <c r="AQ243" s="195"/>
      <c r="AR243" s="195"/>
      <c r="AS243" s="195"/>
      <c r="AT243" s="195"/>
    </row>
    <row r="244" spans="1:46">
      <c r="A244" s="1"/>
      <c r="B244" s="1"/>
      <c r="C244" s="194"/>
      <c r="D244" s="194"/>
      <c r="E244" s="194"/>
      <c r="F244" s="194"/>
      <c r="G244" s="194"/>
      <c r="H244" s="19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195"/>
      <c r="AG244" s="195"/>
      <c r="AH244" s="195"/>
      <c r="AI244" s="195"/>
      <c r="AJ244" s="195"/>
      <c r="AK244" s="195"/>
      <c r="AL244" s="195"/>
      <c r="AM244" s="195"/>
      <c r="AN244" s="195"/>
      <c r="AO244" s="195"/>
      <c r="AP244" s="195"/>
      <c r="AQ244" s="195"/>
      <c r="AR244" s="195"/>
      <c r="AS244" s="195"/>
      <c r="AT244" s="195"/>
    </row>
    <row r="245" spans="1:46" ht="15.75">
      <c r="A245" s="10" t="s">
        <v>663</v>
      </c>
      <c r="B245" s="1"/>
      <c r="C245" s="1"/>
      <c r="D245" s="1"/>
      <c r="E245" s="1"/>
      <c r="F245" s="1"/>
      <c r="G245" s="1"/>
      <c r="H245" s="1"/>
      <c r="I245" s="10" t="s">
        <v>237</v>
      </c>
      <c r="J245" s="1"/>
      <c r="K245" s="1"/>
      <c r="L245" s="1"/>
      <c r="M245" s="1"/>
      <c r="N245" s="1"/>
      <c r="O245" s="1"/>
      <c r="P245" s="289"/>
      <c r="Q245" s="195"/>
      <c r="R245" s="195"/>
      <c r="S245" s="195"/>
      <c r="T245" s="195"/>
      <c r="U245" s="195"/>
      <c r="V245" s="195"/>
      <c r="W245" s="195"/>
      <c r="X245" s="195"/>
      <c r="Y245" s="195"/>
      <c r="Z245" s="195"/>
      <c r="AA245" s="195"/>
      <c r="AB245" s="195"/>
      <c r="AC245" s="195"/>
      <c r="AD245" s="195"/>
      <c r="AE245" s="195"/>
      <c r="AF245" s="195"/>
      <c r="AG245" s="195"/>
      <c r="AH245" s="195"/>
      <c r="AI245" s="195"/>
      <c r="AJ245" s="195"/>
      <c r="AK245" s="195"/>
      <c r="AL245" s="195"/>
      <c r="AM245" s="195"/>
      <c r="AN245" s="195"/>
      <c r="AO245" s="195"/>
      <c r="AP245" s="195"/>
      <c r="AQ245" s="195"/>
      <c r="AR245" s="195"/>
      <c r="AS245" s="195"/>
      <c r="AT245" s="195"/>
    </row>
    <row r="246" spans="1:46" ht="15.75" thickBot="1">
      <c r="A246" s="3"/>
      <c r="B246" s="3"/>
      <c r="C246" s="3"/>
      <c r="D246" s="3"/>
      <c r="E246" s="3"/>
      <c r="F246" s="3"/>
      <c r="G246" s="3"/>
      <c r="H246" s="1"/>
      <c r="I246" s="3"/>
      <c r="J246" s="3"/>
      <c r="K246" s="3"/>
      <c r="L246" s="3"/>
      <c r="M246" s="3"/>
      <c r="N246" s="3"/>
      <c r="O246" s="3"/>
      <c r="P246" s="289"/>
      <c r="Q246" s="195"/>
      <c r="R246" s="195"/>
      <c r="S246" s="195"/>
      <c r="T246" s="195"/>
      <c r="U246" s="195"/>
      <c r="V246" s="195"/>
      <c r="W246" s="195"/>
      <c r="X246" s="195"/>
      <c r="Y246" s="195"/>
      <c r="Z246" s="195"/>
      <c r="AA246" s="195"/>
      <c r="AB246" s="195"/>
      <c r="AC246" s="195"/>
      <c r="AD246" s="195"/>
      <c r="AE246" s="195"/>
      <c r="AF246" s="195"/>
      <c r="AG246" s="195"/>
      <c r="AH246" s="195"/>
      <c r="AI246" s="195"/>
      <c r="AJ246" s="195"/>
      <c r="AK246" s="195"/>
      <c r="AL246" s="195"/>
      <c r="AM246" s="195"/>
      <c r="AN246" s="195"/>
      <c r="AO246" s="195"/>
      <c r="AP246" s="195"/>
      <c r="AQ246" s="195"/>
      <c r="AR246" s="195"/>
      <c r="AS246" s="195"/>
      <c r="AT246" s="195"/>
    </row>
    <row r="247" spans="1:46" ht="16.5" thickBot="1">
      <c r="A247" s="333">
        <f>+'datos de entrada'!A246</f>
        <v>0</v>
      </c>
      <c r="B247" s="47"/>
      <c r="C247" s="15" t="s">
        <v>636</v>
      </c>
      <c r="D247" s="48" t="s">
        <v>664</v>
      </c>
      <c r="E247" s="49"/>
      <c r="F247" s="49"/>
      <c r="G247" s="50"/>
      <c r="H247" s="1"/>
      <c r="I247" s="333">
        <f>+'datos de entrada'!I246</f>
        <v>0</v>
      </c>
      <c r="J247" s="51"/>
      <c r="K247" s="52" t="s">
        <v>636</v>
      </c>
      <c r="L247" s="53" t="s">
        <v>664</v>
      </c>
      <c r="M247" s="54"/>
      <c r="N247" s="54"/>
      <c r="O247" s="51"/>
      <c r="P247" s="289"/>
      <c r="Q247" s="195"/>
      <c r="R247" s="195"/>
      <c r="S247" s="195"/>
      <c r="T247" s="195"/>
      <c r="U247" s="195"/>
      <c r="V247" s="195"/>
      <c r="W247" s="195"/>
      <c r="X247" s="195"/>
      <c r="Y247" s="195"/>
      <c r="Z247" s="195"/>
      <c r="AA247" s="195"/>
      <c r="AB247" s="195"/>
      <c r="AC247" s="195"/>
      <c r="AD247" s="195"/>
      <c r="AE247" s="195"/>
      <c r="AF247" s="195"/>
      <c r="AG247" s="195"/>
      <c r="AH247" s="195"/>
      <c r="AI247" s="195"/>
      <c r="AJ247" s="195"/>
      <c r="AK247" s="195"/>
      <c r="AL247" s="195"/>
      <c r="AM247" s="195"/>
      <c r="AN247" s="195"/>
      <c r="AO247" s="195"/>
      <c r="AP247" s="195"/>
      <c r="AQ247" s="195"/>
      <c r="AR247" s="195"/>
      <c r="AS247" s="195"/>
      <c r="AT247" s="195"/>
    </row>
    <row r="248" spans="1:46" ht="15.75">
      <c r="A248" s="15" t="s">
        <v>665</v>
      </c>
      <c r="B248" s="994" t="s">
        <v>666</v>
      </c>
      <c r="C248" s="55" t="s">
        <v>667</v>
      </c>
      <c r="D248" s="26" t="s">
        <v>580</v>
      </c>
      <c r="E248" s="31" t="s">
        <v>668</v>
      </c>
      <c r="F248" s="31" t="s">
        <v>669</v>
      </c>
      <c r="G248" s="31" t="s">
        <v>670</v>
      </c>
      <c r="H248" s="1111" t="s">
        <v>861</v>
      </c>
      <c r="I248" s="52" t="s">
        <v>665</v>
      </c>
      <c r="J248" s="52" t="s">
        <v>666</v>
      </c>
      <c r="K248" s="56" t="s">
        <v>667</v>
      </c>
      <c r="L248" s="52" t="s">
        <v>580</v>
      </c>
      <c r="M248" s="57" t="s">
        <v>668</v>
      </c>
      <c r="N248" s="57" t="s">
        <v>669</v>
      </c>
      <c r="O248" s="57" t="s">
        <v>670</v>
      </c>
      <c r="P248" s="1063" t="s">
        <v>832</v>
      </c>
      <c r="Q248" s="195"/>
      <c r="R248" s="195"/>
      <c r="S248" s="195"/>
      <c r="T248" s="195"/>
      <c r="U248" s="195"/>
      <c r="V248" s="195"/>
      <c r="W248" s="195"/>
      <c r="X248" s="195"/>
      <c r="Y248" s="195"/>
      <c r="Z248" s="195"/>
      <c r="AA248" s="195"/>
      <c r="AB248" s="195"/>
      <c r="AC248" s="195"/>
      <c r="AD248" s="195"/>
      <c r="AE248" s="195"/>
      <c r="AF248" s="195"/>
      <c r="AG248" s="195"/>
      <c r="AH248" s="195"/>
      <c r="AI248" s="195"/>
      <c r="AJ248" s="195"/>
      <c r="AK248" s="195"/>
      <c r="AL248" s="195"/>
      <c r="AM248" s="195"/>
      <c r="AN248" s="195"/>
      <c r="AO248" s="195"/>
      <c r="AP248" s="195"/>
      <c r="AQ248" s="195"/>
      <c r="AR248" s="195"/>
      <c r="AS248" s="195"/>
      <c r="AT248" s="195"/>
    </row>
    <row r="249" spans="1:46" ht="15.75">
      <c r="A249" s="18"/>
      <c r="B249" s="18"/>
      <c r="C249" s="18"/>
      <c r="D249" s="18"/>
      <c r="E249" s="19"/>
      <c r="F249" s="19"/>
      <c r="G249" s="19"/>
      <c r="H249" s="1111"/>
      <c r="I249" s="60"/>
      <c r="J249" s="60"/>
      <c r="K249" s="60"/>
      <c r="L249" s="60"/>
      <c r="M249" s="61"/>
      <c r="N249" s="61"/>
      <c r="O249" s="61"/>
      <c r="P249" s="1064"/>
      <c r="Q249" s="195"/>
      <c r="R249" s="195"/>
      <c r="S249" s="195"/>
      <c r="T249" s="195"/>
      <c r="U249" s="195"/>
      <c r="V249" s="195"/>
      <c r="W249" s="195"/>
      <c r="X249" s="195"/>
      <c r="Y249" s="195"/>
      <c r="Z249" s="195"/>
      <c r="AA249" s="195"/>
      <c r="AB249" s="195"/>
      <c r="AC249" s="195"/>
      <c r="AD249" s="195"/>
      <c r="AE249" s="195"/>
      <c r="AF249" s="195"/>
      <c r="AG249" s="195"/>
      <c r="AH249" s="195"/>
      <c r="AI249" s="195"/>
      <c r="AJ249" s="195"/>
      <c r="AK249" s="195"/>
      <c r="AL249" s="195"/>
      <c r="AM249" s="195"/>
      <c r="AN249" s="195"/>
      <c r="AO249" s="195"/>
      <c r="AP249" s="195"/>
      <c r="AQ249" s="195"/>
      <c r="AR249" s="195"/>
      <c r="AS249" s="195"/>
      <c r="AT249" s="195"/>
    </row>
    <row r="250" spans="1:46" ht="15.75">
      <c r="A250" s="334" t="str">
        <f>+'datos de entrada'!A249</f>
        <v/>
      </c>
      <c r="B250" s="993">
        <f>+'datos de entrada'!B249</f>
        <v>1</v>
      </c>
      <c r="C250" s="835">
        <f>+'datos de entrada'!C249</f>
        <v>12000</v>
      </c>
      <c r="D250" s="992">
        <f>+'datos de entrada'!D249</f>
        <v>1</v>
      </c>
      <c r="E250" s="992">
        <f>+'datos de entrada'!E249</f>
        <v>0</v>
      </c>
      <c r="F250" s="992">
        <f>+'datos de entrada'!F249</f>
        <v>0</v>
      </c>
      <c r="G250" s="992">
        <f>+'datos de entrada'!G249</f>
        <v>0</v>
      </c>
      <c r="H250" s="334">
        <f>+'datos de entrada'!H254</f>
        <v>8736000</v>
      </c>
      <c r="I250" s="334">
        <f>+'datos de entrada'!I249</f>
        <v>0</v>
      </c>
      <c r="J250" s="334">
        <f>+'datos de entrada'!J249</f>
        <v>0</v>
      </c>
      <c r="K250" s="835">
        <f>+'datos de entrada'!K249</f>
        <v>0</v>
      </c>
      <c r="L250" s="992">
        <f>+'datos de entrada'!L249</f>
        <v>0</v>
      </c>
      <c r="M250" s="992">
        <f>+'datos de entrada'!M249</f>
        <v>0</v>
      </c>
      <c r="N250" s="992">
        <f>+'datos de entrada'!N249</f>
        <v>0</v>
      </c>
      <c r="O250" s="992">
        <f>+'datos de entrada'!O249</f>
        <v>0</v>
      </c>
      <c r="P250" s="334">
        <f>+'datos de entrada'!P254</f>
        <v>0</v>
      </c>
      <c r="Q250" s="195"/>
      <c r="R250" s="195"/>
      <c r="S250" s="195"/>
      <c r="T250" s="195"/>
      <c r="U250" s="195"/>
      <c r="V250" s="195"/>
      <c r="W250" s="195"/>
      <c r="X250" s="195"/>
      <c r="Y250" s="195"/>
      <c r="Z250" s="195"/>
      <c r="AA250" s="195"/>
      <c r="AB250" s="195"/>
      <c r="AC250" s="195"/>
      <c r="AD250" s="195"/>
      <c r="AE250" s="195"/>
      <c r="AF250" s="195"/>
      <c r="AG250" s="195"/>
      <c r="AH250" s="195"/>
      <c r="AI250" s="195"/>
      <c r="AJ250" s="195"/>
      <c r="AK250" s="195"/>
      <c r="AL250" s="195"/>
      <c r="AM250" s="195"/>
      <c r="AN250" s="195"/>
      <c r="AO250" s="195"/>
      <c r="AP250" s="195"/>
      <c r="AQ250" s="195"/>
      <c r="AR250" s="195"/>
      <c r="AS250" s="195"/>
      <c r="AT250" s="195"/>
    </row>
    <row r="251" spans="1:46" ht="15.75">
      <c r="A251" s="334" t="str">
        <f>+'datos de entrada'!A250</f>
        <v/>
      </c>
      <c r="B251" s="993">
        <f>+'datos de entrada'!B250</f>
        <v>1</v>
      </c>
      <c r="C251" s="835">
        <f>+'datos de entrada'!C250</f>
        <v>0</v>
      </c>
      <c r="D251" s="992">
        <f>+'datos de entrada'!D250</f>
        <v>0</v>
      </c>
      <c r="E251" s="992">
        <f>+'datos de entrada'!E250</f>
        <v>1</v>
      </c>
      <c r="F251" s="992">
        <f>+'datos de entrada'!F250</f>
        <v>0</v>
      </c>
      <c r="G251" s="992">
        <f>+'datos de entrada'!G250</f>
        <v>0</v>
      </c>
      <c r="H251" s="335"/>
      <c r="I251" s="334">
        <f>+'datos de entrada'!I250</f>
        <v>0</v>
      </c>
      <c r="J251" s="334">
        <f>+'datos de entrada'!J250</f>
        <v>0</v>
      </c>
      <c r="K251" s="835">
        <f>+'datos de entrada'!K250</f>
        <v>0</v>
      </c>
      <c r="L251" s="992">
        <f>+'datos de entrada'!L250</f>
        <v>0</v>
      </c>
      <c r="M251" s="992">
        <f>+'datos de entrada'!M250</f>
        <v>0</v>
      </c>
      <c r="N251" s="992">
        <f>+'datos de entrada'!N250</f>
        <v>0</v>
      </c>
      <c r="O251" s="992">
        <f>+'datos de entrada'!O250</f>
        <v>0</v>
      </c>
      <c r="P251" s="336"/>
      <c r="Q251" s="195"/>
      <c r="R251" s="195"/>
      <c r="S251" s="195"/>
      <c r="T251" s="195"/>
      <c r="U251" s="195"/>
      <c r="V251" s="195"/>
      <c r="W251" s="195"/>
      <c r="X251" s="195"/>
      <c r="Y251" s="195"/>
      <c r="Z251" s="195"/>
      <c r="AA251" s="195"/>
      <c r="AB251" s="195"/>
      <c r="AC251" s="195"/>
      <c r="AD251" s="195"/>
      <c r="AE251" s="195"/>
      <c r="AF251" s="195"/>
      <c r="AG251" s="195"/>
      <c r="AH251" s="195"/>
      <c r="AI251" s="195"/>
      <c r="AJ251" s="195"/>
      <c r="AK251" s="195"/>
      <c r="AL251" s="195"/>
      <c r="AM251" s="195"/>
      <c r="AN251" s="195"/>
      <c r="AO251" s="195"/>
      <c r="AP251" s="195"/>
      <c r="AQ251" s="195"/>
      <c r="AR251" s="195"/>
      <c r="AS251" s="195"/>
      <c r="AT251" s="195"/>
    </row>
    <row r="252" spans="1:46" ht="15.75">
      <c r="A252" s="334" t="str">
        <f>+'datos de entrada'!A251</f>
        <v/>
      </c>
      <c r="B252" s="993">
        <f>+'datos de entrada'!B251</f>
        <v>1</v>
      </c>
      <c r="C252" s="835">
        <f>+'datos de entrada'!C251</f>
        <v>0</v>
      </c>
      <c r="D252" s="992">
        <f>+'datos de entrada'!D251</f>
        <v>0</v>
      </c>
      <c r="E252" s="992">
        <f>+'datos de entrada'!E251</f>
        <v>0</v>
      </c>
      <c r="F252" s="992">
        <f>+'datos de entrada'!F251</f>
        <v>1</v>
      </c>
      <c r="G252" s="992">
        <f>+'datos de entrada'!G251</f>
        <v>0</v>
      </c>
      <c r="H252" s="337"/>
      <c r="I252" s="334">
        <f>+'datos de entrada'!I251</f>
        <v>0</v>
      </c>
      <c r="J252" s="334">
        <f>+'datos de entrada'!J251</f>
        <v>0</v>
      </c>
      <c r="K252" s="835">
        <f>+'datos de entrada'!K251</f>
        <v>0</v>
      </c>
      <c r="L252" s="992">
        <f>+'datos de entrada'!L251</f>
        <v>0</v>
      </c>
      <c r="M252" s="992">
        <f>+'datos de entrada'!M251</f>
        <v>0</v>
      </c>
      <c r="N252" s="992">
        <f>+'datos de entrada'!N251</f>
        <v>0</v>
      </c>
      <c r="O252" s="992">
        <f>+'datos de entrada'!O251</f>
        <v>0</v>
      </c>
      <c r="P252" s="338"/>
      <c r="Q252" s="195"/>
      <c r="R252" s="195"/>
      <c r="S252" s="195"/>
      <c r="T252" s="195"/>
      <c r="U252" s="195"/>
      <c r="V252" s="195"/>
      <c r="W252" s="195"/>
      <c r="X252" s="195"/>
      <c r="Y252" s="195"/>
      <c r="Z252" s="195"/>
      <c r="AA252" s="195"/>
      <c r="AB252" s="195"/>
      <c r="AC252" s="195"/>
      <c r="AD252" s="195"/>
      <c r="AE252" s="195"/>
      <c r="AF252" s="195"/>
      <c r="AG252" s="195"/>
      <c r="AH252" s="195"/>
      <c r="AI252" s="195"/>
      <c r="AJ252" s="195"/>
      <c r="AK252" s="195"/>
      <c r="AL252" s="195"/>
      <c r="AM252" s="195"/>
      <c r="AN252" s="195"/>
      <c r="AO252" s="195"/>
      <c r="AP252" s="195"/>
      <c r="AQ252" s="195"/>
      <c r="AR252" s="195"/>
      <c r="AS252" s="195"/>
      <c r="AT252" s="195"/>
    </row>
    <row r="253" spans="1:46" ht="15.75">
      <c r="A253" s="334" t="str">
        <f>+'datos de entrada'!A252</f>
        <v/>
      </c>
      <c r="B253" s="993">
        <f>+'datos de entrada'!B252</f>
        <v>1</v>
      </c>
      <c r="C253" s="835">
        <f>+'datos de entrada'!C252</f>
        <v>0</v>
      </c>
      <c r="D253" s="992">
        <f>+'datos de entrada'!D252</f>
        <v>0</v>
      </c>
      <c r="E253" s="992">
        <f>+'datos de entrada'!E252</f>
        <v>0</v>
      </c>
      <c r="F253" s="992">
        <f>+'datos de entrada'!F252</f>
        <v>0</v>
      </c>
      <c r="G253" s="992">
        <f>+'datos de entrada'!G252</f>
        <v>1</v>
      </c>
      <c r="H253" s="337"/>
      <c r="I253" s="334">
        <f>+'datos de entrada'!I252</f>
        <v>0</v>
      </c>
      <c r="J253" s="334">
        <f>+'datos de entrada'!J252</f>
        <v>0</v>
      </c>
      <c r="K253" s="835">
        <f>+'datos de entrada'!K252</f>
        <v>0</v>
      </c>
      <c r="L253" s="992">
        <f>+'datos de entrada'!L252</f>
        <v>0</v>
      </c>
      <c r="M253" s="992">
        <f>+'datos de entrada'!M252</f>
        <v>0</v>
      </c>
      <c r="N253" s="992">
        <f>+'datos de entrada'!N252</f>
        <v>0</v>
      </c>
      <c r="O253" s="992">
        <f>+'datos de entrada'!O252</f>
        <v>0</v>
      </c>
      <c r="P253" s="338"/>
      <c r="Q253" s="195"/>
      <c r="R253" s="195"/>
      <c r="S253" s="195"/>
      <c r="T253" s="195"/>
      <c r="U253" s="195"/>
      <c r="V253" s="195"/>
      <c r="W253" s="195"/>
      <c r="X253" s="195"/>
      <c r="Y253" s="195"/>
      <c r="Z253" s="195"/>
      <c r="AA253" s="195"/>
      <c r="AB253" s="195"/>
      <c r="AC253" s="195"/>
      <c r="AD253" s="195"/>
      <c r="AE253" s="195"/>
      <c r="AF253" s="195"/>
      <c r="AG253" s="195"/>
      <c r="AH253" s="195"/>
      <c r="AI253" s="195"/>
      <c r="AJ253" s="195"/>
      <c r="AK253" s="195"/>
      <c r="AL253" s="195"/>
      <c r="AM253" s="195"/>
      <c r="AN253" s="195"/>
      <c r="AO253" s="195"/>
      <c r="AP253" s="195"/>
      <c r="AQ253" s="195"/>
      <c r="AR253" s="195"/>
      <c r="AS253" s="195"/>
      <c r="AT253" s="195"/>
    </row>
    <row r="254" spans="1:46" ht="15.75">
      <c r="A254" s="334">
        <f>+'datos de entrada'!A253</f>
        <v>0</v>
      </c>
      <c r="B254" s="993">
        <f>+'datos de entrada'!B253</f>
        <v>1</v>
      </c>
      <c r="C254" s="835">
        <f>+'datos de entrada'!C253</f>
        <v>0</v>
      </c>
      <c r="D254" s="992">
        <f>+'datos de entrada'!D253</f>
        <v>0</v>
      </c>
      <c r="E254" s="992">
        <f>+'datos de entrada'!E253</f>
        <v>0</v>
      </c>
      <c r="F254" s="992">
        <f>+'datos de entrada'!F253</f>
        <v>0</v>
      </c>
      <c r="G254" s="992">
        <f>+'datos de entrada'!G253</f>
        <v>0</v>
      </c>
      <c r="H254" s="337"/>
      <c r="I254" s="334">
        <f>+'datos de entrada'!I253</f>
        <v>0</v>
      </c>
      <c r="J254" s="334">
        <f>+'datos de entrada'!J253</f>
        <v>0</v>
      </c>
      <c r="K254" s="835">
        <f>+'datos de entrada'!K253</f>
        <v>0</v>
      </c>
      <c r="L254" s="992">
        <f>+'datos de entrada'!L253</f>
        <v>0</v>
      </c>
      <c r="M254" s="992">
        <f>+'datos de entrada'!M253</f>
        <v>0</v>
      </c>
      <c r="N254" s="992">
        <f>+'datos de entrada'!N253</f>
        <v>0</v>
      </c>
      <c r="O254" s="992">
        <f>+'datos de entrada'!O253</f>
        <v>0</v>
      </c>
      <c r="P254" s="338"/>
      <c r="Q254" s="195"/>
      <c r="R254" s="195"/>
      <c r="S254" s="195"/>
      <c r="T254" s="195"/>
      <c r="U254" s="195"/>
      <c r="V254" s="195"/>
      <c r="W254" s="195"/>
      <c r="X254" s="195"/>
      <c r="Y254" s="195"/>
      <c r="Z254" s="195"/>
      <c r="AA254" s="195"/>
      <c r="AB254" s="195"/>
      <c r="AC254" s="195"/>
      <c r="AD254" s="195"/>
      <c r="AE254" s="195"/>
      <c r="AF254" s="195"/>
      <c r="AG254" s="195"/>
      <c r="AH254" s="195"/>
      <c r="AI254" s="195"/>
      <c r="AJ254" s="195"/>
      <c r="AK254" s="195"/>
      <c r="AL254" s="195"/>
      <c r="AM254" s="195"/>
      <c r="AN254" s="195"/>
      <c r="AO254" s="195"/>
      <c r="AP254" s="195"/>
      <c r="AQ254" s="195"/>
      <c r="AR254" s="195"/>
      <c r="AS254" s="195"/>
      <c r="AT254" s="195"/>
    </row>
    <row r="255" spans="1:46" ht="15.75">
      <c r="A255" s="1"/>
      <c r="B255" s="62"/>
      <c r="C255" s="1000">
        <f>SUM(C250:C254)</f>
        <v>12000</v>
      </c>
      <c r="D255" s="63"/>
      <c r="E255" s="63"/>
      <c r="F255" s="63"/>
      <c r="G255" s="63"/>
      <c r="H255" s="1"/>
      <c r="I255" s="1"/>
      <c r="J255" s="62"/>
      <c r="K255" s="1000">
        <f>SUM(K250:K254)</f>
        <v>0</v>
      </c>
      <c r="L255" s="63"/>
      <c r="M255" s="63"/>
      <c r="N255" s="63"/>
      <c r="O255" s="63"/>
      <c r="P255" s="289"/>
      <c r="Q255" s="195"/>
      <c r="R255" s="195"/>
      <c r="S255" s="195"/>
      <c r="T255" s="195"/>
      <c r="U255" s="195"/>
      <c r="V255" s="195"/>
      <c r="W255" s="195"/>
      <c r="X255" s="195"/>
      <c r="Y255" s="195"/>
      <c r="Z255" s="195"/>
      <c r="AA255" s="195"/>
      <c r="AB255" s="195"/>
      <c r="AC255" s="195"/>
      <c r="AD255" s="195"/>
      <c r="AE255" s="195"/>
      <c r="AF255" s="195"/>
      <c r="AG255" s="195"/>
      <c r="AH255" s="195"/>
      <c r="AI255" s="195"/>
      <c r="AJ255" s="195"/>
      <c r="AK255" s="195"/>
      <c r="AL255" s="195"/>
      <c r="AM255" s="195"/>
      <c r="AN255" s="195"/>
      <c r="AO255" s="195"/>
      <c r="AP255" s="195"/>
      <c r="AQ255" s="195"/>
      <c r="AR255" s="195"/>
      <c r="AS255" s="195"/>
      <c r="AT255" s="195"/>
    </row>
    <row r="256" spans="1:46" ht="15.75" thickBot="1">
      <c r="A256" s="3"/>
      <c r="B256" s="14"/>
      <c r="C256" s="14"/>
      <c r="D256" s="25"/>
      <c r="E256" s="25"/>
      <c r="F256" s="25"/>
      <c r="G256" s="25"/>
      <c r="H256" s="1"/>
      <c r="I256" s="3"/>
      <c r="J256" s="14"/>
      <c r="K256" s="14"/>
      <c r="L256" s="25"/>
      <c r="M256" s="25"/>
      <c r="N256" s="25"/>
      <c r="O256" s="25"/>
      <c r="P256" s="289"/>
      <c r="Q256" s="195"/>
      <c r="R256" s="195"/>
      <c r="S256" s="195"/>
      <c r="T256" s="195"/>
      <c r="U256" s="195"/>
      <c r="V256" s="195"/>
      <c r="W256" s="195"/>
      <c r="X256" s="195"/>
      <c r="Y256" s="195"/>
      <c r="Z256" s="195"/>
      <c r="AA256" s="195"/>
      <c r="AB256" s="195"/>
      <c r="AC256" s="195"/>
      <c r="AD256" s="195"/>
      <c r="AE256" s="195"/>
      <c r="AF256" s="195"/>
      <c r="AG256" s="195"/>
      <c r="AH256" s="195"/>
      <c r="AI256" s="195"/>
      <c r="AJ256" s="195"/>
      <c r="AK256" s="195"/>
      <c r="AL256" s="195"/>
      <c r="AM256" s="195"/>
      <c r="AN256" s="195"/>
      <c r="AO256" s="195"/>
      <c r="AP256" s="195"/>
      <c r="AQ256" s="195"/>
      <c r="AR256" s="195"/>
      <c r="AS256" s="195"/>
      <c r="AT256" s="195"/>
    </row>
    <row r="257" spans="1:46" ht="16.5" thickBot="1">
      <c r="A257" s="333">
        <f>+'datos de entrada'!A256</f>
        <v>0</v>
      </c>
      <c r="B257" s="995"/>
      <c r="C257" s="65" t="s">
        <v>636</v>
      </c>
      <c r="D257" s="66" t="s">
        <v>664</v>
      </c>
      <c r="E257" s="66"/>
      <c r="F257" s="66"/>
      <c r="G257" s="67"/>
      <c r="H257" s="1"/>
      <c r="I257" s="333">
        <f>+'datos de entrada'!I256</f>
        <v>0</v>
      </c>
      <c r="J257" s="51"/>
      <c r="K257" s="52" t="s">
        <v>636</v>
      </c>
      <c r="L257" s="53" t="s">
        <v>664</v>
      </c>
      <c r="M257" s="54"/>
      <c r="N257" s="54"/>
      <c r="O257" s="51"/>
      <c r="P257" s="289"/>
      <c r="Q257" s="195"/>
      <c r="R257" s="195"/>
      <c r="S257" s="195"/>
      <c r="T257" s="195"/>
      <c r="U257" s="195"/>
      <c r="V257" s="195"/>
      <c r="W257" s="195"/>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row>
    <row r="258" spans="1:46" ht="15.75">
      <c r="A258" s="15" t="s">
        <v>665</v>
      </c>
      <c r="B258" s="994" t="s">
        <v>666</v>
      </c>
      <c r="C258" s="69" t="s">
        <v>667</v>
      </c>
      <c r="D258" s="70" t="s">
        <v>580</v>
      </c>
      <c r="E258" s="71" t="s">
        <v>668</v>
      </c>
      <c r="F258" s="71" t="s">
        <v>669</v>
      </c>
      <c r="G258" s="71" t="s">
        <v>670</v>
      </c>
      <c r="H258" s="1063" t="s">
        <v>861</v>
      </c>
      <c r="I258" s="52" t="s">
        <v>665</v>
      </c>
      <c r="J258" s="52" t="s">
        <v>666</v>
      </c>
      <c r="K258" s="56" t="s">
        <v>667</v>
      </c>
      <c r="L258" s="52" t="s">
        <v>580</v>
      </c>
      <c r="M258" s="57" t="s">
        <v>668</v>
      </c>
      <c r="N258" s="57" t="s">
        <v>669</v>
      </c>
      <c r="O258" s="57" t="s">
        <v>670</v>
      </c>
      <c r="P258" s="1063" t="s">
        <v>832</v>
      </c>
      <c r="Q258" s="195"/>
      <c r="R258" s="195"/>
      <c r="S258" s="195"/>
      <c r="T258" s="195"/>
      <c r="U258" s="195"/>
      <c r="V258" s="195"/>
      <c r="W258" s="195"/>
      <c r="X258" s="195"/>
      <c r="Y258" s="195"/>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row>
    <row r="259" spans="1:46" ht="15.75">
      <c r="A259" s="58"/>
      <c r="B259" s="996"/>
      <c r="C259" s="72"/>
      <c r="D259" s="73"/>
      <c r="E259" s="74"/>
      <c r="F259" s="74"/>
      <c r="G259" s="74"/>
      <c r="H259" s="1064"/>
      <c r="I259" s="60"/>
      <c r="J259" s="60"/>
      <c r="K259" s="60"/>
      <c r="L259" s="60"/>
      <c r="M259" s="61"/>
      <c r="N259" s="61"/>
      <c r="O259" s="61"/>
      <c r="P259" s="1064"/>
      <c r="Q259" s="195"/>
      <c r="R259" s="195"/>
      <c r="S259" s="195"/>
      <c r="T259" s="195"/>
      <c r="U259" s="195"/>
      <c r="V259" s="195"/>
      <c r="W259" s="195"/>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row>
    <row r="260" spans="1:46" ht="15.75">
      <c r="A260" s="334">
        <f>+'datos de entrada'!A259</f>
        <v>0</v>
      </c>
      <c r="B260" s="993">
        <f>+'datos de entrada'!B259</f>
        <v>0</v>
      </c>
      <c r="C260" s="835">
        <f>+'datos de entrada'!C259</f>
        <v>0</v>
      </c>
      <c r="D260" s="992">
        <f>+'datos de entrada'!D259</f>
        <v>0</v>
      </c>
      <c r="E260" s="992">
        <f>+'datos de entrada'!E259</f>
        <v>0</v>
      </c>
      <c r="F260" s="992">
        <f>+'datos de entrada'!F259</f>
        <v>0</v>
      </c>
      <c r="G260" s="992">
        <f>+'datos de entrada'!G259</f>
        <v>0</v>
      </c>
      <c r="H260" s="334">
        <f>+'datos de entrada'!H264</f>
        <v>0</v>
      </c>
      <c r="I260" s="334">
        <f>+'datos de entrada'!I259</f>
        <v>0</v>
      </c>
      <c r="J260" s="334">
        <f>+'datos de entrada'!J259</f>
        <v>0</v>
      </c>
      <c r="K260" s="835">
        <f>+'datos de entrada'!K259</f>
        <v>0</v>
      </c>
      <c r="L260" s="992">
        <f>+'datos de entrada'!L259</f>
        <v>0</v>
      </c>
      <c r="M260" s="992">
        <f>+'datos de entrada'!M259</f>
        <v>0</v>
      </c>
      <c r="N260" s="992">
        <f>+'datos de entrada'!N259</f>
        <v>0</v>
      </c>
      <c r="O260" s="992">
        <f>+'datos de entrada'!O259</f>
        <v>0</v>
      </c>
      <c r="P260" s="334">
        <f>+'datos de entrada'!P264</f>
        <v>0</v>
      </c>
      <c r="Q260" s="195"/>
      <c r="R260" s="195"/>
      <c r="S260" s="195"/>
      <c r="T260" s="195"/>
      <c r="U260" s="195"/>
      <c r="V260" s="195"/>
      <c r="W260" s="195"/>
      <c r="X260" s="195"/>
      <c r="Y260" s="195"/>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row>
    <row r="261" spans="1:46" ht="15.75">
      <c r="A261" s="334">
        <f>+'datos de entrada'!A260</f>
        <v>0</v>
      </c>
      <c r="B261" s="993">
        <f>+'datos de entrada'!B260</f>
        <v>0</v>
      </c>
      <c r="C261" s="835">
        <f>+'datos de entrada'!C260</f>
        <v>0</v>
      </c>
      <c r="D261" s="992">
        <f>+'datos de entrada'!D260</f>
        <v>0</v>
      </c>
      <c r="E261" s="992">
        <f>+'datos de entrada'!E260</f>
        <v>0</v>
      </c>
      <c r="F261" s="992">
        <f>+'datos de entrada'!F260</f>
        <v>0</v>
      </c>
      <c r="G261" s="992">
        <f>+'datos de entrada'!G260</f>
        <v>0</v>
      </c>
      <c r="H261" s="335"/>
      <c r="I261" s="334">
        <f>+'datos de entrada'!I260</f>
        <v>0</v>
      </c>
      <c r="J261" s="334">
        <f>+'datos de entrada'!J260</f>
        <v>0</v>
      </c>
      <c r="K261" s="835">
        <f>+'datos de entrada'!K260</f>
        <v>0</v>
      </c>
      <c r="L261" s="992">
        <f>+'datos de entrada'!L260</f>
        <v>0</v>
      </c>
      <c r="M261" s="992">
        <f>+'datos de entrada'!M260</f>
        <v>0</v>
      </c>
      <c r="N261" s="992">
        <f>+'datos de entrada'!N260</f>
        <v>0</v>
      </c>
      <c r="O261" s="992">
        <f>+'datos de entrada'!O260</f>
        <v>0</v>
      </c>
      <c r="P261" s="336"/>
      <c r="Q261" s="195"/>
      <c r="R261" s="195"/>
      <c r="S261" s="195"/>
      <c r="T261" s="195"/>
      <c r="U261" s="195"/>
      <c r="V261" s="195"/>
      <c r="W261" s="195"/>
      <c r="X261" s="195"/>
      <c r="Y261" s="195"/>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row>
    <row r="262" spans="1:46" ht="15.75">
      <c r="A262" s="334">
        <f>+'datos de entrada'!A261</f>
        <v>0</v>
      </c>
      <c r="B262" s="993">
        <f>+'datos de entrada'!B261</f>
        <v>0</v>
      </c>
      <c r="C262" s="835">
        <f>+'datos de entrada'!C261</f>
        <v>0</v>
      </c>
      <c r="D262" s="992">
        <f>+'datos de entrada'!D261</f>
        <v>0</v>
      </c>
      <c r="E262" s="992">
        <f>+'datos de entrada'!E261</f>
        <v>0</v>
      </c>
      <c r="F262" s="992">
        <f>+'datos de entrada'!F261</f>
        <v>0</v>
      </c>
      <c r="G262" s="992">
        <f>+'datos de entrada'!G261</f>
        <v>0</v>
      </c>
      <c r="H262" s="337"/>
      <c r="I262" s="334">
        <f>+'datos de entrada'!I261</f>
        <v>0</v>
      </c>
      <c r="J262" s="334">
        <f>+'datos de entrada'!J261</f>
        <v>0</v>
      </c>
      <c r="K262" s="835">
        <f>+'datos de entrada'!K261</f>
        <v>0</v>
      </c>
      <c r="L262" s="992">
        <f>+'datos de entrada'!L261</f>
        <v>0</v>
      </c>
      <c r="M262" s="992">
        <f>+'datos de entrada'!M261</f>
        <v>0</v>
      </c>
      <c r="N262" s="992">
        <f>+'datos de entrada'!N261</f>
        <v>0</v>
      </c>
      <c r="O262" s="992">
        <f>+'datos de entrada'!O261</f>
        <v>0</v>
      </c>
      <c r="P262" s="338"/>
      <c r="Q262" s="195"/>
      <c r="R262" s="195"/>
      <c r="S262" s="195"/>
      <c r="T262" s="195"/>
      <c r="U262" s="195"/>
      <c r="V262" s="195"/>
      <c r="W262" s="195"/>
      <c r="X262" s="195"/>
      <c r="Y262" s="195"/>
      <c r="Z262" s="195"/>
      <c r="AA262" s="195"/>
      <c r="AB262" s="195"/>
      <c r="AC262" s="195"/>
      <c r="AD262" s="195"/>
      <c r="AE262" s="195"/>
      <c r="AF262" s="195"/>
      <c r="AG262" s="195"/>
      <c r="AH262" s="195"/>
      <c r="AI262" s="195"/>
      <c r="AJ262" s="195"/>
      <c r="AK262" s="195"/>
      <c r="AL262" s="195"/>
      <c r="AM262" s="195"/>
      <c r="AN262" s="195"/>
      <c r="AO262" s="195"/>
      <c r="AP262" s="195"/>
      <c r="AQ262" s="195"/>
      <c r="AR262" s="195"/>
      <c r="AS262" s="195"/>
      <c r="AT262" s="195"/>
    </row>
    <row r="263" spans="1:46" ht="15.75">
      <c r="A263" s="334">
        <f>+'datos de entrada'!A262</f>
        <v>0</v>
      </c>
      <c r="B263" s="993">
        <f>+'datos de entrada'!B262</f>
        <v>0</v>
      </c>
      <c r="C263" s="835">
        <f>+'datos de entrada'!C262</f>
        <v>0</v>
      </c>
      <c r="D263" s="992">
        <f>+'datos de entrada'!D262</f>
        <v>0</v>
      </c>
      <c r="E263" s="992">
        <f>+'datos de entrada'!E262</f>
        <v>0</v>
      </c>
      <c r="F263" s="992">
        <f>+'datos de entrada'!F262</f>
        <v>0</v>
      </c>
      <c r="G263" s="992">
        <f>+'datos de entrada'!G262</f>
        <v>0</v>
      </c>
      <c r="H263" s="337"/>
      <c r="I263" s="334">
        <f>+'datos de entrada'!I262</f>
        <v>0</v>
      </c>
      <c r="J263" s="334">
        <f>+'datos de entrada'!J262</f>
        <v>0</v>
      </c>
      <c r="K263" s="835">
        <f>+'datos de entrada'!K262</f>
        <v>0</v>
      </c>
      <c r="L263" s="992">
        <f>+'datos de entrada'!L262</f>
        <v>0</v>
      </c>
      <c r="M263" s="992">
        <f>+'datos de entrada'!M262</f>
        <v>0</v>
      </c>
      <c r="N263" s="992">
        <f>+'datos de entrada'!N262</f>
        <v>0</v>
      </c>
      <c r="O263" s="992">
        <f>+'datos de entrada'!O262</f>
        <v>0</v>
      </c>
      <c r="P263" s="338"/>
      <c r="Q263" s="195"/>
      <c r="R263" s="195"/>
      <c r="S263" s="195"/>
      <c r="T263" s="195"/>
      <c r="U263" s="195"/>
      <c r="V263" s="195"/>
      <c r="W263" s="195"/>
      <c r="X263" s="195"/>
      <c r="Y263" s="195"/>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row>
    <row r="264" spans="1:46" ht="15.75">
      <c r="A264" s="334">
        <f>+'datos de entrada'!A263</f>
        <v>0</v>
      </c>
      <c r="B264" s="993">
        <f>+'datos de entrada'!B263</f>
        <v>0</v>
      </c>
      <c r="C264" s="835">
        <f>+'datos de entrada'!C263</f>
        <v>0</v>
      </c>
      <c r="D264" s="992">
        <f>+'datos de entrada'!D263</f>
        <v>0</v>
      </c>
      <c r="E264" s="992">
        <f>+'datos de entrada'!E263</f>
        <v>0</v>
      </c>
      <c r="F264" s="992">
        <f>+'datos de entrada'!F263</f>
        <v>0</v>
      </c>
      <c r="G264" s="992">
        <f>+'datos de entrada'!G263</f>
        <v>0</v>
      </c>
      <c r="H264" s="337"/>
      <c r="I264" s="334">
        <f>+'datos de entrada'!I263</f>
        <v>0</v>
      </c>
      <c r="J264" s="334">
        <f>+'datos de entrada'!J263</f>
        <v>0</v>
      </c>
      <c r="K264" s="835">
        <f>+'datos de entrada'!K263</f>
        <v>0</v>
      </c>
      <c r="L264" s="992">
        <f>+'datos de entrada'!L263</f>
        <v>0</v>
      </c>
      <c r="M264" s="992">
        <f>+'datos de entrada'!M263</f>
        <v>0</v>
      </c>
      <c r="N264" s="992">
        <f>+'datos de entrada'!N263</f>
        <v>0</v>
      </c>
      <c r="O264" s="992">
        <f>+'datos de entrada'!O263</f>
        <v>0</v>
      </c>
      <c r="P264" s="338"/>
      <c r="Q264" s="195"/>
      <c r="R264" s="195"/>
      <c r="S264" s="195"/>
      <c r="T264" s="195"/>
      <c r="U264" s="195"/>
      <c r="V264" s="195"/>
      <c r="W264" s="195"/>
      <c r="X264" s="195"/>
      <c r="Y264" s="195"/>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row>
    <row r="265" spans="1:46" ht="15.75">
      <c r="A265" s="3"/>
      <c r="B265" s="14"/>
      <c r="C265" s="1000">
        <f>SUM(C260:C264)</f>
        <v>0</v>
      </c>
      <c r="D265" s="25"/>
      <c r="E265" s="25"/>
      <c r="F265" s="25"/>
      <c r="G265" s="25"/>
      <c r="H265" s="1"/>
      <c r="I265" s="17"/>
      <c r="J265" s="75"/>
      <c r="K265" s="1000">
        <f>SUM(K260:K264)</f>
        <v>0</v>
      </c>
      <c r="L265" s="76"/>
      <c r="M265" s="76"/>
      <c r="N265" s="76"/>
      <c r="O265" s="76"/>
      <c r="P265" s="289"/>
      <c r="Q265" s="195"/>
      <c r="R265" s="195"/>
      <c r="S265" s="195"/>
      <c r="T265" s="195"/>
      <c r="U265" s="195"/>
      <c r="V265" s="195"/>
      <c r="W265" s="195"/>
      <c r="X265" s="195"/>
      <c r="Y265" s="195"/>
      <c r="Z265" s="195"/>
      <c r="AA265" s="195"/>
      <c r="AB265" s="195"/>
      <c r="AC265" s="195"/>
      <c r="AD265" s="195"/>
      <c r="AE265" s="195"/>
      <c r="AF265" s="195"/>
      <c r="AG265" s="195"/>
      <c r="AH265" s="195"/>
      <c r="AI265" s="195"/>
      <c r="AJ265" s="195"/>
      <c r="AK265" s="195"/>
      <c r="AL265" s="195"/>
      <c r="AM265" s="195"/>
      <c r="AN265" s="195"/>
      <c r="AO265" s="195"/>
      <c r="AP265" s="195"/>
      <c r="AQ265" s="195"/>
      <c r="AR265" s="195"/>
      <c r="AS265" s="195"/>
      <c r="AT265" s="195"/>
    </row>
    <row r="266" spans="1:46">
      <c r="A266" s="1"/>
      <c r="B266" s="62"/>
      <c r="C266" s="62"/>
      <c r="D266" s="63"/>
      <c r="E266" s="63"/>
      <c r="F266" s="63"/>
      <c r="G266" s="63"/>
      <c r="H266" s="1"/>
      <c r="I266" s="1"/>
      <c r="J266" s="62"/>
      <c r="K266" s="62"/>
      <c r="L266" s="63"/>
      <c r="M266" s="63"/>
      <c r="N266" s="63"/>
      <c r="O266" s="63"/>
      <c r="P266" s="289"/>
      <c r="Q266" s="195"/>
      <c r="R266" s="195"/>
      <c r="S266" s="195"/>
      <c r="T266" s="195"/>
      <c r="U266" s="195"/>
      <c r="V266" s="195"/>
      <c r="W266" s="195"/>
      <c r="X266" s="195"/>
      <c r="Y266" s="195"/>
      <c r="Z266" s="195"/>
      <c r="AA266" s="195"/>
      <c r="AB266" s="195"/>
      <c r="AC266" s="195"/>
      <c r="AD266" s="195"/>
      <c r="AE266" s="195"/>
      <c r="AF266" s="195"/>
      <c r="AG266" s="195"/>
      <c r="AH266" s="195"/>
      <c r="AI266" s="195"/>
      <c r="AJ266" s="195"/>
      <c r="AK266" s="195"/>
      <c r="AL266" s="195"/>
      <c r="AM266" s="195"/>
      <c r="AN266" s="195"/>
      <c r="AO266" s="195"/>
      <c r="AP266" s="195"/>
      <c r="AQ266" s="195"/>
      <c r="AR266" s="195"/>
      <c r="AS266" s="195"/>
      <c r="AT266" s="195"/>
    </row>
    <row r="267" spans="1:46" ht="15.75" thickBot="1">
      <c r="A267" s="3"/>
      <c r="B267" s="14"/>
      <c r="C267" s="14"/>
      <c r="D267" s="25"/>
      <c r="E267" s="25"/>
      <c r="F267" s="25"/>
      <c r="G267" s="25"/>
      <c r="H267" s="1"/>
      <c r="I267" s="3"/>
      <c r="J267" s="14"/>
      <c r="K267" s="14"/>
      <c r="L267" s="25"/>
      <c r="M267" s="25"/>
      <c r="N267" s="25"/>
      <c r="O267" s="25"/>
      <c r="P267" s="289"/>
      <c r="Q267" s="195"/>
      <c r="R267" s="195"/>
      <c r="S267" s="195"/>
      <c r="T267" s="195"/>
      <c r="U267" s="195"/>
      <c r="V267" s="195"/>
      <c r="W267" s="195"/>
      <c r="X267" s="195"/>
      <c r="Y267" s="195"/>
      <c r="Z267" s="195"/>
      <c r="AA267" s="195"/>
      <c r="AB267" s="195"/>
      <c r="AC267" s="195"/>
      <c r="AD267" s="195"/>
      <c r="AE267" s="195"/>
      <c r="AF267" s="195"/>
      <c r="AG267" s="195"/>
      <c r="AH267" s="195"/>
      <c r="AI267" s="195"/>
      <c r="AJ267" s="195"/>
      <c r="AK267" s="195"/>
      <c r="AL267" s="195"/>
      <c r="AM267" s="195"/>
      <c r="AN267" s="195"/>
      <c r="AO267" s="195"/>
      <c r="AP267" s="195"/>
      <c r="AQ267" s="195"/>
      <c r="AR267" s="195"/>
      <c r="AS267" s="195"/>
      <c r="AT267" s="195"/>
    </row>
    <row r="268" spans="1:46" ht="16.5" thickBot="1">
      <c r="A268" s="333">
        <f>+'datos de entrada'!A267</f>
        <v>0</v>
      </c>
      <c r="B268" s="997"/>
      <c r="C268" s="65" t="s">
        <v>636</v>
      </c>
      <c r="D268" s="66" t="s">
        <v>664</v>
      </c>
      <c r="E268" s="66"/>
      <c r="F268" s="66"/>
      <c r="G268" s="67"/>
      <c r="H268" s="1"/>
      <c r="I268" s="333">
        <f>+'datos de entrada'!I267</f>
        <v>0</v>
      </c>
      <c r="J268" s="51"/>
      <c r="K268" s="52" t="s">
        <v>636</v>
      </c>
      <c r="L268" s="53" t="s">
        <v>664</v>
      </c>
      <c r="M268" s="54"/>
      <c r="N268" s="54"/>
      <c r="O268" s="51"/>
      <c r="P268" s="289"/>
      <c r="Q268" s="195"/>
      <c r="R268" s="195"/>
      <c r="S268" s="195"/>
      <c r="T268" s="195"/>
      <c r="U268" s="195"/>
      <c r="V268" s="195"/>
      <c r="W268" s="195"/>
      <c r="X268" s="195"/>
      <c r="Y268" s="195"/>
      <c r="Z268" s="195"/>
      <c r="AA268" s="195"/>
      <c r="AB268" s="195"/>
      <c r="AC268" s="195"/>
      <c r="AD268" s="195"/>
      <c r="AE268" s="195"/>
      <c r="AF268" s="195"/>
      <c r="AG268" s="195"/>
      <c r="AH268" s="195"/>
      <c r="AI268" s="195"/>
      <c r="AJ268" s="195"/>
      <c r="AK268" s="195"/>
      <c r="AL268" s="195"/>
      <c r="AM268" s="195"/>
      <c r="AN268" s="195"/>
      <c r="AO268" s="195"/>
      <c r="AP268" s="195"/>
      <c r="AQ268" s="195"/>
      <c r="AR268" s="195"/>
      <c r="AS268" s="195"/>
      <c r="AT268" s="195"/>
    </row>
    <row r="269" spans="1:46" ht="15.75">
      <c r="A269" s="15" t="s">
        <v>665</v>
      </c>
      <c r="B269" s="994" t="s">
        <v>666</v>
      </c>
      <c r="C269" s="69" t="s">
        <v>667</v>
      </c>
      <c r="D269" s="70" t="s">
        <v>580</v>
      </c>
      <c r="E269" s="71" t="s">
        <v>668</v>
      </c>
      <c r="F269" s="71" t="s">
        <v>669</v>
      </c>
      <c r="G269" s="71" t="s">
        <v>670</v>
      </c>
      <c r="H269" s="1063" t="s">
        <v>861</v>
      </c>
      <c r="I269" s="52" t="s">
        <v>665</v>
      </c>
      <c r="J269" s="998" t="s">
        <v>666</v>
      </c>
      <c r="K269" s="56" t="s">
        <v>667</v>
      </c>
      <c r="L269" s="52" t="s">
        <v>580</v>
      </c>
      <c r="M269" s="57" t="s">
        <v>668</v>
      </c>
      <c r="N269" s="57" t="s">
        <v>669</v>
      </c>
      <c r="O269" s="57" t="s">
        <v>670</v>
      </c>
      <c r="P269" s="1063" t="s">
        <v>832</v>
      </c>
      <c r="Q269" s="195"/>
      <c r="R269" s="195"/>
      <c r="S269" s="195"/>
      <c r="T269" s="195"/>
      <c r="U269" s="195"/>
      <c r="V269" s="195"/>
      <c r="W269" s="195"/>
      <c r="X269" s="195"/>
      <c r="Y269" s="195"/>
      <c r="Z269" s="195"/>
      <c r="AA269" s="195"/>
      <c r="AB269" s="195"/>
      <c r="AC269" s="195"/>
      <c r="AD269" s="195"/>
      <c r="AE269" s="195"/>
      <c r="AF269" s="195"/>
      <c r="AG269" s="195"/>
      <c r="AH269" s="195"/>
      <c r="AI269" s="195"/>
      <c r="AJ269" s="195"/>
      <c r="AK269" s="195"/>
      <c r="AL269" s="195"/>
      <c r="AM269" s="195"/>
      <c r="AN269" s="195"/>
      <c r="AO269" s="195"/>
      <c r="AP269" s="195"/>
      <c r="AQ269" s="195"/>
      <c r="AR269" s="195"/>
      <c r="AS269" s="195"/>
      <c r="AT269" s="195"/>
    </row>
    <row r="270" spans="1:46" ht="15.75">
      <c r="A270" s="58"/>
      <c r="B270" s="996"/>
      <c r="C270" s="72"/>
      <c r="D270" s="73"/>
      <c r="E270" s="74"/>
      <c r="F270" s="74"/>
      <c r="G270" s="74"/>
      <c r="H270" s="1064"/>
      <c r="I270" s="60"/>
      <c r="J270" s="999"/>
      <c r="K270" s="60"/>
      <c r="L270" s="60"/>
      <c r="M270" s="61"/>
      <c r="N270" s="61"/>
      <c r="O270" s="61"/>
      <c r="P270" s="1064"/>
      <c r="Q270" s="195"/>
      <c r="R270" s="195"/>
      <c r="S270" s="195"/>
      <c r="T270" s="195"/>
      <c r="U270" s="195"/>
      <c r="V270" s="195"/>
      <c r="W270" s="195"/>
      <c r="X270" s="195"/>
      <c r="Y270" s="195"/>
      <c r="Z270" s="195"/>
      <c r="AA270" s="195"/>
      <c r="AB270" s="195"/>
      <c r="AC270" s="195"/>
      <c r="AD270" s="195"/>
      <c r="AE270" s="195"/>
      <c r="AF270" s="195"/>
      <c r="AG270" s="195"/>
      <c r="AH270" s="195"/>
      <c r="AI270" s="195"/>
      <c r="AJ270" s="195"/>
      <c r="AK270" s="195"/>
      <c r="AL270" s="195"/>
      <c r="AM270" s="195"/>
      <c r="AN270" s="195"/>
      <c r="AO270" s="195"/>
      <c r="AP270" s="195"/>
      <c r="AQ270" s="195"/>
      <c r="AR270" s="195"/>
      <c r="AS270" s="195"/>
      <c r="AT270" s="195"/>
    </row>
    <row r="271" spans="1:46" ht="15.75">
      <c r="A271" s="334">
        <f>+'datos de entrada'!A270</f>
        <v>0</v>
      </c>
      <c r="B271" s="993">
        <f>+'datos de entrada'!B270</f>
        <v>0</v>
      </c>
      <c r="C271" s="835">
        <f>+'datos de entrada'!C270</f>
        <v>0</v>
      </c>
      <c r="D271" s="992">
        <f>+'datos de entrada'!D270</f>
        <v>0</v>
      </c>
      <c r="E271" s="992">
        <f>+'datos de entrada'!E270</f>
        <v>0</v>
      </c>
      <c r="F271" s="992">
        <f>+'datos de entrada'!F270</f>
        <v>0</v>
      </c>
      <c r="G271" s="992">
        <f>+'datos de entrada'!G270</f>
        <v>0</v>
      </c>
      <c r="H271" s="334">
        <f>+'datos de entrada'!H275</f>
        <v>0</v>
      </c>
      <c r="I271" s="334">
        <f>+'datos de entrada'!I270</f>
        <v>0</v>
      </c>
      <c r="J271" s="993">
        <f>+'datos de entrada'!J270</f>
        <v>0</v>
      </c>
      <c r="K271" s="835">
        <f>+'datos de entrada'!K270</f>
        <v>0</v>
      </c>
      <c r="L271" s="992">
        <f>+'datos de entrada'!L270</f>
        <v>0</v>
      </c>
      <c r="M271" s="992">
        <f>+'datos de entrada'!M270</f>
        <v>0</v>
      </c>
      <c r="N271" s="992">
        <f>+'datos de entrada'!N270</f>
        <v>0</v>
      </c>
      <c r="O271" s="992">
        <f>+'datos de entrada'!O270</f>
        <v>0</v>
      </c>
      <c r="P271" s="334">
        <f>+'datos de entrada'!P275</f>
        <v>0</v>
      </c>
      <c r="Q271" s="195"/>
      <c r="R271" s="195"/>
      <c r="S271" s="195"/>
      <c r="T271" s="195"/>
      <c r="U271" s="195"/>
      <c r="V271" s="195"/>
      <c r="W271" s="195"/>
      <c r="X271" s="195"/>
      <c r="Y271" s="195"/>
      <c r="Z271" s="195"/>
      <c r="AA271" s="195"/>
      <c r="AB271" s="195"/>
      <c r="AC271" s="195"/>
      <c r="AD271" s="195"/>
      <c r="AE271" s="195"/>
      <c r="AF271" s="195"/>
      <c r="AG271" s="195"/>
      <c r="AH271" s="195"/>
      <c r="AI271" s="195"/>
      <c r="AJ271" s="195"/>
      <c r="AK271" s="195"/>
      <c r="AL271" s="195"/>
      <c r="AM271" s="195"/>
      <c r="AN271" s="195"/>
      <c r="AO271" s="195"/>
      <c r="AP271" s="195"/>
      <c r="AQ271" s="195"/>
      <c r="AR271" s="195"/>
      <c r="AS271" s="195"/>
      <c r="AT271" s="195"/>
    </row>
    <row r="272" spans="1:46" ht="15.75">
      <c r="A272" s="334">
        <f>+'datos de entrada'!A271</f>
        <v>0</v>
      </c>
      <c r="B272" s="993">
        <f>+'datos de entrada'!B271</f>
        <v>0</v>
      </c>
      <c r="C272" s="835">
        <f>+'datos de entrada'!C271</f>
        <v>0</v>
      </c>
      <c r="D272" s="992">
        <f>+'datos de entrada'!D271</f>
        <v>0</v>
      </c>
      <c r="E272" s="992">
        <f>+'datos de entrada'!E271</f>
        <v>0</v>
      </c>
      <c r="F272" s="992">
        <f>+'datos de entrada'!F271</f>
        <v>0</v>
      </c>
      <c r="G272" s="992">
        <f>+'datos de entrada'!G271</f>
        <v>0</v>
      </c>
      <c r="H272" s="335"/>
      <c r="I272" s="334">
        <f>+'datos de entrada'!I271</f>
        <v>0</v>
      </c>
      <c r="J272" s="993">
        <f>+'datos de entrada'!J271</f>
        <v>0</v>
      </c>
      <c r="K272" s="835">
        <f>+'datos de entrada'!K271</f>
        <v>0</v>
      </c>
      <c r="L272" s="992">
        <f>+'datos de entrada'!L271</f>
        <v>0</v>
      </c>
      <c r="M272" s="992">
        <f>+'datos de entrada'!M271</f>
        <v>0</v>
      </c>
      <c r="N272" s="992">
        <f>+'datos de entrada'!N271</f>
        <v>0</v>
      </c>
      <c r="O272" s="992">
        <f>+'datos de entrada'!O271</f>
        <v>0</v>
      </c>
      <c r="P272" s="336"/>
      <c r="Q272" s="195"/>
      <c r="R272" s="195"/>
      <c r="S272" s="195"/>
      <c r="T272" s="195"/>
      <c r="U272" s="195"/>
      <c r="V272" s="195"/>
      <c r="W272" s="195"/>
      <c r="X272" s="195"/>
      <c r="Y272" s="195"/>
      <c r="Z272" s="195"/>
      <c r="AA272" s="195"/>
      <c r="AB272" s="195"/>
      <c r="AC272" s="195"/>
      <c r="AD272" s="195"/>
      <c r="AE272" s="195"/>
      <c r="AF272" s="195"/>
      <c r="AG272" s="195"/>
      <c r="AH272" s="195"/>
      <c r="AI272" s="195"/>
      <c r="AJ272" s="195"/>
      <c r="AK272" s="195"/>
      <c r="AL272" s="195"/>
      <c r="AM272" s="195"/>
      <c r="AN272" s="195"/>
      <c r="AO272" s="195"/>
      <c r="AP272" s="195"/>
      <c r="AQ272" s="195"/>
      <c r="AR272" s="195"/>
      <c r="AS272" s="195"/>
      <c r="AT272" s="195"/>
    </row>
    <row r="273" spans="1:46" ht="15.75">
      <c r="A273" s="334">
        <f>+'datos de entrada'!A272</f>
        <v>0</v>
      </c>
      <c r="B273" s="993">
        <f>+'datos de entrada'!B272</f>
        <v>0</v>
      </c>
      <c r="C273" s="835">
        <f>+'datos de entrada'!C272</f>
        <v>0</v>
      </c>
      <c r="D273" s="992">
        <f>+'datos de entrada'!D272</f>
        <v>0</v>
      </c>
      <c r="E273" s="992">
        <f>+'datos de entrada'!E272</f>
        <v>0</v>
      </c>
      <c r="F273" s="992">
        <f>+'datos de entrada'!F272</f>
        <v>0</v>
      </c>
      <c r="G273" s="992">
        <f>+'datos de entrada'!G272</f>
        <v>0</v>
      </c>
      <c r="H273" s="337"/>
      <c r="I273" s="334">
        <f>+'datos de entrada'!I272</f>
        <v>0</v>
      </c>
      <c r="J273" s="993">
        <f>+'datos de entrada'!J272</f>
        <v>0</v>
      </c>
      <c r="K273" s="835">
        <f>+'datos de entrada'!K272</f>
        <v>0</v>
      </c>
      <c r="L273" s="992">
        <f>+'datos de entrada'!L272</f>
        <v>0</v>
      </c>
      <c r="M273" s="992">
        <f>+'datos de entrada'!M272</f>
        <v>0</v>
      </c>
      <c r="N273" s="992">
        <f>+'datos de entrada'!N272</f>
        <v>0</v>
      </c>
      <c r="O273" s="992">
        <f>+'datos de entrada'!O272</f>
        <v>0</v>
      </c>
      <c r="P273" s="338"/>
      <c r="Q273" s="195"/>
      <c r="R273" s="195"/>
      <c r="S273" s="195"/>
      <c r="T273" s="195"/>
      <c r="U273" s="195"/>
      <c r="V273" s="195"/>
      <c r="W273" s="195"/>
      <c r="X273" s="195"/>
      <c r="Y273" s="195"/>
      <c r="Z273" s="195"/>
      <c r="AA273" s="195"/>
      <c r="AB273" s="195"/>
      <c r="AC273" s="195"/>
      <c r="AD273" s="195"/>
      <c r="AE273" s="195"/>
      <c r="AF273" s="195"/>
      <c r="AG273" s="195"/>
      <c r="AH273" s="195"/>
      <c r="AI273" s="195"/>
      <c r="AJ273" s="195"/>
      <c r="AK273" s="195"/>
      <c r="AL273" s="195"/>
      <c r="AM273" s="195"/>
      <c r="AN273" s="195"/>
      <c r="AO273" s="195"/>
      <c r="AP273" s="195"/>
      <c r="AQ273" s="195"/>
      <c r="AR273" s="195"/>
      <c r="AS273" s="195"/>
      <c r="AT273" s="195"/>
    </row>
    <row r="274" spans="1:46" ht="15.75">
      <c r="A274" s="334">
        <f>+'datos de entrada'!A273</f>
        <v>0</v>
      </c>
      <c r="B274" s="993">
        <f>+'datos de entrada'!B273</f>
        <v>0</v>
      </c>
      <c r="C274" s="835">
        <f>+'datos de entrada'!C273</f>
        <v>0</v>
      </c>
      <c r="D274" s="992">
        <f>+'datos de entrada'!D273</f>
        <v>0</v>
      </c>
      <c r="E274" s="992">
        <f>+'datos de entrada'!E273</f>
        <v>0</v>
      </c>
      <c r="F274" s="992">
        <f>+'datos de entrada'!F273</f>
        <v>0</v>
      </c>
      <c r="G274" s="992">
        <f>+'datos de entrada'!G273</f>
        <v>0</v>
      </c>
      <c r="H274" s="337"/>
      <c r="I274" s="334">
        <f>+'datos de entrada'!I273</f>
        <v>0</v>
      </c>
      <c r="J274" s="993">
        <f>+'datos de entrada'!J273</f>
        <v>0</v>
      </c>
      <c r="K274" s="835">
        <f>+'datos de entrada'!K273</f>
        <v>0</v>
      </c>
      <c r="L274" s="992">
        <f>+'datos de entrada'!L273</f>
        <v>0</v>
      </c>
      <c r="M274" s="992">
        <f>+'datos de entrada'!M273</f>
        <v>0</v>
      </c>
      <c r="N274" s="992">
        <f>+'datos de entrada'!N273</f>
        <v>0</v>
      </c>
      <c r="O274" s="992">
        <f>+'datos de entrada'!O273</f>
        <v>0</v>
      </c>
      <c r="P274" s="338"/>
      <c r="Q274" s="195"/>
      <c r="R274" s="195"/>
      <c r="S274" s="195"/>
      <c r="T274" s="195"/>
      <c r="U274" s="195"/>
      <c r="V274" s="195"/>
      <c r="W274" s="195"/>
      <c r="X274" s="195"/>
      <c r="Y274" s="195"/>
      <c r="Z274" s="195"/>
      <c r="AA274" s="195"/>
      <c r="AB274" s="195"/>
      <c r="AC274" s="195"/>
      <c r="AD274" s="195"/>
      <c r="AE274" s="195"/>
      <c r="AF274" s="195"/>
      <c r="AG274" s="195"/>
      <c r="AH274" s="195"/>
      <c r="AI274" s="195"/>
      <c r="AJ274" s="195"/>
      <c r="AK274" s="195"/>
      <c r="AL274" s="195"/>
      <c r="AM274" s="195"/>
      <c r="AN274" s="195"/>
      <c r="AO274" s="195"/>
      <c r="AP274" s="195"/>
      <c r="AQ274" s="195"/>
      <c r="AR274" s="195"/>
      <c r="AS274" s="195"/>
      <c r="AT274" s="195"/>
    </row>
    <row r="275" spans="1:46" ht="15.75">
      <c r="A275" s="334">
        <f>+'datos de entrada'!A274</f>
        <v>0</v>
      </c>
      <c r="B275" s="993">
        <f>+'datos de entrada'!B274</f>
        <v>0</v>
      </c>
      <c r="C275" s="835">
        <f>+'datos de entrada'!C274</f>
        <v>0</v>
      </c>
      <c r="D275" s="992">
        <f>+'datos de entrada'!D274</f>
        <v>0</v>
      </c>
      <c r="E275" s="992">
        <f>+'datos de entrada'!E274</f>
        <v>0</v>
      </c>
      <c r="F275" s="992">
        <f>+'datos de entrada'!F274</f>
        <v>0</v>
      </c>
      <c r="G275" s="992">
        <f>+'datos de entrada'!G274</f>
        <v>0</v>
      </c>
      <c r="H275" s="337"/>
      <c r="I275" s="334">
        <f>+'datos de entrada'!I274</f>
        <v>0</v>
      </c>
      <c r="J275" s="993">
        <f>+'datos de entrada'!J274</f>
        <v>0</v>
      </c>
      <c r="K275" s="835">
        <f>+'datos de entrada'!K274</f>
        <v>0</v>
      </c>
      <c r="L275" s="992">
        <f>+'datos de entrada'!L274</f>
        <v>0</v>
      </c>
      <c r="M275" s="992">
        <f>+'datos de entrada'!M274</f>
        <v>0</v>
      </c>
      <c r="N275" s="992">
        <f>+'datos de entrada'!N274</f>
        <v>0</v>
      </c>
      <c r="O275" s="992">
        <f>+'datos de entrada'!O274</f>
        <v>0</v>
      </c>
      <c r="P275" s="338"/>
      <c r="Q275" s="195"/>
      <c r="R275" s="195"/>
      <c r="S275" s="195"/>
      <c r="T275" s="195"/>
      <c r="U275" s="195"/>
      <c r="V275" s="195"/>
      <c r="W275" s="195"/>
      <c r="X275" s="195"/>
      <c r="Y275" s="195"/>
      <c r="Z275" s="195"/>
      <c r="AA275" s="195"/>
      <c r="AB275" s="195"/>
      <c r="AC275" s="195"/>
      <c r="AD275" s="195"/>
      <c r="AE275" s="195"/>
      <c r="AF275" s="195"/>
      <c r="AG275" s="195"/>
      <c r="AH275" s="195"/>
      <c r="AI275" s="195"/>
      <c r="AJ275" s="195"/>
      <c r="AK275" s="195"/>
      <c r="AL275" s="195"/>
      <c r="AM275" s="195"/>
      <c r="AN275" s="195"/>
      <c r="AO275" s="195"/>
      <c r="AP275" s="195"/>
      <c r="AQ275" s="195"/>
      <c r="AR275" s="195"/>
      <c r="AS275" s="195"/>
      <c r="AT275" s="195"/>
    </row>
    <row r="276" spans="1:46" ht="15.75">
      <c r="A276" s="1"/>
      <c r="B276" s="62"/>
      <c r="C276" s="1000">
        <f>SUM(C271:C275)</f>
        <v>0</v>
      </c>
      <c r="D276" s="63"/>
      <c r="E276" s="63"/>
      <c r="F276" s="63"/>
      <c r="G276" s="63"/>
      <c r="H276" s="1"/>
      <c r="I276" s="1"/>
      <c r="J276" s="62"/>
      <c r="K276" s="1000">
        <f>SUM(K271:K275)</f>
        <v>0</v>
      </c>
      <c r="L276" s="63"/>
      <c r="M276" s="63"/>
      <c r="N276" s="63"/>
      <c r="O276" s="63"/>
      <c r="P276" s="289"/>
      <c r="Q276" s="195"/>
      <c r="R276" s="195"/>
      <c r="S276" s="195"/>
      <c r="T276" s="195"/>
      <c r="U276" s="195"/>
      <c r="V276" s="195"/>
      <c r="W276" s="195"/>
      <c r="X276" s="195"/>
      <c r="Y276" s="195"/>
      <c r="Z276" s="195"/>
      <c r="AA276" s="195"/>
      <c r="AB276" s="195"/>
      <c r="AC276" s="195"/>
      <c r="AD276" s="195"/>
      <c r="AE276" s="195"/>
      <c r="AF276" s="195"/>
      <c r="AG276" s="195"/>
      <c r="AH276" s="195"/>
      <c r="AI276" s="195"/>
      <c r="AJ276" s="195"/>
      <c r="AK276" s="195"/>
      <c r="AL276" s="195"/>
      <c r="AM276" s="195"/>
      <c r="AN276" s="195"/>
      <c r="AO276" s="195"/>
      <c r="AP276" s="195"/>
      <c r="AQ276" s="195"/>
      <c r="AR276" s="195"/>
      <c r="AS276" s="195"/>
      <c r="AT276" s="195"/>
    </row>
    <row r="277" spans="1:46" ht="15.75" thickBot="1">
      <c r="A277" s="3"/>
      <c r="B277" s="14"/>
      <c r="C277" s="14"/>
      <c r="D277" s="25"/>
      <c r="E277" s="25"/>
      <c r="F277" s="25"/>
      <c r="G277" s="25"/>
      <c r="H277" s="1"/>
      <c r="I277" s="3"/>
      <c r="J277" s="14"/>
      <c r="K277" s="14"/>
      <c r="L277" s="25"/>
      <c r="M277" s="25"/>
      <c r="N277" s="25"/>
      <c r="O277" s="25"/>
      <c r="P277" s="289"/>
      <c r="Q277" s="195"/>
      <c r="R277" s="195"/>
      <c r="S277" s="195"/>
      <c r="T277" s="195"/>
      <c r="U277" s="195"/>
      <c r="V277" s="195"/>
      <c r="W277" s="195"/>
      <c r="X277" s="195"/>
      <c r="Y277" s="195"/>
      <c r="Z277" s="195"/>
      <c r="AA277" s="195"/>
      <c r="AB277" s="195"/>
      <c r="AC277" s="195"/>
      <c r="AD277" s="195"/>
      <c r="AE277" s="195"/>
      <c r="AF277" s="195"/>
      <c r="AG277" s="195"/>
      <c r="AH277" s="195"/>
      <c r="AI277" s="195"/>
      <c r="AJ277" s="195"/>
      <c r="AK277" s="195"/>
      <c r="AL277" s="195"/>
      <c r="AM277" s="195"/>
      <c r="AN277" s="195"/>
      <c r="AO277" s="195"/>
      <c r="AP277" s="195"/>
      <c r="AQ277" s="195"/>
      <c r="AR277" s="195"/>
      <c r="AS277" s="195"/>
      <c r="AT277" s="195"/>
    </row>
    <row r="278" spans="1:46" ht="16.5" thickBot="1">
      <c r="A278" s="333">
        <f>+'datos de entrada'!A277</f>
        <v>0</v>
      </c>
      <c r="B278" s="997"/>
      <c r="C278" s="65" t="s">
        <v>636</v>
      </c>
      <c r="D278" s="66" t="s">
        <v>664</v>
      </c>
      <c r="E278" s="66"/>
      <c r="F278" s="66"/>
      <c r="G278" s="67"/>
      <c r="H278" s="1"/>
      <c r="I278" s="333">
        <f>+'datos de entrada'!I277</f>
        <v>0</v>
      </c>
      <c r="J278" s="51"/>
      <c r="K278" s="52" t="s">
        <v>636</v>
      </c>
      <c r="L278" s="53" t="s">
        <v>664</v>
      </c>
      <c r="M278" s="54"/>
      <c r="N278" s="54"/>
      <c r="O278" s="51"/>
      <c r="P278" s="289"/>
      <c r="Q278" s="195"/>
      <c r="R278" s="195"/>
      <c r="S278" s="195"/>
      <c r="T278" s="195"/>
      <c r="U278" s="195"/>
      <c r="V278" s="195"/>
      <c r="W278" s="195"/>
      <c r="X278" s="195"/>
      <c r="Y278" s="195"/>
      <c r="Z278" s="195"/>
      <c r="AA278" s="195"/>
      <c r="AB278" s="195"/>
      <c r="AC278" s="195"/>
      <c r="AD278" s="195"/>
      <c r="AE278" s="195"/>
      <c r="AF278" s="195"/>
      <c r="AG278" s="195"/>
      <c r="AH278" s="195"/>
      <c r="AI278" s="195"/>
      <c r="AJ278" s="195"/>
      <c r="AK278" s="195"/>
      <c r="AL278" s="195"/>
      <c r="AM278" s="195"/>
      <c r="AN278" s="195"/>
      <c r="AO278" s="195"/>
      <c r="AP278" s="195"/>
      <c r="AQ278" s="195"/>
      <c r="AR278" s="195"/>
      <c r="AS278" s="195"/>
      <c r="AT278" s="195"/>
    </row>
    <row r="279" spans="1:46" ht="15.75">
      <c r="A279" s="15" t="s">
        <v>665</v>
      </c>
      <c r="B279" s="994" t="s">
        <v>666</v>
      </c>
      <c r="C279" s="69" t="s">
        <v>667</v>
      </c>
      <c r="D279" s="70" t="s">
        <v>580</v>
      </c>
      <c r="E279" s="71" t="s">
        <v>668</v>
      </c>
      <c r="F279" s="71" t="s">
        <v>669</v>
      </c>
      <c r="G279" s="71" t="s">
        <v>670</v>
      </c>
      <c r="H279" s="1063" t="s">
        <v>861</v>
      </c>
      <c r="I279" s="52" t="s">
        <v>665</v>
      </c>
      <c r="J279" s="998" t="s">
        <v>666</v>
      </c>
      <c r="K279" s="56" t="s">
        <v>667</v>
      </c>
      <c r="L279" s="52" t="s">
        <v>580</v>
      </c>
      <c r="M279" s="57" t="s">
        <v>668</v>
      </c>
      <c r="N279" s="57" t="s">
        <v>669</v>
      </c>
      <c r="O279" s="57" t="s">
        <v>670</v>
      </c>
      <c r="P279" s="1063" t="s">
        <v>832</v>
      </c>
      <c r="Q279" s="195"/>
      <c r="R279" s="195"/>
      <c r="S279" s="195"/>
      <c r="T279" s="195"/>
      <c r="U279" s="195"/>
      <c r="V279" s="195"/>
      <c r="W279" s="195"/>
      <c r="X279" s="195"/>
      <c r="Y279" s="195"/>
      <c r="Z279" s="195"/>
      <c r="AA279" s="195"/>
      <c r="AB279" s="195"/>
      <c r="AC279" s="195"/>
      <c r="AD279" s="195"/>
      <c r="AE279" s="195"/>
      <c r="AF279" s="195"/>
      <c r="AG279" s="195"/>
      <c r="AH279" s="195"/>
      <c r="AI279" s="195"/>
      <c r="AJ279" s="195"/>
      <c r="AK279" s="195"/>
      <c r="AL279" s="195"/>
      <c r="AM279" s="195"/>
      <c r="AN279" s="195"/>
      <c r="AO279" s="195"/>
      <c r="AP279" s="195"/>
      <c r="AQ279" s="195"/>
      <c r="AR279" s="195"/>
      <c r="AS279" s="195"/>
      <c r="AT279" s="195"/>
    </row>
    <row r="280" spans="1:46" ht="15.75">
      <c r="A280" s="58"/>
      <c r="B280" s="996"/>
      <c r="C280" s="72"/>
      <c r="D280" s="73"/>
      <c r="E280" s="74"/>
      <c r="F280" s="74"/>
      <c r="G280" s="74"/>
      <c r="H280" s="1064"/>
      <c r="I280" s="60"/>
      <c r="J280" s="999"/>
      <c r="K280" s="60"/>
      <c r="L280" s="60"/>
      <c r="M280" s="61"/>
      <c r="N280" s="61"/>
      <c r="O280" s="61"/>
      <c r="P280" s="1064"/>
      <c r="Q280" s="195"/>
      <c r="R280" s="195"/>
      <c r="S280" s="195"/>
      <c r="T280" s="195"/>
      <c r="U280" s="195"/>
      <c r="V280" s="195"/>
      <c r="W280" s="195"/>
      <c r="X280" s="195"/>
      <c r="Y280" s="195"/>
      <c r="Z280" s="195"/>
      <c r="AA280" s="195"/>
      <c r="AB280" s="195"/>
      <c r="AC280" s="195"/>
      <c r="AD280" s="195"/>
      <c r="AE280" s="195"/>
      <c r="AF280" s="195"/>
      <c r="AG280" s="195"/>
      <c r="AH280" s="195"/>
      <c r="AI280" s="195"/>
      <c r="AJ280" s="195"/>
      <c r="AK280" s="195"/>
      <c r="AL280" s="195"/>
      <c r="AM280" s="195"/>
      <c r="AN280" s="195"/>
      <c r="AO280" s="195"/>
      <c r="AP280" s="195"/>
      <c r="AQ280" s="195"/>
      <c r="AR280" s="195"/>
      <c r="AS280" s="195"/>
      <c r="AT280" s="195"/>
    </row>
    <row r="281" spans="1:46" ht="15.75">
      <c r="A281" s="334">
        <f>+'datos de entrada'!A280</f>
        <v>0</v>
      </c>
      <c r="B281" s="993">
        <f>+'datos de entrada'!B280</f>
        <v>0</v>
      </c>
      <c r="C281" s="835">
        <f>+'datos de entrada'!C280</f>
        <v>0</v>
      </c>
      <c r="D281" s="992">
        <f>+'datos de entrada'!D280</f>
        <v>0</v>
      </c>
      <c r="E281" s="992">
        <f>+'datos de entrada'!E280</f>
        <v>0</v>
      </c>
      <c r="F281" s="992">
        <f>+'datos de entrada'!F280</f>
        <v>0</v>
      </c>
      <c r="G281" s="992">
        <f>+'datos de entrada'!G280</f>
        <v>0</v>
      </c>
      <c r="H281" s="334">
        <f>+'datos de entrada'!H285</f>
        <v>0</v>
      </c>
      <c r="I281" s="334">
        <f>+'datos de entrada'!I280</f>
        <v>0</v>
      </c>
      <c r="J281" s="993">
        <f>+'datos de entrada'!J280</f>
        <v>0</v>
      </c>
      <c r="K281" s="835">
        <f>+'datos de entrada'!K280</f>
        <v>0</v>
      </c>
      <c r="L281" s="992">
        <f>+'datos de entrada'!L280</f>
        <v>0</v>
      </c>
      <c r="M281" s="992">
        <f>+'datos de entrada'!M280</f>
        <v>0</v>
      </c>
      <c r="N281" s="992">
        <f>+'datos de entrada'!N280</f>
        <v>0</v>
      </c>
      <c r="O281" s="992">
        <f>+'datos de entrada'!O280</f>
        <v>0</v>
      </c>
      <c r="P281" s="334">
        <f>+'datos de entrada'!P285</f>
        <v>0</v>
      </c>
      <c r="Q281" s="195"/>
      <c r="R281" s="195"/>
      <c r="S281" s="195"/>
      <c r="T281" s="195"/>
      <c r="U281" s="195"/>
      <c r="V281" s="195"/>
      <c r="W281" s="195"/>
      <c r="X281" s="195"/>
      <c r="Y281" s="195"/>
      <c r="Z281" s="195"/>
      <c r="AA281" s="195"/>
      <c r="AB281" s="195"/>
      <c r="AC281" s="195"/>
      <c r="AD281" s="195"/>
      <c r="AE281" s="195"/>
      <c r="AF281" s="195"/>
      <c r="AG281" s="195"/>
      <c r="AH281" s="195"/>
      <c r="AI281" s="195"/>
      <c r="AJ281" s="195"/>
      <c r="AK281" s="195"/>
      <c r="AL281" s="195"/>
      <c r="AM281" s="195"/>
      <c r="AN281" s="195"/>
      <c r="AO281" s="195"/>
      <c r="AP281" s="195"/>
      <c r="AQ281" s="195"/>
      <c r="AR281" s="195"/>
      <c r="AS281" s="195"/>
      <c r="AT281" s="195"/>
    </row>
    <row r="282" spans="1:46" ht="15.75">
      <c r="A282" s="334">
        <f>+'datos de entrada'!A281</f>
        <v>0</v>
      </c>
      <c r="B282" s="993">
        <f>+'datos de entrada'!B281</f>
        <v>0</v>
      </c>
      <c r="C282" s="835">
        <f>+'datos de entrada'!C281</f>
        <v>0</v>
      </c>
      <c r="D282" s="992">
        <f>+'datos de entrada'!D281</f>
        <v>0</v>
      </c>
      <c r="E282" s="992">
        <f>+'datos de entrada'!E281</f>
        <v>0</v>
      </c>
      <c r="F282" s="992">
        <f>+'datos de entrada'!F281</f>
        <v>0</v>
      </c>
      <c r="G282" s="992">
        <f>+'datos de entrada'!G281</f>
        <v>0</v>
      </c>
      <c r="H282" s="335"/>
      <c r="I282" s="334">
        <f>+'datos de entrada'!I281</f>
        <v>0</v>
      </c>
      <c r="J282" s="993">
        <f>+'datos de entrada'!J281</f>
        <v>0</v>
      </c>
      <c r="K282" s="835">
        <f>+'datos de entrada'!K281</f>
        <v>0</v>
      </c>
      <c r="L282" s="992">
        <f>+'datos de entrada'!L281</f>
        <v>0</v>
      </c>
      <c r="M282" s="992">
        <f>+'datos de entrada'!M281</f>
        <v>0</v>
      </c>
      <c r="N282" s="992">
        <f>+'datos de entrada'!N281</f>
        <v>0</v>
      </c>
      <c r="O282" s="992">
        <f>+'datos de entrada'!O281</f>
        <v>0</v>
      </c>
      <c r="P282" s="336"/>
      <c r="Q282" s="195"/>
      <c r="R282" s="195"/>
      <c r="S282" s="195"/>
      <c r="T282" s="195"/>
      <c r="U282" s="195"/>
      <c r="V282" s="195"/>
      <c r="W282" s="195"/>
      <c r="X282" s="195"/>
      <c r="Y282" s="195"/>
      <c r="Z282" s="195"/>
      <c r="AA282" s="195"/>
      <c r="AB282" s="195"/>
      <c r="AC282" s="195"/>
      <c r="AD282" s="195"/>
      <c r="AE282" s="195"/>
      <c r="AF282" s="195"/>
      <c r="AG282" s="195"/>
      <c r="AH282" s="195"/>
      <c r="AI282" s="195"/>
      <c r="AJ282" s="195"/>
      <c r="AK282" s="195"/>
      <c r="AL282" s="195"/>
      <c r="AM282" s="195"/>
      <c r="AN282" s="195"/>
      <c r="AO282" s="195"/>
      <c r="AP282" s="195"/>
      <c r="AQ282" s="195"/>
      <c r="AR282" s="195"/>
      <c r="AS282" s="195"/>
      <c r="AT282" s="195"/>
    </row>
    <row r="283" spans="1:46" ht="15.75">
      <c r="A283" s="334">
        <f>+'datos de entrada'!A282</f>
        <v>0</v>
      </c>
      <c r="B283" s="993">
        <f>+'datos de entrada'!B282</f>
        <v>0</v>
      </c>
      <c r="C283" s="835">
        <f>+'datos de entrada'!C282</f>
        <v>0</v>
      </c>
      <c r="D283" s="992">
        <f>+'datos de entrada'!D282</f>
        <v>0</v>
      </c>
      <c r="E283" s="992">
        <f>+'datos de entrada'!E282</f>
        <v>0</v>
      </c>
      <c r="F283" s="992">
        <f>+'datos de entrada'!F282</f>
        <v>0</v>
      </c>
      <c r="G283" s="992">
        <f>+'datos de entrada'!G282</f>
        <v>0</v>
      </c>
      <c r="H283" s="337"/>
      <c r="I283" s="334">
        <f>+'datos de entrada'!I282</f>
        <v>0</v>
      </c>
      <c r="J283" s="993">
        <f>+'datos de entrada'!J282</f>
        <v>0</v>
      </c>
      <c r="K283" s="835">
        <f>+'datos de entrada'!K282</f>
        <v>0</v>
      </c>
      <c r="L283" s="992">
        <f>+'datos de entrada'!L282</f>
        <v>0</v>
      </c>
      <c r="M283" s="992">
        <f>+'datos de entrada'!M282</f>
        <v>0</v>
      </c>
      <c r="N283" s="992">
        <f>+'datos de entrada'!N282</f>
        <v>0</v>
      </c>
      <c r="O283" s="992">
        <f>+'datos de entrada'!O282</f>
        <v>0</v>
      </c>
      <c r="P283" s="338"/>
      <c r="Q283" s="195"/>
      <c r="R283" s="195"/>
      <c r="S283" s="195"/>
      <c r="T283" s="195"/>
      <c r="U283" s="195"/>
      <c r="V283" s="195"/>
      <c r="W283" s="195"/>
      <c r="X283" s="195"/>
      <c r="Y283" s="195"/>
      <c r="Z283" s="195"/>
      <c r="AA283" s="195"/>
      <c r="AB283" s="195"/>
      <c r="AC283" s="195"/>
      <c r="AD283" s="195"/>
      <c r="AE283" s="195"/>
      <c r="AF283" s="195"/>
      <c r="AG283" s="195"/>
      <c r="AH283" s="195"/>
      <c r="AI283" s="195"/>
      <c r="AJ283" s="195"/>
      <c r="AK283" s="195"/>
      <c r="AL283" s="195"/>
      <c r="AM283" s="195"/>
      <c r="AN283" s="195"/>
      <c r="AO283" s="195"/>
      <c r="AP283" s="195"/>
      <c r="AQ283" s="195"/>
      <c r="AR283" s="195"/>
      <c r="AS283" s="195"/>
      <c r="AT283" s="195"/>
    </row>
    <row r="284" spans="1:46" ht="15.75">
      <c r="A284" s="334">
        <f>+'datos de entrada'!A283</f>
        <v>0</v>
      </c>
      <c r="B284" s="993">
        <f>+'datos de entrada'!B283</f>
        <v>0</v>
      </c>
      <c r="C284" s="835">
        <f>+'datos de entrada'!C283</f>
        <v>0</v>
      </c>
      <c r="D284" s="992">
        <f>+'datos de entrada'!D283</f>
        <v>0</v>
      </c>
      <c r="E284" s="992">
        <f>+'datos de entrada'!E283</f>
        <v>0</v>
      </c>
      <c r="F284" s="992">
        <f>+'datos de entrada'!F283</f>
        <v>0</v>
      </c>
      <c r="G284" s="992">
        <f>+'datos de entrada'!G283</f>
        <v>0</v>
      </c>
      <c r="H284" s="337"/>
      <c r="I284" s="334">
        <f>+'datos de entrada'!I283</f>
        <v>0</v>
      </c>
      <c r="J284" s="993">
        <f>+'datos de entrada'!J283</f>
        <v>0</v>
      </c>
      <c r="K284" s="835">
        <f>+'datos de entrada'!K283</f>
        <v>0</v>
      </c>
      <c r="L284" s="992">
        <f>+'datos de entrada'!L283</f>
        <v>0</v>
      </c>
      <c r="M284" s="992">
        <f>+'datos de entrada'!M283</f>
        <v>0</v>
      </c>
      <c r="N284" s="992">
        <f>+'datos de entrada'!N283</f>
        <v>0</v>
      </c>
      <c r="O284" s="992">
        <f>+'datos de entrada'!O283</f>
        <v>0</v>
      </c>
      <c r="P284" s="338"/>
      <c r="Q284" s="195"/>
      <c r="R284" s="195"/>
      <c r="S284" s="195"/>
      <c r="T284" s="195"/>
      <c r="U284" s="195"/>
      <c r="V284" s="195"/>
      <c r="W284" s="195"/>
      <c r="X284" s="195"/>
      <c r="Y284" s="195"/>
      <c r="Z284" s="195"/>
      <c r="AA284" s="195"/>
      <c r="AB284" s="195"/>
      <c r="AC284" s="195"/>
      <c r="AD284" s="195"/>
      <c r="AE284" s="195"/>
      <c r="AF284" s="195"/>
      <c r="AG284" s="195"/>
      <c r="AH284" s="195"/>
      <c r="AI284" s="195"/>
      <c r="AJ284" s="195"/>
      <c r="AK284" s="195"/>
      <c r="AL284" s="195"/>
      <c r="AM284" s="195"/>
      <c r="AN284" s="195"/>
      <c r="AO284" s="195"/>
      <c r="AP284" s="195"/>
      <c r="AQ284" s="195"/>
      <c r="AR284" s="195"/>
      <c r="AS284" s="195"/>
      <c r="AT284" s="195"/>
    </row>
    <row r="285" spans="1:46" ht="15.75">
      <c r="A285" s="334">
        <f>+'datos de entrada'!A284</f>
        <v>0</v>
      </c>
      <c r="B285" s="993">
        <f>+'datos de entrada'!B284</f>
        <v>0</v>
      </c>
      <c r="C285" s="835">
        <f>+'datos de entrada'!C284</f>
        <v>0</v>
      </c>
      <c r="D285" s="992">
        <f>+'datos de entrada'!D284</f>
        <v>0</v>
      </c>
      <c r="E285" s="992">
        <f>+'datos de entrada'!E284</f>
        <v>0</v>
      </c>
      <c r="F285" s="992">
        <f>+'datos de entrada'!F284</f>
        <v>0</v>
      </c>
      <c r="G285" s="992">
        <f>+'datos de entrada'!G284</f>
        <v>0</v>
      </c>
      <c r="H285" s="337"/>
      <c r="I285" s="334">
        <f>+'datos de entrada'!I284</f>
        <v>0</v>
      </c>
      <c r="J285" s="993">
        <f>+'datos de entrada'!J284</f>
        <v>0</v>
      </c>
      <c r="K285" s="835">
        <f>+'datos de entrada'!K284</f>
        <v>0</v>
      </c>
      <c r="L285" s="992">
        <f>+'datos de entrada'!L284</f>
        <v>0</v>
      </c>
      <c r="M285" s="992">
        <f>+'datos de entrada'!M284</f>
        <v>0</v>
      </c>
      <c r="N285" s="992">
        <f>+'datos de entrada'!N284</f>
        <v>0</v>
      </c>
      <c r="O285" s="992">
        <f>+'datos de entrada'!O284</f>
        <v>0</v>
      </c>
      <c r="P285" s="338"/>
      <c r="Q285" s="195"/>
      <c r="R285" s="195"/>
      <c r="S285" s="195"/>
      <c r="T285" s="195"/>
      <c r="U285" s="195"/>
      <c r="V285" s="195"/>
      <c r="W285" s="195"/>
      <c r="X285" s="195"/>
      <c r="Y285" s="195"/>
      <c r="Z285" s="195"/>
      <c r="AA285" s="195"/>
      <c r="AB285" s="195"/>
      <c r="AC285" s="195"/>
      <c r="AD285" s="195"/>
      <c r="AE285" s="195"/>
      <c r="AF285" s="195"/>
      <c r="AG285" s="195"/>
      <c r="AH285" s="195"/>
      <c r="AI285" s="195"/>
      <c r="AJ285" s="195"/>
      <c r="AK285" s="195"/>
      <c r="AL285" s="195"/>
      <c r="AM285" s="195"/>
      <c r="AN285" s="195"/>
      <c r="AO285" s="195"/>
      <c r="AP285" s="195"/>
      <c r="AQ285" s="195"/>
      <c r="AR285" s="195"/>
      <c r="AS285" s="195"/>
      <c r="AT285" s="195"/>
    </row>
    <row r="286" spans="1:46" ht="15.75">
      <c r="A286" s="1"/>
      <c r="B286" s="62"/>
      <c r="C286" s="1000">
        <f>SUM(C281:C285)</f>
        <v>0</v>
      </c>
      <c r="D286" s="63"/>
      <c r="E286" s="63"/>
      <c r="F286" s="63"/>
      <c r="G286" s="63"/>
      <c r="H286" s="1"/>
      <c r="I286" s="1"/>
      <c r="J286" s="62"/>
      <c r="K286" s="1000">
        <f>SUM(K281:K285)</f>
        <v>0</v>
      </c>
      <c r="L286" s="63"/>
      <c r="M286" s="63"/>
      <c r="N286" s="63"/>
      <c r="O286" s="63"/>
      <c r="P286" s="289"/>
      <c r="Q286" s="195"/>
      <c r="R286" s="195"/>
      <c r="S286" s="195"/>
      <c r="T286" s="195"/>
      <c r="U286" s="195"/>
      <c r="V286" s="195"/>
      <c r="W286" s="195"/>
      <c r="X286" s="195"/>
      <c r="Y286" s="195"/>
      <c r="Z286" s="195"/>
      <c r="AA286" s="195"/>
      <c r="AB286" s="195"/>
      <c r="AC286" s="195"/>
      <c r="AD286" s="195"/>
      <c r="AE286" s="195"/>
      <c r="AF286" s="195"/>
      <c r="AG286" s="195"/>
      <c r="AH286" s="195"/>
      <c r="AI286" s="195"/>
      <c r="AJ286" s="195"/>
      <c r="AK286" s="195"/>
      <c r="AL286" s="195"/>
      <c r="AM286" s="195"/>
      <c r="AN286" s="195"/>
      <c r="AO286" s="195"/>
      <c r="AP286" s="195"/>
      <c r="AQ286" s="195"/>
      <c r="AR286" s="195"/>
      <c r="AS286" s="195"/>
      <c r="AT286" s="195"/>
    </row>
    <row r="287" spans="1:46" ht="15.75" thickBot="1">
      <c r="A287" s="3"/>
      <c r="B287" s="14"/>
      <c r="C287" s="14"/>
      <c r="D287" s="25"/>
      <c r="E287" s="25"/>
      <c r="F287" s="25"/>
      <c r="G287" s="25"/>
      <c r="H287" s="1"/>
      <c r="I287" s="3"/>
      <c r="J287" s="14"/>
      <c r="K287" s="14"/>
      <c r="L287" s="25"/>
      <c r="M287" s="25"/>
      <c r="N287" s="25"/>
      <c r="O287" s="25"/>
      <c r="P287" s="289"/>
      <c r="Q287" s="195"/>
      <c r="R287" s="195"/>
      <c r="S287" s="195"/>
      <c r="T287" s="195"/>
      <c r="U287" s="195"/>
      <c r="V287" s="195"/>
      <c r="W287" s="195"/>
      <c r="X287" s="195"/>
      <c r="Y287" s="195"/>
      <c r="Z287" s="195"/>
      <c r="AA287" s="195"/>
      <c r="AB287" s="195"/>
      <c r="AC287" s="195"/>
      <c r="AD287" s="195"/>
      <c r="AE287" s="195"/>
      <c r="AF287" s="195"/>
      <c r="AG287" s="195"/>
      <c r="AH287" s="195"/>
      <c r="AI287" s="195"/>
      <c r="AJ287" s="195"/>
      <c r="AK287" s="195"/>
      <c r="AL287" s="195"/>
      <c r="AM287" s="195"/>
      <c r="AN287" s="195"/>
      <c r="AO287" s="195"/>
      <c r="AP287" s="195"/>
      <c r="AQ287" s="195"/>
      <c r="AR287" s="195"/>
      <c r="AS287" s="195"/>
      <c r="AT287" s="195"/>
    </row>
    <row r="288" spans="1:46" ht="16.5" thickBot="1">
      <c r="A288" s="333">
        <f>+'datos de entrada'!A287</f>
        <v>0</v>
      </c>
      <c r="B288" s="997"/>
      <c r="C288" s="65" t="s">
        <v>636</v>
      </c>
      <c r="D288" s="66" t="s">
        <v>664</v>
      </c>
      <c r="E288" s="66"/>
      <c r="F288" s="66"/>
      <c r="G288" s="67"/>
      <c r="H288" s="1"/>
      <c r="I288" s="333">
        <f>+'datos de entrada'!I287</f>
        <v>0</v>
      </c>
      <c r="J288" s="51"/>
      <c r="K288" s="52" t="s">
        <v>636</v>
      </c>
      <c r="L288" s="53" t="s">
        <v>664</v>
      </c>
      <c r="M288" s="54"/>
      <c r="N288" s="54"/>
      <c r="O288" s="51"/>
      <c r="P288" s="289"/>
      <c r="Q288" s="195"/>
      <c r="R288" s="195"/>
      <c r="S288" s="195"/>
      <c r="T288" s="195"/>
      <c r="U288" s="195"/>
      <c r="V288" s="195"/>
      <c r="W288" s="195"/>
      <c r="X288" s="195"/>
      <c r="Y288" s="195"/>
      <c r="Z288" s="195"/>
      <c r="AA288" s="195"/>
      <c r="AB288" s="195"/>
      <c r="AC288" s="195"/>
      <c r="AD288" s="195"/>
      <c r="AE288" s="195"/>
      <c r="AF288" s="195"/>
      <c r="AG288" s="195"/>
      <c r="AH288" s="195"/>
      <c r="AI288" s="195"/>
      <c r="AJ288" s="195"/>
      <c r="AK288" s="195"/>
      <c r="AL288" s="195"/>
      <c r="AM288" s="195"/>
      <c r="AN288" s="195"/>
      <c r="AO288" s="195"/>
      <c r="AP288" s="195"/>
      <c r="AQ288" s="195"/>
      <c r="AR288" s="195"/>
      <c r="AS288" s="195"/>
      <c r="AT288" s="195"/>
    </row>
    <row r="289" spans="1:46" ht="15.75">
      <c r="A289" s="15" t="s">
        <v>665</v>
      </c>
      <c r="B289" s="994" t="s">
        <v>666</v>
      </c>
      <c r="C289" s="69" t="s">
        <v>667</v>
      </c>
      <c r="D289" s="70" t="s">
        <v>580</v>
      </c>
      <c r="E289" s="71" t="s">
        <v>668</v>
      </c>
      <c r="F289" s="71" t="s">
        <v>669</v>
      </c>
      <c r="G289" s="71" t="s">
        <v>670</v>
      </c>
      <c r="H289" s="1063" t="s">
        <v>861</v>
      </c>
      <c r="I289" s="52" t="s">
        <v>665</v>
      </c>
      <c r="J289" s="998" t="s">
        <v>666</v>
      </c>
      <c r="K289" s="56" t="s">
        <v>667</v>
      </c>
      <c r="L289" s="52" t="s">
        <v>580</v>
      </c>
      <c r="M289" s="57" t="s">
        <v>668</v>
      </c>
      <c r="N289" s="57" t="s">
        <v>669</v>
      </c>
      <c r="O289" s="57" t="s">
        <v>670</v>
      </c>
      <c r="P289" s="1063" t="s">
        <v>832</v>
      </c>
      <c r="Q289" s="195"/>
      <c r="R289" s="195"/>
      <c r="S289" s="195"/>
      <c r="T289" s="195"/>
      <c r="U289" s="195"/>
      <c r="V289" s="195"/>
      <c r="W289" s="195"/>
      <c r="X289" s="195"/>
      <c r="Y289" s="195"/>
      <c r="Z289" s="195"/>
      <c r="AA289" s="195"/>
      <c r="AB289" s="195"/>
      <c r="AC289" s="195"/>
      <c r="AD289" s="195"/>
      <c r="AE289" s="195"/>
      <c r="AF289" s="195"/>
      <c r="AG289" s="195"/>
      <c r="AH289" s="195"/>
      <c r="AI289" s="195"/>
      <c r="AJ289" s="195"/>
      <c r="AK289" s="195"/>
      <c r="AL289" s="195"/>
      <c r="AM289" s="195"/>
      <c r="AN289" s="195"/>
      <c r="AO289" s="195"/>
      <c r="AP289" s="195"/>
      <c r="AQ289" s="195"/>
      <c r="AR289" s="195"/>
      <c r="AS289" s="195"/>
      <c r="AT289" s="195"/>
    </row>
    <row r="290" spans="1:46" ht="15.75">
      <c r="A290" s="58"/>
      <c r="B290" s="996"/>
      <c r="C290" s="72"/>
      <c r="D290" s="73"/>
      <c r="E290" s="74"/>
      <c r="F290" s="74"/>
      <c r="G290" s="74"/>
      <c r="H290" s="1064"/>
      <c r="I290" s="60"/>
      <c r="J290" s="999"/>
      <c r="K290" s="60"/>
      <c r="L290" s="60"/>
      <c r="M290" s="61"/>
      <c r="N290" s="61"/>
      <c r="O290" s="61"/>
      <c r="P290" s="1064"/>
      <c r="Q290" s="195"/>
      <c r="R290" s="195"/>
      <c r="S290" s="195"/>
      <c r="T290" s="195"/>
      <c r="U290" s="195"/>
      <c r="V290" s="195"/>
      <c r="W290" s="195"/>
      <c r="X290" s="195"/>
      <c r="Y290" s="195"/>
      <c r="Z290" s="195"/>
      <c r="AA290" s="195"/>
      <c r="AB290" s="195"/>
      <c r="AC290" s="195"/>
      <c r="AD290" s="195"/>
      <c r="AE290" s="195"/>
      <c r="AF290" s="195"/>
      <c r="AG290" s="195"/>
      <c r="AH290" s="195"/>
      <c r="AI290" s="195"/>
      <c r="AJ290" s="195"/>
      <c r="AK290" s="195"/>
      <c r="AL290" s="195"/>
      <c r="AM290" s="195"/>
      <c r="AN290" s="195"/>
      <c r="AO290" s="195"/>
      <c r="AP290" s="195"/>
      <c r="AQ290" s="195"/>
      <c r="AR290" s="195"/>
      <c r="AS290" s="195"/>
      <c r="AT290" s="195"/>
    </row>
    <row r="291" spans="1:46" ht="15.75">
      <c r="A291" s="334">
        <f>+'datos de entrada'!A290</f>
        <v>0</v>
      </c>
      <c r="B291" s="993">
        <f>+'datos de entrada'!B290</f>
        <v>0</v>
      </c>
      <c r="C291" s="835">
        <f>+'datos de entrada'!C290</f>
        <v>0</v>
      </c>
      <c r="D291" s="992">
        <f>+'datos de entrada'!D290</f>
        <v>0</v>
      </c>
      <c r="E291" s="992">
        <f>+'datos de entrada'!E290</f>
        <v>0</v>
      </c>
      <c r="F291" s="992">
        <f>+'datos de entrada'!F290</f>
        <v>0</v>
      </c>
      <c r="G291" s="992">
        <f>+'datos de entrada'!G290</f>
        <v>0</v>
      </c>
      <c r="H291" s="334">
        <f>+'datos de entrada'!H295</f>
        <v>0</v>
      </c>
      <c r="I291" s="334">
        <f>+'datos de entrada'!I290</f>
        <v>0</v>
      </c>
      <c r="J291" s="993">
        <f>+'datos de entrada'!J290</f>
        <v>0</v>
      </c>
      <c r="K291" s="835">
        <f>+'datos de entrada'!K290</f>
        <v>0</v>
      </c>
      <c r="L291" s="992">
        <f>+'datos de entrada'!L290</f>
        <v>0</v>
      </c>
      <c r="M291" s="992">
        <f>+'datos de entrada'!M290</f>
        <v>0</v>
      </c>
      <c r="N291" s="992">
        <f>+'datos de entrada'!N290</f>
        <v>0</v>
      </c>
      <c r="O291" s="992">
        <f>+'datos de entrada'!O290</f>
        <v>0</v>
      </c>
      <c r="P291" s="334">
        <f>+'datos de entrada'!P295</f>
        <v>0</v>
      </c>
      <c r="Q291" s="195"/>
      <c r="R291" s="195"/>
      <c r="S291" s="195"/>
      <c r="T291" s="195"/>
      <c r="U291" s="195"/>
      <c r="V291" s="195"/>
      <c r="W291" s="195"/>
      <c r="X291" s="195"/>
      <c r="Y291" s="195"/>
      <c r="Z291" s="195"/>
      <c r="AA291" s="195"/>
      <c r="AB291" s="195"/>
      <c r="AC291" s="195"/>
      <c r="AD291" s="195"/>
      <c r="AE291" s="195"/>
      <c r="AF291" s="195"/>
      <c r="AG291" s="195"/>
      <c r="AH291" s="195"/>
      <c r="AI291" s="195"/>
      <c r="AJ291" s="195"/>
      <c r="AK291" s="195"/>
      <c r="AL291" s="195"/>
      <c r="AM291" s="195"/>
      <c r="AN291" s="195"/>
      <c r="AO291" s="195"/>
      <c r="AP291" s="195"/>
      <c r="AQ291" s="195"/>
      <c r="AR291" s="195"/>
      <c r="AS291" s="195"/>
      <c r="AT291" s="195"/>
    </row>
    <row r="292" spans="1:46" ht="15.75">
      <c r="A292" s="334">
        <f>+'datos de entrada'!A291</f>
        <v>0</v>
      </c>
      <c r="B292" s="993">
        <f>+'datos de entrada'!B291</f>
        <v>0</v>
      </c>
      <c r="C292" s="835">
        <f>+'datos de entrada'!C291</f>
        <v>0</v>
      </c>
      <c r="D292" s="992">
        <f>+'datos de entrada'!D291</f>
        <v>0</v>
      </c>
      <c r="E292" s="992">
        <f>+'datos de entrada'!E291</f>
        <v>0</v>
      </c>
      <c r="F292" s="992">
        <f>+'datos de entrada'!F291</f>
        <v>0</v>
      </c>
      <c r="G292" s="992">
        <f>+'datos de entrada'!G291</f>
        <v>0</v>
      </c>
      <c r="H292" s="335"/>
      <c r="I292" s="334">
        <f>+'datos de entrada'!I291</f>
        <v>0</v>
      </c>
      <c r="J292" s="993">
        <f>+'datos de entrada'!J291</f>
        <v>0</v>
      </c>
      <c r="K292" s="835">
        <f>+'datos de entrada'!K291</f>
        <v>0</v>
      </c>
      <c r="L292" s="992">
        <f>+'datos de entrada'!L291</f>
        <v>0</v>
      </c>
      <c r="M292" s="992">
        <f>+'datos de entrada'!M291</f>
        <v>0</v>
      </c>
      <c r="N292" s="992">
        <f>+'datos de entrada'!N291</f>
        <v>0</v>
      </c>
      <c r="O292" s="992">
        <f>+'datos de entrada'!O291</f>
        <v>0</v>
      </c>
      <c r="P292" s="336"/>
      <c r="Q292" s="195"/>
      <c r="R292" s="195"/>
      <c r="S292" s="195"/>
      <c r="T292" s="195"/>
      <c r="U292" s="195"/>
      <c r="V292" s="195"/>
      <c r="W292" s="195"/>
      <c r="X292" s="195"/>
      <c r="Y292" s="195"/>
      <c r="Z292" s="195"/>
      <c r="AA292" s="195"/>
      <c r="AB292" s="195"/>
      <c r="AC292" s="195"/>
      <c r="AD292" s="195"/>
      <c r="AE292" s="195"/>
      <c r="AF292" s="195"/>
      <c r="AG292" s="195"/>
      <c r="AH292" s="195"/>
      <c r="AI292" s="195"/>
      <c r="AJ292" s="195"/>
      <c r="AK292" s="195"/>
      <c r="AL292" s="195"/>
      <c r="AM292" s="195"/>
      <c r="AN292" s="195"/>
      <c r="AO292" s="195"/>
      <c r="AP292" s="195"/>
      <c r="AQ292" s="195"/>
      <c r="AR292" s="195"/>
      <c r="AS292" s="195"/>
      <c r="AT292" s="195"/>
    </row>
    <row r="293" spans="1:46" ht="15.75">
      <c r="A293" s="334">
        <f>+'datos de entrada'!A292</f>
        <v>0</v>
      </c>
      <c r="B293" s="993">
        <f>+'datos de entrada'!B292</f>
        <v>0</v>
      </c>
      <c r="C293" s="835">
        <f>+'datos de entrada'!C292</f>
        <v>0</v>
      </c>
      <c r="D293" s="992">
        <f>+'datos de entrada'!D292</f>
        <v>0</v>
      </c>
      <c r="E293" s="992">
        <f>+'datos de entrada'!E292</f>
        <v>0</v>
      </c>
      <c r="F293" s="992">
        <f>+'datos de entrada'!F292</f>
        <v>0</v>
      </c>
      <c r="G293" s="992">
        <f>+'datos de entrada'!G292</f>
        <v>0</v>
      </c>
      <c r="H293" s="337"/>
      <c r="I293" s="334">
        <f>+'datos de entrada'!I292</f>
        <v>0</v>
      </c>
      <c r="J293" s="993">
        <f>+'datos de entrada'!J292</f>
        <v>0</v>
      </c>
      <c r="K293" s="835">
        <f>+'datos de entrada'!K292</f>
        <v>0</v>
      </c>
      <c r="L293" s="992">
        <f>+'datos de entrada'!L292</f>
        <v>0</v>
      </c>
      <c r="M293" s="992">
        <f>+'datos de entrada'!M292</f>
        <v>0</v>
      </c>
      <c r="N293" s="992">
        <f>+'datos de entrada'!N292</f>
        <v>0</v>
      </c>
      <c r="O293" s="992">
        <f>+'datos de entrada'!O292</f>
        <v>0</v>
      </c>
      <c r="P293" s="338"/>
      <c r="Q293" s="195"/>
      <c r="R293" s="195"/>
      <c r="S293" s="195"/>
      <c r="T293" s="195"/>
      <c r="U293" s="195"/>
      <c r="V293" s="195"/>
      <c r="W293" s="195"/>
      <c r="X293" s="195"/>
      <c r="Y293" s="195"/>
      <c r="Z293" s="195"/>
      <c r="AA293" s="195"/>
      <c r="AB293" s="195"/>
      <c r="AC293" s="195"/>
      <c r="AD293" s="195"/>
      <c r="AE293" s="195"/>
      <c r="AF293" s="195"/>
      <c r="AG293" s="195"/>
      <c r="AH293" s="195"/>
      <c r="AI293" s="195"/>
      <c r="AJ293" s="195"/>
      <c r="AK293" s="195"/>
      <c r="AL293" s="195"/>
      <c r="AM293" s="195"/>
      <c r="AN293" s="195"/>
      <c r="AO293" s="195"/>
      <c r="AP293" s="195"/>
      <c r="AQ293" s="195"/>
      <c r="AR293" s="195"/>
      <c r="AS293" s="195"/>
      <c r="AT293" s="195"/>
    </row>
    <row r="294" spans="1:46" ht="15.75">
      <c r="A294" s="334">
        <f>+'datos de entrada'!A293</f>
        <v>0</v>
      </c>
      <c r="B294" s="993">
        <f>+'datos de entrada'!B293</f>
        <v>0</v>
      </c>
      <c r="C294" s="835">
        <f>+'datos de entrada'!C293</f>
        <v>0</v>
      </c>
      <c r="D294" s="992">
        <f>+'datos de entrada'!D293</f>
        <v>0</v>
      </c>
      <c r="E294" s="992">
        <f>+'datos de entrada'!E293</f>
        <v>0</v>
      </c>
      <c r="F294" s="992">
        <f>+'datos de entrada'!F293</f>
        <v>0</v>
      </c>
      <c r="G294" s="992">
        <f>+'datos de entrada'!G293</f>
        <v>0</v>
      </c>
      <c r="H294" s="337"/>
      <c r="I294" s="334">
        <f>+'datos de entrada'!I293</f>
        <v>0</v>
      </c>
      <c r="J294" s="993">
        <f>+'datos de entrada'!J293</f>
        <v>0</v>
      </c>
      <c r="K294" s="835">
        <f>+'datos de entrada'!K293</f>
        <v>0</v>
      </c>
      <c r="L294" s="992">
        <f>+'datos de entrada'!L293</f>
        <v>0</v>
      </c>
      <c r="M294" s="992">
        <f>+'datos de entrada'!M293</f>
        <v>0</v>
      </c>
      <c r="N294" s="992">
        <f>+'datos de entrada'!N293</f>
        <v>0</v>
      </c>
      <c r="O294" s="992">
        <f>+'datos de entrada'!O293</f>
        <v>0</v>
      </c>
      <c r="P294" s="338"/>
      <c r="Q294" s="195"/>
      <c r="R294" s="195"/>
      <c r="S294" s="195"/>
      <c r="T294" s="195"/>
      <c r="U294" s="195"/>
      <c r="V294" s="195"/>
      <c r="W294" s="195"/>
      <c r="X294" s="195"/>
      <c r="Y294" s="195"/>
      <c r="Z294" s="195"/>
      <c r="AA294" s="195"/>
      <c r="AB294" s="195"/>
      <c r="AC294" s="195"/>
      <c r="AD294" s="195"/>
      <c r="AE294" s="195"/>
      <c r="AF294" s="195"/>
      <c r="AG294" s="195"/>
      <c r="AH294" s="195"/>
      <c r="AI294" s="195"/>
      <c r="AJ294" s="195"/>
      <c r="AK294" s="195"/>
      <c r="AL294" s="195"/>
      <c r="AM294" s="195"/>
      <c r="AN294" s="195"/>
      <c r="AO294" s="195"/>
      <c r="AP294" s="195"/>
      <c r="AQ294" s="195"/>
      <c r="AR294" s="195"/>
      <c r="AS294" s="195"/>
      <c r="AT294" s="195"/>
    </row>
    <row r="295" spans="1:46" ht="15.75">
      <c r="A295" s="334">
        <f>+'datos de entrada'!A294</f>
        <v>0</v>
      </c>
      <c r="B295" s="993">
        <f>+'datos de entrada'!B294</f>
        <v>0</v>
      </c>
      <c r="C295" s="835">
        <f>+'datos de entrada'!C294</f>
        <v>0</v>
      </c>
      <c r="D295" s="992">
        <f>+'datos de entrada'!D294</f>
        <v>0</v>
      </c>
      <c r="E295" s="992">
        <f>+'datos de entrada'!E294</f>
        <v>0</v>
      </c>
      <c r="F295" s="992">
        <f>+'datos de entrada'!F294</f>
        <v>0</v>
      </c>
      <c r="G295" s="992">
        <f>+'datos de entrada'!G294</f>
        <v>0</v>
      </c>
      <c r="H295" s="337"/>
      <c r="I295" s="334">
        <f>+'datos de entrada'!I294</f>
        <v>0</v>
      </c>
      <c r="J295" s="993">
        <f>+'datos de entrada'!J294</f>
        <v>0</v>
      </c>
      <c r="K295" s="835">
        <f>+'datos de entrada'!K294</f>
        <v>0</v>
      </c>
      <c r="L295" s="992">
        <f>+'datos de entrada'!L294</f>
        <v>0</v>
      </c>
      <c r="M295" s="992">
        <f>+'datos de entrada'!M294</f>
        <v>0</v>
      </c>
      <c r="N295" s="992">
        <f>+'datos de entrada'!N294</f>
        <v>0</v>
      </c>
      <c r="O295" s="992">
        <f>+'datos de entrada'!O294</f>
        <v>0</v>
      </c>
      <c r="P295" s="338"/>
      <c r="Q295" s="195"/>
      <c r="R295" s="195"/>
      <c r="S295" s="195"/>
      <c r="T295" s="195"/>
      <c r="U295" s="195"/>
      <c r="V295" s="195"/>
      <c r="W295" s="195"/>
      <c r="X295" s="195"/>
      <c r="Y295" s="195"/>
      <c r="Z295" s="195"/>
      <c r="AA295" s="195"/>
      <c r="AB295" s="195"/>
      <c r="AC295" s="195"/>
      <c r="AD295" s="195"/>
      <c r="AE295" s="195"/>
      <c r="AF295" s="195"/>
      <c r="AG295" s="195"/>
      <c r="AH295" s="195"/>
      <c r="AI295" s="195"/>
      <c r="AJ295" s="195"/>
      <c r="AK295" s="195"/>
      <c r="AL295" s="195"/>
      <c r="AM295" s="195"/>
      <c r="AN295" s="195"/>
      <c r="AO295" s="195"/>
      <c r="AP295" s="195"/>
      <c r="AQ295" s="195"/>
      <c r="AR295" s="195"/>
      <c r="AS295" s="195"/>
      <c r="AT295" s="195"/>
    </row>
    <row r="296" spans="1:46" ht="15.75">
      <c r="A296" s="1"/>
      <c r="B296" s="62"/>
      <c r="C296" s="1000">
        <f>SUM(C291:C295)</f>
        <v>0</v>
      </c>
      <c r="D296" s="63"/>
      <c r="E296" s="63"/>
      <c r="F296" s="63"/>
      <c r="G296" s="63"/>
      <c r="H296" s="1"/>
      <c r="I296" s="1"/>
      <c r="J296" s="62"/>
      <c r="K296" s="1000">
        <f>SUM(K291:K295)</f>
        <v>0</v>
      </c>
      <c r="L296" s="63"/>
      <c r="M296" s="63"/>
      <c r="N296" s="63"/>
      <c r="O296" s="63"/>
      <c r="P296" s="289"/>
      <c r="Q296" s="195"/>
      <c r="R296" s="195"/>
      <c r="S296" s="195"/>
      <c r="T296" s="195"/>
      <c r="U296" s="195"/>
      <c r="V296" s="195"/>
      <c r="W296" s="195"/>
      <c r="X296" s="195"/>
      <c r="Y296" s="195"/>
      <c r="Z296" s="195"/>
      <c r="AA296" s="195"/>
      <c r="AB296" s="195"/>
      <c r="AC296" s="195"/>
      <c r="AD296" s="195"/>
      <c r="AE296" s="195"/>
      <c r="AF296" s="195"/>
      <c r="AG296" s="195"/>
      <c r="AH296" s="195"/>
      <c r="AI296" s="195"/>
      <c r="AJ296" s="195"/>
      <c r="AK296" s="195"/>
      <c r="AL296" s="195"/>
      <c r="AM296" s="195"/>
      <c r="AN296" s="195"/>
      <c r="AO296" s="195"/>
      <c r="AP296" s="195"/>
      <c r="AQ296" s="195"/>
      <c r="AR296" s="195"/>
      <c r="AS296" s="195"/>
      <c r="AT296" s="195"/>
    </row>
    <row r="297" spans="1:46" ht="15.75" thickBot="1">
      <c r="A297" s="3"/>
      <c r="B297" s="14"/>
      <c r="C297" s="14"/>
      <c r="D297" s="25"/>
      <c r="E297" s="25"/>
      <c r="F297" s="25"/>
      <c r="G297" s="25"/>
      <c r="H297" s="1"/>
      <c r="I297" s="3"/>
      <c r="J297" s="14"/>
      <c r="K297" s="14"/>
      <c r="L297" s="25"/>
      <c r="M297" s="25"/>
      <c r="N297" s="25"/>
      <c r="O297" s="25"/>
      <c r="P297" s="289"/>
      <c r="Q297" s="195"/>
      <c r="R297" s="195"/>
      <c r="S297" s="195"/>
      <c r="T297" s="195"/>
      <c r="U297" s="195"/>
      <c r="V297" s="195"/>
      <c r="W297" s="195"/>
      <c r="X297" s="195"/>
      <c r="Y297" s="195"/>
      <c r="Z297" s="195"/>
      <c r="AA297" s="195"/>
      <c r="AB297" s="195"/>
      <c r="AC297" s="195"/>
      <c r="AD297" s="195"/>
      <c r="AE297" s="195"/>
      <c r="AF297" s="195"/>
      <c r="AG297" s="195"/>
      <c r="AH297" s="195"/>
      <c r="AI297" s="195"/>
      <c r="AJ297" s="195"/>
      <c r="AK297" s="195"/>
      <c r="AL297" s="195"/>
      <c r="AM297" s="195"/>
      <c r="AN297" s="195"/>
      <c r="AO297" s="195"/>
      <c r="AP297" s="195"/>
      <c r="AQ297" s="195"/>
      <c r="AR297" s="195"/>
      <c r="AS297" s="195"/>
      <c r="AT297" s="195"/>
    </row>
    <row r="298" spans="1:46" ht="16.5" thickBot="1">
      <c r="A298" s="333">
        <f>+'datos de entrada'!A297</f>
        <v>0</v>
      </c>
      <c r="B298" s="997"/>
      <c r="C298" s="65" t="s">
        <v>636</v>
      </c>
      <c r="D298" s="66" t="s">
        <v>664</v>
      </c>
      <c r="E298" s="66"/>
      <c r="F298" s="66"/>
      <c r="G298" s="67"/>
      <c r="H298" s="1"/>
      <c r="I298" s="333">
        <f>+'datos de entrada'!I297</f>
        <v>0</v>
      </c>
      <c r="J298" s="51"/>
      <c r="K298" s="52" t="s">
        <v>636</v>
      </c>
      <c r="L298" s="53" t="s">
        <v>664</v>
      </c>
      <c r="M298" s="54"/>
      <c r="N298" s="54"/>
      <c r="O298" s="51"/>
      <c r="P298" s="289"/>
      <c r="Q298" s="195"/>
      <c r="R298" s="195"/>
      <c r="S298" s="195"/>
      <c r="T298" s="195"/>
      <c r="U298" s="195"/>
      <c r="V298" s="195"/>
      <c r="W298" s="195"/>
      <c r="X298" s="195"/>
      <c r="Y298" s="195"/>
      <c r="Z298" s="195"/>
      <c r="AA298" s="195"/>
      <c r="AB298" s="195"/>
      <c r="AC298" s="195"/>
      <c r="AD298" s="195"/>
      <c r="AE298" s="195"/>
      <c r="AF298" s="195"/>
      <c r="AG298" s="195"/>
      <c r="AH298" s="195"/>
      <c r="AI298" s="195"/>
      <c r="AJ298" s="195"/>
      <c r="AK298" s="195"/>
      <c r="AL298" s="195"/>
      <c r="AM298" s="195"/>
      <c r="AN298" s="195"/>
      <c r="AO298" s="195"/>
      <c r="AP298" s="195"/>
      <c r="AQ298" s="195"/>
      <c r="AR298" s="195"/>
      <c r="AS298" s="195"/>
      <c r="AT298" s="195"/>
    </row>
    <row r="299" spans="1:46" ht="15.75">
      <c r="A299" s="15" t="s">
        <v>665</v>
      </c>
      <c r="B299" s="994" t="s">
        <v>666</v>
      </c>
      <c r="C299" s="69" t="s">
        <v>667</v>
      </c>
      <c r="D299" s="70" t="s">
        <v>580</v>
      </c>
      <c r="E299" s="71" t="s">
        <v>668</v>
      </c>
      <c r="F299" s="71" t="s">
        <v>669</v>
      </c>
      <c r="G299" s="71" t="s">
        <v>670</v>
      </c>
      <c r="H299" s="1063" t="s">
        <v>861</v>
      </c>
      <c r="I299" s="52" t="s">
        <v>665</v>
      </c>
      <c r="J299" s="998" t="s">
        <v>666</v>
      </c>
      <c r="K299" s="56" t="s">
        <v>667</v>
      </c>
      <c r="L299" s="52" t="s">
        <v>580</v>
      </c>
      <c r="M299" s="57" t="s">
        <v>668</v>
      </c>
      <c r="N299" s="57" t="s">
        <v>669</v>
      </c>
      <c r="O299" s="57" t="s">
        <v>670</v>
      </c>
      <c r="P299" s="1063" t="s">
        <v>832</v>
      </c>
      <c r="Q299" s="195"/>
      <c r="R299" s="195"/>
      <c r="S299" s="195"/>
      <c r="T299" s="195"/>
      <c r="U299" s="195"/>
      <c r="V299" s="195"/>
      <c r="W299" s="195"/>
      <c r="X299" s="195"/>
      <c r="Y299" s="195"/>
      <c r="Z299" s="195"/>
      <c r="AA299" s="195"/>
      <c r="AB299" s="195"/>
      <c r="AC299" s="195"/>
      <c r="AD299" s="195"/>
      <c r="AE299" s="195"/>
      <c r="AF299" s="195"/>
      <c r="AG299" s="195"/>
      <c r="AH299" s="195"/>
      <c r="AI299" s="195"/>
      <c r="AJ299" s="195"/>
      <c r="AK299" s="195"/>
      <c r="AL299" s="195"/>
      <c r="AM299" s="195"/>
      <c r="AN299" s="195"/>
      <c r="AO299" s="195"/>
      <c r="AP299" s="195"/>
      <c r="AQ299" s="195"/>
      <c r="AR299" s="195"/>
      <c r="AS299" s="195"/>
      <c r="AT299" s="195"/>
    </row>
    <row r="300" spans="1:46" ht="15.75">
      <c r="A300" s="58"/>
      <c r="B300" s="996"/>
      <c r="C300" s="72"/>
      <c r="D300" s="73"/>
      <c r="E300" s="74"/>
      <c r="F300" s="74"/>
      <c r="G300" s="74"/>
      <c r="H300" s="1064"/>
      <c r="I300" s="60"/>
      <c r="J300" s="999"/>
      <c r="K300" s="60"/>
      <c r="L300" s="60"/>
      <c r="M300" s="61"/>
      <c r="N300" s="61"/>
      <c r="O300" s="61"/>
      <c r="P300" s="1064"/>
      <c r="Q300" s="195"/>
      <c r="R300" s="195"/>
      <c r="S300" s="195"/>
      <c r="T300" s="195"/>
      <c r="U300" s="195"/>
      <c r="V300" s="195"/>
      <c r="W300" s="195"/>
      <c r="X300" s="195"/>
      <c r="Y300" s="195"/>
      <c r="Z300" s="195"/>
      <c r="AA300" s="195"/>
      <c r="AB300" s="195"/>
      <c r="AC300" s="195"/>
      <c r="AD300" s="195"/>
      <c r="AE300" s="195"/>
      <c r="AF300" s="195"/>
      <c r="AG300" s="195"/>
      <c r="AH300" s="195"/>
      <c r="AI300" s="195"/>
      <c r="AJ300" s="195"/>
      <c r="AK300" s="195"/>
      <c r="AL300" s="195"/>
      <c r="AM300" s="195"/>
      <c r="AN300" s="195"/>
      <c r="AO300" s="195"/>
      <c r="AP300" s="195"/>
      <c r="AQ300" s="195"/>
      <c r="AR300" s="195"/>
      <c r="AS300" s="195"/>
      <c r="AT300" s="195"/>
    </row>
    <row r="301" spans="1:46" ht="15.75">
      <c r="A301" s="334">
        <f>+'datos de entrada'!A300</f>
        <v>0</v>
      </c>
      <c r="B301" s="993">
        <f>+'datos de entrada'!B300</f>
        <v>0</v>
      </c>
      <c r="C301" s="334">
        <f>+'datos de entrada'!C300</f>
        <v>0</v>
      </c>
      <c r="D301" s="992">
        <f>+'datos de entrada'!D300</f>
        <v>0</v>
      </c>
      <c r="E301" s="992">
        <f>+'datos de entrada'!E300</f>
        <v>0</v>
      </c>
      <c r="F301" s="992">
        <f>+'datos de entrada'!F300</f>
        <v>0</v>
      </c>
      <c r="G301" s="992">
        <f>+'datos de entrada'!G300</f>
        <v>0</v>
      </c>
      <c r="H301" s="334">
        <f>+'datos de entrada'!H305</f>
        <v>0</v>
      </c>
      <c r="I301" s="334">
        <f>+'datos de entrada'!I300</f>
        <v>0</v>
      </c>
      <c r="J301" s="993">
        <f>+'datos de entrada'!J300</f>
        <v>0</v>
      </c>
      <c r="K301" s="835">
        <f>+'datos de entrada'!K300</f>
        <v>0</v>
      </c>
      <c r="L301" s="992">
        <f>+'datos de entrada'!L300</f>
        <v>0</v>
      </c>
      <c r="M301" s="992">
        <f>+'datos de entrada'!M300</f>
        <v>0</v>
      </c>
      <c r="N301" s="992">
        <f>+'datos de entrada'!N300</f>
        <v>0</v>
      </c>
      <c r="O301" s="992">
        <f>+'datos de entrada'!O300</f>
        <v>0</v>
      </c>
      <c r="P301" s="334">
        <f>+'datos de entrada'!P305</f>
        <v>0</v>
      </c>
      <c r="Q301" s="195"/>
      <c r="R301" s="195"/>
      <c r="S301" s="195"/>
      <c r="T301" s="195"/>
      <c r="U301" s="195"/>
      <c r="V301" s="195"/>
      <c r="W301" s="195"/>
      <c r="X301" s="195"/>
      <c r="Y301" s="195"/>
      <c r="Z301" s="195"/>
      <c r="AA301" s="195"/>
      <c r="AB301" s="195"/>
      <c r="AC301" s="195"/>
      <c r="AD301" s="195"/>
      <c r="AE301" s="195"/>
      <c r="AF301" s="195"/>
      <c r="AG301" s="195"/>
      <c r="AH301" s="195"/>
      <c r="AI301" s="195"/>
      <c r="AJ301" s="195"/>
      <c r="AK301" s="195"/>
      <c r="AL301" s="195"/>
      <c r="AM301" s="195"/>
      <c r="AN301" s="195"/>
      <c r="AO301" s="195"/>
      <c r="AP301" s="195"/>
      <c r="AQ301" s="195"/>
      <c r="AR301" s="195"/>
      <c r="AS301" s="195"/>
      <c r="AT301" s="195"/>
    </row>
    <row r="302" spans="1:46" ht="15.75">
      <c r="A302" s="334">
        <f>+'datos de entrada'!A301</f>
        <v>0</v>
      </c>
      <c r="B302" s="993">
        <f>+'datos de entrada'!B301</f>
        <v>0</v>
      </c>
      <c r="C302" s="334">
        <f>+'datos de entrada'!C301</f>
        <v>0</v>
      </c>
      <c r="D302" s="992">
        <f>+'datos de entrada'!D301</f>
        <v>0</v>
      </c>
      <c r="E302" s="992">
        <f>+'datos de entrada'!E301</f>
        <v>0</v>
      </c>
      <c r="F302" s="992">
        <f>+'datos de entrada'!F301</f>
        <v>0</v>
      </c>
      <c r="G302" s="992">
        <f>+'datos de entrada'!G301</f>
        <v>0</v>
      </c>
      <c r="H302" s="335"/>
      <c r="I302" s="334">
        <f>+'datos de entrada'!I301</f>
        <v>0</v>
      </c>
      <c r="J302" s="993">
        <f>+'datos de entrada'!J301</f>
        <v>0</v>
      </c>
      <c r="K302" s="835">
        <f>+'datos de entrada'!K301</f>
        <v>0</v>
      </c>
      <c r="L302" s="992">
        <f>+'datos de entrada'!L301</f>
        <v>0</v>
      </c>
      <c r="M302" s="992">
        <f>+'datos de entrada'!M301</f>
        <v>0</v>
      </c>
      <c r="N302" s="992">
        <f>+'datos de entrada'!N301</f>
        <v>0</v>
      </c>
      <c r="O302" s="992">
        <f>+'datos de entrada'!O301</f>
        <v>0</v>
      </c>
      <c r="P302" s="336"/>
      <c r="Q302" s="195"/>
      <c r="R302" s="195"/>
      <c r="S302" s="195"/>
      <c r="T302" s="195"/>
      <c r="U302" s="195"/>
      <c r="V302" s="195"/>
      <c r="W302" s="195"/>
      <c r="X302" s="195"/>
      <c r="Y302" s="195"/>
      <c r="Z302" s="195"/>
      <c r="AA302" s="195"/>
      <c r="AB302" s="195"/>
      <c r="AC302" s="195"/>
      <c r="AD302" s="195"/>
      <c r="AE302" s="195"/>
      <c r="AF302" s="195"/>
      <c r="AG302" s="195"/>
      <c r="AH302" s="195"/>
      <c r="AI302" s="195"/>
      <c r="AJ302" s="195"/>
      <c r="AK302" s="195"/>
      <c r="AL302" s="195"/>
      <c r="AM302" s="195"/>
      <c r="AN302" s="195"/>
      <c r="AO302" s="195"/>
      <c r="AP302" s="195"/>
      <c r="AQ302" s="195"/>
      <c r="AR302" s="195"/>
      <c r="AS302" s="195"/>
      <c r="AT302" s="195"/>
    </row>
    <row r="303" spans="1:46" ht="15.75">
      <c r="A303" s="334">
        <f>+'datos de entrada'!A302</f>
        <v>0</v>
      </c>
      <c r="B303" s="993">
        <f>+'datos de entrada'!B302</f>
        <v>0</v>
      </c>
      <c r="C303" s="334">
        <f>+'datos de entrada'!C302</f>
        <v>0</v>
      </c>
      <c r="D303" s="992">
        <f>+'datos de entrada'!D302</f>
        <v>0</v>
      </c>
      <c r="E303" s="992">
        <f>+'datos de entrada'!E302</f>
        <v>0</v>
      </c>
      <c r="F303" s="992">
        <f>+'datos de entrada'!F302</f>
        <v>0</v>
      </c>
      <c r="G303" s="992">
        <f>+'datos de entrada'!G302</f>
        <v>0</v>
      </c>
      <c r="H303" s="337"/>
      <c r="I303" s="334">
        <f>+'datos de entrada'!I302</f>
        <v>0</v>
      </c>
      <c r="J303" s="993">
        <f>+'datos de entrada'!J302</f>
        <v>0</v>
      </c>
      <c r="K303" s="835">
        <f>+'datos de entrada'!K302</f>
        <v>0</v>
      </c>
      <c r="L303" s="992">
        <f>+'datos de entrada'!L302</f>
        <v>0</v>
      </c>
      <c r="M303" s="992">
        <f>+'datos de entrada'!M302</f>
        <v>0</v>
      </c>
      <c r="N303" s="992">
        <f>+'datos de entrada'!N302</f>
        <v>0</v>
      </c>
      <c r="O303" s="992">
        <f>+'datos de entrada'!O302</f>
        <v>0</v>
      </c>
      <c r="P303" s="338"/>
      <c r="Q303" s="195"/>
      <c r="R303" s="195"/>
      <c r="S303" s="195"/>
      <c r="T303" s="195"/>
      <c r="U303" s="195"/>
      <c r="V303" s="195"/>
      <c r="W303" s="195"/>
      <c r="X303" s="195"/>
      <c r="Y303" s="195"/>
      <c r="Z303" s="195"/>
      <c r="AA303" s="195"/>
      <c r="AB303" s="195"/>
      <c r="AC303" s="195"/>
      <c r="AD303" s="195"/>
      <c r="AE303" s="195"/>
      <c r="AF303" s="195"/>
      <c r="AG303" s="195"/>
      <c r="AH303" s="195"/>
      <c r="AI303" s="195"/>
      <c r="AJ303" s="195"/>
      <c r="AK303" s="195"/>
      <c r="AL303" s="195"/>
      <c r="AM303" s="195"/>
      <c r="AN303" s="195"/>
      <c r="AO303" s="195"/>
      <c r="AP303" s="195"/>
      <c r="AQ303" s="195"/>
      <c r="AR303" s="195"/>
      <c r="AS303" s="195"/>
      <c r="AT303" s="195"/>
    </row>
    <row r="304" spans="1:46" ht="15.75">
      <c r="A304" s="334">
        <f>+'datos de entrada'!A303</f>
        <v>0</v>
      </c>
      <c r="B304" s="993">
        <f>+'datos de entrada'!B303</f>
        <v>0</v>
      </c>
      <c r="C304" s="334">
        <f>+'datos de entrada'!C303</f>
        <v>0</v>
      </c>
      <c r="D304" s="992">
        <f>+'datos de entrada'!D303</f>
        <v>0</v>
      </c>
      <c r="E304" s="992">
        <f>+'datos de entrada'!E303</f>
        <v>0</v>
      </c>
      <c r="F304" s="992">
        <f>+'datos de entrada'!F303</f>
        <v>0</v>
      </c>
      <c r="G304" s="992">
        <f>+'datos de entrada'!G303</f>
        <v>0</v>
      </c>
      <c r="H304" s="337"/>
      <c r="I304" s="334">
        <f>+'datos de entrada'!I303</f>
        <v>0</v>
      </c>
      <c r="J304" s="993">
        <f>+'datos de entrada'!J303</f>
        <v>0</v>
      </c>
      <c r="K304" s="835">
        <f>+'datos de entrada'!K303</f>
        <v>0</v>
      </c>
      <c r="L304" s="992">
        <f>+'datos de entrada'!L303</f>
        <v>0</v>
      </c>
      <c r="M304" s="992">
        <f>+'datos de entrada'!M303</f>
        <v>0</v>
      </c>
      <c r="N304" s="992">
        <f>+'datos de entrada'!N303</f>
        <v>0</v>
      </c>
      <c r="O304" s="992">
        <f>+'datos de entrada'!O303</f>
        <v>0</v>
      </c>
      <c r="P304" s="338"/>
      <c r="Q304" s="195"/>
      <c r="R304" s="195"/>
      <c r="S304" s="195"/>
      <c r="T304" s="195"/>
      <c r="U304" s="195"/>
      <c r="V304" s="195"/>
      <c r="W304" s="195"/>
      <c r="X304" s="195"/>
      <c r="Y304" s="195"/>
      <c r="Z304" s="195"/>
      <c r="AA304" s="195"/>
      <c r="AB304" s="195"/>
      <c r="AC304" s="195"/>
      <c r="AD304" s="195"/>
      <c r="AE304" s="195"/>
      <c r="AF304" s="195"/>
      <c r="AG304" s="195"/>
      <c r="AH304" s="195"/>
      <c r="AI304" s="195"/>
      <c r="AJ304" s="195"/>
      <c r="AK304" s="195"/>
      <c r="AL304" s="195"/>
      <c r="AM304" s="195"/>
      <c r="AN304" s="195"/>
      <c r="AO304" s="195"/>
      <c r="AP304" s="195"/>
      <c r="AQ304" s="195"/>
      <c r="AR304" s="195"/>
      <c r="AS304" s="195"/>
      <c r="AT304" s="195"/>
    </row>
    <row r="305" spans="1:46" ht="15.75">
      <c r="A305" s="334">
        <f>+'datos de entrada'!A304</f>
        <v>0</v>
      </c>
      <c r="B305" s="993">
        <f>+'datos de entrada'!B304</f>
        <v>0</v>
      </c>
      <c r="C305" s="334">
        <f>+'datos de entrada'!C304</f>
        <v>0</v>
      </c>
      <c r="D305" s="992">
        <f>+'datos de entrada'!D304</f>
        <v>0</v>
      </c>
      <c r="E305" s="992">
        <f>+'datos de entrada'!E304</f>
        <v>0</v>
      </c>
      <c r="F305" s="992">
        <f>+'datos de entrada'!F304</f>
        <v>0</v>
      </c>
      <c r="G305" s="992">
        <f>+'datos de entrada'!G304</f>
        <v>0</v>
      </c>
      <c r="H305" s="337"/>
      <c r="I305" s="334">
        <f>+'datos de entrada'!I304</f>
        <v>0</v>
      </c>
      <c r="J305" s="993">
        <f>+'datos de entrada'!J304</f>
        <v>0</v>
      </c>
      <c r="K305" s="835">
        <f>+'datos de entrada'!K304</f>
        <v>0</v>
      </c>
      <c r="L305" s="992">
        <f>+'datos de entrada'!L304</f>
        <v>0</v>
      </c>
      <c r="M305" s="992">
        <f>+'datos de entrada'!M304</f>
        <v>0</v>
      </c>
      <c r="N305" s="992">
        <f>+'datos de entrada'!N304</f>
        <v>0</v>
      </c>
      <c r="O305" s="992">
        <f>+'datos de entrada'!O304</f>
        <v>0</v>
      </c>
      <c r="P305" s="338"/>
      <c r="Q305" s="195"/>
      <c r="R305" s="195"/>
      <c r="S305" s="195"/>
      <c r="T305" s="195"/>
      <c r="U305" s="195"/>
      <c r="V305" s="195"/>
      <c r="W305" s="195"/>
      <c r="X305" s="195"/>
      <c r="Y305" s="195"/>
      <c r="Z305" s="195"/>
      <c r="AA305" s="195"/>
      <c r="AB305" s="195"/>
      <c r="AC305" s="195"/>
      <c r="AD305" s="195"/>
      <c r="AE305" s="195"/>
      <c r="AF305" s="195"/>
      <c r="AG305" s="195"/>
      <c r="AH305" s="195"/>
      <c r="AI305" s="195"/>
      <c r="AJ305" s="195"/>
      <c r="AK305" s="195"/>
      <c r="AL305" s="195"/>
      <c r="AM305" s="195"/>
      <c r="AN305" s="195"/>
      <c r="AO305" s="195"/>
      <c r="AP305" s="195"/>
      <c r="AQ305" s="195"/>
      <c r="AR305" s="195"/>
      <c r="AS305" s="195"/>
      <c r="AT305" s="195"/>
    </row>
    <row r="306" spans="1:46" ht="15.75">
      <c r="A306" s="1"/>
      <c r="B306" s="62"/>
      <c r="C306" s="1000">
        <f>SUM(C301:C305)</f>
        <v>0</v>
      </c>
      <c r="D306" s="63"/>
      <c r="E306" s="63"/>
      <c r="F306" s="63"/>
      <c r="G306" s="63"/>
      <c r="H306" s="1"/>
      <c r="I306" s="1"/>
      <c r="J306" s="1"/>
      <c r="K306" s="1000">
        <f>SUM(K301:K305)</f>
        <v>0</v>
      </c>
      <c r="L306" s="1"/>
      <c r="M306" s="1"/>
      <c r="N306" s="1"/>
      <c r="O306" s="289"/>
      <c r="P306" s="289"/>
      <c r="Q306" s="195"/>
      <c r="R306" s="195"/>
      <c r="S306" s="195"/>
      <c r="T306" s="195"/>
      <c r="U306" s="195"/>
      <c r="V306" s="195"/>
      <c r="W306" s="195"/>
      <c r="X306" s="195"/>
      <c r="Y306" s="195"/>
      <c r="Z306" s="195"/>
      <c r="AA306" s="195"/>
      <c r="AB306" s="195"/>
      <c r="AC306" s="195"/>
      <c r="AD306" s="195"/>
      <c r="AE306" s="195"/>
      <c r="AF306" s="195"/>
      <c r="AG306" s="195"/>
      <c r="AH306" s="195"/>
      <c r="AI306" s="195"/>
      <c r="AJ306" s="195"/>
      <c r="AK306" s="195"/>
      <c r="AL306" s="195"/>
      <c r="AM306" s="195"/>
      <c r="AN306" s="195"/>
      <c r="AO306" s="195"/>
      <c r="AP306" s="195"/>
      <c r="AQ306" s="195"/>
      <c r="AR306" s="195"/>
      <c r="AS306" s="195"/>
      <c r="AT306" s="195"/>
    </row>
    <row r="307" spans="1:46" ht="15.75" thickBot="1">
      <c r="A307" s="194"/>
      <c r="B307" s="283"/>
      <c r="C307" s="283"/>
      <c r="D307" s="275"/>
      <c r="E307" s="275"/>
      <c r="F307" s="275"/>
      <c r="G307" s="275"/>
      <c r="H307" s="194"/>
      <c r="I307" s="194"/>
      <c r="J307" s="194"/>
      <c r="K307" s="194"/>
      <c r="L307" s="194"/>
      <c r="M307" s="194"/>
      <c r="N307" s="194"/>
      <c r="O307" s="195"/>
      <c r="P307" s="195"/>
      <c r="Q307" s="195"/>
      <c r="R307" s="195"/>
      <c r="S307" s="195"/>
      <c r="T307" s="195"/>
      <c r="U307" s="195"/>
      <c r="V307" s="195"/>
      <c r="W307" s="195"/>
      <c r="X307" s="195"/>
      <c r="Y307" s="195"/>
      <c r="Z307" s="195"/>
      <c r="AA307" s="195"/>
      <c r="AB307" s="195"/>
      <c r="AC307" s="195"/>
      <c r="AD307" s="195"/>
      <c r="AE307" s="195"/>
      <c r="AF307" s="195"/>
      <c r="AG307" s="195"/>
      <c r="AH307" s="195"/>
      <c r="AI307" s="195"/>
      <c r="AJ307" s="195"/>
      <c r="AK307" s="195"/>
      <c r="AL307" s="195"/>
      <c r="AM307" s="195"/>
      <c r="AN307" s="195"/>
      <c r="AO307" s="195"/>
      <c r="AP307" s="195"/>
      <c r="AQ307" s="195"/>
      <c r="AR307" s="195"/>
      <c r="AS307" s="195"/>
      <c r="AT307" s="195"/>
    </row>
    <row r="308" spans="1:46" ht="15.75">
      <c r="A308" s="432" t="s">
        <v>246</v>
      </c>
      <c r="B308" s="433"/>
      <c r="C308" s="433"/>
      <c r="D308" s="434"/>
      <c r="E308" s="434"/>
      <c r="F308" s="434"/>
      <c r="G308" s="434"/>
      <c r="H308" s="389"/>
      <c r="I308" s="389"/>
      <c r="J308" s="389"/>
      <c r="K308" s="390"/>
      <c r="L308" s="194"/>
      <c r="M308" s="194"/>
      <c r="N308" s="194"/>
      <c r="O308" s="195"/>
      <c r="P308" s="195"/>
      <c r="Q308" s="195"/>
      <c r="R308" s="195"/>
      <c r="S308" s="195"/>
      <c r="T308" s="195"/>
      <c r="U308" s="195"/>
      <c r="V308" s="195"/>
      <c r="W308" s="195"/>
      <c r="X308" s="195"/>
      <c r="Y308" s="195"/>
      <c r="Z308" s="195"/>
      <c r="AA308" s="195"/>
      <c r="AB308" s="195"/>
      <c r="AC308" s="195"/>
      <c r="AD308" s="195"/>
      <c r="AE308" s="195"/>
      <c r="AF308" s="195"/>
      <c r="AG308" s="195"/>
      <c r="AH308" s="195"/>
      <c r="AI308" s="195"/>
      <c r="AJ308" s="195"/>
      <c r="AK308" s="195"/>
      <c r="AL308" s="195"/>
      <c r="AM308" s="195"/>
      <c r="AN308" s="195"/>
      <c r="AO308" s="195"/>
      <c r="AP308" s="195"/>
      <c r="AQ308" s="195"/>
      <c r="AR308" s="195"/>
      <c r="AS308" s="195"/>
      <c r="AT308" s="195"/>
    </row>
    <row r="309" spans="1:46">
      <c r="A309" s="394"/>
      <c r="B309" s="75"/>
      <c r="C309" s="435"/>
      <c r="D309" s="436"/>
      <c r="E309" s="436"/>
      <c r="F309" s="436"/>
      <c r="G309" s="436"/>
      <c r="H309" s="7"/>
      <c r="I309" s="7"/>
      <c r="J309" s="7"/>
      <c r="K309" s="392"/>
      <c r="L309" s="194"/>
      <c r="M309" s="194"/>
      <c r="N309" s="194"/>
      <c r="O309" s="195"/>
      <c r="P309" s="195"/>
      <c r="Q309" s="195"/>
      <c r="R309" s="195"/>
      <c r="S309" s="195"/>
      <c r="T309" s="195"/>
      <c r="U309" s="195"/>
      <c r="V309" s="195"/>
      <c r="W309" s="195"/>
      <c r="X309" s="195"/>
      <c r="Y309" s="195"/>
      <c r="Z309" s="195"/>
      <c r="AA309" s="195"/>
      <c r="AB309" s="195"/>
      <c r="AC309" s="195"/>
      <c r="AD309" s="195"/>
      <c r="AE309" s="195"/>
      <c r="AF309" s="195"/>
      <c r="AG309" s="195"/>
      <c r="AH309" s="195"/>
      <c r="AI309" s="195"/>
      <c r="AJ309" s="195"/>
      <c r="AK309" s="195"/>
      <c r="AL309" s="195"/>
      <c r="AM309" s="195"/>
      <c r="AN309" s="195"/>
      <c r="AO309" s="195"/>
      <c r="AP309" s="195"/>
      <c r="AQ309" s="195"/>
      <c r="AR309" s="195"/>
      <c r="AS309" s="195"/>
      <c r="AT309" s="195"/>
    </row>
    <row r="310" spans="1:46" ht="15.75">
      <c r="A310" s="437" t="s">
        <v>671</v>
      </c>
      <c r="B310" s="1057" t="s">
        <v>14</v>
      </c>
      <c r="C310" s="1058"/>
      <c r="D310" s="1058"/>
      <c r="E310" s="1058"/>
      <c r="F310" s="1058"/>
      <c r="G310" s="1058"/>
      <c r="H310" s="1058"/>
      <c r="I310" s="1058"/>
      <c r="J310" s="1059"/>
      <c r="K310" s="1123" t="s">
        <v>673</v>
      </c>
      <c r="L310" s="194"/>
      <c r="M310" s="194"/>
      <c r="N310" s="194"/>
      <c r="O310" s="195"/>
      <c r="P310" s="195"/>
      <c r="Q310" s="195"/>
      <c r="R310" s="195"/>
      <c r="S310" s="195"/>
      <c r="T310" s="195"/>
      <c r="U310" s="195"/>
      <c r="V310" s="195"/>
      <c r="W310" s="195"/>
      <c r="X310" s="195"/>
      <c r="Y310" s="195"/>
      <c r="Z310" s="195"/>
      <c r="AA310" s="195"/>
      <c r="AB310" s="195"/>
      <c r="AC310" s="195"/>
      <c r="AD310" s="195"/>
      <c r="AE310" s="195"/>
      <c r="AF310" s="195"/>
      <c r="AG310" s="195"/>
      <c r="AH310" s="195"/>
      <c r="AI310" s="195"/>
      <c r="AJ310" s="195"/>
      <c r="AK310" s="195"/>
      <c r="AL310" s="195"/>
      <c r="AM310" s="195"/>
      <c r="AN310" s="195"/>
      <c r="AO310" s="195"/>
      <c r="AP310" s="195"/>
      <c r="AQ310" s="195"/>
      <c r="AR310" s="195"/>
      <c r="AS310" s="195"/>
      <c r="AT310" s="195"/>
    </row>
    <row r="311" spans="1:46">
      <c r="A311" s="385"/>
      <c r="B311" s="489" t="s">
        <v>674</v>
      </c>
      <c r="C311" s="83" t="s">
        <v>675</v>
      </c>
      <c r="D311" s="84" t="s">
        <v>676</v>
      </c>
      <c r="E311" s="83" t="s">
        <v>677</v>
      </c>
      <c r="F311" s="84" t="s">
        <v>676</v>
      </c>
      <c r="G311" s="83" t="s">
        <v>678</v>
      </c>
      <c r="H311" s="84" t="s">
        <v>676</v>
      </c>
      <c r="I311" s="83" t="s">
        <v>679</v>
      </c>
      <c r="J311" s="84" t="s">
        <v>676</v>
      </c>
      <c r="K311" s="1124"/>
      <c r="L311" s="194"/>
      <c r="M311" s="194"/>
      <c r="N311" s="194"/>
      <c r="O311" s="195"/>
      <c r="P311" s="195"/>
      <c r="Q311" s="195"/>
      <c r="R311" s="195"/>
      <c r="S311" s="195"/>
      <c r="T311" s="195"/>
      <c r="U311" s="195"/>
      <c r="V311" s="195"/>
      <c r="W311" s="195"/>
      <c r="X311" s="195"/>
      <c r="Y311" s="195"/>
      <c r="Z311" s="195"/>
      <c r="AA311" s="195"/>
      <c r="AB311" s="195"/>
      <c r="AC311" s="195"/>
      <c r="AD311" s="195"/>
      <c r="AE311" s="195"/>
      <c r="AF311" s="195"/>
      <c r="AG311" s="195"/>
      <c r="AH311" s="195"/>
      <c r="AI311" s="195"/>
      <c r="AJ311" s="195"/>
      <c r="AK311" s="195"/>
      <c r="AL311" s="195"/>
      <c r="AM311" s="195"/>
      <c r="AN311" s="195"/>
      <c r="AO311" s="195"/>
      <c r="AP311" s="195"/>
      <c r="AQ311" s="195"/>
      <c r="AR311" s="195"/>
      <c r="AS311" s="195"/>
      <c r="AT311" s="195"/>
    </row>
    <row r="312" spans="1:46" ht="15.75">
      <c r="A312" s="438">
        <f>+'datos de entrada'!A311</f>
        <v>0</v>
      </c>
      <c r="B312" s="838">
        <f>+'datos de entrada'!B311</f>
        <v>0</v>
      </c>
      <c r="C312" s="334" t="str">
        <f>+'datos de entrada'!C311</f>
        <v/>
      </c>
      <c r="D312" s="836">
        <f>+'datos de entrada'!D311</f>
        <v>0</v>
      </c>
      <c r="E312" s="334" t="str">
        <f>+'datos de entrada'!E311</f>
        <v/>
      </c>
      <c r="F312" s="334">
        <f>+'datos de entrada'!F311</f>
        <v>0</v>
      </c>
      <c r="G312" s="334" t="str">
        <f>+'datos de entrada'!G311</f>
        <v/>
      </c>
      <c r="H312" s="334">
        <f>+'datos de entrada'!H311</f>
        <v>0</v>
      </c>
      <c r="I312" s="334" t="str">
        <f>+'datos de entrada'!I311</f>
        <v/>
      </c>
      <c r="J312" s="334">
        <f>+'datos de entrada'!J311</f>
        <v>0</v>
      </c>
      <c r="K312" s="840">
        <f>+'datos de entrada'!K311</f>
        <v>0</v>
      </c>
      <c r="L312" s="194"/>
      <c r="M312" s="194"/>
      <c r="N312" s="194"/>
      <c r="O312" s="195"/>
      <c r="P312" s="195"/>
      <c r="Q312" s="195"/>
      <c r="R312" s="195"/>
      <c r="S312" s="195"/>
      <c r="T312" s="195"/>
      <c r="U312" s="195"/>
      <c r="V312" s="195"/>
      <c r="W312" s="195"/>
      <c r="X312" s="195"/>
      <c r="Y312" s="195"/>
      <c r="Z312" s="195"/>
      <c r="AA312" s="195"/>
      <c r="AB312" s="195"/>
      <c r="AC312" s="195"/>
      <c r="AD312" s="195"/>
      <c r="AE312" s="195"/>
      <c r="AF312" s="195"/>
      <c r="AG312" s="195"/>
      <c r="AH312" s="195"/>
      <c r="AI312" s="195"/>
      <c r="AJ312" s="195"/>
      <c r="AK312" s="195"/>
      <c r="AL312" s="195"/>
      <c r="AM312" s="195"/>
      <c r="AN312" s="195"/>
      <c r="AO312" s="195"/>
      <c r="AP312" s="195"/>
      <c r="AQ312" s="195"/>
      <c r="AR312" s="195"/>
      <c r="AS312" s="195"/>
      <c r="AT312" s="195"/>
    </row>
    <row r="313" spans="1:46" ht="15.75">
      <c r="A313" s="438">
        <f>+'datos de entrada'!A312</f>
        <v>0</v>
      </c>
      <c r="B313" s="838">
        <f>+'datos de entrada'!B312</f>
        <v>0</v>
      </c>
      <c r="C313" s="334">
        <f>+'datos de entrada'!C312</f>
        <v>0</v>
      </c>
      <c r="D313" s="836">
        <f>+'datos de entrada'!D312</f>
        <v>0</v>
      </c>
      <c r="E313" s="334">
        <f>+'datos de entrada'!E312</f>
        <v>0</v>
      </c>
      <c r="F313" s="334">
        <f>+'datos de entrada'!F312</f>
        <v>0</v>
      </c>
      <c r="G313" s="334">
        <f>+'datos de entrada'!G312</f>
        <v>0</v>
      </c>
      <c r="H313" s="334">
        <f>+'datos de entrada'!H312</f>
        <v>0</v>
      </c>
      <c r="I313" s="334">
        <f>+'datos de entrada'!I312</f>
        <v>0</v>
      </c>
      <c r="J313" s="334">
        <f>+'datos de entrada'!J312</f>
        <v>0</v>
      </c>
      <c r="K313" s="840">
        <f>+'datos de entrada'!K312</f>
        <v>0</v>
      </c>
      <c r="L313" s="194"/>
      <c r="M313" s="194"/>
      <c r="N313" s="194"/>
      <c r="O313" s="195"/>
      <c r="P313" s="195"/>
      <c r="Q313" s="195"/>
      <c r="R313" s="195"/>
      <c r="S313" s="195"/>
      <c r="T313" s="195"/>
      <c r="U313" s="195"/>
      <c r="V313" s="195"/>
      <c r="W313" s="195"/>
      <c r="X313" s="195"/>
      <c r="Y313" s="195"/>
      <c r="Z313" s="195"/>
      <c r="AA313" s="195"/>
      <c r="AB313" s="195"/>
      <c r="AC313" s="195"/>
      <c r="AD313" s="195"/>
      <c r="AE313" s="195"/>
      <c r="AF313" s="195"/>
      <c r="AG313" s="195"/>
      <c r="AH313" s="195"/>
      <c r="AI313" s="195"/>
      <c r="AJ313" s="195"/>
      <c r="AK313" s="195"/>
      <c r="AL313" s="195"/>
      <c r="AM313" s="195"/>
      <c r="AN313" s="195"/>
      <c r="AO313" s="195"/>
      <c r="AP313" s="195"/>
      <c r="AQ313" s="195"/>
      <c r="AR313" s="195"/>
      <c r="AS313" s="195"/>
      <c r="AT313" s="195"/>
    </row>
    <row r="314" spans="1:46" ht="15.75">
      <c r="A314" s="438">
        <f>+'datos de entrada'!A313</f>
        <v>0</v>
      </c>
      <c r="B314" s="838">
        <f>+'datos de entrada'!B313</f>
        <v>0</v>
      </c>
      <c r="C314" s="334">
        <f>+'datos de entrada'!C313</f>
        <v>0</v>
      </c>
      <c r="D314" s="836">
        <f>+'datos de entrada'!D313</f>
        <v>0</v>
      </c>
      <c r="E314" s="334">
        <f>+'datos de entrada'!E313</f>
        <v>0</v>
      </c>
      <c r="F314" s="334">
        <f>+'datos de entrada'!F313</f>
        <v>0</v>
      </c>
      <c r="G314" s="334">
        <f>+'datos de entrada'!G313</f>
        <v>0</v>
      </c>
      <c r="H314" s="334">
        <f>+'datos de entrada'!H313</f>
        <v>0</v>
      </c>
      <c r="I314" s="334">
        <f>+'datos de entrada'!I313</f>
        <v>0</v>
      </c>
      <c r="J314" s="334">
        <f>+'datos de entrada'!J313</f>
        <v>0</v>
      </c>
      <c r="K314" s="840">
        <f>+'datos de entrada'!K313</f>
        <v>0</v>
      </c>
      <c r="L314" s="194"/>
      <c r="M314" s="194"/>
      <c r="N314" s="194"/>
      <c r="O314" s="195"/>
      <c r="P314" s="195"/>
      <c r="Q314" s="195"/>
      <c r="R314" s="195"/>
      <c r="S314" s="195"/>
      <c r="T314" s="195"/>
      <c r="U314" s="195"/>
      <c r="V314" s="195"/>
      <c r="W314" s="195"/>
      <c r="X314" s="195"/>
      <c r="Y314" s="195"/>
      <c r="Z314" s="195"/>
      <c r="AA314" s="195"/>
      <c r="AB314" s="195"/>
      <c r="AC314" s="195"/>
      <c r="AD314" s="195"/>
      <c r="AE314" s="195"/>
      <c r="AF314" s="195"/>
      <c r="AG314" s="195"/>
      <c r="AH314" s="195"/>
      <c r="AI314" s="195"/>
      <c r="AJ314" s="195"/>
      <c r="AK314" s="195"/>
      <c r="AL314" s="195"/>
      <c r="AM314" s="195"/>
      <c r="AN314" s="195"/>
      <c r="AO314" s="195"/>
      <c r="AP314" s="195"/>
      <c r="AQ314" s="195"/>
      <c r="AR314" s="195"/>
      <c r="AS314" s="195"/>
      <c r="AT314" s="195"/>
    </row>
    <row r="315" spans="1:46" ht="15.75">
      <c r="A315" s="438">
        <f>+'datos de entrada'!A314</f>
        <v>0</v>
      </c>
      <c r="B315" s="838">
        <f>+'datos de entrada'!B314</f>
        <v>0</v>
      </c>
      <c r="C315" s="334">
        <f>+'datos de entrada'!C314</f>
        <v>0</v>
      </c>
      <c r="D315" s="836">
        <f>+'datos de entrada'!D314</f>
        <v>0</v>
      </c>
      <c r="E315" s="334">
        <f>+'datos de entrada'!E314</f>
        <v>0</v>
      </c>
      <c r="F315" s="334">
        <f>+'datos de entrada'!F314</f>
        <v>0</v>
      </c>
      <c r="G315" s="334">
        <f>+'datos de entrada'!G314</f>
        <v>0</v>
      </c>
      <c r="H315" s="334">
        <f>+'datos de entrada'!H314</f>
        <v>0</v>
      </c>
      <c r="I315" s="334">
        <f>+'datos de entrada'!I314</f>
        <v>0</v>
      </c>
      <c r="J315" s="334">
        <f>+'datos de entrada'!J314</f>
        <v>0</v>
      </c>
      <c r="K315" s="840">
        <f>+'datos de entrada'!K314</f>
        <v>0</v>
      </c>
      <c r="L315" s="194"/>
      <c r="M315" s="194"/>
      <c r="N315" s="194"/>
      <c r="O315" s="195"/>
      <c r="P315" s="195"/>
      <c r="Q315" s="195"/>
      <c r="R315" s="195"/>
      <c r="S315" s="195"/>
      <c r="T315" s="195"/>
      <c r="U315" s="195"/>
      <c r="V315" s="195"/>
      <c r="W315" s="195"/>
      <c r="X315" s="195"/>
      <c r="Y315" s="195"/>
      <c r="Z315" s="195"/>
      <c r="AA315" s="195"/>
      <c r="AB315" s="195"/>
      <c r="AC315" s="195"/>
      <c r="AD315" s="195"/>
      <c r="AE315" s="195"/>
      <c r="AF315" s="195"/>
      <c r="AG315" s="195"/>
      <c r="AH315" s="195"/>
      <c r="AI315" s="195"/>
      <c r="AJ315" s="195"/>
      <c r="AK315" s="195"/>
      <c r="AL315" s="195"/>
      <c r="AM315" s="195"/>
      <c r="AN315" s="195"/>
      <c r="AO315" s="195"/>
      <c r="AP315" s="195"/>
      <c r="AQ315" s="195"/>
      <c r="AR315" s="195"/>
      <c r="AS315" s="195"/>
      <c r="AT315" s="195"/>
    </row>
    <row r="316" spans="1:46" ht="15.75">
      <c r="A316" s="438">
        <f>+'datos de entrada'!A315</f>
        <v>0</v>
      </c>
      <c r="B316" s="838">
        <f>+'datos de entrada'!B315</f>
        <v>0</v>
      </c>
      <c r="C316" s="334">
        <f>+'datos de entrada'!C315</f>
        <v>0</v>
      </c>
      <c r="D316" s="836">
        <f>+'datos de entrada'!D315</f>
        <v>0</v>
      </c>
      <c r="E316" s="334">
        <f>+'datos de entrada'!E315</f>
        <v>0</v>
      </c>
      <c r="F316" s="334">
        <f>+'datos de entrada'!F315</f>
        <v>0</v>
      </c>
      <c r="G316" s="334">
        <f>+'datos de entrada'!G315</f>
        <v>0</v>
      </c>
      <c r="H316" s="334">
        <f>+'datos de entrada'!H315</f>
        <v>0</v>
      </c>
      <c r="I316" s="334">
        <f>+'datos de entrada'!I315</f>
        <v>0</v>
      </c>
      <c r="J316" s="334">
        <f>+'datos de entrada'!J315</f>
        <v>0</v>
      </c>
      <c r="K316" s="840">
        <f>+'datos de entrada'!K315</f>
        <v>0</v>
      </c>
      <c r="L316" s="194"/>
      <c r="M316" s="194"/>
      <c r="N316" s="194"/>
      <c r="O316" s="195"/>
      <c r="P316" s="195"/>
      <c r="Q316" s="195"/>
      <c r="R316" s="195"/>
      <c r="S316" s="195"/>
      <c r="T316" s="195"/>
      <c r="U316" s="195"/>
      <c r="V316" s="195"/>
      <c r="W316" s="195"/>
      <c r="X316" s="195"/>
      <c r="Y316" s="195"/>
      <c r="Z316" s="195"/>
      <c r="AA316" s="195"/>
      <c r="AB316" s="195"/>
      <c r="AC316" s="195"/>
      <c r="AD316" s="195"/>
      <c r="AE316" s="195"/>
      <c r="AF316" s="195"/>
      <c r="AG316" s="195"/>
      <c r="AH316" s="195"/>
      <c r="AI316" s="195"/>
      <c r="AJ316" s="195"/>
      <c r="AK316" s="195"/>
      <c r="AL316" s="195"/>
      <c r="AM316" s="195"/>
      <c r="AN316" s="195"/>
      <c r="AO316" s="195"/>
      <c r="AP316" s="195"/>
      <c r="AQ316" s="195"/>
      <c r="AR316" s="195"/>
      <c r="AS316" s="195"/>
      <c r="AT316" s="195"/>
    </row>
    <row r="317" spans="1:46" ht="15.75">
      <c r="A317" s="438">
        <f>+'datos de entrada'!A316</f>
        <v>0</v>
      </c>
      <c r="B317" s="838">
        <f>+'datos de entrada'!B316</f>
        <v>0</v>
      </c>
      <c r="C317" s="334">
        <f>+'datos de entrada'!C316</f>
        <v>0</v>
      </c>
      <c r="D317" s="836">
        <f>+'datos de entrada'!D316</f>
        <v>0</v>
      </c>
      <c r="E317" s="334">
        <f>+'datos de entrada'!E316</f>
        <v>0</v>
      </c>
      <c r="F317" s="334">
        <f>+'datos de entrada'!F316</f>
        <v>0</v>
      </c>
      <c r="G317" s="334">
        <f>+'datos de entrada'!G316</f>
        <v>0</v>
      </c>
      <c r="H317" s="334">
        <f>+'datos de entrada'!H316</f>
        <v>0</v>
      </c>
      <c r="I317" s="334">
        <f>+'datos de entrada'!I316</f>
        <v>0</v>
      </c>
      <c r="J317" s="334">
        <f>+'datos de entrada'!J316</f>
        <v>0</v>
      </c>
      <c r="K317" s="840">
        <f>+'datos de entrada'!K316</f>
        <v>0</v>
      </c>
      <c r="L317" s="194"/>
      <c r="M317" s="194"/>
      <c r="N317" s="194"/>
      <c r="O317" s="195"/>
      <c r="P317" s="195"/>
      <c r="Q317" s="195"/>
      <c r="R317" s="195"/>
      <c r="S317" s="195"/>
      <c r="T317" s="195"/>
      <c r="U317" s="195"/>
      <c r="V317" s="195"/>
      <c r="W317" s="195"/>
      <c r="X317" s="195"/>
      <c r="Y317" s="195"/>
      <c r="Z317" s="195"/>
      <c r="AA317" s="195"/>
      <c r="AB317" s="195"/>
      <c r="AC317" s="195"/>
      <c r="AD317" s="195"/>
      <c r="AE317" s="195"/>
      <c r="AF317" s="195"/>
      <c r="AG317" s="195"/>
      <c r="AH317" s="195"/>
      <c r="AI317" s="195"/>
      <c r="AJ317" s="195"/>
      <c r="AK317" s="195"/>
      <c r="AL317" s="195"/>
      <c r="AM317" s="195"/>
      <c r="AN317" s="195"/>
      <c r="AO317" s="195"/>
      <c r="AP317" s="195"/>
      <c r="AQ317" s="195"/>
      <c r="AR317" s="195"/>
      <c r="AS317" s="195"/>
      <c r="AT317" s="195"/>
    </row>
    <row r="318" spans="1:46" ht="15.75">
      <c r="A318" s="438">
        <f>+'datos de entrada'!A317</f>
        <v>0</v>
      </c>
      <c r="B318" s="838">
        <f>+'datos de entrada'!B317</f>
        <v>0</v>
      </c>
      <c r="C318" s="334">
        <f>+'datos de entrada'!C317</f>
        <v>0</v>
      </c>
      <c r="D318" s="836">
        <f>+'datos de entrada'!D317</f>
        <v>0</v>
      </c>
      <c r="E318" s="334">
        <f>+'datos de entrada'!E317</f>
        <v>0</v>
      </c>
      <c r="F318" s="334">
        <f>+'datos de entrada'!F317</f>
        <v>0</v>
      </c>
      <c r="G318" s="334">
        <f>+'datos de entrada'!G317</f>
        <v>0</v>
      </c>
      <c r="H318" s="334">
        <f>+'datos de entrada'!H317</f>
        <v>0</v>
      </c>
      <c r="I318" s="334">
        <f>+'datos de entrada'!I317</f>
        <v>0</v>
      </c>
      <c r="J318" s="334">
        <f>+'datos de entrada'!J317</f>
        <v>0</v>
      </c>
      <c r="K318" s="840">
        <f>+'datos de entrada'!K317</f>
        <v>0</v>
      </c>
      <c r="L318" s="194"/>
      <c r="M318" s="194"/>
      <c r="N318" s="194"/>
      <c r="O318" s="195"/>
      <c r="P318" s="195"/>
      <c r="Q318" s="195"/>
      <c r="R318" s="195"/>
      <c r="S318" s="195"/>
      <c r="T318" s="195"/>
      <c r="U318" s="195"/>
      <c r="V318" s="195"/>
      <c r="W318" s="195"/>
      <c r="X318" s="195"/>
      <c r="Y318" s="195"/>
      <c r="Z318" s="195"/>
      <c r="AA318" s="195"/>
      <c r="AB318" s="195"/>
      <c r="AC318" s="195"/>
      <c r="AD318" s="195"/>
      <c r="AE318" s="195"/>
      <c r="AF318" s="195"/>
      <c r="AG318" s="195"/>
      <c r="AH318" s="195"/>
      <c r="AI318" s="195"/>
      <c r="AJ318" s="195"/>
      <c r="AK318" s="195"/>
      <c r="AL318" s="195"/>
      <c r="AM318" s="195"/>
      <c r="AN318" s="195"/>
      <c r="AO318" s="195"/>
      <c r="AP318" s="195"/>
      <c r="AQ318" s="195"/>
      <c r="AR318" s="195"/>
      <c r="AS318" s="195"/>
      <c r="AT318" s="195"/>
    </row>
    <row r="319" spans="1:46" ht="15.75">
      <c r="A319" s="438">
        <f>+'datos de entrada'!A318</f>
        <v>0</v>
      </c>
      <c r="B319" s="838">
        <f>+'datos de entrada'!B318</f>
        <v>0</v>
      </c>
      <c r="C319" s="334">
        <f>+'datos de entrada'!C318</f>
        <v>0</v>
      </c>
      <c r="D319" s="836">
        <f>+'datos de entrada'!D318</f>
        <v>0</v>
      </c>
      <c r="E319" s="334">
        <f>+'datos de entrada'!E318</f>
        <v>0</v>
      </c>
      <c r="F319" s="334">
        <f>+'datos de entrada'!F318</f>
        <v>0</v>
      </c>
      <c r="G319" s="334">
        <f>+'datos de entrada'!G318</f>
        <v>0</v>
      </c>
      <c r="H319" s="334">
        <f>+'datos de entrada'!H318</f>
        <v>0</v>
      </c>
      <c r="I319" s="334">
        <f>+'datos de entrada'!I318</f>
        <v>0</v>
      </c>
      <c r="J319" s="334">
        <f>+'datos de entrada'!J318</f>
        <v>0</v>
      </c>
      <c r="K319" s="840">
        <f>+'datos de entrada'!K318</f>
        <v>0</v>
      </c>
      <c r="L319" s="194"/>
      <c r="M319" s="194"/>
      <c r="N319" s="194"/>
      <c r="O319" s="195"/>
      <c r="P319" s="195"/>
      <c r="Q319" s="195"/>
      <c r="R319" s="195"/>
      <c r="S319" s="195"/>
      <c r="T319" s="195"/>
      <c r="U319" s="195"/>
      <c r="V319" s="195"/>
      <c r="W319" s="195"/>
      <c r="X319" s="195"/>
      <c r="Y319" s="195"/>
      <c r="Z319" s="195"/>
      <c r="AA319" s="195"/>
      <c r="AB319" s="195"/>
      <c r="AC319" s="195"/>
      <c r="AD319" s="195"/>
      <c r="AE319" s="195"/>
      <c r="AF319" s="195"/>
      <c r="AG319" s="195"/>
      <c r="AH319" s="195"/>
      <c r="AI319" s="195"/>
      <c r="AJ319" s="195"/>
      <c r="AK319" s="195"/>
      <c r="AL319" s="195"/>
      <c r="AM319" s="195"/>
      <c r="AN319" s="195"/>
      <c r="AO319" s="195"/>
      <c r="AP319" s="195"/>
      <c r="AQ319" s="195"/>
      <c r="AR319" s="195"/>
      <c r="AS319" s="195"/>
      <c r="AT319" s="195"/>
    </row>
    <row r="320" spans="1:46" ht="15.75">
      <c r="A320" s="438">
        <f>+'datos de entrada'!A319</f>
        <v>0</v>
      </c>
      <c r="B320" s="838">
        <f>+'datos de entrada'!B319</f>
        <v>0</v>
      </c>
      <c r="C320" s="334">
        <f>+'datos de entrada'!C319</f>
        <v>0</v>
      </c>
      <c r="D320" s="836">
        <f>+'datos de entrada'!D319</f>
        <v>0</v>
      </c>
      <c r="E320" s="334">
        <f>+'datos de entrada'!E319</f>
        <v>0</v>
      </c>
      <c r="F320" s="334">
        <f>+'datos de entrada'!F319</f>
        <v>0</v>
      </c>
      <c r="G320" s="334">
        <f>+'datos de entrada'!G319</f>
        <v>0</v>
      </c>
      <c r="H320" s="334">
        <f>+'datos de entrada'!H319</f>
        <v>0</v>
      </c>
      <c r="I320" s="334">
        <f>+'datos de entrada'!I319</f>
        <v>0</v>
      </c>
      <c r="J320" s="334">
        <f>+'datos de entrada'!J319</f>
        <v>0</v>
      </c>
      <c r="K320" s="840">
        <f>+'datos de entrada'!K319</f>
        <v>0</v>
      </c>
      <c r="L320" s="194"/>
      <c r="M320" s="194"/>
      <c r="N320" s="194"/>
      <c r="O320" s="195"/>
      <c r="P320" s="195"/>
      <c r="Q320" s="195"/>
      <c r="R320" s="195"/>
      <c r="S320" s="195"/>
      <c r="T320" s="195"/>
      <c r="U320" s="195"/>
      <c r="V320" s="195"/>
      <c r="W320" s="195"/>
      <c r="X320" s="195"/>
      <c r="Y320" s="195"/>
      <c r="Z320" s="195"/>
      <c r="AA320" s="195"/>
      <c r="AB320" s="195"/>
      <c r="AC320" s="195"/>
      <c r="AD320" s="195"/>
      <c r="AE320" s="195"/>
      <c r="AF320" s="195"/>
      <c r="AG320" s="195"/>
      <c r="AH320" s="195"/>
      <c r="AI320" s="195"/>
      <c r="AJ320" s="195"/>
      <c r="AK320" s="195"/>
      <c r="AL320" s="195"/>
      <c r="AM320" s="195"/>
      <c r="AN320" s="195"/>
      <c r="AO320" s="195"/>
      <c r="AP320" s="195"/>
      <c r="AQ320" s="195"/>
      <c r="AR320" s="195"/>
      <c r="AS320" s="195"/>
      <c r="AT320" s="195"/>
    </row>
    <row r="321" spans="1:46" ht="15.75">
      <c r="A321" s="438">
        <f>+'datos de entrada'!A320</f>
        <v>0</v>
      </c>
      <c r="B321" s="838">
        <f>+'datos de entrada'!B320</f>
        <v>0</v>
      </c>
      <c r="C321" s="334">
        <f>+'datos de entrada'!C320</f>
        <v>0</v>
      </c>
      <c r="D321" s="836">
        <f>+'datos de entrada'!D320</f>
        <v>0</v>
      </c>
      <c r="E321" s="334">
        <f>+'datos de entrada'!E320</f>
        <v>0</v>
      </c>
      <c r="F321" s="334">
        <f>+'datos de entrada'!F320</f>
        <v>0</v>
      </c>
      <c r="G321" s="334">
        <f>+'datos de entrada'!G320</f>
        <v>0</v>
      </c>
      <c r="H321" s="334">
        <f>+'datos de entrada'!H320</f>
        <v>0</v>
      </c>
      <c r="I321" s="334">
        <f>+'datos de entrada'!I320</f>
        <v>0</v>
      </c>
      <c r="J321" s="334">
        <f>+'datos de entrada'!J320</f>
        <v>0</v>
      </c>
      <c r="K321" s="840">
        <f>+'datos de entrada'!K320</f>
        <v>0</v>
      </c>
      <c r="L321" s="194"/>
      <c r="M321" s="194"/>
      <c r="N321" s="194"/>
      <c r="O321" s="195"/>
      <c r="P321" s="195"/>
      <c r="Q321" s="195"/>
      <c r="R321" s="195"/>
      <c r="S321" s="195"/>
      <c r="T321" s="195"/>
      <c r="U321" s="195"/>
      <c r="V321" s="195"/>
      <c r="W321" s="195"/>
      <c r="X321" s="195"/>
      <c r="Y321" s="195"/>
      <c r="Z321" s="195"/>
      <c r="AA321" s="195"/>
      <c r="AB321" s="195"/>
      <c r="AC321" s="195"/>
      <c r="AD321" s="195"/>
      <c r="AE321" s="195"/>
      <c r="AF321" s="195"/>
      <c r="AG321" s="195"/>
      <c r="AH321" s="195"/>
      <c r="AI321" s="195"/>
      <c r="AJ321" s="195"/>
      <c r="AK321" s="195"/>
      <c r="AL321" s="195"/>
      <c r="AM321" s="195"/>
      <c r="AN321" s="195"/>
      <c r="AO321" s="195"/>
      <c r="AP321" s="195"/>
      <c r="AQ321" s="195"/>
      <c r="AR321" s="195"/>
      <c r="AS321" s="195"/>
      <c r="AT321" s="195"/>
    </row>
    <row r="322" spans="1:46" ht="15.75">
      <c r="A322" s="438">
        <f>+'datos de entrada'!A321</f>
        <v>0</v>
      </c>
      <c r="B322" s="838">
        <f>+'datos de entrada'!B321</f>
        <v>0</v>
      </c>
      <c r="C322" s="334">
        <f>+'datos de entrada'!C321</f>
        <v>0</v>
      </c>
      <c r="D322" s="836">
        <f>+'datos de entrada'!D321</f>
        <v>0</v>
      </c>
      <c r="E322" s="334">
        <f>+'datos de entrada'!E321</f>
        <v>0</v>
      </c>
      <c r="F322" s="334">
        <f>+'datos de entrada'!F321</f>
        <v>0</v>
      </c>
      <c r="G322" s="334">
        <f>+'datos de entrada'!G321</f>
        <v>0</v>
      </c>
      <c r="H322" s="334">
        <f>+'datos de entrada'!H321</f>
        <v>0</v>
      </c>
      <c r="I322" s="334">
        <f>+'datos de entrada'!I321</f>
        <v>0</v>
      </c>
      <c r="J322" s="334">
        <f>+'datos de entrada'!J321</f>
        <v>0</v>
      </c>
      <c r="K322" s="840">
        <f>+'datos de entrada'!K321</f>
        <v>0</v>
      </c>
      <c r="L322" s="194"/>
      <c r="M322" s="194"/>
      <c r="N322" s="194"/>
      <c r="O322" s="195"/>
      <c r="P322" s="195"/>
      <c r="Q322" s="195"/>
      <c r="R322" s="195"/>
      <c r="S322" s="195"/>
      <c r="T322" s="195"/>
      <c r="U322" s="195"/>
      <c r="V322" s="195"/>
      <c r="W322" s="195"/>
      <c r="X322" s="195"/>
      <c r="Y322" s="195"/>
      <c r="Z322" s="195"/>
      <c r="AA322" s="195"/>
      <c r="AB322" s="195"/>
      <c r="AC322" s="195"/>
      <c r="AD322" s="195"/>
      <c r="AE322" s="195"/>
      <c r="AF322" s="195"/>
      <c r="AG322" s="195"/>
      <c r="AH322" s="195"/>
      <c r="AI322" s="195"/>
      <c r="AJ322" s="195"/>
      <c r="AK322" s="195"/>
      <c r="AL322" s="195"/>
      <c r="AM322" s="195"/>
      <c r="AN322" s="195"/>
      <c r="AO322" s="195"/>
      <c r="AP322" s="195"/>
      <c r="AQ322" s="195"/>
      <c r="AR322" s="195"/>
      <c r="AS322" s="195"/>
      <c r="AT322" s="195"/>
    </row>
    <row r="323" spans="1:46" ht="16.5" thickBot="1">
      <c r="A323" s="439">
        <f>+'datos de entrada'!A322</f>
        <v>0</v>
      </c>
      <c r="B323" s="839">
        <f>+'datos de entrada'!B322</f>
        <v>0</v>
      </c>
      <c r="C323" s="440">
        <f>+'datos de entrada'!C322</f>
        <v>0</v>
      </c>
      <c r="D323" s="837">
        <f>+'datos de entrada'!D322</f>
        <v>0</v>
      </c>
      <c r="E323" s="440">
        <f>+'datos de entrada'!E322</f>
        <v>0</v>
      </c>
      <c r="F323" s="440">
        <f>+'datos de entrada'!F322</f>
        <v>0</v>
      </c>
      <c r="G323" s="440">
        <f>+'datos de entrada'!G322</f>
        <v>0</v>
      </c>
      <c r="H323" s="440">
        <f>+'datos de entrada'!H322</f>
        <v>0</v>
      </c>
      <c r="I323" s="440">
        <f>+'datos de entrada'!I322</f>
        <v>0</v>
      </c>
      <c r="J323" s="440">
        <f>+'datos de entrada'!J322</f>
        <v>0</v>
      </c>
      <c r="K323" s="447">
        <f>+'datos de entrada'!K322</f>
        <v>0</v>
      </c>
      <c r="L323" s="194"/>
      <c r="M323" s="194"/>
      <c r="N323" s="194"/>
      <c r="O323" s="195"/>
      <c r="P323" s="195"/>
      <c r="Q323" s="195"/>
      <c r="R323" s="195"/>
      <c r="S323" s="195"/>
      <c r="T323" s="195"/>
      <c r="U323" s="195"/>
      <c r="V323" s="195"/>
      <c r="W323" s="195"/>
      <c r="X323" s="195"/>
      <c r="Y323" s="195"/>
      <c r="Z323" s="195"/>
      <c r="AA323" s="195"/>
      <c r="AB323" s="195"/>
      <c r="AC323" s="195"/>
      <c r="AD323" s="195"/>
      <c r="AE323" s="195"/>
      <c r="AF323" s="195"/>
      <c r="AG323" s="195"/>
      <c r="AH323" s="195"/>
      <c r="AI323" s="195"/>
      <c r="AJ323" s="195"/>
      <c r="AK323" s="195"/>
      <c r="AL323" s="195"/>
      <c r="AM323" s="195"/>
      <c r="AN323" s="195"/>
      <c r="AO323" s="195"/>
      <c r="AP323" s="195"/>
      <c r="AQ323" s="195"/>
      <c r="AR323" s="195"/>
      <c r="AS323" s="195"/>
      <c r="AT323" s="195"/>
    </row>
    <row r="324" spans="1:46">
      <c r="A324" s="193"/>
      <c r="B324" s="223"/>
      <c r="C324" s="283"/>
      <c r="D324" s="194"/>
      <c r="E324" s="194"/>
      <c r="F324" s="194"/>
      <c r="G324" s="194"/>
      <c r="H324" s="194"/>
      <c r="I324" s="194"/>
      <c r="J324" s="194"/>
      <c r="K324" s="194"/>
      <c r="L324" s="194"/>
      <c r="M324" s="194"/>
      <c r="N324" s="194"/>
      <c r="O324" s="195"/>
      <c r="P324" s="195"/>
      <c r="Q324" s="195"/>
      <c r="R324" s="195"/>
      <c r="S324" s="195"/>
      <c r="T324" s="195"/>
      <c r="U324" s="195"/>
      <c r="V324" s="195"/>
      <c r="W324" s="195"/>
      <c r="X324" s="195"/>
      <c r="Y324" s="195"/>
      <c r="Z324" s="195"/>
      <c r="AA324" s="195"/>
      <c r="AB324" s="195"/>
      <c r="AC324" s="195"/>
      <c r="AD324" s="195"/>
      <c r="AE324" s="195"/>
      <c r="AF324" s="195"/>
      <c r="AG324" s="195"/>
      <c r="AH324" s="195"/>
      <c r="AI324" s="195"/>
      <c r="AJ324" s="195"/>
      <c r="AK324" s="195"/>
      <c r="AL324" s="195"/>
      <c r="AM324" s="195"/>
      <c r="AN324" s="195"/>
      <c r="AO324" s="195"/>
      <c r="AP324" s="195"/>
      <c r="AQ324" s="195"/>
      <c r="AR324" s="195"/>
      <c r="AS324" s="195"/>
      <c r="AT324" s="195"/>
    </row>
    <row r="325" spans="1:46" ht="15.75" thickBot="1">
      <c r="A325" s="194"/>
      <c r="B325" s="194"/>
      <c r="C325" s="194"/>
      <c r="D325" s="194"/>
      <c r="E325" s="194"/>
      <c r="F325" s="194"/>
      <c r="G325" s="194"/>
      <c r="H325" s="194"/>
      <c r="I325" s="194"/>
      <c r="J325" s="194"/>
      <c r="K325" s="194"/>
      <c r="L325" s="194"/>
      <c r="M325" s="194"/>
      <c r="N325" s="194"/>
      <c r="O325" s="195"/>
      <c r="P325" s="195"/>
      <c r="Q325" s="195"/>
      <c r="R325" s="195"/>
      <c r="S325" s="195"/>
      <c r="T325" s="195"/>
      <c r="U325" s="195"/>
      <c r="V325" s="195"/>
      <c r="W325" s="195"/>
      <c r="X325" s="195"/>
      <c r="Y325" s="195"/>
      <c r="Z325" s="195"/>
      <c r="AA325" s="195"/>
      <c r="AB325" s="195"/>
      <c r="AC325" s="195"/>
      <c r="AD325" s="195"/>
      <c r="AE325" s="195"/>
      <c r="AF325" s="195"/>
      <c r="AG325" s="195"/>
      <c r="AH325" s="195"/>
      <c r="AI325" s="195"/>
      <c r="AJ325" s="195"/>
      <c r="AK325" s="195"/>
      <c r="AL325" s="195"/>
      <c r="AM325" s="195"/>
      <c r="AN325" s="195"/>
      <c r="AO325" s="195"/>
      <c r="AP325" s="195"/>
      <c r="AQ325" s="195"/>
      <c r="AR325" s="195"/>
      <c r="AS325" s="195"/>
      <c r="AT325" s="195"/>
    </row>
    <row r="326" spans="1:46" ht="15.75">
      <c r="A326" s="441" t="s">
        <v>773</v>
      </c>
      <c r="B326" s="421"/>
      <c r="C326" s="195"/>
      <c r="D326" s="195"/>
      <c r="E326" s="195"/>
      <c r="F326" s="195"/>
      <c r="G326" s="195"/>
      <c r="H326" s="195"/>
      <c r="I326" s="194"/>
      <c r="J326" s="194"/>
      <c r="K326" s="194"/>
      <c r="L326" s="194"/>
      <c r="M326" s="194"/>
      <c r="N326" s="194"/>
      <c r="O326" s="195"/>
      <c r="P326" s="195"/>
      <c r="Q326" s="195"/>
      <c r="R326" s="195"/>
      <c r="S326" s="195"/>
      <c r="T326" s="195"/>
      <c r="U326" s="195"/>
      <c r="V326" s="195"/>
      <c r="W326" s="195"/>
      <c r="X326" s="195"/>
      <c r="Y326" s="195"/>
      <c r="Z326" s="195"/>
      <c r="AA326" s="195"/>
      <c r="AB326" s="195"/>
      <c r="AC326" s="195"/>
      <c r="AD326" s="195"/>
      <c r="AE326" s="195"/>
      <c r="AF326" s="195"/>
      <c r="AG326" s="195"/>
      <c r="AH326" s="195"/>
      <c r="AI326" s="195"/>
      <c r="AJ326" s="195"/>
      <c r="AK326" s="195"/>
      <c r="AL326" s="195"/>
      <c r="AM326" s="195"/>
      <c r="AN326" s="195"/>
      <c r="AO326" s="195"/>
      <c r="AP326" s="195"/>
      <c r="AQ326" s="195"/>
      <c r="AR326" s="195"/>
      <c r="AS326" s="195"/>
      <c r="AT326" s="195"/>
    </row>
    <row r="327" spans="1:46">
      <c r="A327" s="442"/>
      <c r="B327" s="443"/>
      <c r="C327" s="195"/>
      <c r="D327" s="195"/>
      <c r="E327" s="195"/>
      <c r="F327" s="195"/>
      <c r="G327" s="195"/>
      <c r="H327" s="195"/>
      <c r="I327" s="194"/>
      <c r="J327" s="194"/>
      <c r="K327" s="194"/>
      <c r="L327" s="194"/>
      <c r="M327" s="194"/>
      <c r="N327" s="194"/>
      <c r="O327" s="195"/>
      <c r="P327" s="195"/>
      <c r="Q327" s="195"/>
      <c r="R327" s="195"/>
      <c r="S327" s="195"/>
      <c r="T327" s="195"/>
      <c r="U327" s="195"/>
      <c r="V327" s="195"/>
      <c r="W327" s="195"/>
      <c r="X327" s="195"/>
      <c r="Y327" s="195"/>
      <c r="Z327" s="195"/>
      <c r="AA327" s="195"/>
      <c r="AB327" s="195"/>
      <c r="AC327" s="195"/>
      <c r="AD327" s="195"/>
      <c r="AE327" s="195"/>
      <c r="AF327" s="195"/>
      <c r="AG327" s="195"/>
      <c r="AH327" s="195"/>
      <c r="AI327" s="195"/>
      <c r="AJ327" s="195"/>
      <c r="AK327" s="195"/>
      <c r="AL327" s="195"/>
      <c r="AM327" s="195"/>
      <c r="AN327" s="195"/>
      <c r="AO327" s="195"/>
      <c r="AP327" s="195"/>
      <c r="AQ327" s="195"/>
      <c r="AR327" s="195"/>
      <c r="AS327" s="195"/>
      <c r="AT327" s="195"/>
    </row>
    <row r="328" spans="1:46" ht="15.75">
      <c r="A328" s="444" t="s">
        <v>680</v>
      </c>
      <c r="B328" s="445"/>
      <c r="C328" s="195"/>
      <c r="D328" s="195"/>
      <c r="E328" s="195"/>
      <c r="F328" s="195"/>
      <c r="G328" s="195"/>
      <c r="H328" s="195"/>
      <c r="I328" s="194"/>
      <c r="J328" s="194"/>
      <c r="K328" s="194"/>
      <c r="L328" s="194"/>
      <c r="M328" s="194"/>
      <c r="N328" s="194"/>
      <c r="O328" s="195"/>
      <c r="P328" s="195"/>
      <c r="Q328" s="195"/>
      <c r="R328" s="195"/>
      <c r="S328" s="195"/>
      <c r="T328" s="195"/>
      <c r="U328" s="195"/>
      <c r="V328" s="195"/>
      <c r="W328" s="195"/>
      <c r="X328" s="195"/>
      <c r="Y328" s="195"/>
      <c r="Z328" s="195"/>
      <c r="AA328" s="195"/>
      <c r="AB328" s="195"/>
      <c r="AC328" s="195"/>
      <c r="AD328" s="195"/>
      <c r="AE328" s="195"/>
      <c r="AF328" s="195"/>
      <c r="AG328" s="195"/>
      <c r="AH328" s="195"/>
      <c r="AI328" s="195"/>
      <c r="AJ328" s="195"/>
      <c r="AK328" s="195"/>
      <c r="AL328" s="195"/>
      <c r="AM328" s="195"/>
      <c r="AN328" s="195"/>
      <c r="AO328" s="195"/>
      <c r="AP328" s="195"/>
      <c r="AQ328" s="195"/>
      <c r="AR328" s="195"/>
      <c r="AS328" s="195"/>
      <c r="AT328" s="195"/>
    </row>
    <row r="329" spans="1:46" ht="16.5" thickBot="1">
      <c r="A329" s="446" t="s">
        <v>681</v>
      </c>
      <c r="B329" s="447">
        <f>+'datos de entrada'!B328</f>
        <v>1.304E-2</v>
      </c>
      <c r="C329" s="195"/>
      <c r="D329" s="195"/>
      <c r="E329" s="195"/>
      <c r="F329" s="195"/>
      <c r="G329" s="195"/>
      <c r="H329" s="195"/>
      <c r="I329" s="194"/>
      <c r="J329" s="194"/>
      <c r="K329" s="194"/>
      <c r="L329" s="194"/>
      <c r="M329" s="194"/>
      <c r="N329" s="194"/>
      <c r="O329" s="195"/>
      <c r="P329" s="195"/>
      <c r="Q329" s="195"/>
      <c r="R329" s="195"/>
      <c r="S329" s="195"/>
      <c r="T329" s="195"/>
      <c r="U329" s="195"/>
      <c r="V329" s="195"/>
      <c r="W329" s="195"/>
      <c r="X329" s="195"/>
      <c r="Y329" s="195"/>
      <c r="Z329" s="195"/>
      <c r="AA329" s="195"/>
      <c r="AB329" s="195"/>
      <c r="AC329" s="195"/>
      <c r="AD329" s="195"/>
      <c r="AE329" s="195"/>
      <c r="AF329" s="195"/>
      <c r="AG329" s="195"/>
      <c r="AH329" s="195"/>
      <c r="AI329" s="195"/>
      <c r="AJ329" s="195"/>
      <c r="AK329" s="195"/>
      <c r="AL329" s="195"/>
      <c r="AM329" s="195"/>
      <c r="AN329" s="195"/>
      <c r="AO329" s="195"/>
      <c r="AP329" s="195"/>
      <c r="AQ329" s="195"/>
      <c r="AR329" s="195"/>
      <c r="AS329" s="195"/>
      <c r="AT329" s="195"/>
    </row>
    <row r="330" spans="1:46" ht="15.75" thickBot="1">
      <c r="A330" s="263"/>
      <c r="B330" s="263"/>
      <c r="C330" s="195"/>
      <c r="D330" s="195"/>
      <c r="E330" s="195"/>
      <c r="F330" s="195"/>
      <c r="G330" s="195"/>
      <c r="H330" s="195"/>
      <c r="I330" s="194"/>
      <c r="J330" s="194"/>
      <c r="K330" s="194"/>
      <c r="L330" s="194"/>
      <c r="M330" s="194"/>
      <c r="N330" s="194"/>
      <c r="O330" s="195"/>
      <c r="P330" s="195"/>
      <c r="Q330" s="195"/>
      <c r="R330" s="195"/>
      <c r="S330" s="195"/>
      <c r="T330" s="195"/>
      <c r="U330" s="195"/>
      <c r="V330" s="195"/>
      <c r="W330" s="195"/>
      <c r="X330" s="195"/>
      <c r="Y330" s="195"/>
      <c r="Z330" s="195"/>
      <c r="AA330" s="195"/>
      <c r="AB330" s="195"/>
      <c r="AC330" s="195"/>
      <c r="AD330" s="195"/>
      <c r="AE330" s="195"/>
      <c r="AF330" s="195"/>
      <c r="AG330" s="195"/>
      <c r="AH330" s="195"/>
      <c r="AI330" s="195"/>
      <c r="AJ330" s="195"/>
      <c r="AK330" s="195"/>
      <c r="AL330" s="195"/>
      <c r="AM330" s="195"/>
      <c r="AN330" s="195"/>
      <c r="AO330" s="195"/>
      <c r="AP330" s="195"/>
      <c r="AQ330" s="195"/>
      <c r="AR330" s="195"/>
      <c r="AS330" s="195"/>
      <c r="AT330" s="195"/>
    </row>
    <row r="331" spans="1:46">
      <c r="A331" s="420"/>
      <c r="B331" s="421"/>
      <c r="C331" s="195"/>
      <c r="D331" s="195"/>
      <c r="E331" s="195"/>
      <c r="F331" s="195"/>
      <c r="G331" s="195"/>
      <c r="H331" s="195"/>
      <c r="I331" s="194"/>
      <c r="J331" s="194"/>
      <c r="K331" s="194"/>
      <c r="L331" s="194"/>
      <c r="M331" s="194"/>
      <c r="N331" s="194"/>
      <c r="O331" s="195"/>
      <c r="P331" s="195"/>
      <c r="Q331" s="195"/>
      <c r="R331" s="195"/>
      <c r="S331" s="195"/>
      <c r="T331" s="195"/>
      <c r="U331" s="195"/>
      <c r="V331" s="195"/>
      <c r="W331" s="195"/>
      <c r="X331" s="195"/>
      <c r="Y331" s="195"/>
      <c r="Z331" s="195"/>
      <c r="AA331" s="195"/>
      <c r="AB331" s="195"/>
      <c r="AC331" s="195"/>
      <c r="AD331" s="195"/>
      <c r="AE331" s="195"/>
      <c r="AF331" s="195"/>
      <c r="AG331" s="195"/>
      <c r="AH331" s="195"/>
      <c r="AI331" s="195"/>
      <c r="AJ331" s="195"/>
      <c r="AK331" s="195"/>
      <c r="AL331" s="195"/>
      <c r="AM331" s="195"/>
      <c r="AN331" s="195"/>
      <c r="AO331" s="195"/>
      <c r="AP331" s="195"/>
      <c r="AQ331" s="195"/>
      <c r="AR331" s="195"/>
      <c r="AS331" s="195"/>
      <c r="AT331" s="195"/>
    </row>
    <row r="332" spans="1:46" ht="18">
      <c r="A332" s="488" t="s">
        <v>774</v>
      </c>
      <c r="B332" s="392"/>
      <c r="C332" s="194"/>
      <c r="D332" s="194"/>
      <c r="E332" s="194"/>
      <c r="F332" s="194"/>
      <c r="G332" s="194"/>
      <c r="H332" s="194"/>
      <c r="I332" s="194"/>
      <c r="J332" s="194"/>
      <c r="K332" s="194"/>
      <c r="L332" s="194"/>
      <c r="M332" s="194"/>
      <c r="N332" s="194"/>
      <c r="O332" s="195"/>
      <c r="P332" s="195"/>
      <c r="Q332" s="195"/>
      <c r="R332" s="195"/>
      <c r="S332" s="195"/>
      <c r="T332" s="195"/>
      <c r="U332" s="195"/>
      <c r="V332" s="195"/>
      <c r="W332" s="195"/>
      <c r="X332" s="195"/>
      <c r="Y332" s="195"/>
      <c r="Z332" s="195"/>
      <c r="AA332" s="195"/>
      <c r="AB332" s="195"/>
      <c r="AC332" s="195"/>
      <c r="AD332" s="195"/>
      <c r="AE332" s="195"/>
      <c r="AF332" s="195"/>
      <c r="AG332" s="195"/>
      <c r="AH332" s="195"/>
      <c r="AI332" s="195"/>
      <c r="AJ332" s="195"/>
      <c r="AK332" s="195"/>
      <c r="AL332" s="195"/>
      <c r="AM332" s="195"/>
      <c r="AN332" s="195"/>
      <c r="AO332" s="195"/>
      <c r="AP332" s="195"/>
      <c r="AQ332" s="195"/>
      <c r="AR332" s="195"/>
      <c r="AS332" s="195"/>
      <c r="AT332" s="195"/>
    </row>
    <row r="333" spans="1:46">
      <c r="A333" s="391"/>
      <c r="B333" s="392"/>
      <c r="C333" s="194"/>
      <c r="D333" s="194"/>
      <c r="E333" s="194"/>
      <c r="F333" s="194"/>
      <c r="G333" s="194"/>
      <c r="H333" s="194"/>
      <c r="I333" s="194"/>
      <c r="J333" s="194"/>
      <c r="K333" s="194"/>
      <c r="L333" s="194"/>
      <c r="M333" s="194"/>
      <c r="N333" s="194"/>
      <c r="O333" s="195"/>
      <c r="P333" s="195"/>
      <c r="Q333" s="195"/>
      <c r="R333" s="195"/>
      <c r="S333" s="195"/>
      <c r="T333" s="195"/>
      <c r="U333" s="195"/>
      <c r="V333" s="195"/>
      <c r="W333" s="195"/>
      <c r="X333" s="195"/>
      <c r="Y333" s="195"/>
      <c r="Z333" s="195"/>
      <c r="AA333" s="195"/>
      <c r="AB333" s="195"/>
      <c r="AC333" s="195"/>
      <c r="AD333" s="195"/>
      <c r="AE333" s="195"/>
      <c r="AF333" s="195"/>
      <c r="AG333" s="195"/>
      <c r="AH333" s="195"/>
      <c r="AI333" s="195"/>
      <c r="AJ333" s="195"/>
      <c r="AK333" s="195"/>
      <c r="AL333" s="195"/>
      <c r="AM333" s="195"/>
      <c r="AN333" s="195"/>
      <c r="AO333" s="195"/>
      <c r="AP333" s="195"/>
      <c r="AQ333" s="195"/>
      <c r="AR333" s="195"/>
      <c r="AS333" s="195"/>
      <c r="AT333" s="195"/>
    </row>
    <row r="334" spans="1:46" ht="15.75">
      <c r="A334" s="393" t="s">
        <v>148</v>
      </c>
      <c r="B334" s="392"/>
      <c r="C334" s="194"/>
      <c r="D334" s="194"/>
      <c r="E334" s="194"/>
      <c r="F334" s="194"/>
      <c r="G334" s="194"/>
      <c r="H334" s="194"/>
      <c r="I334" s="194"/>
      <c r="J334" s="194"/>
      <c r="K334" s="194"/>
      <c r="L334" s="194"/>
      <c r="M334" s="194"/>
      <c r="N334" s="194"/>
      <c r="O334" s="195"/>
      <c r="P334" s="195"/>
      <c r="Q334" s="195"/>
      <c r="R334" s="195"/>
      <c r="S334" s="195"/>
      <c r="T334" s="195"/>
      <c r="U334" s="195"/>
      <c r="V334" s="195"/>
      <c r="W334" s="195"/>
      <c r="X334" s="195"/>
      <c r="Y334" s="195"/>
      <c r="Z334" s="195"/>
      <c r="AA334" s="195"/>
      <c r="AB334" s="195"/>
      <c r="AC334" s="195"/>
      <c r="AD334" s="195"/>
      <c r="AE334" s="195"/>
      <c r="AF334" s="195"/>
      <c r="AG334" s="195"/>
      <c r="AH334" s="195"/>
      <c r="AI334" s="195"/>
      <c r="AJ334" s="195"/>
      <c r="AK334" s="195"/>
      <c r="AL334" s="195"/>
      <c r="AM334" s="195"/>
      <c r="AN334" s="195"/>
      <c r="AO334" s="195"/>
      <c r="AP334" s="195"/>
      <c r="AQ334" s="195"/>
      <c r="AR334" s="195"/>
      <c r="AS334" s="195"/>
      <c r="AT334" s="195"/>
    </row>
    <row r="335" spans="1:46" ht="15.75" thickBot="1">
      <c r="A335" s="485"/>
      <c r="B335" s="486"/>
      <c r="C335" s="194"/>
      <c r="D335" s="194"/>
      <c r="E335" s="194"/>
      <c r="F335" s="194"/>
      <c r="G335" s="194"/>
      <c r="H335" s="194"/>
      <c r="I335" s="194"/>
      <c r="J335" s="194"/>
      <c r="K335" s="194"/>
      <c r="L335" s="194"/>
      <c r="M335" s="194"/>
      <c r="N335" s="194"/>
      <c r="O335" s="195"/>
      <c r="P335" s="195"/>
      <c r="Q335" s="195"/>
      <c r="R335" s="195"/>
      <c r="S335" s="195"/>
      <c r="T335" s="195"/>
      <c r="U335" s="195"/>
      <c r="V335" s="195"/>
      <c r="W335" s="195"/>
      <c r="X335" s="195"/>
      <c r="Y335" s="195"/>
      <c r="Z335" s="195"/>
      <c r="AA335" s="195"/>
      <c r="AB335" s="195"/>
      <c r="AC335" s="195"/>
      <c r="AD335" s="195"/>
      <c r="AE335" s="195"/>
      <c r="AF335" s="195"/>
      <c r="AG335" s="195"/>
      <c r="AH335" s="195"/>
      <c r="AI335" s="195"/>
      <c r="AJ335" s="195"/>
      <c r="AK335" s="195"/>
      <c r="AL335" s="195"/>
      <c r="AM335" s="195"/>
      <c r="AN335" s="195"/>
      <c r="AO335" s="195"/>
      <c r="AP335" s="195"/>
      <c r="AQ335" s="195"/>
      <c r="AR335" s="195"/>
      <c r="AS335" s="195"/>
      <c r="AT335" s="195"/>
    </row>
    <row r="336" spans="1:46" ht="15.75">
      <c r="A336" s="395" t="s">
        <v>635</v>
      </c>
      <c r="B336" s="31" t="s">
        <v>682</v>
      </c>
      <c r="C336" s="1067" t="s">
        <v>606</v>
      </c>
      <c r="D336" s="1067" t="s">
        <v>607</v>
      </c>
      <c r="E336" s="1067" t="s">
        <v>608</v>
      </c>
      <c r="F336" s="1067" t="s">
        <v>609</v>
      </c>
      <c r="G336" s="1067" t="s">
        <v>610</v>
      </c>
      <c r="H336" s="1067" t="s">
        <v>611</v>
      </c>
      <c r="I336" s="1067" t="s">
        <v>612</v>
      </c>
      <c r="J336" s="1067" t="s">
        <v>613</v>
      </c>
      <c r="K336" s="1067" t="s">
        <v>614</v>
      </c>
      <c r="L336" s="1067" t="s">
        <v>66</v>
      </c>
      <c r="M336" s="1067" t="s">
        <v>616</v>
      </c>
      <c r="N336" s="1067" t="s">
        <v>617</v>
      </c>
      <c r="O336" s="1067" t="s">
        <v>805</v>
      </c>
      <c r="P336" s="1067" t="s">
        <v>806</v>
      </c>
      <c r="Q336" s="1067" t="s">
        <v>807</v>
      </c>
      <c r="R336" s="1067" t="s">
        <v>808</v>
      </c>
      <c r="S336" s="1067" t="s">
        <v>809</v>
      </c>
      <c r="T336" s="1067" t="s">
        <v>810</v>
      </c>
      <c r="U336" s="1067" t="s">
        <v>811</v>
      </c>
      <c r="V336" s="1067" t="s">
        <v>812</v>
      </c>
      <c r="W336" s="1067" t="s">
        <v>813</v>
      </c>
      <c r="X336" s="1067" t="s">
        <v>814</v>
      </c>
      <c r="Y336" s="1067" t="s">
        <v>815</v>
      </c>
      <c r="Z336" s="1067" t="s">
        <v>816</v>
      </c>
      <c r="AA336" s="1067" t="s">
        <v>817</v>
      </c>
      <c r="AB336" s="1067" t="s">
        <v>818</v>
      </c>
      <c r="AC336" s="1067" t="s">
        <v>819</v>
      </c>
      <c r="AD336" s="1067" t="s">
        <v>820</v>
      </c>
      <c r="AE336" s="1067" t="s">
        <v>821</v>
      </c>
      <c r="AF336" s="1067" t="s">
        <v>822</v>
      </c>
      <c r="AG336" s="1067" t="s">
        <v>823</v>
      </c>
      <c r="AH336" s="1067" t="s">
        <v>824</v>
      </c>
      <c r="AI336" s="1067" t="s">
        <v>825</v>
      </c>
      <c r="AJ336" s="1067" t="s">
        <v>826</v>
      </c>
      <c r="AK336" s="1067" t="s">
        <v>827</v>
      </c>
      <c r="AL336" s="1050" t="s">
        <v>828</v>
      </c>
      <c r="AM336" s="195"/>
      <c r="AN336" s="195"/>
      <c r="AO336" s="195"/>
      <c r="AP336" s="195"/>
      <c r="AQ336" s="195"/>
      <c r="AR336" s="195"/>
      <c r="AS336" s="195"/>
      <c r="AT336" s="195"/>
    </row>
    <row r="337" spans="1:46" ht="15.75">
      <c r="A337" s="472"/>
      <c r="B337" s="34" t="s">
        <v>60</v>
      </c>
      <c r="C337" s="1068"/>
      <c r="D337" s="1068"/>
      <c r="E337" s="1068"/>
      <c r="F337" s="1068"/>
      <c r="G337" s="1068"/>
      <c r="H337" s="1068"/>
      <c r="I337" s="1068"/>
      <c r="J337" s="1068"/>
      <c r="K337" s="1068"/>
      <c r="L337" s="1068"/>
      <c r="M337" s="1068"/>
      <c r="N337" s="1068"/>
      <c r="O337" s="1068"/>
      <c r="P337" s="1068"/>
      <c r="Q337" s="1068"/>
      <c r="R337" s="1068"/>
      <c r="S337" s="1068"/>
      <c r="T337" s="1068"/>
      <c r="U337" s="1068"/>
      <c r="V337" s="1068"/>
      <c r="W337" s="1068"/>
      <c r="X337" s="1068"/>
      <c r="Y337" s="1068"/>
      <c r="Z337" s="1068"/>
      <c r="AA337" s="1068"/>
      <c r="AB337" s="1068"/>
      <c r="AC337" s="1068"/>
      <c r="AD337" s="1068"/>
      <c r="AE337" s="1068"/>
      <c r="AF337" s="1068"/>
      <c r="AG337" s="1068"/>
      <c r="AH337" s="1068"/>
      <c r="AI337" s="1068"/>
      <c r="AJ337" s="1068"/>
      <c r="AK337" s="1068"/>
      <c r="AL337" s="1051"/>
      <c r="AM337" s="195"/>
      <c r="AN337" s="195"/>
      <c r="AO337" s="195"/>
      <c r="AP337" s="195"/>
      <c r="AQ337" s="195"/>
      <c r="AR337" s="195"/>
      <c r="AS337" s="195"/>
      <c r="AT337" s="195"/>
    </row>
    <row r="338" spans="1:46" ht="15.75">
      <c r="A338" s="438" t="str">
        <f>+'datos de entrada'!A337</f>
        <v>DOTACION</v>
      </c>
      <c r="B338" s="838">
        <f>+'datos de entrada'!B337</f>
        <v>180000</v>
      </c>
      <c r="C338" s="838">
        <f>+'datos de entrada'!C337</f>
        <v>15000</v>
      </c>
      <c r="D338" s="838">
        <f>+'datos de entrada'!D337</f>
        <v>15000</v>
      </c>
      <c r="E338" s="838">
        <f>+'datos de entrada'!E337</f>
        <v>15000</v>
      </c>
      <c r="F338" s="838">
        <f>+'datos de entrada'!F337</f>
        <v>15000</v>
      </c>
      <c r="G338" s="838">
        <f>+'datos de entrada'!G337</f>
        <v>15000</v>
      </c>
      <c r="H338" s="838">
        <f>+'datos de entrada'!H337</f>
        <v>15000</v>
      </c>
      <c r="I338" s="838">
        <f>+'datos de entrada'!I337</f>
        <v>15000</v>
      </c>
      <c r="J338" s="838">
        <f>+'datos de entrada'!J337</f>
        <v>15000</v>
      </c>
      <c r="K338" s="838">
        <f>+'datos de entrada'!K337</f>
        <v>15000</v>
      </c>
      <c r="L338" s="838">
        <f>+'datos de entrada'!L337</f>
        <v>15000</v>
      </c>
      <c r="M338" s="838">
        <f>+'datos de entrada'!M337</f>
        <v>15000</v>
      </c>
      <c r="N338" s="838">
        <f>+'datos de entrada'!N337</f>
        <v>15000</v>
      </c>
      <c r="O338" s="838">
        <f>+'datos de entrada'!O337</f>
        <v>15000</v>
      </c>
      <c r="P338" s="838">
        <f>+'datos de entrada'!P337</f>
        <v>15000</v>
      </c>
      <c r="Q338" s="838">
        <f>+'datos de entrada'!Q337</f>
        <v>15000</v>
      </c>
      <c r="R338" s="838">
        <f>+'datos de entrada'!R337</f>
        <v>15000</v>
      </c>
      <c r="S338" s="838">
        <f>+'datos de entrada'!S337</f>
        <v>15000</v>
      </c>
      <c r="T338" s="838">
        <f>+'datos de entrada'!T337</f>
        <v>15000</v>
      </c>
      <c r="U338" s="838">
        <f>+'datos de entrada'!U337</f>
        <v>15000</v>
      </c>
      <c r="V338" s="838">
        <f>+'datos de entrada'!V337</f>
        <v>15000</v>
      </c>
      <c r="W338" s="838">
        <f>+'datos de entrada'!W337</f>
        <v>15000</v>
      </c>
      <c r="X338" s="838">
        <f>+'datos de entrada'!X337</f>
        <v>15000</v>
      </c>
      <c r="Y338" s="838">
        <f>+'datos de entrada'!Y337</f>
        <v>15000</v>
      </c>
      <c r="Z338" s="838">
        <f>+'datos de entrada'!Z337</f>
        <v>15000</v>
      </c>
      <c r="AA338" s="838">
        <f>+'datos de entrada'!AA337</f>
        <v>15000</v>
      </c>
      <c r="AB338" s="838">
        <f>+'datos de entrada'!AB337</f>
        <v>15000</v>
      </c>
      <c r="AC338" s="838">
        <f>+'datos de entrada'!AC337</f>
        <v>15000</v>
      </c>
      <c r="AD338" s="838">
        <f>+'datos de entrada'!AD337</f>
        <v>15000</v>
      </c>
      <c r="AE338" s="838">
        <f>+'datos de entrada'!AE337</f>
        <v>15000</v>
      </c>
      <c r="AF338" s="838">
        <f>+'datos de entrada'!AF337</f>
        <v>15000</v>
      </c>
      <c r="AG338" s="838">
        <f>+'datos de entrada'!AG337</f>
        <v>15000</v>
      </c>
      <c r="AH338" s="838">
        <f>+'datos de entrada'!AH337</f>
        <v>15000</v>
      </c>
      <c r="AI338" s="838">
        <f>+'datos de entrada'!AI337</f>
        <v>15000</v>
      </c>
      <c r="AJ338" s="838">
        <f>+'datos de entrada'!AJ337</f>
        <v>15000</v>
      </c>
      <c r="AK338" s="838">
        <f>+'datos de entrada'!AK337</f>
        <v>15000</v>
      </c>
      <c r="AL338" s="841">
        <f>+'datos de entrada'!AL337</f>
        <v>15000</v>
      </c>
      <c r="AM338" s="195"/>
      <c r="AN338" s="195"/>
      <c r="AO338" s="195"/>
      <c r="AP338" s="195"/>
      <c r="AQ338" s="195"/>
      <c r="AR338" s="195"/>
      <c r="AS338" s="195"/>
      <c r="AT338" s="195"/>
    </row>
    <row r="339" spans="1:46" ht="15.75">
      <c r="A339" s="438" t="str">
        <f>+'datos de entrada'!A338</f>
        <v>ARRIENDO</v>
      </c>
      <c r="B339" s="838">
        <f>+'datos de entrada'!B338</f>
        <v>16800000</v>
      </c>
      <c r="C339" s="838">
        <f>+'datos de entrada'!C338</f>
        <v>1400000</v>
      </c>
      <c r="D339" s="838">
        <f>+'datos de entrada'!D338</f>
        <v>1400000</v>
      </c>
      <c r="E339" s="838">
        <f>+'datos de entrada'!E338</f>
        <v>1400000</v>
      </c>
      <c r="F339" s="838">
        <f>+'datos de entrada'!F338</f>
        <v>1400000</v>
      </c>
      <c r="G339" s="838">
        <f>+'datos de entrada'!G338</f>
        <v>1400000</v>
      </c>
      <c r="H339" s="838">
        <f>+'datos de entrada'!H338</f>
        <v>1400000</v>
      </c>
      <c r="I339" s="838">
        <f>+'datos de entrada'!I338</f>
        <v>1400000</v>
      </c>
      <c r="J339" s="838">
        <f>+'datos de entrada'!J338</f>
        <v>1400000</v>
      </c>
      <c r="K339" s="838">
        <f>+'datos de entrada'!K338</f>
        <v>1400000</v>
      </c>
      <c r="L339" s="838">
        <f>+'datos de entrada'!L338</f>
        <v>1400000</v>
      </c>
      <c r="M339" s="838">
        <f>+'datos de entrada'!M338</f>
        <v>1400000</v>
      </c>
      <c r="N339" s="838">
        <f>+'datos de entrada'!N338</f>
        <v>1400000</v>
      </c>
      <c r="O339" s="838">
        <f>+'datos de entrada'!O338</f>
        <v>1400000</v>
      </c>
      <c r="P339" s="838">
        <f>+'datos de entrada'!P338</f>
        <v>1400000</v>
      </c>
      <c r="Q339" s="838">
        <f>+'datos de entrada'!Q338</f>
        <v>1400000</v>
      </c>
      <c r="R339" s="838">
        <f>+'datos de entrada'!R338</f>
        <v>1400000</v>
      </c>
      <c r="S339" s="838">
        <f>+'datos de entrada'!S338</f>
        <v>1400000</v>
      </c>
      <c r="T339" s="838">
        <f>+'datos de entrada'!T338</f>
        <v>1400000</v>
      </c>
      <c r="U339" s="838">
        <f>+'datos de entrada'!U338</f>
        <v>1400000</v>
      </c>
      <c r="V339" s="838">
        <f>+'datos de entrada'!V338</f>
        <v>1400000</v>
      </c>
      <c r="W339" s="838">
        <f>+'datos de entrada'!W338</f>
        <v>1400000</v>
      </c>
      <c r="X339" s="838">
        <f>+'datos de entrada'!X338</f>
        <v>1400000</v>
      </c>
      <c r="Y339" s="838">
        <f>+'datos de entrada'!Y338</f>
        <v>1400000</v>
      </c>
      <c r="Z339" s="838">
        <f>+'datos de entrada'!Z338</f>
        <v>1400000</v>
      </c>
      <c r="AA339" s="838">
        <f>+'datos de entrada'!AA338</f>
        <v>1400000</v>
      </c>
      <c r="AB339" s="838">
        <f>+'datos de entrada'!AB338</f>
        <v>1400000</v>
      </c>
      <c r="AC339" s="838">
        <f>+'datos de entrada'!AC338</f>
        <v>1400000</v>
      </c>
      <c r="AD339" s="838">
        <f>+'datos de entrada'!AD338</f>
        <v>1400000</v>
      </c>
      <c r="AE339" s="838">
        <f>+'datos de entrada'!AE338</f>
        <v>1400000</v>
      </c>
      <c r="AF339" s="838">
        <f>+'datos de entrada'!AF338</f>
        <v>1400000</v>
      </c>
      <c r="AG339" s="838">
        <f>+'datos de entrada'!AG338</f>
        <v>1400000</v>
      </c>
      <c r="AH339" s="838">
        <f>+'datos de entrada'!AH338</f>
        <v>1400000</v>
      </c>
      <c r="AI339" s="838">
        <f>+'datos de entrada'!AI338</f>
        <v>1400000</v>
      </c>
      <c r="AJ339" s="838">
        <f>+'datos de entrada'!AJ338</f>
        <v>1400000</v>
      </c>
      <c r="AK339" s="838">
        <f>+'datos de entrada'!AK338</f>
        <v>1400000</v>
      </c>
      <c r="AL339" s="841">
        <f>+'datos de entrada'!AL338</f>
        <v>1400000</v>
      </c>
      <c r="AM339" s="195"/>
      <c r="AN339" s="195"/>
      <c r="AO339" s="195"/>
      <c r="AP339" s="195"/>
      <c r="AQ339" s="195"/>
      <c r="AR339" s="195"/>
      <c r="AS339" s="195"/>
      <c r="AT339" s="195"/>
    </row>
    <row r="340" spans="1:46" ht="15.75">
      <c r="A340" s="438" t="str">
        <f>+'datos de entrada'!A339</f>
        <v>NOMINA PRODUCCION AUXILIO  DE TRANSPORTE</v>
      </c>
      <c r="B340" s="838">
        <f>+'datos de entrada'!B339</f>
        <v>0</v>
      </c>
      <c r="C340" s="838">
        <f>+'datos de entrada'!C339</f>
        <v>0</v>
      </c>
      <c r="D340" s="838">
        <f>+'datos de entrada'!D339</f>
        <v>0</v>
      </c>
      <c r="E340" s="838">
        <f>+'datos de entrada'!E339</f>
        <v>0</v>
      </c>
      <c r="F340" s="838">
        <f>+'datos de entrada'!F339</f>
        <v>0</v>
      </c>
      <c r="G340" s="838">
        <f>+'datos de entrada'!G339</f>
        <v>0</v>
      </c>
      <c r="H340" s="838">
        <f>+'datos de entrada'!H339</f>
        <v>0</v>
      </c>
      <c r="I340" s="838">
        <f>+'datos de entrada'!I339</f>
        <v>0</v>
      </c>
      <c r="J340" s="838">
        <f>+'datos de entrada'!J339</f>
        <v>0</v>
      </c>
      <c r="K340" s="838">
        <f>+'datos de entrada'!K339</f>
        <v>0</v>
      </c>
      <c r="L340" s="838">
        <f>+'datos de entrada'!L339</f>
        <v>0</v>
      </c>
      <c r="M340" s="838">
        <f>+'datos de entrada'!M339</f>
        <v>0</v>
      </c>
      <c r="N340" s="838">
        <f>+'datos de entrada'!N339</f>
        <v>0</v>
      </c>
      <c r="O340" s="838">
        <f>+'datos de entrada'!O339</f>
        <v>0</v>
      </c>
      <c r="P340" s="838">
        <f>+'datos de entrada'!P339</f>
        <v>0</v>
      </c>
      <c r="Q340" s="838">
        <f>+'datos de entrada'!Q339</f>
        <v>0</v>
      </c>
      <c r="R340" s="838">
        <f>+'datos de entrada'!R339</f>
        <v>0</v>
      </c>
      <c r="S340" s="838">
        <f>+'datos de entrada'!S339</f>
        <v>0</v>
      </c>
      <c r="T340" s="838">
        <f>+'datos de entrada'!T339</f>
        <v>0</v>
      </c>
      <c r="U340" s="838">
        <f>+'datos de entrada'!U339</f>
        <v>0</v>
      </c>
      <c r="V340" s="838">
        <f>+'datos de entrada'!V339</f>
        <v>0</v>
      </c>
      <c r="W340" s="838">
        <f>+'datos de entrada'!W339</f>
        <v>0</v>
      </c>
      <c r="X340" s="838">
        <f>+'datos de entrada'!X339</f>
        <v>0</v>
      </c>
      <c r="Y340" s="838">
        <f>+'datos de entrada'!Y339</f>
        <v>0</v>
      </c>
      <c r="Z340" s="838">
        <f>+'datos de entrada'!Z339</f>
        <v>0</v>
      </c>
      <c r="AA340" s="838">
        <f>+'datos de entrada'!AA339</f>
        <v>0</v>
      </c>
      <c r="AB340" s="838">
        <f>+'datos de entrada'!AB339</f>
        <v>0</v>
      </c>
      <c r="AC340" s="838">
        <f>+'datos de entrada'!AC339</f>
        <v>0</v>
      </c>
      <c r="AD340" s="838">
        <f>+'datos de entrada'!AD339</f>
        <v>0</v>
      </c>
      <c r="AE340" s="838">
        <f>+'datos de entrada'!AE339</f>
        <v>0</v>
      </c>
      <c r="AF340" s="838">
        <f>+'datos de entrada'!AF339</f>
        <v>0</v>
      </c>
      <c r="AG340" s="838">
        <f>+'datos de entrada'!AG339</f>
        <v>0</v>
      </c>
      <c r="AH340" s="838">
        <f>+'datos de entrada'!AH339</f>
        <v>0</v>
      </c>
      <c r="AI340" s="838">
        <f>+'datos de entrada'!AI339</f>
        <v>0</v>
      </c>
      <c r="AJ340" s="838">
        <f>+'datos de entrada'!AJ339</f>
        <v>0</v>
      </c>
      <c r="AK340" s="838">
        <f>+'datos de entrada'!AK339</f>
        <v>0</v>
      </c>
      <c r="AL340" s="841">
        <f>+'datos de entrada'!AL339</f>
        <v>0</v>
      </c>
      <c r="AM340" s="195"/>
      <c r="AN340" s="195"/>
      <c r="AO340" s="195"/>
      <c r="AP340" s="195"/>
      <c r="AQ340" s="195"/>
      <c r="AR340" s="195"/>
      <c r="AS340" s="195"/>
      <c r="AT340" s="195"/>
    </row>
    <row r="341" spans="1:46" ht="15.75">
      <c r="A341" s="438" t="str">
        <f>+'datos de entrada'!A340</f>
        <v>MANTENIMIENTO EQUIPOS</v>
      </c>
      <c r="B341" s="838">
        <f>+'datos de entrada'!B340</f>
        <v>600000</v>
      </c>
      <c r="C341" s="838">
        <f>+'datos de entrada'!C340</f>
        <v>50000</v>
      </c>
      <c r="D341" s="838">
        <f>+'datos de entrada'!D340</f>
        <v>50000</v>
      </c>
      <c r="E341" s="838">
        <f>+'datos de entrada'!E340</f>
        <v>50000</v>
      </c>
      <c r="F341" s="838">
        <f>+'datos de entrada'!F340</f>
        <v>50000</v>
      </c>
      <c r="G341" s="838">
        <f>+'datos de entrada'!G340</f>
        <v>50000</v>
      </c>
      <c r="H341" s="838">
        <f>+'datos de entrada'!H340</f>
        <v>50000</v>
      </c>
      <c r="I341" s="838">
        <f>+'datos de entrada'!I340</f>
        <v>50000</v>
      </c>
      <c r="J341" s="838">
        <f>+'datos de entrada'!J340</f>
        <v>50000</v>
      </c>
      <c r="K341" s="838">
        <f>+'datos de entrada'!K340</f>
        <v>50000</v>
      </c>
      <c r="L341" s="838">
        <f>+'datos de entrada'!L340</f>
        <v>50000</v>
      </c>
      <c r="M341" s="838">
        <f>+'datos de entrada'!M340</f>
        <v>50000</v>
      </c>
      <c r="N341" s="838">
        <f>+'datos de entrada'!N340</f>
        <v>50000</v>
      </c>
      <c r="O341" s="838">
        <f>+'datos de entrada'!O340</f>
        <v>50000</v>
      </c>
      <c r="P341" s="838">
        <f>+'datos de entrada'!P340</f>
        <v>50000</v>
      </c>
      <c r="Q341" s="838">
        <f>+'datos de entrada'!Q340</f>
        <v>50000</v>
      </c>
      <c r="R341" s="838">
        <f>+'datos de entrada'!R340</f>
        <v>50000</v>
      </c>
      <c r="S341" s="838">
        <f>+'datos de entrada'!S340</f>
        <v>50000</v>
      </c>
      <c r="T341" s="838">
        <f>+'datos de entrada'!T340</f>
        <v>50000</v>
      </c>
      <c r="U341" s="838">
        <f>+'datos de entrada'!U340</f>
        <v>50000</v>
      </c>
      <c r="V341" s="838">
        <f>+'datos de entrada'!V340</f>
        <v>50000</v>
      </c>
      <c r="W341" s="838">
        <f>+'datos de entrada'!W340</f>
        <v>50000</v>
      </c>
      <c r="X341" s="838">
        <f>+'datos de entrada'!X340</f>
        <v>50000</v>
      </c>
      <c r="Y341" s="838">
        <f>+'datos de entrada'!Y340</f>
        <v>50000</v>
      </c>
      <c r="Z341" s="838">
        <f>+'datos de entrada'!Z340</f>
        <v>50000</v>
      </c>
      <c r="AA341" s="838">
        <f>+'datos de entrada'!AA340</f>
        <v>50000</v>
      </c>
      <c r="AB341" s="838">
        <f>+'datos de entrada'!AB340</f>
        <v>50000</v>
      </c>
      <c r="AC341" s="838">
        <f>+'datos de entrada'!AC340</f>
        <v>50000</v>
      </c>
      <c r="AD341" s="838">
        <f>+'datos de entrada'!AD340</f>
        <v>50000</v>
      </c>
      <c r="AE341" s="838">
        <f>+'datos de entrada'!AE340</f>
        <v>50000</v>
      </c>
      <c r="AF341" s="838">
        <f>+'datos de entrada'!AF340</f>
        <v>50000</v>
      </c>
      <c r="AG341" s="838">
        <f>+'datos de entrada'!AG340</f>
        <v>50000</v>
      </c>
      <c r="AH341" s="838">
        <f>+'datos de entrada'!AH340</f>
        <v>50000</v>
      </c>
      <c r="AI341" s="838">
        <f>+'datos de entrada'!AI340</f>
        <v>50000</v>
      </c>
      <c r="AJ341" s="838">
        <f>+'datos de entrada'!AJ340</f>
        <v>50000</v>
      </c>
      <c r="AK341" s="838">
        <f>+'datos de entrada'!AK340</f>
        <v>50000</v>
      </c>
      <c r="AL341" s="841">
        <f>+'datos de entrada'!AL340</f>
        <v>50000</v>
      </c>
      <c r="AM341" s="195"/>
      <c r="AN341" s="195"/>
      <c r="AO341" s="195"/>
      <c r="AP341" s="195"/>
      <c r="AQ341" s="195"/>
      <c r="AR341" s="195"/>
      <c r="AS341" s="195"/>
      <c r="AT341" s="195"/>
    </row>
    <row r="342" spans="1:46" ht="15.75">
      <c r="A342" s="438" t="str">
        <f>+'datos de entrada'!A341</f>
        <v>FLETES Y/O TRANSPORTE OPERATIVO</v>
      </c>
      <c r="B342" s="838">
        <f>+'datos de entrada'!B341</f>
        <v>2400000</v>
      </c>
      <c r="C342" s="838">
        <f>+'datos de entrada'!C341</f>
        <v>200000</v>
      </c>
      <c r="D342" s="838">
        <f>+'datos de entrada'!D341</f>
        <v>200000</v>
      </c>
      <c r="E342" s="838">
        <f>+'datos de entrada'!E341</f>
        <v>200000</v>
      </c>
      <c r="F342" s="838">
        <f>+'datos de entrada'!F341</f>
        <v>200000</v>
      </c>
      <c r="G342" s="838">
        <f>+'datos de entrada'!G341</f>
        <v>200000</v>
      </c>
      <c r="H342" s="838">
        <f>+'datos de entrada'!H341</f>
        <v>200000</v>
      </c>
      <c r="I342" s="838">
        <f>+'datos de entrada'!I341</f>
        <v>200000</v>
      </c>
      <c r="J342" s="838">
        <f>+'datos de entrada'!J341</f>
        <v>200000</v>
      </c>
      <c r="K342" s="838">
        <f>+'datos de entrada'!K341</f>
        <v>200000</v>
      </c>
      <c r="L342" s="838">
        <f>+'datos de entrada'!L341</f>
        <v>200000</v>
      </c>
      <c r="M342" s="838">
        <f>+'datos de entrada'!M341</f>
        <v>200000</v>
      </c>
      <c r="N342" s="838">
        <f>+'datos de entrada'!N341</f>
        <v>200000</v>
      </c>
      <c r="O342" s="838">
        <f>+'datos de entrada'!O341</f>
        <v>200000</v>
      </c>
      <c r="P342" s="838">
        <f>+'datos de entrada'!P341</f>
        <v>200000</v>
      </c>
      <c r="Q342" s="838">
        <f>+'datos de entrada'!Q341</f>
        <v>200000</v>
      </c>
      <c r="R342" s="838">
        <f>+'datos de entrada'!R341</f>
        <v>200000</v>
      </c>
      <c r="S342" s="838">
        <f>+'datos de entrada'!S341</f>
        <v>200000</v>
      </c>
      <c r="T342" s="838">
        <f>+'datos de entrada'!T341</f>
        <v>200000</v>
      </c>
      <c r="U342" s="838">
        <f>+'datos de entrada'!U341</f>
        <v>200000</v>
      </c>
      <c r="V342" s="838">
        <f>+'datos de entrada'!V341</f>
        <v>200000</v>
      </c>
      <c r="W342" s="838">
        <f>+'datos de entrada'!W341</f>
        <v>200000</v>
      </c>
      <c r="X342" s="838">
        <f>+'datos de entrada'!X341</f>
        <v>200000</v>
      </c>
      <c r="Y342" s="838">
        <f>+'datos de entrada'!Y341</f>
        <v>200000</v>
      </c>
      <c r="Z342" s="838">
        <f>+'datos de entrada'!Z341</f>
        <v>200000</v>
      </c>
      <c r="AA342" s="838">
        <f>+'datos de entrada'!AA341</f>
        <v>200000</v>
      </c>
      <c r="AB342" s="838">
        <f>+'datos de entrada'!AB341</f>
        <v>200000</v>
      </c>
      <c r="AC342" s="838">
        <f>+'datos de entrada'!AC341</f>
        <v>200000</v>
      </c>
      <c r="AD342" s="838">
        <f>+'datos de entrada'!AD341</f>
        <v>200000</v>
      </c>
      <c r="AE342" s="838">
        <f>+'datos de entrada'!AE341</f>
        <v>200000</v>
      </c>
      <c r="AF342" s="838">
        <f>+'datos de entrada'!AF341</f>
        <v>200000</v>
      </c>
      <c r="AG342" s="838">
        <f>+'datos de entrada'!AG341</f>
        <v>200000</v>
      </c>
      <c r="AH342" s="838">
        <f>+'datos de entrada'!AH341</f>
        <v>200000</v>
      </c>
      <c r="AI342" s="838">
        <f>+'datos de entrada'!AI341</f>
        <v>200000</v>
      </c>
      <c r="AJ342" s="838">
        <f>+'datos de entrada'!AJ341</f>
        <v>200000</v>
      </c>
      <c r="AK342" s="838">
        <f>+'datos de entrada'!AK341</f>
        <v>200000</v>
      </c>
      <c r="AL342" s="841">
        <f>+'datos de entrada'!AL341</f>
        <v>200000</v>
      </c>
      <c r="AM342" s="195"/>
      <c r="AN342" s="195"/>
      <c r="AO342" s="195"/>
      <c r="AP342" s="195"/>
      <c r="AQ342" s="195"/>
      <c r="AR342" s="195"/>
      <c r="AS342" s="195"/>
      <c r="AT342" s="195"/>
    </row>
    <row r="343" spans="1:46" ht="15.75">
      <c r="A343" s="438" t="str">
        <f>+'datos de entrada'!A342</f>
        <v>SERVICIOS PUBLICOS</v>
      </c>
      <c r="B343" s="838">
        <f>+'datos de entrada'!B342</f>
        <v>9120000</v>
      </c>
      <c r="C343" s="838">
        <f>+'datos de entrada'!C342</f>
        <v>760000</v>
      </c>
      <c r="D343" s="838">
        <f>+'datos de entrada'!D342</f>
        <v>760000</v>
      </c>
      <c r="E343" s="838">
        <f>+'datos de entrada'!E342</f>
        <v>760000</v>
      </c>
      <c r="F343" s="838">
        <f>+'datos de entrada'!F342</f>
        <v>760000</v>
      </c>
      <c r="G343" s="838">
        <f>+'datos de entrada'!G342</f>
        <v>760000</v>
      </c>
      <c r="H343" s="838">
        <f>+'datos de entrada'!H342</f>
        <v>760000</v>
      </c>
      <c r="I343" s="838">
        <f>+'datos de entrada'!I342</f>
        <v>760000</v>
      </c>
      <c r="J343" s="838">
        <f>+'datos de entrada'!J342</f>
        <v>760000</v>
      </c>
      <c r="K343" s="838">
        <f>+'datos de entrada'!K342</f>
        <v>760000</v>
      </c>
      <c r="L343" s="838">
        <f>+'datos de entrada'!L342</f>
        <v>760000</v>
      </c>
      <c r="M343" s="838">
        <f>+'datos de entrada'!M342</f>
        <v>760000</v>
      </c>
      <c r="N343" s="838">
        <f>+'datos de entrada'!N342</f>
        <v>760000</v>
      </c>
      <c r="O343" s="838">
        <f>+'datos de entrada'!O342</f>
        <v>760000</v>
      </c>
      <c r="P343" s="838">
        <f>+'datos de entrada'!P342</f>
        <v>760000</v>
      </c>
      <c r="Q343" s="838">
        <f>+'datos de entrada'!Q342</f>
        <v>760000</v>
      </c>
      <c r="R343" s="838">
        <f>+'datos de entrada'!R342</f>
        <v>760000</v>
      </c>
      <c r="S343" s="838">
        <f>+'datos de entrada'!S342</f>
        <v>760000</v>
      </c>
      <c r="T343" s="838">
        <f>+'datos de entrada'!T342</f>
        <v>760000</v>
      </c>
      <c r="U343" s="838">
        <f>+'datos de entrada'!U342</f>
        <v>760000</v>
      </c>
      <c r="V343" s="838">
        <f>+'datos de entrada'!V342</f>
        <v>760000</v>
      </c>
      <c r="W343" s="838">
        <f>+'datos de entrada'!W342</f>
        <v>760000</v>
      </c>
      <c r="X343" s="838">
        <f>+'datos de entrada'!X342</f>
        <v>760000</v>
      </c>
      <c r="Y343" s="838">
        <f>+'datos de entrada'!Y342</f>
        <v>760000</v>
      </c>
      <c r="Z343" s="838">
        <f>+'datos de entrada'!Z342</f>
        <v>760000</v>
      </c>
      <c r="AA343" s="838">
        <f>+'datos de entrada'!AA342</f>
        <v>760000</v>
      </c>
      <c r="AB343" s="838">
        <f>+'datos de entrada'!AB342</f>
        <v>760000</v>
      </c>
      <c r="AC343" s="838">
        <f>+'datos de entrada'!AC342</f>
        <v>760000</v>
      </c>
      <c r="AD343" s="838">
        <f>+'datos de entrada'!AD342</f>
        <v>760000</v>
      </c>
      <c r="AE343" s="838">
        <f>+'datos de entrada'!AE342</f>
        <v>760000</v>
      </c>
      <c r="AF343" s="838">
        <f>+'datos de entrada'!AF342</f>
        <v>760000</v>
      </c>
      <c r="AG343" s="838">
        <f>+'datos de entrada'!AG342</f>
        <v>760000</v>
      </c>
      <c r="AH343" s="838">
        <f>+'datos de entrada'!AH342</f>
        <v>760000</v>
      </c>
      <c r="AI343" s="838">
        <f>+'datos de entrada'!AI342</f>
        <v>760000</v>
      </c>
      <c r="AJ343" s="838">
        <f>+'datos de entrada'!AJ342</f>
        <v>760000</v>
      </c>
      <c r="AK343" s="838">
        <f>+'datos de entrada'!AK342</f>
        <v>760000</v>
      </c>
      <c r="AL343" s="841">
        <f>+'datos de entrada'!AL342</f>
        <v>760000</v>
      </c>
      <c r="AM343" s="195"/>
      <c r="AN343" s="195"/>
      <c r="AO343" s="195"/>
      <c r="AP343" s="195"/>
      <c r="AQ343" s="195"/>
      <c r="AR343" s="195"/>
      <c r="AS343" s="195"/>
      <c r="AT343" s="195"/>
    </row>
    <row r="344" spans="1:46" ht="15.75">
      <c r="A344" s="438">
        <f>+'datos de entrada'!A343</f>
        <v>0</v>
      </c>
      <c r="B344" s="838">
        <f>+'datos de entrada'!B343</f>
        <v>0</v>
      </c>
      <c r="C344" s="838">
        <f>+'datos de entrada'!C343</f>
        <v>0</v>
      </c>
      <c r="D344" s="838">
        <f>+'datos de entrada'!D343</f>
        <v>0</v>
      </c>
      <c r="E344" s="838">
        <f>+'datos de entrada'!E343</f>
        <v>0</v>
      </c>
      <c r="F344" s="838">
        <f>+'datos de entrada'!F343</f>
        <v>0</v>
      </c>
      <c r="G344" s="838">
        <f>+'datos de entrada'!G343</f>
        <v>0</v>
      </c>
      <c r="H344" s="838">
        <f>+'datos de entrada'!H343</f>
        <v>0</v>
      </c>
      <c r="I344" s="838">
        <f>+'datos de entrada'!I343</f>
        <v>0</v>
      </c>
      <c r="J344" s="838">
        <f>+'datos de entrada'!J343</f>
        <v>0</v>
      </c>
      <c r="K344" s="838">
        <f>+'datos de entrada'!K343</f>
        <v>0</v>
      </c>
      <c r="L344" s="838">
        <f>+'datos de entrada'!L343</f>
        <v>0</v>
      </c>
      <c r="M344" s="838">
        <f>+'datos de entrada'!M343</f>
        <v>0</v>
      </c>
      <c r="N344" s="838">
        <f>+'datos de entrada'!N343</f>
        <v>0</v>
      </c>
      <c r="O344" s="838">
        <f>+'datos de entrada'!O343</f>
        <v>0</v>
      </c>
      <c r="P344" s="838">
        <f>+'datos de entrada'!P343</f>
        <v>0</v>
      </c>
      <c r="Q344" s="838">
        <f>+'datos de entrada'!Q343</f>
        <v>0</v>
      </c>
      <c r="R344" s="838">
        <f>+'datos de entrada'!R343</f>
        <v>0</v>
      </c>
      <c r="S344" s="838">
        <f>+'datos de entrada'!S343</f>
        <v>0</v>
      </c>
      <c r="T344" s="838">
        <f>+'datos de entrada'!T343</f>
        <v>0</v>
      </c>
      <c r="U344" s="838">
        <f>+'datos de entrada'!U343</f>
        <v>0</v>
      </c>
      <c r="V344" s="838">
        <f>+'datos de entrada'!V343</f>
        <v>0</v>
      </c>
      <c r="W344" s="838">
        <f>+'datos de entrada'!W343</f>
        <v>0</v>
      </c>
      <c r="X344" s="838">
        <f>+'datos de entrada'!X343</f>
        <v>0</v>
      </c>
      <c r="Y344" s="838">
        <f>+'datos de entrada'!Y343</f>
        <v>0</v>
      </c>
      <c r="Z344" s="838">
        <f>+'datos de entrada'!Z343</f>
        <v>0</v>
      </c>
      <c r="AA344" s="838">
        <f>+'datos de entrada'!AA343</f>
        <v>0</v>
      </c>
      <c r="AB344" s="838">
        <f>+'datos de entrada'!AB343</f>
        <v>0</v>
      </c>
      <c r="AC344" s="838">
        <f>+'datos de entrada'!AC343</f>
        <v>0</v>
      </c>
      <c r="AD344" s="838">
        <f>+'datos de entrada'!AD343</f>
        <v>0</v>
      </c>
      <c r="AE344" s="838">
        <f>+'datos de entrada'!AE343</f>
        <v>0</v>
      </c>
      <c r="AF344" s="838">
        <f>+'datos de entrada'!AF343</f>
        <v>0</v>
      </c>
      <c r="AG344" s="838">
        <f>+'datos de entrada'!AG343</f>
        <v>0</v>
      </c>
      <c r="AH344" s="838">
        <f>+'datos de entrada'!AH343</f>
        <v>0</v>
      </c>
      <c r="AI344" s="838">
        <f>+'datos de entrada'!AI343</f>
        <v>0</v>
      </c>
      <c r="AJ344" s="838">
        <f>+'datos de entrada'!AJ343</f>
        <v>0</v>
      </c>
      <c r="AK344" s="838">
        <f>+'datos de entrada'!AK343</f>
        <v>0</v>
      </c>
      <c r="AL344" s="841">
        <f>+'datos de entrada'!AL343</f>
        <v>0</v>
      </c>
      <c r="AM344" s="195"/>
      <c r="AN344" s="195"/>
      <c r="AO344" s="195"/>
      <c r="AP344" s="195"/>
      <c r="AQ344" s="195"/>
      <c r="AR344" s="195"/>
      <c r="AS344" s="195"/>
      <c r="AT344" s="195"/>
    </row>
    <row r="345" spans="1:46" ht="16.5" thickBot="1">
      <c r="A345" s="439">
        <f>+'datos de entrada'!A344</f>
        <v>0</v>
      </c>
      <c r="B345" s="839">
        <f>+'datos de entrada'!B344</f>
        <v>0</v>
      </c>
      <c r="C345" s="839">
        <f>+'datos de entrada'!C344</f>
        <v>0</v>
      </c>
      <c r="D345" s="839">
        <f>+'datos de entrada'!D344</f>
        <v>0</v>
      </c>
      <c r="E345" s="839">
        <f>+'datos de entrada'!E344</f>
        <v>0</v>
      </c>
      <c r="F345" s="839">
        <f>+'datos de entrada'!F344</f>
        <v>0</v>
      </c>
      <c r="G345" s="839">
        <f>+'datos de entrada'!G344</f>
        <v>0</v>
      </c>
      <c r="H345" s="839">
        <f>+'datos de entrada'!H344</f>
        <v>0</v>
      </c>
      <c r="I345" s="839">
        <f>+'datos de entrada'!I344</f>
        <v>0</v>
      </c>
      <c r="J345" s="839">
        <f>+'datos de entrada'!J344</f>
        <v>0</v>
      </c>
      <c r="K345" s="839">
        <f>+'datos de entrada'!K344</f>
        <v>0</v>
      </c>
      <c r="L345" s="839">
        <f>+'datos de entrada'!L344</f>
        <v>0</v>
      </c>
      <c r="M345" s="839">
        <f>+'datos de entrada'!M344</f>
        <v>0</v>
      </c>
      <c r="N345" s="839">
        <f>+'datos de entrada'!N344</f>
        <v>0</v>
      </c>
      <c r="O345" s="839">
        <f>+'datos de entrada'!O344</f>
        <v>0</v>
      </c>
      <c r="P345" s="839">
        <f>+'datos de entrada'!P344</f>
        <v>0</v>
      </c>
      <c r="Q345" s="839">
        <f>+'datos de entrada'!Q344</f>
        <v>0</v>
      </c>
      <c r="R345" s="839">
        <f>+'datos de entrada'!R344</f>
        <v>0</v>
      </c>
      <c r="S345" s="839">
        <f>+'datos de entrada'!S344</f>
        <v>0</v>
      </c>
      <c r="T345" s="839">
        <f>+'datos de entrada'!T344</f>
        <v>0</v>
      </c>
      <c r="U345" s="839">
        <f>+'datos de entrada'!U344</f>
        <v>0</v>
      </c>
      <c r="V345" s="839">
        <f>+'datos de entrada'!V344</f>
        <v>0</v>
      </c>
      <c r="W345" s="839">
        <f>+'datos de entrada'!W344</f>
        <v>0</v>
      </c>
      <c r="X345" s="839">
        <f>+'datos de entrada'!X344</f>
        <v>0</v>
      </c>
      <c r="Y345" s="839">
        <f>+'datos de entrada'!Y344</f>
        <v>0</v>
      </c>
      <c r="Z345" s="839">
        <f>+'datos de entrada'!Z344</f>
        <v>0</v>
      </c>
      <c r="AA345" s="839">
        <f>+'datos de entrada'!AA344</f>
        <v>0</v>
      </c>
      <c r="AB345" s="839">
        <f>+'datos de entrada'!AB344</f>
        <v>0</v>
      </c>
      <c r="AC345" s="839">
        <f>+'datos de entrada'!AC344</f>
        <v>0</v>
      </c>
      <c r="AD345" s="839">
        <f>+'datos de entrada'!AD344</f>
        <v>0</v>
      </c>
      <c r="AE345" s="839">
        <f>+'datos de entrada'!AE344</f>
        <v>0</v>
      </c>
      <c r="AF345" s="839">
        <f>+'datos de entrada'!AF344</f>
        <v>0</v>
      </c>
      <c r="AG345" s="839">
        <f>+'datos de entrada'!AG344</f>
        <v>0</v>
      </c>
      <c r="AH345" s="839">
        <f>+'datos de entrada'!AH344</f>
        <v>0</v>
      </c>
      <c r="AI345" s="839">
        <f>+'datos de entrada'!AI344</f>
        <v>0</v>
      </c>
      <c r="AJ345" s="839">
        <f>+'datos de entrada'!AJ344</f>
        <v>0</v>
      </c>
      <c r="AK345" s="839">
        <f>+'datos de entrada'!AK344</f>
        <v>0</v>
      </c>
      <c r="AL345" s="842">
        <f>+'datos de entrada'!AL344</f>
        <v>0</v>
      </c>
      <c r="AM345" s="195"/>
      <c r="AN345" s="195"/>
      <c r="AO345" s="195"/>
      <c r="AP345" s="195"/>
      <c r="AQ345" s="195"/>
      <c r="AR345" s="195"/>
      <c r="AS345" s="195"/>
      <c r="AT345" s="195"/>
    </row>
    <row r="346" spans="1:46" ht="15.75" thickBot="1">
      <c r="A346" s="193"/>
      <c r="B346" s="193"/>
      <c r="C346" s="210">
        <f t="shared" ref="C346:N346" si="5">SUM(C338:C345)</f>
        <v>2425000</v>
      </c>
      <c r="D346" s="210">
        <f t="shared" si="5"/>
        <v>2425000</v>
      </c>
      <c r="E346" s="210">
        <f t="shared" si="5"/>
        <v>2425000</v>
      </c>
      <c r="F346" s="210">
        <f t="shared" si="5"/>
        <v>2425000</v>
      </c>
      <c r="G346" s="210">
        <f t="shared" si="5"/>
        <v>2425000</v>
      </c>
      <c r="H346" s="210">
        <f t="shared" si="5"/>
        <v>2425000</v>
      </c>
      <c r="I346" s="210">
        <f t="shared" si="5"/>
        <v>2425000</v>
      </c>
      <c r="J346" s="210">
        <f t="shared" si="5"/>
        <v>2425000</v>
      </c>
      <c r="K346" s="210">
        <f t="shared" si="5"/>
        <v>2425000</v>
      </c>
      <c r="L346" s="210">
        <f t="shared" si="5"/>
        <v>2425000</v>
      </c>
      <c r="M346" s="210">
        <f t="shared" si="5"/>
        <v>2425000</v>
      </c>
      <c r="N346" s="210">
        <f t="shared" si="5"/>
        <v>2425000</v>
      </c>
      <c r="O346" s="195"/>
      <c r="P346" s="195"/>
      <c r="Q346" s="195"/>
      <c r="R346" s="195"/>
      <c r="S346" s="195"/>
      <c r="T346" s="195"/>
      <c r="U346" s="195"/>
      <c r="V346" s="195"/>
      <c r="W346" s="195"/>
      <c r="X346" s="195"/>
      <c r="Y346" s="195"/>
      <c r="Z346" s="195"/>
      <c r="AA346" s="195"/>
      <c r="AB346" s="195"/>
      <c r="AC346" s="195"/>
      <c r="AD346" s="195"/>
      <c r="AE346" s="195"/>
      <c r="AF346" s="195"/>
      <c r="AG346" s="195"/>
      <c r="AH346" s="195"/>
      <c r="AI346" s="195"/>
      <c r="AJ346" s="195"/>
      <c r="AK346" s="195"/>
      <c r="AL346" s="195"/>
      <c r="AM346" s="195"/>
      <c r="AN346" s="195"/>
      <c r="AO346" s="195"/>
      <c r="AP346" s="195"/>
      <c r="AQ346" s="195"/>
      <c r="AR346" s="195"/>
      <c r="AS346" s="195"/>
      <c r="AT346" s="195"/>
    </row>
    <row r="347" spans="1:46">
      <c r="A347" s="483"/>
      <c r="B347" s="484"/>
      <c r="C347" s="194"/>
      <c r="D347" s="194"/>
      <c r="E347" s="194"/>
      <c r="F347" s="194"/>
      <c r="G347" s="194"/>
      <c r="H347" s="194"/>
      <c r="I347" s="194"/>
      <c r="J347" s="194"/>
      <c r="K347" s="194"/>
      <c r="L347" s="194"/>
      <c r="M347" s="194"/>
      <c r="N347" s="194"/>
      <c r="O347" s="195"/>
      <c r="P347" s="195"/>
      <c r="Q347" s="195"/>
      <c r="R347" s="195"/>
      <c r="S347" s="195"/>
      <c r="T347" s="195"/>
      <c r="U347" s="195"/>
      <c r="V347" s="195"/>
      <c r="W347" s="195"/>
      <c r="X347" s="195"/>
      <c r="Y347" s="195"/>
      <c r="Z347" s="195"/>
      <c r="AA347" s="195"/>
      <c r="AB347" s="195"/>
      <c r="AC347" s="195"/>
      <c r="AD347" s="195"/>
      <c r="AE347" s="195"/>
      <c r="AF347" s="195"/>
      <c r="AG347" s="195"/>
      <c r="AH347" s="195"/>
      <c r="AI347" s="195"/>
      <c r="AJ347" s="195"/>
      <c r="AK347" s="195"/>
      <c r="AL347" s="195"/>
      <c r="AM347" s="195"/>
      <c r="AN347" s="195"/>
      <c r="AO347" s="195"/>
      <c r="AP347" s="195"/>
      <c r="AQ347" s="195"/>
      <c r="AR347" s="195"/>
      <c r="AS347" s="195"/>
      <c r="AT347" s="195"/>
    </row>
    <row r="348" spans="1:46" ht="15.75">
      <c r="A348" s="393" t="s">
        <v>775</v>
      </c>
      <c r="B348" s="392"/>
      <c r="C348" s="194"/>
      <c r="D348" s="194"/>
      <c r="E348" s="194"/>
      <c r="F348" s="194"/>
      <c r="G348" s="194"/>
      <c r="H348" s="194"/>
      <c r="I348" s="194"/>
      <c r="J348" s="194"/>
      <c r="K348" s="194"/>
      <c r="L348" s="194"/>
      <c r="M348" s="194"/>
      <c r="N348" s="194"/>
      <c r="O348" s="195"/>
      <c r="P348" s="195"/>
      <c r="Q348" s="195"/>
      <c r="R348" s="195"/>
      <c r="S348" s="195"/>
      <c r="T348" s="195"/>
      <c r="U348" s="195"/>
      <c r="V348" s="195"/>
      <c r="W348" s="195"/>
      <c r="X348" s="195"/>
      <c r="Y348" s="195"/>
      <c r="Z348" s="195"/>
      <c r="AA348" s="195"/>
      <c r="AB348" s="195"/>
      <c r="AC348" s="195"/>
      <c r="AD348" s="195"/>
      <c r="AE348" s="195"/>
      <c r="AF348" s="195"/>
      <c r="AG348" s="195"/>
      <c r="AH348" s="195"/>
      <c r="AI348" s="195"/>
      <c r="AJ348" s="195"/>
      <c r="AK348" s="195"/>
      <c r="AL348" s="195"/>
      <c r="AM348" s="195"/>
      <c r="AN348" s="195"/>
      <c r="AO348" s="195"/>
      <c r="AP348" s="195"/>
      <c r="AQ348" s="195"/>
      <c r="AR348" s="195"/>
      <c r="AS348" s="195"/>
      <c r="AT348" s="195"/>
    </row>
    <row r="349" spans="1:46">
      <c r="A349" s="391"/>
      <c r="B349" s="392"/>
      <c r="C349" s="194"/>
      <c r="D349" s="194"/>
      <c r="E349" s="194"/>
      <c r="F349" s="194"/>
      <c r="G349" s="194"/>
      <c r="H349" s="194"/>
      <c r="I349" s="194"/>
      <c r="J349" s="194"/>
      <c r="K349" s="194"/>
      <c r="L349" s="194"/>
      <c r="M349" s="194"/>
      <c r="N349" s="194"/>
      <c r="O349" s="195"/>
      <c r="P349" s="195"/>
      <c r="Q349" s="195"/>
      <c r="R349" s="195"/>
      <c r="S349" s="195"/>
      <c r="T349" s="195"/>
      <c r="U349" s="195"/>
      <c r="V349" s="195"/>
      <c r="W349" s="195"/>
      <c r="X349" s="195"/>
      <c r="Y349" s="195"/>
      <c r="Z349" s="195"/>
      <c r="AA349" s="195"/>
      <c r="AB349" s="195"/>
      <c r="AC349" s="195"/>
      <c r="AD349" s="195"/>
      <c r="AE349" s="195"/>
      <c r="AF349" s="195"/>
      <c r="AG349" s="195"/>
      <c r="AH349" s="195"/>
      <c r="AI349" s="195"/>
      <c r="AJ349" s="195"/>
      <c r="AK349" s="195"/>
      <c r="AL349" s="195"/>
      <c r="AM349" s="195"/>
      <c r="AN349" s="195"/>
      <c r="AO349" s="195"/>
      <c r="AP349" s="195"/>
      <c r="AQ349" s="195"/>
      <c r="AR349" s="195"/>
      <c r="AS349" s="195"/>
      <c r="AT349" s="195"/>
    </row>
    <row r="350" spans="1:46" ht="15.75" thickBot="1">
      <c r="A350" s="485"/>
      <c r="B350" s="486"/>
      <c r="C350" s="193"/>
      <c r="D350" s="193"/>
      <c r="E350" s="193"/>
      <c r="F350" s="193"/>
      <c r="G350" s="193"/>
      <c r="H350" s="194"/>
      <c r="I350" s="194"/>
      <c r="J350" s="194"/>
      <c r="K350" s="194"/>
      <c r="L350" s="194"/>
      <c r="M350" s="194"/>
      <c r="N350" s="194"/>
      <c r="O350" s="195"/>
      <c r="P350" s="195"/>
      <c r="Q350" s="195"/>
      <c r="R350" s="195"/>
      <c r="S350" s="195"/>
      <c r="T350" s="195"/>
      <c r="U350" s="195"/>
      <c r="V350" s="195"/>
      <c r="W350" s="195"/>
      <c r="X350" s="195"/>
      <c r="Y350" s="195"/>
      <c r="Z350" s="195"/>
      <c r="AA350" s="195"/>
      <c r="AB350" s="195"/>
      <c r="AC350" s="195"/>
      <c r="AD350" s="195"/>
      <c r="AE350" s="195"/>
      <c r="AF350" s="195"/>
      <c r="AG350" s="195"/>
      <c r="AH350" s="195"/>
      <c r="AI350" s="195"/>
      <c r="AJ350" s="195"/>
      <c r="AK350" s="195"/>
      <c r="AL350" s="195"/>
      <c r="AM350" s="195"/>
      <c r="AN350" s="195"/>
      <c r="AO350" s="195"/>
      <c r="AP350" s="195"/>
      <c r="AQ350" s="195"/>
      <c r="AR350" s="195"/>
      <c r="AS350" s="195"/>
      <c r="AT350" s="195"/>
    </row>
    <row r="351" spans="1:46" s="88" customFormat="1" ht="15.75">
      <c r="A351" s="383" t="s">
        <v>689</v>
      </c>
      <c r="B351" s="15" t="s">
        <v>690</v>
      </c>
      <c r="C351" s="1072" t="s">
        <v>691</v>
      </c>
      <c r="D351" s="1073"/>
      <c r="E351" s="1074"/>
      <c r="F351" s="479"/>
      <c r="G351" s="479"/>
      <c r="H351" s="1072" t="s">
        <v>777</v>
      </c>
      <c r="I351" s="1073"/>
      <c r="J351" s="1074"/>
      <c r="K351" s="480"/>
      <c r="L351" s="480"/>
      <c r="M351" s="480"/>
      <c r="N351" s="480"/>
      <c r="O351" s="481"/>
      <c r="P351" s="481"/>
      <c r="Q351" s="481"/>
      <c r="R351" s="481"/>
      <c r="S351" s="481"/>
      <c r="T351" s="481"/>
      <c r="U351" s="481"/>
      <c r="V351" s="482"/>
      <c r="W351" s="482"/>
      <c r="X351" s="482"/>
      <c r="Y351" s="482"/>
      <c r="Z351" s="482"/>
      <c r="AA351" s="482"/>
      <c r="AB351" s="482"/>
      <c r="AC351" s="482"/>
      <c r="AD351" s="482"/>
      <c r="AE351" s="482"/>
      <c r="AF351" s="482"/>
      <c r="AG351" s="482"/>
      <c r="AH351" s="482"/>
      <c r="AI351" s="482"/>
      <c r="AJ351" s="482"/>
      <c r="AK351" s="482"/>
      <c r="AL351" s="482"/>
      <c r="AM351" s="482"/>
      <c r="AN351" s="482"/>
      <c r="AO351" s="482"/>
      <c r="AP351" s="1003"/>
      <c r="AQ351" s="1002"/>
      <c r="AR351" s="1002"/>
      <c r="AS351" s="1002"/>
      <c r="AT351" s="288"/>
    </row>
    <row r="352" spans="1:46" s="88" customFormat="1" ht="15.75">
      <c r="A352" s="487"/>
      <c r="B352" s="89"/>
      <c r="C352" s="90" t="s">
        <v>692</v>
      </c>
      <c r="D352" s="86" t="s">
        <v>693</v>
      </c>
      <c r="E352" s="86" t="s">
        <v>694</v>
      </c>
      <c r="F352" s="47" t="s">
        <v>606</v>
      </c>
      <c r="G352" s="47" t="s">
        <v>607</v>
      </c>
      <c r="H352" s="47" t="s">
        <v>608</v>
      </c>
      <c r="I352" s="47" t="s">
        <v>609</v>
      </c>
      <c r="J352" s="47" t="s">
        <v>610</v>
      </c>
      <c r="K352" s="47" t="s">
        <v>611</v>
      </c>
      <c r="L352" s="47" t="s">
        <v>612</v>
      </c>
      <c r="M352" s="47" t="s">
        <v>613</v>
      </c>
      <c r="N352" s="47" t="s">
        <v>614</v>
      </c>
      <c r="O352" s="47" t="s">
        <v>66</v>
      </c>
      <c r="P352" s="47" t="s">
        <v>616</v>
      </c>
      <c r="Q352" s="47" t="s">
        <v>617</v>
      </c>
      <c r="R352" s="47" t="s">
        <v>805</v>
      </c>
      <c r="S352" s="47" t="s">
        <v>806</v>
      </c>
      <c r="T352" s="47" t="s">
        <v>807</v>
      </c>
      <c r="U352" s="47" t="s">
        <v>808</v>
      </c>
      <c r="V352" s="47" t="s">
        <v>809</v>
      </c>
      <c r="W352" s="47" t="s">
        <v>810</v>
      </c>
      <c r="X352" s="47" t="s">
        <v>811</v>
      </c>
      <c r="Y352" s="47" t="s">
        <v>812</v>
      </c>
      <c r="Z352" s="47" t="s">
        <v>813</v>
      </c>
      <c r="AA352" s="47" t="s">
        <v>814</v>
      </c>
      <c r="AB352" s="47" t="s">
        <v>815</v>
      </c>
      <c r="AC352" s="47" t="s">
        <v>816</v>
      </c>
      <c r="AD352" s="47" t="s">
        <v>817</v>
      </c>
      <c r="AE352" s="47" t="s">
        <v>818</v>
      </c>
      <c r="AF352" s="47" t="s">
        <v>819</v>
      </c>
      <c r="AG352" s="47" t="s">
        <v>820</v>
      </c>
      <c r="AH352" s="47" t="s">
        <v>821</v>
      </c>
      <c r="AI352" s="47" t="s">
        <v>822</v>
      </c>
      <c r="AJ352" s="47" t="s">
        <v>823</v>
      </c>
      <c r="AK352" s="47" t="s">
        <v>824</v>
      </c>
      <c r="AL352" s="47" t="s">
        <v>825</v>
      </c>
      <c r="AM352" s="47" t="s">
        <v>826</v>
      </c>
      <c r="AN352" s="47" t="s">
        <v>827</v>
      </c>
      <c r="AO352" s="950" t="s">
        <v>828</v>
      </c>
      <c r="AP352" s="1006"/>
      <c r="AQ352" s="1007"/>
      <c r="AR352" s="954"/>
      <c r="AS352" s="954"/>
      <c r="AT352" s="288"/>
    </row>
    <row r="353" spans="1:46">
      <c r="A353" s="394"/>
      <c r="B353" s="17"/>
      <c r="C353" s="17"/>
      <c r="D353" s="17"/>
      <c r="E353" s="17"/>
      <c r="F353" s="286"/>
      <c r="G353" s="295"/>
      <c r="H353" s="284"/>
      <c r="I353" s="284"/>
      <c r="J353" s="284"/>
      <c r="K353" s="284"/>
      <c r="L353" s="284"/>
      <c r="M353" s="284"/>
      <c r="N353" s="284"/>
      <c r="O353" s="286"/>
      <c r="P353" s="286"/>
      <c r="Q353" s="286"/>
      <c r="R353" s="286"/>
      <c r="S353" s="286"/>
      <c r="T353" s="286"/>
      <c r="U353" s="286"/>
      <c r="V353" s="286"/>
      <c r="W353" s="286"/>
      <c r="X353" s="286"/>
      <c r="Y353" s="286"/>
      <c r="Z353" s="286"/>
      <c r="AA353" s="286"/>
      <c r="AB353" s="286"/>
      <c r="AC353" s="286"/>
      <c r="AD353" s="286"/>
      <c r="AE353" s="286"/>
      <c r="AF353" s="286"/>
      <c r="AG353" s="286"/>
      <c r="AH353" s="286"/>
      <c r="AI353" s="286"/>
      <c r="AJ353" s="286"/>
      <c r="AK353" s="286"/>
      <c r="AL353" s="286"/>
      <c r="AM353" s="286"/>
      <c r="AN353" s="286"/>
      <c r="AO353" s="951"/>
      <c r="AP353" s="252"/>
      <c r="AQ353" s="199"/>
      <c r="AR353" s="955"/>
      <c r="AS353" s="955"/>
      <c r="AT353" s="195"/>
    </row>
    <row r="354" spans="1:46">
      <c r="A354" s="465" t="str">
        <f>+'datos de entrada'!A353</f>
        <v>VENDEDOR</v>
      </c>
      <c r="B354" s="843">
        <f>+C354</f>
        <v>1400000</v>
      </c>
      <c r="C354" s="325">
        <f>SUM(F354:Q354)/12</f>
        <v>1400000</v>
      </c>
      <c r="D354" s="325">
        <f>SUM(R354:AC354)/12</f>
        <v>1500000</v>
      </c>
      <c r="E354" s="325">
        <f>SUM(AD354:AO354)/12</f>
        <v>1600000</v>
      </c>
      <c r="F354" s="843">
        <f>+'datos de entrada'!C325</f>
        <v>1400000</v>
      </c>
      <c r="G354" s="843">
        <f>+'datos de entrada'!D325</f>
        <v>1400000</v>
      </c>
      <c r="H354" s="843">
        <f>+'datos de entrada'!E325</f>
        <v>1400000</v>
      </c>
      <c r="I354" s="843">
        <f>+'datos de entrada'!F325</f>
        <v>1400000</v>
      </c>
      <c r="J354" s="843">
        <f>+'datos de entrada'!G325</f>
        <v>1400000</v>
      </c>
      <c r="K354" s="843">
        <f>+'datos de entrada'!H325</f>
        <v>1400000</v>
      </c>
      <c r="L354" s="843">
        <f>+'datos de entrada'!I325</f>
        <v>1400000</v>
      </c>
      <c r="M354" s="843">
        <f>+'datos de entrada'!J325</f>
        <v>1400000</v>
      </c>
      <c r="N354" s="843">
        <f>+'datos de entrada'!K325</f>
        <v>1400000</v>
      </c>
      <c r="O354" s="843">
        <f>+'datos de entrada'!L325</f>
        <v>1400000</v>
      </c>
      <c r="P354" s="843">
        <f>+'datos de entrada'!M325</f>
        <v>1400000</v>
      </c>
      <c r="Q354" s="843">
        <f>+'datos de entrada'!N325</f>
        <v>1400000</v>
      </c>
      <c r="R354" s="843">
        <f>+'datos de entrada'!O325</f>
        <v>1500000</v>
      </c>
      <c r="S354" s="843">
        <f>+'datos de entrada'!P325</f>
        <v>1500000</v>
      </c>
      <c r="T354" s="843">
        <f>+'datos de entrada'!Q325</f>
        <v>1500000</v>
      </c>
      <c r="U354" s="843">
        <f>+'datos de entrada'!R325</f>
        <v>1500000</v>
      </c>
      <c r="V354" s="843">
        <f>+'datos de entrada'!S325</f>
        <v>1500000</v>
      </c>
      <c r="W354" s="843">
        <f>+'datos de entrada'!T325</f>
        <v>1500000</v>
      </c>
      <c r="X354" s="843">
        <f>+'datos de entrada'!U325</f>
        <v>1500000</v>
      </c>
      <c r="Y354" s="843">
        <f>+'datos de entrada'!V325</f>
        <v>1500000</v>
      </c>
      <c r="Z354" s="843">
        <f>+'datos de entrada'!W325</f>
        <v>1500000</v>
      </c>
      <c r="AA354" s="843">
        <f>+'datos de entrada'!X325</f>
        <v>1500000</v>
      </c>
      <c r="AB354" s="843">
        <f>+'datos de entrada'!Y325</f>
        <v>1500000</v>
      </c>
      <c r="AC354" s="843">
        <f>+'datos de entrada'!Z325</f>
        <v>1500000</v>
      </c>
      <c r="AD354" s="843">
        <f>+'datos de entrada'!AA325</f>
        <v>1600000</v>
      </c>
      <c r="AE354" s="843">
        <f>+'datos de entrada'!AB325</f>
        <v>1600000</v>
      </c>
      <c r="AF354" s="843">
        <f>+'datos de entrada'!AC325</f>
        <v>1600000</v>
      </c>
      <c r="AG354" s="843">
        <f>+'datos de entrada'!AD325</f>
        <v>1600000</v>
      </c>
      <c r="AH354" s="843">
        <f>+'datos de entrada'!AE325</f>
        <v>1600000</v>
      </c>
      <c r="AI354" s="843">
        <f>+'datos de entrada'!AF325</f>
        <v>1600000</v>
      </c>
      <c r="AJ354" s="843">
        <f>+'datos de entrada'!AG325</f>
        <v>1600000</v>
      </c>
      <c r="AK354" s="843">
        <f>+'datos de entrada'!AH325</f>
        <v>1600000</v>
      </c>
      <c r="AL354" s="843">
        <f>+'datos de entrada'!AI325</f>
        <v>1600000</v>
      </c>
      <c r="AM354" s="843">
        <f>+'datos de entrada'!AJ325</f>
        <v>1600000</v>
      </c>
      <c r="AN354" s="843">
        <f>+'datos de entrada'!AK325</f>
        <v>1600000</v>
      </c>
      <c r="AO354" s="1005">
        <f>+'datos de entrada'!AL325</f>
        <v>1600000</v>
      </c>
      <c r="AP354" s="1004"/>
      <c r="AQ354" s="203"/>
      <c r="AR354" s="203">
        <f>+'datos de entrada'!AR353</f>
        <v>0</v>
      </c>
      <c r="AS354" s="203">
        <f>+'datos de entrada'!AS353</f>
        <v>0</v>
      </c>
      <c r="AT354" s="195"/>
    </row>
    <row r="355" spans="1:46">
      <c r="A355" s="465" t="str">
        <f>+'datos de entrada'!A354</f>
        <v>ASISTENTE DE PRODUCCION</v>
      </c>
      <c r="B355" s="843">
        <f t="shared" ref="B355:B361" si="6">+C355</f>
        <v>0</v>
      </c>
      <c r="C355" s="325">
        <f t="shared" ref="C355:C361" si="7">SUM(F355:Q355)/12</f>
        <v>0</v>
      </c>
      <c r="D355" s="325">
        <f t="shared" ref="D355:D361" si="8">SUM(R355:AC355)/12</f>
        <v>750000</v>
      </c>
      <c r="E355" s="325">
        <f t="shared" ref="E355:E361" si="9">SUM(AD355:AO355)/12</f>
        <v>800000</v>
      </c>
      <c r="F355" s="843">
        <f>+'datos de entrada'!C326</f>
        <v>0</v>
      </c>
      <c r="G355" s="843">
        <f>+'datos de entrada'!D326</f>
        <v>0</v>
      </c>
      <c r="H355" s="843">
        <f>+'datos de entrada'!E326</f>
        <v>0</v>
      </c>
      <c r="I355" s="843">
        <f>+'datos de entrada'!F326</f>
        <v>0</v>
      </c>
      <c r="J355" s="843">
        <f>+'datos de entrada'!G326</f>
        <v>0</v>
      </c>
      <c r="K355" s="843">
        <f>+'datos de entrada'!H326</f>
        <v>0</v>
      </c>
      <c r="L355" s="843">
        <f>+'datos de entrada'!I326</f>
        <v>0</v>
      </c>
      <c r="M355" s="843">
        <f>+'datos de entrada'!J326</f>
        <v>0</v>
      </c>
      <c r="N355" s="843">
        <f>+'datos de entrada'!K326</f>
        <v>0</v>
      </c>
      <c r="O355" s="843">
        <f>+'datos de entrada'!L326</f>
        <v>0</v>
      </c>
      <c r="P355" s="843">
        <f>+'datos de entrada'!M326</f>
        <v>0</v>
      </c>
      <c r="Q355" s="843">
        <f>+'datos de entrada'!N326</f>
        <v>0</v>
      </c>
      <c r="R355" s="843">
        <f>+'datos de entrada'!O326</f>
        <v>750000</v>
      </c>
      <c r="S355" s="843">
        <f>+'datos de entrada'!P326</f>
        <v>750000</v>
      </c>
      <c r="T355" s="843">
        <f>+'datos de entrada'!Q326</f>
        <v>750000</v>
      </c>
      <c r="U355" s="843">
        <f>+'datos de entrada'!R326</f>
        <v>750000</v>
      </c>
      <c r="V355" s="843">
        <f>+'datos de entrada'!S326</f>
        <v>750000</v>
      </c>
      <c r="W355" s="843">
        <f>+'datos de entrada'!T326</f>
        <v>750000</v>
      </c>
      <c r="X355" s="843">
        <f>+'datos de entrada'!U326</f>
        <v>750000</v>
      </c>
      <c r="Y355" s="843">
        <f>+'datos de entrada'!V326</f>
        <v>750000</v>
      </c>
      <c r="Z355" s="843">
        <f>+'datos de entrada'!W326</f>
        <v>750000</v>
      </c>
      <c r="AA355" s="843">
        <f>+'datos de entrada'!X326</f>
        <v>750000</v>
      </c>
      <c r="AB355" s="843">
        <f>+'datos de entrada'!Y326</f>
        <v>750000</v>
      </c>
      <c r="AC355" s="843">
        <f>+'datos de entrada'!Z326</f>
        <v>750000</v>
      </c>
      <c r="AD355" s="843">
        <f>+'datos de entrada'!AA326</f>
        <v>800000</v>
      </c>
      <c r="AE355" s="843">
        <f>+'datos de entrada'!AB326</f>
        <v>800000</v>
      </c>
      <c r="AF355" s="843">
        <f>+'datos de entrada'!AC326</f>
        <v>800000</v>
      </c>
      <c r="AG355" s="843">
        <f>+'datos de entrada'!AD326</f>
        <v>800000</v>
      </c>
      <c r="AH355" s="843">
        <f>+'datos de entrada'!AE326</f>
        <v>800000</v>
      </c>
      <c r="AI355" s="843">
        <f>+'datos de entrada'!AF326</f>
        <v>800000</v>
      </c>
      <c r="AJ355" s="843">
        <f>+'datos de entrada'!AG326</f>
        <v>800000</v>
      </c>
      <c r="AK355" s="843">
        <f>+'datos de entrada'!AH326</f>
        <v>800000</v>
      </c>
      <c r="AL355" s="843">
        <f>+'datos de entrada'!AI326</f>
        <v>800000</v>
      </c>
      <c r="AM355" s="843">
        <f>+'datos de entrada'!AJ326</f>
        <v>800000</v>
      </c>
      <c r="AN355" s="843">
        <f>+'datos de entrada'!AK326</f>
        <v>800000</v>
      </c>
      <c r="AO355" s="1005">
        <f>+'datos de entrada'!AL326</f>
        <v>800000</v>
      </c>
      <c r="AP355" s="1004"/>
      <c r="AQ355" s="203"/>
      <c r="AR355" s="203">
        <f>+'datos de entrada'!AR354</f>
        <v>0</v>
      </c>
      <c r="AS355" s="203">
        <f>+'datos de entrada'!AS354</f>
        <v>0</v>
      </c>
      <c r="AT355" s="195"/>
    </row>
    <row r="356" spans="1:46">
      <c r="A356" s="465" t="str">
        <f>+'datos de entrada'!A355</f>
        <v>DISEÑADOR</v>
      </c>
      <c r="B356" s="843">
        <f t="shared" si="6"/>
        <v>700000</v>
      </c>
      <c r="C356" s="325">
        <f t="shared" si="7"/>
        <v>700000</v>
      </c>
      <c r="D356" s="325">
        <f t="shared" si="8"/>
        <v>750000</v>
      </c>
      <c r="E356" s="325">
        <f t="shared" si="9"/>
        <v>800000</v>
      </c>
      <c r="F356" s="843">
        <f>+'datos de entrada'!C327</f>
        <v>700000</v>
      </c>
      <c r="G356" s="843">
        <f>+'datos de entrada'!D327</f>
        <v>700000</v>
      </c>
      <c r="H356" s="843">
        <f>+'datos de entrada'!E327</f>
        <v>700000</v>
      </c>
      <c r="I356" s="843">
        <f>+'datos de entrada'!F327</f>
        <v>700000</v>
      </c>
      <c r="J356" s="843">
        <f>+'datos de entrada'!G327</f>
        <v>700000</v>
      </c>
      <c r="K356" s="843">
        <f>+'datos de entrada'!H327</f>
        <v>700000</v>
      </c>
      <c r="L356" s="843">
        <f>+'datos de entrada'!I327</f>
        <v>700000</v>
      </c>
      <c r="M356" s="843">
        <f>+'datos de entrada'!J327</f>
        <v>700000</v>
      </c>
      <c r="N356" s="843">
        <f>+'datos de entrada'!K327</f>
        <v>700000</v>
      </c>
      <c r="O356" s="843">
        <f>+'datos de entrada'!L327</f>
        <v>700000</v>
      </c>
      <c r="P356" s="843">
        <f>+'datos de entrada'!M327</f>
        <v>700000</v>
      </c>
      <c r="Q356" s="843">
        <f>+'datos de entrada'!N327</f>
        <v>700000</v>
      </c>
      <c r="R356" s="843">
        <f>+'datos de entrada'!O327</f>
        <v>750000</v>
      </c>
      <c r="S356" s="843">
        <f>+'datos de entrada'!P327</f>
        <v>750000</v>
      </c>
      <c r="T356" s="843">
        <f>+'datos de entrada'!Q327</f>
        <v>750000</v>
      </c>
      <c r="U356" s="843">
        <f>+'datos de entrada'!R327</f>
        <v>750000</v>
      </c>
      <c r="V356" s="843">
        <f>+'datos de entrada'!S327</f>
        <v>750000</v>
      </c>
      <c r="W356" s="843">
        <f>+'datos de entrada'!T327</f>
        <v>750000</v>
      </c>
      <c r="X356" s="843">
        <f>+'datos de entrada'!U327</f>
        <v>750000</v>
      </c>
      <c r="Y356" s="843">
        <f>+'datos de entrada'!V327</f>
        <v>750000</v>
      </c>
      <c r="Z356" s="843">
        <f>+'datos de entrada'!W327</f>
        <v>750000</v>
      </c>
      <c r="AA356" s="843">
        <f>+'datos de entrada'!X327</f>
        <v>750000</v>
      </c>
      <c r="AB356" s="843">
        <f>+'datos de entrada'!Y327</f>
        <v>750000</v>
      </c>
      <c r="AC356" s="843">
        <f>+'datos de entrada'!Z327</f>
        <v>750000</v>
      </c>
      <c r="AD356" s="843">
        <f>+'datos de entrada'!AA327</f>
        <v>800000</v>
      </c>
      <c r="AE356" s="843">
        <f>+'datos de entrada'!AB327</f>
        <v>800000</v>
      </c>
      <c r="AF356" s="843">
        <f>+'datos de entrada'!AC327</f>
        <v>800000</v>
      </c>
      <c r="AG356" s="843">
        <f>+'datos de entrada'!AD327</f>
        <v>800000</v>
      </c>
      <c r="AH356" s="843">
        <f>+'datos de entrada'!AE327</f>
        <v>800000</v>
      </c>
      <c r="AI356" s="843">
        <f>+'datos de entrada'!AF327</f>
        <v>800000</v>
      </c>
      <c r="AJ356" s="843">
        <f>+'datos de entrada'!AG327</f>
        <v>800000</v>
      </c>
      <c r="AK356" s="843">
        <f>+'datos de entrada'!AH327</f>
        <v>800000</v>
      </c>
      <c r="AL356" s="843">
        <f>+'datos de entrada'!AI327</f>
        <v>800000</v>
      </c>
      <c r="AM356" s="843">
        <f>+'datos de entrada'!AJ327</f>
        <v>800000</v>
      </c>
      <c r="AN356" s="843">
        <f>+'datos de entrada'!AK327</f>
        <v>800000</v>
      </c>
      <c r="AO356" s="1005">
        <f>+'datos de entrada'!AL327</f>
        <v>800000</v>
      </c>
      <c r="AP356" s="1004"/>
      <c r="AQ356" s="203"/>
      <c r="AR356" s="203">
        <f>+'datos de entrada'!AR355</f>
        <v>0</v>
      </c>
      <c r="AS356" s="203">
        <f>+'datos de entrada'!AS355</f>
        <v>0</v>
      </c>
      <c r="AT356" s="195"/>
    </row>
    <row r="357" spans="1:46">
      <c r="A357" s="465" t="str">
        <f>+'datos de entrada'!A356</f>
        <v>MENSAJERO</v>
      </c>
      <c r="B357" s="843">
        <f t="shared" si="6"/>
        <v>700000</v>
      </c>
      <c r="C357" s="325">
        <f t="shared" si="7"/>
        <v>700000</v>
      </c>
      <c r="D357" s="325">
        <f t="shared" si="8"/>
        <v>750000</v>
      </c>
      <c r="E357" s="325">
        <f t="shared" si="9"/>
        <v>1600000</v>
      </c>
      <c r="F357" s="843">
        <f>+'datos de entrada'!C328</f>
        <v>700000</v>
      </c>
      <c r="G357" s="843">
        <f>+'datos de entrada'!D328</f>
        <v>700000</v>
      </c>
      <c r="H357" s="843">
        <f>+'datos de entrada'!E328</f>
        <v>700000</v>
      </c>
      <c r="I357" s="843">
        <f>+'datos de entrada'!F328</f>
        <v>700000</v>
      </c>
      <c r="J357" s="843">
        <f>+'datos de entrada'!G328</f>
        <v>700000</v>
      </c>
      <c r="K357" s="843">
        <f>+'datos de entrada'!H328</f>
        <v>700000</v>
      </c>
      <c r="L357" s="843">
        <f>+'datos de entrada'!I328</f>
        <v>700000</v>
      </c>
      <c r="M357" s="843">
        <f>+'datos de entrada'!J328</f>
        <v>700000</v>
      </c>
      <c r="N357" s="843">
        <f>+'datos de entrada'!K328</f>
        <v>700000</v>
      </c>
      <c r="O357" s="843">
        <f>+'datos de entrada'!L328</f>
        <v>700000</v>
      </c>
      <c r="P357" s="843">
        <f>+'datos de entrada'!M328</f>
        <v>700000</v>
      </c>
      <c r="Q357" s="843">
        <f>+'datos de entrada'!N328</f>
        <v>700000</v>
      </c>
      <c r="R357" s="843">
        <f>+'datos de entrada'!O328</f>
        <v>750000</v>
      </c>
      <c r="S357" s="843">
        <f>+'datos de entrada'!P328</f>
        <v>750000</v>
      </c>
      <c r="T357" s="843">
        <f>+'datos de entrada'!Q328</f>
        <v>750000</v>
      </c>
      <c r="U357" s="843">
        <f>+'datos de entrada'!R328</f>
        <v>750000</v>
      </c>
      <c r="V357" s="843">
        <f>+'datos de entrada'!S328</f>
        <v>750000</v>
      </c>
      <c r="W357" s="843">
        <f>+'datos de entrada'!T328</f>
        <v>750000</v>
      </c>
      <c r="X357" s="843">
        <f>+'datos de entrada'!U328</f>
        <v>750000</v>
      </c>
      <c r="Y357" s="843">
        <f>+'datos de entrada'!V328</f>
        <v>750000</v>
      </c>
      <c r="Z357" s="843">
        <f>+'datos de entrada'!W328</f>
        <v>750000</v>
      </c>
      <c r="AA357" s="843">
        <f>+'datos de entrada'!X328</f>
        <v>750000</v>
      </c>
      <c r="AB357" s="843">
        <f>+'datos de entrada'!Y328</f>
        <v>750000</v>
      </c>
      <c r="AC357" s="843">
        <f>+'datos de entrada'!Z328</f>
        <v>750000</v>
      </c>
      <c r="AD357" s="843">
        <f>+'datos de entrada'!AA328</f>
        <v>1600000</v>
      </c>
      <c r="AE357" s="843">
        <f>+'datos de entrada'!AB328</f>
        <v>1600000</v>
      </c>
      <c r="AF357" s="843">
        <f>+'datos de entrada'!AC328</f>
        <v>1600000</v>
      </c>
      <c r="AG357" s="843">
        <f>+'datos de entrada'!AD328</f>
        <v>1600000</v>
      </c>
      <c r="AH357" s="843">
        <f>+'datos de entrada'!AE328</f>
        <v>1600000</v>
      </c>
      <c r="AI357" s="843">
        <f>+'datos de entrada'!AF328</f>
        <v>1600000</v>
      </c>
      <c r="AJ357" s="843">
        <f>+'datos de entrada'!AG328</f>
        <v>1600000</v>
      </c>
      <c r="AK357" s="843">
        <f>+'datos de entrada'!AH328</f>
        <v>1600000</v>
      </c>
      <c r="AL357" s="843">
        <f>+'datos de entrada'!AI328</f>
        <v>1600000</v>
      </c>
      <c r="AM357" s="843">
        <f>+'datos de entrada'!AJ328</f>
        <v>1600000</v>
      </c>
      <c r="AN357" s="843">
        <f>+'datos de entrada'!AK328</f>
        <v>1600000</v>
      </c>
      <c r="AO357" s="1005">
        <f>+'datos de entrada'!AL328</f>
        <v>1600000</v>
      </c>
      <c r="AP357" s="1004"/>
      <c r="AQ357" s="203"/>
      <c r="AR357" s="203">
        <f>+'datos de entrada'!AR356</f>
        <v>0</v>
      </c>
      <c r="AS357" s="203">
        <f>+'datos de entrada'!AS356</f>
        <v>0</v>
      </c>
      <c r="AT357" s="195"/>
    </row>
    <row r="358" spans="1:46">
      <c r="A358" s="465" t="str">
        <f>+'datos de entrada'!A357</f>
        <v>TECNICO EN ESTAMPADO</v>
      </c>
      <c r="B358" s="843">
        <f t="shared" si="6"/>
        <v>700000</v>
      </c>
      <c r="C358" s="325">
        <f t="shared" si="7"/>
        <v>700000</v>
      </c>
      <c r="D358" s="325">
        <f t="shared" si="8"/>
        <v>750000</v>
      </c>
      <c r="E358" s="325">
        <f t="shared" si="9"/>
        <v>800000</v>
      </c>
      <c r="F358" s="843">
        <f>+'datos de entrada'!C329</f>
        <v>700000</v>
      </c>
      <c r="G358" s="843">
        <f>+'datos de entrada'!D329</f>
        <v>700000</v>
      </c>
      <c r="H358" s="843">
        <f>+'datos de entrada'!E329</f>
        <v>700000</v>
      </c>
      <c r="I358" s="843">
        <f>+'datos de entrada'!F329</f>
        <v>700000</v>
      </c>
      <c r="J358" s="843">
        <f>+'datos de entrada'!G329</f>
        <v>700000</v>
      </c>
      <c r="K358" s="843">
        <f>+'datos de entrada'!H329</f>
        <v>700000</v>
      </c>
      <c r="L358" s="843">
        <f>+'datos de entrada'!I329</f>
        <v>700000</v>
      </c>
      <c r="M358" s="843">
        <f>+'datos de entrada'!J329</f>
        <v>700000</v>
      </c>
      <c r="N358" s="843">
        <f>+'datos de entrada'!K329</f>
        <v>700000</v>
      </c>
      <c r="O358" s="843">
        <f>+'datos de entrada'!L329</f>
        <v>700000</v>
      </c>
      <c r="P358" s="843">
        <f>+'datos de entrada'!M329</f>
        <v>700000</v>
      </c>
      <c r="Q358" s="843">
        <f>+'datos de entrada'!N329</f>
        <v>700000</v>
      </c>
      <c r="R358" s="843">
        <f>+'datos de entrada'!O329</f>
        <v>750000</v>
      </c>
      <c r="S358" s="843">
        <f>+'datos de entrada'!P329</f>
        <v>750000</v>
      </c>
      <c r="T358" s="843">
        <f>+'datos de entrada'!Q329</f>
        <v>750000</v>
      </c>
      <c r="U358" s="843">
        <f>+'datos de entrada'!R329</f>
        <v>750000</v>
      </c>
      <c r="V358" s="843">
        <f>+'datos de entrada'!S329</f>
        <v>750000</v>
      </c>
      <c r="W358" s="843">
        <f>+'datos de entrada'!T329</f>
        <v>750000</v>
      </c>
      <c r="X358" s="843">
        <f>+'datos de entrada'!U329</f>
        <v>750000</v>
      </c>
      <c r="Y358" s="843">
        <f>+'datos de entrada'!V329</f>
        <v>750000</v>
      </c>
      <c r="Z358" s="843">
        <f>+'datos de entrada'!W329</f>
        <v>750000</v>
      </c>
      <c r="AA358" s="843">
        <f>+'datos de entrada'!X329</f>
        <v>750000</v>
      </c>
      <c r="AB358" s="843">
        <f>+'datos de entrada'!Y329</f>
        <v>750000</v>
      </c>
      <c r="AC358" s="843">
        <f>+'datos de entrada'!Z329</f>
        <v>750000</v>
      </c>
      <c r="AD358" s="843">
        <f>+'datos de entrada'!AA329</f>
        <v>800000</v>
      </c>
      <c r="AE358" s="843">
        <f>+'datos de entrada'!AB329</f>
        <v>800000</v>
      </c>
      <c r="AF358" s="843">
        <f>+'datos de entrada'!AC329</f>
        <v>800000</v>
      </c>
      <c r="AG358" s="843">
        <f>+'datos de entrada'!AD329</f>
        <v>800000</v>
      </c>
      <c r="AH358" s="843">
        <f>+'datos de entrada'!AE329</f>
        <v>800000</v>
      </c>
      <c r="AI358" s="843">
        <f>+'datos de entrada'!AF329</f>
        <v>800000</v>
      </c>
      <c r="AJ358" s="843">
        <f>+'datos de entrada'!AG329</f>
        <v>800000</v>
      </c>
      <c r="AK358" s="843">
        <f>+'datos de entrada'!AH329</f>
        <v>800000</v>
      </c>
      <c r="AL358" s="843">
        <f>+'datos de entrada'!AI329</f>
        <v>800000</v>
      </c>
      <c r="AM358" s="843">
        <f>+'datos de entrada'!AJ329</f>
        <v>800000</v>
      </c>
      <c r="AN358" s="843">
        <f>+'datos de entrada'!AK329</f>
        <v>800000</v>
      </c>
      <c r="AO358" s="1005">
        <f>+'datos de entrada'!AL329</f>
        <v>800000</v>
      </c>
      <c r="AP358" s="1004"/>
      <c r="AQ358" s="203"/>
      <c r="AR358" s="203">
        <f>+'datos de entrada'!AR357</f>
        <v>0</v>
      </c>
      <c r="AS358" s="203">
        <f>+'datos de entrada'!AS357</f>
        <v>0</v>
      </c>
      <c r="AT358" s="195"/>
    </row>
    <row r="359" spans="1:46">
      <c r="A359" s="465" t="str">
        <f>+'datos de entrada'!A358</f>
        <v/>
      </c>
      <c r="B359" s="843">
        <f t="shared" si="6"/>
        <v>0</v>
      </c>
      <c r="C359" s="325">
        <f t="shared" si="7"/>
        <v>0</v>
      </c>
      <c r="D359" s="325">
        <f t="shared" si="8"/>
        <v>0</v>
      </c>
      <c r="E359" s="325">
        <f t="shared" si="9"/>
        <v>0</v>
      </c>
      <c r="F359" s="843">
        <f>+'datos de entrada'!C330</f>
        <v>0</v>
      </c>
      <c r="G359" s="843">
        <f>+'datos de entrada'!D330</f>
        <v>0</v>
      </c>
      <c r="H359" s="843">
        <f>+'datos de entrada'!E330</f>
        <v>0</v>
      </c>
      <c r="I359" s="843">
        <f>+'datos de entrada'!F330</f>
        <v>0</v>
      </c>
      <c r="J359" s="843">
        <f>+'datos de entrada'!G330</f>
        <v>0</v>
      </c>
      <c r="K359" s="843">
        <f>+'datos de entrada'!H330</f>
        <v>0</v>
      </c>
      <c r="L359" s="843">
        <f>+'datos de entrada'!I330</f>
        <v>0</v>
      </c>
      <c r="M359" s="843">
        <f>+'datos de entrada'!J330</f>
        <v>0</v>
      </c>
      <c r="N359" s="843">
        <f>+'datos de entrada'!K330</f>
        <v>0</v>
      </c>
      <c r="O359" s="843">
        <f>+'datos de entrada'!L330</f>
        <v>0</v>
      </c>
      <c r="P359" s="843">
        <f>+'datos de entrada'!M330</f>
        <v>0</v>
      </c>
      <c r="Q359" s="843">
        <f>+'datos de entrada'!N330</f>
        <v>0</v>
      </c>
      <c r="R359" s="843">
        <f>+'datos de entrada'!O330</f>
        <v>0</v>
      </c>
      <c r="S359" s="843">
        <f>+'datos de entrada'!P330</f>
        <v>0</v>
      </c>
      <c r="T359" s="843">
        <f>+'datos de entrada'!Q330</f>
        <v>0</v>
      </c>
      <c r="U359" s="843">
        <f>+'datos de entrada'!R330</f>
        <v>0</v>
      </c>
      <c r="V359" s="843">
        <f>+'datos de entrada'!S330</f>
        <v>0</v>
      </c>
      <c r="W359" s="843">
        <f>+'datos de entrada'!T330</f>
        <v>0</v>
      </c>
      <c r="X359" s="843">
        <f>+'datos de entrada'!U330</f>
        <v>0</v>
      </c>
      <c r="Y359" s="843">
        <f>+'datos de entrada'!V330</f>
        <v>0</v>
      </c>
      <c r="Z359" s="843">
        <f>+'datos de entrada'!W330</f>
        <v>0</v>
      </c>
      <c r="AA359" s="843">
        <f>+'datos de entrada'!X330</f>
        <v>0</v>
      </c>
      <c r="AB359" s="843">
        <f>+'datos de entrada'!Y330</f>
        <v>0</v>
      </c>
      <c r="AC359" s="843">
        <f>+'datos de entrada'!Z330</f>
        <v>0</v>
      </c>
      <c r="AD359" s="843">
        <f>+'datos de entrada'!AA330</f>
        <v>0</v>
      </c>
      <c r="AE359" s="843">
        <f>+'datos de entrada'!AB330</f>
        <v>0</v>
      </c>
      <c r="AF359" s="843">
        <f>+'datos de entrada'!AC330</f>
        <v>0</v>
      </c>
      <c r="AG359" s="843">
        <f>+'datos de entrada'!AD330</f>
        <v>0</v>
      </c>
      <c r="AH359" s="843">
        <f>+'datos de entrada'!AE330</f>
        <v>0</v>
      </c>
      <c r="AI359" s="843">
        <f>+'datos de entrada'!AF330</f>
        <v>0</v>
      </c>
      <c r="AJ359" s="843">
        <f>+'datos de entrada'!AG330</f>
        <v>0</v>
      </c>
      <c r="AK359" s="843">
        <f>+'datos de entrada'!AH330</f>
        <v>0</v>
      </c>
      <c r="AL359" s="843">
        <f>+'datos de entrada'!AI330</f>
        <v>0</v>
      </c>
      <c r="AM359" s="843">
        <f>+'datos de entrada'!AJ330</f>
        <v>0</v>
      </c>
      <c r="AN359" s="843">
        <f>+'datos de entrada'!AK330</f>
        <v>0</v>
      </c>
      <c r="AO359" s="1005">
        <f>+'datos de entrada'!AL330</f>
        <v>0</v>
      </c>
      <c r="AP359" s="1004"/>
      <c r="AQ359" s="203"/>
      <c r="AR359" s="203">
        <f>+'datos de entrada'!AR358</f>
        <v>0</v>
      </c>
      <c r="AS359" s="203">
        <f>+'datos de entrada'!AS358</f>
        <v>0</v>
      </c>
      <c r="AT359" s="195"/>
    </row>
    <row r="360" spans="1:46">
      <c r="A360" s="465" t="str">
        <f>+'datos de entrada'!A359</f>
        <v/>
      </c>
      <c r="B360" s="843">
        <f t="shared" si="6"/>
        <v>0</v>
      </c>
      <c r="C360" s="325">
        <f t="shared" si="7"/>
        <v>0</v>
      </c>
      <c r="D360" s="325">
        <f t="shared" si="8"/>
        <v>0</v>
      </c>
      <c r="E360" s="325">
        <f t="shared" si="9"/>
        <v>0</v>
      </c>
      <c r="F360" s="843">
        <f>+'datos de entrada'!C331</f>
        <v>0</v>
      </c>
      <c r="G360" s="843">
        <f>+'datos de entrada'!D331</f>
        <v>0</v>
      </c>
      <c r="H360" s="843">
        <f>+'datos de entrada'!E331</f>
        <v>0</v>
      </c>
      <c r="I360" s="843">
        <f>+'datos de entrada'!F331</f>
        <v>0</v>
      </c>
      <c r="J360" s="843">
        <f>+'datos de entrada'!G331</f>
        <v>0</v>
      </c>
      <c r="K360" s="843">
        <f>+'datos de entrada'!H331</f>
        <v>0</v>
      </c>
      <c r="L360" s="843">
        <f>+'datos de entrada'!I331</f>
        <v>0</v>
      </c>
      <c r="M360" s="843">
        <f>+'datos de entrada'!J331</f>
        <v>0</v>
      </c>
      <c r="N360" s="843">
        <f>+'datos de entrada'!K331</f>
        <v>0</v>
      </c>
      <c r="O360" s="843">
        <f>+'datos de entrada'!L331</f>
        <v>0</v>
      </c>
      <c r="P360" s="843">
        <f>+'datos de entrada'!M331</f>
        <v>0</v>
      </c>
      <c r="Q360" s="843">
        <f>+'datos de entrada'!N331</f>
        <v>0</v>
      </c>
      <c r="R360" s="843">
        <f>+'datos de entrada'!O331</f>
        <v>0</v>
      </c>
      <c r="S360" s="843">
        <f>+'datos de entrada'!P331</f>
        <v>0</v>
      </c>
      <c r="T360" s="843">
        <f>+'datos de entrada'!Q331</f>
        <v>0</v>
      </c>
      <c r="U360" s="843">
        <f>+'datos de entrada'!R331</f>
        <v>0</v>
      </c>
      <c r="V360" s="843">
        <f>+'datos de entrada'!S331</f>
        <v>0</v>
      </c>
      <c r="W360" s="843">
        <f>+'datos de entrada'!T331</f>
        <v>0</v>
      </c>
      <c r="X360" s="843">
        <f>+'datos de entrada'!U331</f>
        <v>0</v>
      </c>
      <c r="Y360" s="843">
        <f>+'datos de entrada'!V331</f>
        <v>0</v>
      </c>
      <c r="Z360" s="843">
        <f>+'datos de entrada'!W331</f>
        <v>0</v>
      </c>
      <c r="AA360" s="843">
        <f>+'datos de entrada'!X331</f>
        <v>0</v>
      </c>
      <c r="AB360" s="843">
        <f>+'datos de entrada'!Y331</f>
        <v>0</v>
      </c>
      <c r="AC360" s="843">
        <f>+'datos de entrada'!Z331</f>
        <v>0</v>
      </c>
      <c r="AD360" s="843">
        <f>+'datos de entrada'!AA331</f>
        <v>0</v>
      </c>
      <c r="AE360" s="843">
        <f>+'datos de entrada'!AB331</f>
        <v>0</v>
      </c>
      <c r="AF360" s="843">
        <f>+'datos de entrada'!AC331</f>
        <v>0</v>
      </c>
      <c r="AG360" s="843">
        <f>+'datos de entrada'!AD331</f>
        <v>0</v>
      </c>
      <c r="AH360" s="843">
        <f>+'datos de entrada'!AE331</f>
        <v>0</v>
      </c>
      <c r="AI360" s="843">
        <f>+'datos de entrada'!AF331</f>
        <v>0</v>
      </c>
      <c r="AJ360" s="843">
        <f>+'datos de entrada'!AG331</f>
        <v>0</v>
      </c>
      <c r="AK360" s="843">
        <f>+'datos de entrada'!AH331</f>
        <v>0</v>
      </c>
      <c r="AL360" s="843">
        <f>+'datos de entrada'!AI331</f>
        <v>0</v>
      </c>
      <c r="AM360" s="843">
        <f>+'datos de entrada'!AJ331</f>
        <v>0</v>
      </c>
      <c r="AN360" s="843">
        <f>+'datos de entrada'!AK331</f>
        <v>0</v>
      </c>
      <c r="AO360" s="1005">
        <f>+'datos de entrada'!AL331</f>
        <v>0</v>
      </c>
      <c r="AP360" s="1004"/>
      <c r="AQ360" s="203"/>
      <c r="AR360" s="203">
        <f>+'datos de entrada'!AR359</f>
        <v>0</v>
      </c>
      <c r="AS360" s="203">
        <f>+'datos de entrada'!AS359</f>
        <v>0</v>
      </c>
      <c r="AT360" s="195"/>
    </row>
    <row r="361" spans="1:46" ht="15.75" thickBot="1">
      <c r="A361" s="466" t="str">
        <f>+'datos de entrada'!A360</f>
        <v/>
      </c>
      <c r="B361" s="843">
        <f t="shared" si="6"/>
        <v>0</v>
      </c>
      <c r="C361" s="467">
        <f t="shared" si="7"/>
        <v>0</v>
      </c>
      <c r="D361" s="467">
        <f t="shared" si="8"/>
        <v>0</v>
      </c>
      <c r="E361" s="467">
        <f t="shared" si="9"/>
        <v>0</v>
      </c>
      <c r="F361" s="844">
        <f>+'datos de entrada'!C332</f>
        <v>0</v>
      </c>
      <c r="G361" s="844">
        <f>+'datos de entrada'!D332</f>
        <v>0</v>
      </c>
      <c r="H361" s="844">
        <f>+'datos de entrada'!E332</f>
        <v>0</v>
      </c>
      <c r="I361" s="844">
        <f>+'datos de entrada'!F332</f>
        <v>0</v>
      </c>
      <c r="J361" s="844">
        <f>+'datos de entrada'!G332</f>
        <v>0</v>
      </c>
      <c r="K361" s="844">
        <f>+'datos de entrada'!H332</f>
        <v>0</v>
      </c>
      <c r="L361" s="844">
        <f>+'datos de entrada'!I332</f>
        <v>0</v>
      </c>
      <c r="M361" s="844">
        <f>+'datos de entrada'!J332</f>
        <v>0</v>
      </c>
      <c r="N361" s="844">
        <f>+'datos de entrada'!K332</f>
        <v>0</v>
      </c>
      <c r="O361" s="844">
        <f>+'datos de entrada'!L332</f>
        <v>0</v>
      </c>
      <c r="P361" s="844">
        <f>+'datos de entrada'!M332</f>
        <v>0</v>
      </c>
      <c r="Q361" s="844">
        <f>+'datos de entrada'!N332</f>
        <v>0</v>
      </c>
      <c r="R361" s="844">
        <f>+'datos de entrada'!O332</f>
        <v>0</v>
      </c>
      <c r="S361" s="844">
        <f>+'datos de entrada'!P332</f>
        <v>0</v>
      </c>
      <c r="T361" s="844">
        <f>+'datos de entrada'!Q332</f>
        <v>0</v>
      </c>
      <c r="U361" s="844">
        <f>+'datos de entrada'!R332</f>
        <v>0</v>
      </c>
      <c r="V361" s="844">
        <f>+'datos de entrada'!S332</f>
        <v>0</v>
      </c>
      <c r="W361" s="844">
        <f>+'datos de entrada'!T332</f>
        <v>0</v>
      </c>
      <c r="X361" s="844">
        <f>+'datos de entrada'!U332</f>
        <v>0</v>
      </c>
      <c r="Y361" s="844">
        <f>+'datos de entrada'!V332</f>
        <v>0</v>
      </c>
      <c r="Z361" s="844">
        <f>+'datos de entrada'!W332</f>
        <v>0</v>
      </c>
      <c r="AA361" s="844">
        <f>+'datos de entrada'!X332</f>
        <v>0</v>
      </c>
      <c r="AB361" s="844">
        <f>+'datos de entrada'!Y332</f>
        <v>0</v>
      </c>
      <c r="AC361" s="844">
        <f>+'datos de entrada'!Z332</f>
        <v>0</v>
      </c>
      <c r="AD361" s="844">
        <f>+'datos de entrada'!AA332</f>
        <v>0</v>
      </c>
      <c r="AE361" s="844">
        <f>+'datos de entrada'!AB332</f>
        <v>0</v>
      </c>
      <c r="AF361" s="844">
        <f>+'datos de entrada'!AC332</f>
        <v>0</v>
      </c>
      <c r="AG361" s="844">
        <f>+'datos de entrada'!AD332</f>
        <v>0</v>
      </c>
      <c r="AH361" s="844">
        <f>+'datos de entrada'!AE332</f>
        <v>0</v>
      </c>
      <c r="AI361" s="844">
        <f>+'datos de entrada'!AF332</f>
        <v>0</v>
      </c>
      <c r="AJ361" s="844">
        <f>+'datos de entrada'!AG332</f>
        <v>0</v>
      </c>
      <c r="AK361" s="844">
        <f>+'datos de entrada'!AH332</f>
        <v>0</v>
      </c>
      <c r="AL361" s="844">
        <f>+'datos de entrada'!AI332</f>
        <v>0</v>
      </c>
      <c r="AM361" s="844">
        <f>+'datos de entrada'!AJ332</f>
        <v>0</v>
      </c>
      <c r="AN361" s="844">
        <f>+'datos de entrada'!AK332</f>
        <v>0</v>
      </c>
      <c r="AO361" s="844">
        <f>+'datos de entrada'!AL332</f>
        <v>0</v>
      </c>
      <c r="AP361" s="1004"/>
      <c r="AQ361" s="203"/>
      <c r="AR361" s="203">
        <f>+'datos de entrada'!AR360</f>
        <v>0</v>
      </c>
      <c r="AS361" s="203">
        <f>+'datos de entrada'!AS360</f>
        <v>0</v>
      </c>
      <c r="AT361" s="195"/>
    </row>
    <row r="362" spans="1:46">
      <c r="A362" s="193"/>
      <c r="B362" s="193"/>
      <c r="C362" s="193"/>
      <c r="D362" s="193"/>
      <c r="E362" s="193"/>
      <c r="F362" s="287"/>
      <c r="G362" s="287"/>
      <c r="H362" s="194"/>
      <c r="I362" s="194"/>
      <c r="J362" s="194"/>
      <c r="K362" s="194"/>
      <c r="L362" s="194"/>
      <c r="M362" s="194"/>
      <c r="N362" s="194"/>
      <c r="O362" s="195"/>
      <c r="P362" s="195"/>
      <c r="Q362" s="195"/>
      <c r="R362" s="195"/>
      <c r="S362" s="195"/>
      <c r="T362" s="195"/>
      <c r="U362" s="195"/>
      <c r="V362" s="195"/>
      <c r="W362" s="195"/>
      <c r="X362" s="195"/>
      <c r="Y362" s="195"/>
      <c r="Z362" s="195"/>
      <c r="AA362" s="195"/>
      <c r="AB362" s="195"/>
      <c r="AC362" s="195"/>
      <c r="AD362" s="195"/>
      <c r="AE362" s="195"/>
      <c r="AF362" s="195"/>
      <c r="AG362" s="195"/>
      <c r="AH362" s="195"/>
      <c r="AI362" s="195"/>
      <c r="AJ362" s="195"/>
      <c r="AK362" s="195"/>
      <c r="AL362" s="195"/>
      <c r="AM362" s="195"/>
      <c r="AN362" s="195"/>
      <c r="AO362" s="195"/>
      <c r="AP362" s="195"/>
      <c r="AQ362" s="195"/>
      <c r="AR362" s="195"/>
      <c r="AS362" s="195"/>
      <c r="AT362" s="195"/>
    </row>
    <row r="363" spans="1:46" ht="15.75" thickBot="1">
      <c r="A363" s="195"/>
      <c r="B363" s="195"/>
      <c r="C363" s="195"/>
      <c r="D363" s="195"/>
      <c r="E363" s="195"/>
      <c r="F363" s="195"/>
      <c r="G363" s="195"/>
      <c r="H363" s="195"/>
      <c r="I363" s="194"/>
      <c r="J363" s="194"/>
      <c r="K363" s="194"/>
      <c r="L363" s="194"/>
      <c r="M363" s="194"/>
      <c r="N363" s="194"/>
      <c r="O363" s="195"/>
      <c r="P363" s="195"/>
      <c r="Q363" s="195"/>
      <c r="R363" s="195"/>
      <c r="S363" s="195"/>
      <c r="T363" s="195"/>
      <c r="U363" s="195"/>
      <c r="V363" s="195"/>
      <c r="W363" s="195"/>
      <c r="X363" s="195"/>
      <c r="Y363" s="195"/>
      <c r="Z363" s="195"/>
      <c r="AA363" s="195"/>
      <c r="AB363" s="195"/>
      <c r="AC363" s="195"/>
      <c r="AD363" s="195"/>
      <c r="AE363" s="195"/>
      <c r="AF363" s="195"/>
      <c r="AG363" s="195"/>
      <c r="AH363" s="195"/>
      <c r="AI363" s="195"/>
      <c r="AJ363" s="195"/>
      <c r="AK363" s="195"/>
      <c r="AL363" s="195"/>
      <c r="AM363" s="195"/>
      <c r="AN363" s="195"/>
      <c r="AO363" s="195"/>
      <c r="AP363" s="195"/>
      <c r="AQ363" s="195"/>
      <c r="AR363" s="195"/>
      <c r="AS363" s="195"/>
      <c r="AT363" s="195"/>
    </row>
    <row r="364" spans="1:46" ht="15.75">
      <c r="A364" s="473" t="s">
        <v>157</v>
      </c>
      <c r="B364" s="194"/>
      <c r="C364" s="195"/>
      <c r="D364" s="195"/>
      <c r="E364" s="195"/>
      <c r="F364" s="195"/>
      <c r="G364" s="195"/>
      <c r="H364" s="195"/>
      <c r="I364" s="194"/>
      <c r="J364" s="194"/>
      <c r="K364" s="194"/>
      <c r="L364" s="194"/>
      <c r="M364" s="194"/>
      <c r="N364" s="194"/>
      <c r="O364" s="195"/>
      <c r="P364" s="195"/>
      <c r="Q364" s="195"/>
      <c r="R364" s="195"/>
      <c r="S364" s="195"/>
      <c r="T364" s="195"/>
      <c r="U364" s="195"/>
      <c r="V364" s="195"/>
      <c r="W364" s="195"/>
      <c r="X364" s="195"/>
      <c r="Y364" s="195"/>
      <c r="Z364" s="195"/>
      <c r="AA364" s="195"/>
      <c r="AB364" s="195"/>
      <c r="AC364" s="195"/>
      <c r="AD364" s="195"/>
      <c r="AE364" s="195"/>
      <c r="AF364" s="195"/>
      <c r="AG364" s="195"/>
      <c r="AH364" s="195"/>
      <c r="AI364" s="195"/>
      <c r="AJ364" s="195"/>
      <c r="AK364" s="195"/>
      <c r="AL364" s="195"/>
      <c r="AM364" s="195"/>
      <c r="AN364" s="195"/>
      <c r="AO364" s="195"/>
      <c r="AP364" s="195"/>
      <c r="AQ364" s="195"/>
      <c r="AR364" s="195"/>
      <c r="AS364" s="195"/>
      <c r="AT364" s="195"/>
    </row>
    <row r="365" spans="1:46">
      <c r="A365" s="474"/>
      <c r="B365" s="194"/>
      <c r="C365" s="195"/>
      <c r="D365" s="195"/>
      <c r="E365" s="195"/>
      <c r="F365" s="195"/>
      <c r="G365" s="195"/>
      <c r="H365" s="195"/>
      <c r="I365" s="194"/>
      <c r="J365" s="194"/>
      <c r="K365" s="194"/>
      <c r="L365" s="194"/>
      <c r="M365" s="194"/>
      <c r="N365" s="194"/>
      <c r="O365" s="195"/>
      <c r="P365" s="195"/>
      <c r="Q365" s="195"/>
      <c r="R365" s="195"/>
      <c r="S365" s="195"/>
      <c r="T365" s="195"/>
      <c r="U365" s="195"/>
      <c r="V365" s="195"/>
      <c r="W365" s="195"/>
      <c r="X365" s="195"/>
      <c r="Y365" s="195"/>
      <c r="Z365" s="195"/>
      <c r="AA365" s="195"/>
      <c r="AB365" s="195"/>
      <c r="AC365" s="195"/>
      <c r="AD365" s="195"/>
      <c r="AE365" s="195"/>
      <c r="AF365" s="195"/>
      <c r="AG365" s="195"/>
      <c r="AH365" s="195"/>
      <c r="AI365" s="195"/>
      <c r="AJ365" s="195"/>
      <c r="AK365" s="195"/>
      <c r="AL365" s="195"/>
      <c r="AM365" s="195"/>
      <c r="AN365" s="195"/>
      <c r="AO365" s="195"/>
      <c r="AP365" s="195"/>
      <c r="AQ365" s="195"/>
      <c r="AR365" s="195"/>
      <c r="AS365" s="195"/>
      <c r="AT365" s="195"/>
    </row>
    <row r="366" spans="1:46" ht="15.75" thickBot="1">
      <c r="A366" s="475"/>
      <c r="B366" s="193"/>
      <c r="C366" s="195"/>
      <c r="D366" s="195"/>
      <c r="E366" s="195"/>
      <c r="F366" s="195"/>
      <c r="G366" s="195"/>
      <c r="H366" s="195"/>
      <c r="I366" s="194"/>
      <c r="J366" s="194"/>
      <c r="K366" s="194"/>
      <c r="L366" s="194"/>
      <c r="M366" s="194"/>
      <c r="N366" s="194"/>
      <c r="O366" s="195"/>
      <c r="P366" s="195"/>
      <c r="Q366" s="195"/>
      <c r="R366" s="195"/>
      <c r="S366" s="195"/>
      <c r="T366" s="195"/>
      <c r="U366" s="195"/>
      <c r="V366" s="195"/>
      <c r="W366" s="195"/>
      <c r="X366" s="195"/>
      <c r="Y366" s="195"/>
      <c r="Z366" s="195"/>
      <c r="AA366" s="195"/>
      <c r="AB366" s="195"/>
      <c r="AC366" s="195"/>
      <c r="AD366" s="195"/>
      <c r="AE366" s="195"/>
      <c r="AF366" s="195"/>
      <c r="AG366" s="195"/>
      <c r="AH366" s="195"/>
      <c r="AI366" s="195"/>
      <c r="AJ366" s="195"/>
      <c r="AK366" s="195"/>
      <c r="AL366" s="195"/>
      <c r="AM366" s="195"/>
      <c r="AN366" s="195"/>
      <c r="AO366" s="195"/>
      <c r="AP366" s="195"/>
      <c r="AQ366" s="195"/>
      <c r="AR366" s="195"/>
      <c r="AS366" s="195"/>
      <c r="AT366" s="195"/>
    </row>
    <row r="367" spans="1:46" ht="15.75">
      <c r="A367" s="395" t="s">
        <v>696</v>
      </c>
      <c r="B367" s="476" t="s">
        <v>697</v>
      </c>
      <c r="C367" s="1067" t="s">
        <v>606</v>
      </c>
      <c r="D367" s="1067" t="s">
        <v>607</v>
      </c>
      <c r="E367" s="1067" t="s">
        <v>608</v>
      </c>
      <c r="F367" s="1067" t="s">
        <v>609</v>
      </c>
      <c r="G367" s="1067" t="s">
        <v>610</v>
      </c>
      <c r="H367" s="1067" t="s">
        <v>611</v>
      </c>
      <c r="I367" s="1067" t="s">
        <v>612</v>
      </c>
      <c r="J367" s="1067" t="s">
        <v>613</v>
      </c>
      <c r="K367" s="1067" t="s">
        <v>614</v>
      </c>
      <c r="L367" s="1067" t="s">
        <v>66</v>
      </c>
      <c r="M367" s="1067" t="s">
        <v>616</v>
      </c>
      <c r="N367" s="1067" t="s">
        <v>617</v>
      </c>
      <c r="O367" s="1127" t="s">
        <v>698</v>
      </c>
      <c r="P367" s="1125" t="s">
        <v>699</v>
      </c>
      <c r="Q367" s="1125" t="s">
        <v>600</v>
      </c>
      <c r="R367" s="1125" t="s">
        <v>601</v>
      </c>
      <c r="S367" s="1065" t="s">
        <v>340</v>
      </c>
      <c r="T367" s="195"/>
      <c r="U367" s="195"/>
      <c r="V367" s="195"/>
      <c r="W367" s="195"/>
      <c r="X367" s="195"/>
      <c r="Y367" s="195"/>
      <c r="Z367" s="195"/>
      <c r="AA367" s="195"/>
      <c r="AB367" s="195"/>
      <c r="AC367" s="195"/>
      <c r="AD367" s="195"/>
      <c r="AE367" s="195"/>
      <c r="AF367" s="195"/>
      <c r="AG367" s="195"/>
      <c r="AH367" s="195"/>
      <c r="AI367" s="195"/>
      <c r="AJ367" s="195"/>
      <c r="AK367" s="195"/>
      <c r="AL367" s="195"/>
      <c r="AM367" s="195"/>
      <c r="AN367" s="195"/>
      <c r="AO367" s="195"/>
      <c r="AP367" s="195"/>
      <c r="AQ367" s="195"/>
      <c r="AR367" s="195"/>
      <c r="AS367" s="195"/>
      <c r="AT367" s="195"/>
    </row>
    <row r="368" spans="1:46" ht="15.75">
      <c r="A368" s="472"/>
      <c r="B368" s="29" t="s">
        <v>683</v>
      </c>
      <c r="C368" s="1068"/>
      <c r="D368" s="1068"/>
      <c r="E368" s="1068"/>
      <c r="F368" s="1068"/>
      <c r="G368" s="1068"/>
      <c r="H368" s="1068"/>
      <c r="I368" s="1068"/>
      <c r="J368" s="1068"/>
      <c r="K368" s="1068"/>
      <c r="L368" s="1068"/>
      <c r="M368" s="1068"/>
      <c r="N368" s="1068"/>
      <c r="O368" s="1128"/>
      <c r="P368" s="1126"/>
      <c r="Q368" s="1126"/>
      <c r="R368" s="1126"/>
      <c r="S368" s="1066"/>
      <c r="T368" s="195"/>
      <c r="U368" s="195"/>
      <c r="V368" s="195"/>
      <c r="W368" s="195"/>
      <c r="X368" s="195"/>
      <c r="Y368" s="195"/>
      <c r="Z368" s="195"/>
      <c r="AA368" s="195"/>
      <c r="AB368" s="195"/>
      <c r="AC368" s="195"/>
      <c r="AD368" s="195"/>
      <c r="AE368" s="195"/>
      <c r="AF368" s="195"/>
      <c r="AG368" s="195"/>
      <c r="AH368" s="195"/>
      <c r="AI368" s="195"/>
      <c r="AJ368" s="195"/>
      <c r="AK368" s="195"/>
      <c r="AL368" s="195"/>
      <c r="AM368" s="195"/>
      <c r="AN368" s="195"/>
      <c r="AO368" s="195"/>
      <c r="AP368" s="195"/>
      <c r="AQ368" s="195"/>
      <c r="AR368" s="195"/>
      <c r="AS368" s="195"/>
      <c r="AT368" s="195"/>
    </row>
    <row r="369" spans="1:46">
      <c r="A369" s="465" t="str">
        <f>+'datos de entrada'!A368</f>
        <v>GERENTE</v>
      </c>
      <c r="B369" s="843">
        <f>+'datos de entrada'!B368</f>
        <v>2800000</v>
      </c>
      <c r="C369" s="843">
        <f>+'datos de entrada'!C368</f>
        <v>2800000</v>
      </c>
      <c r="D369" s="843">
        <f>+'datos de entrada'!D368</f>
        <v>2800000</v>
      </c>
      <c r="E369" s="843">
        <f>+'datos de entrada'!E368</f>
        <v>2800000</v>
      </c>
      <c r="F369" s="843">
        <f>+'datos de entrada'!F368</f>
        <v>2800000</v>
      </c>
      <c r="G369" s="843">
        <f>+'datos de entrada'!G368</f>
        <v>2800000</v>
      </c>
      <c r="H369" s="843">
        <f>+'datos de entrada'!H368</f>
        <v>2800000</v>
      </c>
      <c r="I369" s="843">
        <f>+'datos de entrada'!I368</f>
        <v>2800000</v>
      </c>
      <c r="J369" s="843">
        <f>+'datos de entrada'!J368</f>
        <v>2800000</v>
      </c>
      <c r="K369" s="843">
        <f>+'datos de entrada'!K368</f>
        <v>2800000</v>
      </c>
      <c r="L369" s="843">
        <f>+'datos de entrada'!L368</f>
        <v>2800000</v>
      </c>
      <c r="M369" s="843">
        <f>+'datos de entrada'!M368</f>
        <v>2800000</v>
      </c>
      <c r="N369" s="843">
        <f>+'datos de entrada'!N368</f>
        <v>2800000</v>
      </c>
      <c r="O369" s="843">
        <f>+'datos de entrada'!O368</f>
        <v>2800000</v>
      </c>
      <c r="P369" s="843">
        <f>+'datos de entrada'!P368</f>
        <v>2800000</v>
      </c>
      <c r="Q369" s="843">
        <f>+'datos de entrada'!Q368</f>
        <v>2800000</v>
      </c>
      <c r="R369" s="843">
        <f>+'datos de entrada'!R368</f>
        <v>2800000</v>
      </c>
      <c r="S369" s="845">
        <f>+'datos de entrada'!S368</f>
        <v>2800000</v>
      </c>
      <c r="T369" s="195"/>
      <c r="U369" s="195"/>
      <c r="V369" s="195"/>
      <c r="W369" s="195"/>
      <c r="X369" s="195"/>
      <c r="Y369" s="195"/>
      <c r="Z369" s="195"/>
      <c r="AA369" s="195"/>
      <c r="AB369" s="195"/>
      <c r="AC369" s="195"/>
      <c r="AD369" s="195"/>
      <c r="AE369" s="195"/>
      <c r="AF369" s="195"/>
      <c r="AG369" s="195"/>
      <c r="AH369" s="195"/>
      <c r="AI369" s="195"/>
      <c r="AJ369" s="195"/>
      <c r="AK369" s="195"/>
      <c r="AL369" s="195"/>
      <c r="AM369" s="195"/>
      <c r="AN369" s="195"/>
      <c r="AO369" s="195"/>
      <c r="AP369" s="195"/>
      <c r="AQ369" s="195"/>
      <c r="AR369" s="195"/>
      <c r="AS369" s="195"/>
      <c r="AT369" s="195"/>
    </row>
    <row r="370" spans="1:46">
      <c r="A370" s="465" t="str">
        <f>+'datos de entrada'!A369</f>
        <v/>
      </c>
      <c r="B370" s="843">
        <f>+'datos de entrada'!B369</f>
        <v>0</v>
      </c>
      <c r="C370" s="843">
        <f>+'datos de entrada'!C369</f>
        <v>0</v>
      </c>
      <c r="D370" s="843">
        <f>+'datos de entrada'!D369</f>
        <v>0</v>
      </c>
      <c r="E370" s="843">
        <f>+'datos de entrada'!E369</f>
        <v>0</v>
      </c>
      <c r="F370" s="843">
        <f>+'datos de entrada'!F369</f>
        <v>0</v>
      </c>
      <c r="G370" s="843">
        <f>+'datos de entrada'!G369</f>
        <v>0</v>
      </c>
      <c r="H370" s="843">
        <f>+'datos de entrada'!H369</f>
        <v>0</v>
      </c>
      <c r="I370" s="843">
        <f>+'datos de entrada'!I369</f>
        <v>0</v>
      </c>
      <c r="J370" s="843">
        <f>+'datos de entrada'!J369</f>
        <v>0</v>
      </c>
      <c r="K370" s="843">
        <f>+'datos de entrada'!K369</f>
        <v>0</v>
      </c>
      <c r="L370" s="843">
        <f>+'datos de entrada'!L369</f>
        <v>0</v>
      </c>
      <c r="M370" s="843">
        <f>+'datos de entrada'!M369</f>
        <v>0</v>
      </c>
      <c r="N370" s="843">
        <f>+'datos de entrada'!N369</f>
        <v>0</v>
      </c>
      <c r="O370" s="843">
        <f>+'datos de entrada'!O369</f>
        <v>0</v>
      </c>
      <c r="P370" s="843">
        <f>+'datos de entrada'!P369</f>
        <v>0</v>
      </c>
      <c r="Q370" s="843">
        <f>+'datos de entrada'!Q369</f>
        <v>0</v>
      </c>
      <c r="R370" s="843">
        <f>+'datos de entrada'!R369</f>
        <v>0</v>
      </c>
      <c r="S370" s="845">
        <f>+'datos de entrada'!S369</f>
        <v>0</v>
      </c>
      <c r="T370" s="195"/>
      <c r="U370" s="195"/>
      <c r="V370" s="195"/>
      <c r="W370" s="195"/>
      <c r="X370" s="195"/>
      <c r="Y370" s="195"/>
      <c r="Z370" s="195"/>
      <c r="AA370" s="195"/>
      <c r="AB370" s="195"/>
      <c r="AC370" s="195"/>
      <c r="AD370" s="195"/>
      <c r="AE370" s="195"/>
      <c r="AF370" s="195"/>
      <c r="AG370" s="195"/>
      <c r="AH370" s="195"/>
      <c r="AI370" s="195"/>
      <c r="AJ370" s="195"/>
      <c r="AK370" s="195"/>
      <c r="AL370" s="195"/>
      <c r="AM370" s="195"/>
      <c r="AN370" s="195"/>
      <c r="AO370" s="195"/>
      <c r="AP370" s="195"/>
      <c r="AQ370" s="195"/>
      <c r="AR370" s="195"/>
      <c r="AS370" s="195"/>
      <c r="AT370" s="195"/>
    </row>
    <row r="371" spans="1:46">
      <c r="A371" s="465" t="str">
        <f>+'datos de entrada'!A370</f>
        <v/>
      </c>
      <c r="B371" s="843">
        <f>+'datos de entrada'!B370</f>
        <v>0</v>
      </c>
      <c r="C371" s="843">
        <f>+'datos de entrada'!C370</f>
        <v>0</v>
      </c>
      <c r="D371" s="843">
        <f>+'datos de entrada'!D370</f>
        <v>0</v>
      </c>
      <c r="E371" s="843">
        <f>+'datos de entrada'!E370</f>
        <v>0</v>
      </c>
      <c r="F371" s="843">
        <f>+'datos de entrada'!F370</f>
        <v>0</v>
      </c>
      <c r="G371" s="843">
        <f>+'datos de entrada'!G370</f>
        <v>0</v>
      </c>
      <c r="H371" s="843">
        <f>+'datos de entrada'!H370</f>
        <v>0</v>
      </c>
      <c r="I371" s="843">
        <f>+'datos de entrada'!I370</f>
        <v>0</v>
      </c>
      <c r="J371" s="843">
        <f>+'datos de entrada'!J370</f>
        <v>0</v>
      </c>
      <c r="K371" s="843">
        <f>+'datos de entrada'!K370</f>
        <v>0</v>
      </c>
      <c r="L371" s="843">
        <f>+'datos de entrada'!L370</f>
        <v>0</v>
      </c>
      <c r="M371" s="843">
        <f>+'datos de entrada'!M370</f>
        <v>0</v>
      </c>
      <c r="N371" s="843">
        <f>+'datos de entrada'!N370</f>
        <v>0</v>
      </c>
      <c r="O371" s="843">
        <f>+'datos de entrada'!O370</f>
        <v>0</v>
      </c>
      <c r="P371" s="843">
        <f>+'datos de entrada'!P370</f>
        <v>0</v>
      </c>
      <c r="Q371" s="843">
        <f>+'datos de entrada'!Q370</f>
        <v>0</v>
      </c>
      <c r="R371" s="843">
        <f>+'datos de entrada'!R370</f>
        <v>0</v>
      </c>
      <c r="S371" s="845">
        <f>+'datos de entrada'!S370</f>
        <v>0</v>
      </c>
      <c r="T371" s="195"/>
      <c r="U371" s="195"/>
      <c r="V371" s="195"/>
      <c r="W371" s="195"/>
      <c r="X371" s="195"/>
      <c r="Y371" s="195"/>
      <c r="Z371" s="195"/>
      <c r="AA371" s="195"/>
      <c r="AB371" s="195"/>
      <c r="AC371" s="195"/>
      <c r="AD371" s="195"/>
      <c r="AE371" s="195"/>
      <c r="AF371" s="195"/>
      <c r="AG371" s="195"/>
      <c r="AH371" s="195"/>
      <c r="AI371" s="195"/>
      <c r="AJ371" s="195"/>
      <c r="AK371" s="195"/>
      <c r="AL371" s="195"/>
      <c r="AM371" s="195"/>
      <c r="AN371" s="195"/>
      <c r="AO371" s="195"/>
      <c r="AP371" s="195"/>
      <c r="AQ371" s="195"/>
      <c r="AR371" s="195"/>
      <c r="AS371" s="195"/>
      <c r="AT371" s="195"/>
    </row>
    <row r="372" spans="1:46">
      <c r="A372" s="465" t="str">
        <f>+'datos de entrada'!A371</f>
        <v/>
      </c>
      <c r="B372" s="843">
        <f>+'datos de entrada'!B371</f>
        <v>0</v>
      </c>
      <c r="C372" s="843">
        <f>+'datos de entrada'!C371</f>
        <v>0</v>
      </c>
      <c r="D372" s="843">
        <f>+'datos de entrada'!D371</f>
        <v>0</v>
      </c>
      <c r="E372" s="843">
        <f>+'datos de entrada'!E371</f>
        <v>0</v>
      </c>
      <c r="F372" s="843">
        <f>+'datos de entrada'!F371</f>
        <v>0</v>
      </c>
      <c r="G372" s="843">
        <f>+'datos de entrada'!G371</f>
        <v>0</v>
      </c>
      <c r="H372" s="843">
        <f>+'datos de entrada'!H371</f>
        <v>0</v>
      </c>
      <c r="I372" s="843">
        <f>+'datos de entrada'!I371</f>
        <v>0</v>
      </c>
      <c r="J372" s="843">
        <f>+'datos de entrada'!J371</f>
        <v>0</v>
      </c>
      <c r="K372" s="843">
        <f>+'datos de entrada'!K371</f>
        <v>0</v>
      </c>
      <c r="L372" s="843">
        <f>+'datos de entrada'!L371</f>
        <v>0</v>
      </c>
      <c r="M372" s="843">
        <f>+'datos de entrada'!M371</f>
        <v>0</v>
      </c>
      <c r="N372" s="843">
        <f>+'datos de entrada'!N371</f>
        <v>0</v>
      </c>
      <c r="O372" s="843">
        <f>+'datos de entrada'!O371</f>
        <v>0</v>
      </c>
      <c r="P372" s="843">
        <f>+'datos de entrada'!P371</f>
        <v>0</v>
      </c>
      <c r="Q372" s="843">
        <f>+'datos de entrada'!Q371</f>
        <v>0</v>
      </c>
      <c r="R372" s="843">
        <f>+'datos de entrada'!R371</f>
        <v>0</v>
      </c>
      <c r="S372" s="845">
        <f>+'datos de entrada'!S371</f>
        <v>0</v>
      </c>
      <c r="T372" s="195"/>
      <c r="U372" s="195"/>
      <c r="V372" s="195"/>
      <c r="W372" s="195"/>
      <c r="X372" s="195"/>
      <c r="Y372" s="195"/>
      <c r="Z372" s="195"/>
      <c r="AA372" s="195"/>
      <c r="AB372" s="195"/>
      <c r="AC372" s="195"/>
      <c r="AD372" s="195"/>
      <c r="AE372" s="195"/>
      <c r="AF372" s="195"/>
      <c r="AG372" s="195"/>
      <c r="AH372" s="195"/>
      <c r="AI372" s="195"/>
      <c r="AJ372" s="195"/>
      <c r="AK372" s="195"/>
      <c r="AL372" s="195"/>
      <c r="AM372" s="195"/>
      <c r="AN372" s="195"/>
      <c r="AO372" s="195"/>
      <c r="AP372" s="195"/>
      <c r="AQ372" s="195"/>
      <c r="AR372" s="195"/>
      <c r="AS372" s="195"/>
      <c r="AT372" s="195"/>
    </row>
    <row r="373" spans="1:46" ht="15.75" thickBot="1">
      <c r="A373" s="465" t="str">
        <f>+'datos de entrada'!A372</f>
        <v/>
      </c>
      <c r="B373" s="843">
        <f>+'datos de entrada'!B372</f>
        <v>0</v>
      </c>
      <c r="C373" s="843">
        <f>+'datos de entrada'!C372</f>
        <v>0</v>
      </c>
      <c r="D373" s="843">
        <f>+'datos de entrada'!D372</f>
        <v>0</v>
      </c>
      <c r="E373" s="843">
        <f>+'datos de entrada'!E372</f>
        <v>0</v>
      </c>
      <c r="F373" s="843">
        <f>+'datos de entrada'!F372</f>
        <v>0</v>
      </c>
      <c r="G373" s="843">
        <f>+'datos de entrada'!G372</f>
        <v>0</v>
      </c>
      <c r="H373" s="843">
        <f>+'datos de entrada'!H372</f>
        <v>0</v>
      </c>
      <c r="I373" s="843">
        <f>+'datos de entrada'!I372</f>
        <v>0</v>
      </c>
      <c r="J373" s="843">
        <f>+'datos de entrada'!J372</f>
        <v>0</v>
      </c>
      <c r="K373" s="843">
        <f>+'datos de entrada'!K372</f>
        <v>0</v>
      </c>
      <c r="L373" s="843">
        <f>+'datos de entrada'!L372</f>
        <v>0</v>
      </c>
      <c r="M373" s="843">
        <f>+'datos de entrada'!M372</f>
        <v>0</v>
      </c>
      <c r="N373" s="843">
        <f>+'datos de entrada'!N372</f>
        <v>0</v>
      </c>
      <c r="O373" s="843">
        <f>+'datos de entrada'!O372</f>
        <v>0</v>
      </c>
      <c r="P373" s="843">
        <f>+'datos de entrada'!P372</f>
        <v>0</v>
      </c>
      <c r="Q373" s="843">
        <f>+'datos de entrada'!Q372</f>
        <v>0</v>
      </c>
      <c r="R373" s="843">
        <f>+'datos de entrada'!R372</f>
        <v>0</v>
      </c>
      <c r="S373" s="845">
        <f>+'datos de entrada'!S372</f>
        <v>0</v>
      </c>
      <c r="T373" s="195"/>
      <c r="U373" s="195"/>
      <c r="V373" s="195"/>
      <c r="W373" s="195"/>
      <c r="X373" s="195"/>
      <c r="Y373" s="195"/>
      <c r="Z373" s="195"/>
      <c r="AA373" s="195"/>
      <c r="AB373" s="195"/>
      <c r="AC373" s="195"/>
      <c r="AD373" s="195"/>
      <c r="AE373" s="195"/>
      <c r="AF373" s="195"/>
      <c r="AG373" s="195"/>
      <c r="AH373" s="195"/>
      <c r="AI373" s="195"/>
      <c r="AJ373" s="195"/>
      <c r="AK373" s="195"/>
      <c r="AL373" s="195"/>
      <c r="AM373" s="195"/>
      <c r="AN373" s="195"/>
      <c r="AO373" s="195"/>
      <c r="AP373" s="195"/>
      <c r="AQ373" s="195"/>
      <c r="AR373" s="195"/>
      <c r="AS373" s="195"/>
      <c r="AT373" s="195"/>
    </row>
    <row r="374" spans="1:46">
      <c r="A374" s="465" t="str">
        <f>+'datos de entrada'!A373</f>
        <v/>
      </c>
      <c r="B374" s="843">
        <f>+'datos de entrada'!B373</f>
        <v>0</v>
      </c>
      <c r="C374" s="843">
        <f>+'datos de entrada'!C373</f>
        <v>0</v>
      </c>
      <c r="D374" s="843">
        <f>+'datos de entrada'!D373</f>
        <v>0</v>
      </c>
      <c r="E374" s="843">
        <f>+'datos de entrada'!E373</f>
        <v>0</v>
      </c>
      <c r="F374" s="843">
        <f>+'datos de entrada'!F373</f>
        <v>0</v>
      </c>
      <c r="G374" s="843">
        <f>+'datos de entrada'!G373</f>
        <v>0</v>
      </c>
      <c r="H374" s="843">
        <f>+'datos de entrada'!H373</f>
        <v>0</v>
      </c>
      <c r="I374" s="843">
        <f>+'datos de entrada'!I373</f>
        <v>0</v>
      </c>
      <c r="J374" s="843">
        <f>+'datos de entrada'!J373</f>
        <v>0</v>
      </c>
      <c r="K374" s="843">
        <f>+'datos de entrada'!K373</f>
        <v>0</v>
      </c>
      <c r="L374" s="843">
        <f>+'datos de entrada'!L373</f>
        <v>0</v>
      </c>
      <c r="M374" s="843">
        <f>+'datos de entrada'!M373</f>
        <v>0</v>
      </c>
      <c r="N374" s="843">
        <f>+'datos de entrada'!N373</f>
        <v>0</v>
      </c>
      <c r="O374" s="843">
        <f>+'datos de entrada'!O373</f>
        <v>0</v>
      </c>
      <c r="P374" s="843">
        <f>+'datos de entrada'!P373</f>
        <v>0</v>
      </c>
      <c r="Q374" s="843">
        <f>+'datos de entrada'!Q373</f>
        <v>0</v>
      </c>
      <c r="R374" s="843">
        <f>+'datos de entrada'!R373</f>
        <v>0</v>
      </c>
      <c r="S374" s="843">
        <f>+'datos de entrada'!S373</f>
        <v>0</v>
      </c>
      <c r="T374" s="477">
        <v>18</v>
      </c>
      <c r="U374" s="477">
        <v>19</v>
      </c>
      <c r="V374" s="477">
        <v>20</v>
      </c>
      <c r="W374" s="477">
        <v>21</v>
      </c>
      <c r="X374" s="477">
        <v>22</v>
      </c>
      <c r="Y374" s="477">
        <v>23</v>
      </c>
      <c r="Z374" s="477">
        <v>24</v>
      </c>
      <c r="AA374" s="477">
        <v>25</v>
      </c>
      <c r="AB374" s="477">
        <v>26</v>
      </c>
      <c r="AC374" s="477">
        <v>27</v>
      </c>
      <c r="AD374" s="477">
        <v>28</v>
      </c>
      <c r="AE374" s="477">
        <v>29</v>
      </c>
      <c r="AF374" s="477">
        <v>30</v>
      </c>
      <c r="AG374" s="477">
        <v>31</v>
      </c>
      <c r="AH374" s="477">
        <v>32</v>
      </c>
      <c r="AI374" s="477">
        <v>33</v>
      </c>
      <c r="AJ374" s="477">
        <v>34</v>
      </c>
      <c r="AK374" s="477">
        <v>35</v>
      </c>
      <c r="AL374" s="478">
        <v>36</v>
      </c>
      <c r="AM374" s="195"/>
      <c r="AN374" s="195"/>
      <c r="AO374" s="195"/>
      <c r="AP374" s="195"/>
      <c r="AQ374" s="195"/>
      <c r="AR374" s="195"/>
      <c r="AS374" s="195"/>
      <c r="AT374" s="195"/>
    </row>
    <row r="375" spans="1:46">
      <c r="A375" s="465" t="str">
        <f>+'datos de entrada'!A374</f>
        <v>CAFETERIA Y ASEO</v>
      </c>
      <c r="B375" s="843">
        <f>+'datos de entrada'!B374</f>
        <v>0</v>
      </c>
      <c r="C375" s="843">
        <f>+'datos de entrada'!C374</f>
        <v>400000</v>
      </c>
      <c r="D375" s="843">
        <f>+'datos de entrada'!D374</f>
        <v>400000</v>
      </c>
      <c r="E375" s="843">
        <f>+'datos de entrada'!E374</f>
        <v>400000</v>
      </c>
      <c r="F375" s="843">
        <f>+'datos de entrada'!F374</f>
        <v>400000</v>
      </c>
      <c r="G375" s="843">
        <f>+'datos de entrada'!G374</f>
        <v>400000</v>
      </c>
      <c r="H375" s="843">
        <f>+'datos de entrada'!H374</f>
        <v>400000</v>
      </c>
      <c r="I375" s="843">
        <f>+'datos de entrada'!I374</f>
        <v>400000</v>
      </c>
      <c r="J375" s="843">
        <f>+'datos de entrada'!J374</f>
        <v>400000</v>
      </c>
      <c r="K375" s="843">
        <f>+'datos de entrada'!K374</f>
        <v>400000</v>
      </c>
      <c r="L375" s="843">
        <f>+'datos de entrada'!L374</f>
        <v>400000</v>
      </c>
      <c r="M375" s="843">
        <f>+'datos de entrada'!M374</f>
        <v>400000</v>
      </c>
      <c r="N375" s="843">
        <f>+'datos de entrada'!N374</f>
        <v>400000</v>
      </c>
      <c r="O375" s="843">
        <f>+'datos de entrada'!O374</f>
        <v>400000</v>
      </c>
      <c r="P375" s="843">
        <f>+'datos de entrada'!P374</f>
        <v>400000</v>
      </c>
      <c r="Q375" s="843">
        <f>+'datos de entrada'!Q374</f>
        <v>400000</v>
      </c>
      <c r="R375" s="843">
        <f>+'datos de entrada'!R374</f>
        <v>400000</v>
      </c>
      <c r="S375" s="843">
        <f>+'datos de entrada'!S374</f>
        <v>400000</v>
      </c>
      <c r="T375" s="843">
        <f>+'datos de entrada'!T374</f>
        <v>400000</v>
      </c>
      <c r="U375" s="843">
        <f>+'datos de entrada'!U374</f>
        <v>400000</v>
      </c>
      <c r="V375" s="843">
        <f>+'datos de entrada'!V374</f>
        <v>400000</v>
      </c>
      <c r="W375" s="843">
        <f>+'datos de entrada'!W374</f>
        <v>400000</v>
      </c>
      <c r="X375" s="843">
        <f>+'datos de entrada'!X374</f>
        <v>400000</v>
      </c>
      <c r="Y375" s="843">
        <f>+'datos de entrada'!Y374</f>
        <v>400000</v>
      </c>
      <c r="Z375" s="843">
        <f>+'datos de entrada'!Z374</f>
        <v>400000</v>
      </c>
      <c r="AA375" s="843">
        <f>+'datos de entrada'!AA374</f>
        <v>400000</v>
      </c>
      <c r="AB375" s="843">
        <f>+'datos de entrada'!AB374</f>
        <v>400000</v>
      </c>
      <c r="AC375" s="843">
        <f>+'datos de entrada'!AC374</f>
        <v>400000</v>
      </c>
      <c r="AD375" s="843">
        <f>+'datos de entrada'!AD374</f>
        <v>400000</v>
      </c>
      <c r="AE375" s="843">
        <f>+'datos de entrada'!AE374</f>
        <v>400000</v>
      </c>
      <c r="AF375" s="843">
        <f>+'datos de entrada'!AF374</f>
        <v>400000</v>
      </c>
      <c r="AG375" s="843">
        <f>+'datos de entrada'!AG374</f>
        <v>400000</v>
      </c>
      <c r="AH375" s="843">
        <f>+'datos de entrada'!AH374</f>
        <v>400000</v>
      </c>
      <c r="AI375" s="843">
        <f>+'datos de entrada'!AI374</f>
        <v>400000</v>
      </c>
      <c r="AJ375" s="843">
        <f>+'datos de entrada'!AJ374</f>
        <v>400000</v>
      </c>
      <c r="AK375" s="843">
        <f>+'datos de entrada'!AK374</f>
        <v>400000</v>
      </c>
      <c r="AL375" s="845">
        <f>+'datos de entrada'!AL374</f>
        <v>400000</v>
      </c>
      <c r="AM375" s="195"/>
      <c r="AN375" s="195"/>
      <c r="AO375" s="195"/>
      <c r="AP375" s="195"/>
      <c r="AQ375" s="195"/>
      <c r="AR375" s="195"/>
      <c r="AS375" s="195"/>
      <c r="AT375" s="195"/>
    </row>
    <row r="376" spans="1:46">
      <c r="A376" s="465" t="str">
        <f>+'datos de entrada'!A375</f>
        <v>COMUNICACIÓN Y TELEFONO</v>
      </c>
      <c r="B376" s="843">
        <f>+'datos de entrada'!B375</f>
        <v>0</v>
      </c>
      <c r="C376" s="843">
        <f>+'datos de entrada'!C375</f>
        <v>200000</v>
      </c>
      <c r="D376" s="843">
        <f>+'datos de entrada'!D375</f>
        <v>200000</v>
      </c>
      <c r="E376" s="843">
        <f>+'datos de entrada'!E375</f>
        <v>200000</v>
      </c>
      <c r="F376" s="843">
        <f>+'datos de entrada'!F375</f>
        <v>200000</v>
      </c>
      <c r="G376" s="843">
        <f>+'datos de entrada'!G375</f>
        <v>200000</v>
      </c>
      <c r="H376" s="843">
        <f>+'datos de entrada'!H375</f>
        <v>200000</v>
      </c>
      <c r="I376" s="843">
        <f>+'datos de entrada'!I375</f>
        <v>200000</v>
      </c>
      <c r="J376" s="843">
        <f>+'datos de entrada'!J375</f>
        <v>200000</v>
      </c>
      <c r="K376" s="843">
        <f>+'datos de entrada'!K375</f>
        <v>200000</v>
      </c>
      <c r="L376" s="843">
        <f>+'datos de entrada'!L375</f>
        <v>200000</v>
      </c>
      <c r="M376" s="843">
        <f>+'datos de entrada'!M375</f>
        <v>200000</v>
      </c>
      <c r="N376" s="843">
        <f>+'datos de entrada'!N375</f>
        <v>200000</v>
      </c>
      <c r="O376" s="843">
        <f>+'datos de entrada'!O375</f>
        <v>200000</v>
      </c>
      <c r="P376" s="843">
        <f>+'datos de entrada'!P375</f>
        <v>200000</v>
      </c>
      <c r="Q376" s="843">
        <f>+'datos de entrada'!Q375</f>
        <v>200000</v>
      </c>
      <c r="R376" s="843">
        <f>+'datos de entrada'!R375</f>
        <v>200000</v>
      </c>
      <c r="S376" s="843">
        <f>+'datos de entrada'!S375</f>
        <v>200000</v>
      </c>
      <c r="T376" s="843">
        <f>+'datos de entrada'!T375</f>
        <v>200000</v>
      </c>
      <c r="U376" s="843">
        <f>+'datos de entrada'!U375</f>
        <v>200000</v>
      </c>
      <c r="V376" s="843">
        <f>+'datos de entrada'!V375</f>
        <v>200000</v>
      </c>
      <c r="W376" s="843">
        <f>+'datos de entrada'!W375</f>
        <v>200000</v>
      </c>
      <c r="X376" s="843">
        <f>+'datos de entrada'!X375</f>
        <v>200000</v>
      </c>
      <c r="Y376" s="843">
        <f>+'datos de entrada'!Y375</f>
        <v>200000</v>
      </c>
      <c r="Z376" s="843">
        <f>+'datos de entrada'!Z375</f>
        <v>200000</v>
      </c>
      <c r="AA376" s="843">
        <f>+'datos de entrada'!AA375</f>
        <v>200000</v>
      </c>
      <c r="AB376" s="843">
        <f>+'datos de entrada'!AB375</f>
        <v>200000</v>
      </c>
      <c r="AC376" s="843">
        <f>+'datos de entrada'!AC375</f>
        <v>200000</v>
      </c>
      <c r="AD376" s="843">
        <f>+'datos de entrada'!AD375</f>
        <v>200000</v>
      </c>
      <c r="AE376" s="843">
        <f>+'datos de entrada'!AE375</f>
        <v>200000</v>
      </c>
      <c r="AF376" s="843">
        <f>+'datos de entrada'!AF375</f>
        <v>200000</v>
      </c>
      <c r="AG376" s="843">
        <f>+'datos de entrada'!AG375</f>
        <v>200000</v>
      </c>
      <c r="AH376" s="843">
        <f>+'datos de entrada'!AH375</f>
        <v>200000</v>
      </c>
      <c r="AI376" s="843">
        <f>+'datos de entrada'!AI375</f>
        <v>200000</v>
      </c>
      <c r="AJ376" s="843">
        <f>+'datos de entrada'!AJ375</f>
        <v>200000</v>
      </c>
      <c r="AK376" s="843">
        <f>+'datos de entrada'!AK375</f>
        <v>200000</v>
      </c>
      <c r="AL376" s="845">
        <f>+'datos de entrada'!AL375</f>
        <v>200000</v>
      </c>
      <c r="AM376" s="195"/>
      <c r="AN376" s="195"/>
      <c r="AO376" s="195"/>
      <c r="AP376" s="195"/>
      <c r="AQ376" s="195"/>
      <c r="AR376" s="195"/>
      <c r="AS376" s="195"/>
      <c r="AT376" s="195"/>
    </row>
    <row r="377" spans="1:46">
      <c r="A377" s="465" t="str">
        <f>+'datos de entrada'!A376</f>
        <v>GASTOS BANCARIOS</v>
      </c>
      <c r="B377" s="843">
        <f>+'datos de entrada'!B376</f>
        <v>0</v>
      </c>
      <c r="C377" s="843">
        <f>+'datos de entrada'!C376</f>
        <v>12000</v>
      </c>
      <c r="D377" s="843">
        <f>+'datos de entrada'!D376</f>
        <v>12000</v>
      </c>
      <c r="E377" s="843">
        <f>+'datos de entrada'!E376</f>
        <v>12000</v>
      </c>
      <c r="F377" s="843">
        <f>+'datos de entrada'!F376</f>
        <v>12000</v>
      </c>
      <c r="G377" s="843">
        <f>+'datos de entrada'!G376</f>
        <v>12000</v>
      </c>
      <c r="H377" s="843">
        <f>+'datos de entrada'!H376</f>
        <v>12000</v>
      </c>
      <c r="I377" s="843">
        <f>+'datos de entrada'!I376</f>
        <v>12000</v>
      </c>
      <c r="J377" s="843">
        <f>+'datos de entrada'!J376</f>
        <v>12000</v>
      </c>
      <c r="K377" s="843">
        <f>+'datos de entrada'!K376</f>
        <v>12000</v>
      </c>
      <c r="L377" s="843">
        <f>+'datos de entrada'!L376</f>
        <v>12000</v>
      </c>
      <c r="M377" s="843">
        <f>+'datos de entrada'!M376</f>
        <v>12000</v>
      </c>
      <c r="N377" s="843">
        <f>+'datos de entrada'!N376</f>
        <v>12000</v>
      </c>
      <c r="O377" s="843">
        <f>+'datos de entrada'!O376</f>
        <v>12000</v>
      </c>
      <c r="P377" s="843">
        <f>+'datos de entrada'!P376</f>
        <v>12000</v>
      </c>
      <c r="Q377" s="843">
        <f>+'datos de entrada'!Q376</f>
        <v>12000</v>
      </c>
      <c r="R377" s="843">
        <f>+'datos de entrada'!R376</f>
        <v>12000</v>
      </c>
      <c r="S377" s="843">
        <f>+'datos de entrada'!S376</f>
        <v>12000</v>
      </c>
      <c r="T377" s="843">
        <f>+'datos de entrada'!T376</f>
        <v>12000</v>
      </c>
      <c r="U377" s="843">
        <f>+'datos de entrada'!U376</f>
        <v>12000</v>
      </c>
      <c r="V377" s="843">
        <f>+'datos de entrada'!V376</f>
        <v>12000</v>
      </c>
      <c r="W377" s="843">
        <f>+'datos de entrada'!W376</f>
        <v>12000</v>
      </c>
      <c r="X377" s="843">
        <f>+'datos de entrada'!X376</f>
        <v>12000</v>
      </c>
      <c r="Y377" s="843">
        <f>+'datos de entrada'!Y376</f>
        <v>12000</v>
      </c>
      <c r="Z377" s="843">
        <f>+'datos de entrada'!Z376</f>
        <v>12000</v>
      </c>
      <c r="AA377" s="843">
        <f>+'datos de entrada'!AA376</f>
        <v>12000</v>
      </c>
      <c r="AB377" s="843">
        <f>+'datos de entrada'!AB376</f>
        <v>12000</v>
      </c>
      <c r="AC377" s="843">
        <f>+'datos de entrada'!AC376</f>
        <v>12000</v>
      </c>
      <c r="AD377" s="843">
        <f>+'datos de entrada'!AD376</f>
        <v>12000</v>
      </c>
      <c r="AE377" s="843">
        <f>+'datos de entrada'!AE376</f>
        <v>12000</v>
      </c>
      <c r="AF377" s="843">
        <f>+'datos de entrada'!AF376</f>
        <v>12000</v>
      </c>
      <c r="AG377" s="843">
        <f>+'datos de entrada'!AG376</f>
        <v>12000</v>
      </c>
      <c r="AH377" s="843">
        <f>+'datos de entrada'!AH376</f>
        <v>12000</v>
      </c>
      <c r="AI377" s="843">
        <f>+'datos de entrada'!AI376</f>
        <v>12000</v>
      </c>
      <c r="AJ377" s="843">
        <f>+'datos de entrada'!AJ376</f>
        <v>12000</v>
      </c>
      <c r="AK377" s="843">
        <f>+'datos de entrada'!AK376</f>
        <v>12000</v>
      </c>
      <c r="AL377" s="845">
        <f>+'datos de entrada'!AL376</f>
        <v>12000</v>
      </c>
      <c r="AM377" s="195"/>
      <c r="AN377" s="195"/>
      <c r="AO377" s="195"/>
      <c r="AP377" s="195"/>
      <c r="AQ377" s="195"/>
      <c r="AR377" s="195"/>
      <c r="AS377" s="195"/>
      <c r="AT377" s="195"/>
    </row>
    <row r="378" spans="1:46">
      <c r="A378" s="465" t="str">
        <f>+'datos de entrada'!A377</f>
        <v>PAPELERIA Y UTILES DE OFICINA</v>
      </c>
      <c r="B378" s="843">
        <f>+'datos de entrada'!B377</f>
        <v>0</v>
      </c>
      <c r="C378" s="843">
        <f>+'datos de entrada'!C377</f>
        <v>50000</v>
      </c>
      <c r="D378" s="843">
        <f>+'datos de entrada'!D377</f>
        <v>50000</v>
      </c>
      <c r="E378" s="843">
        <f>+'datos de entrada'!E377</f>
        <v>50000</v>
      </c>
      <c r="F378" s="843">
        <f>+'datos de entrada'!F377</f>
        <v>50000</v>
      </c>
      <c r="G378" s="843">
        <f>+'datos de entrada'!G377</f>
        <v>50000</v>
      </c>
      <c r="H378" s="843">
        <f>+'datos de entrada'!H377</f>
        <v>50000</v>
      </c>
      <c r="I378" s="843">
        <f>+'datos de entrada'!I377</f>
        <v>50000</v>
      </c>
      <c r="J378" s="843">
        <f>+'datos de entrada'!J377</f>
        <v>50000</v>
      </c>
      <c r="K378" s="843">
        <f>+'datos de entrada'!K377</f>
        <v>50000</v>
      </c>
      <c r="L378" s="843">
        <f>+'datos de entrada'!L377</f>
        <v>50000</v>
      </c>
      <c r="M378" s="843">
        <f>+'datos de entrada'!M377</f>
        <v>50000</v>
      </c>
      <c r="N378" s="843">
        <f>+'datos de entrada'!N377</f>
        <v>50000</v>
      </c>
      <c r="O378" s="843">
        <f>+'datos de entrada'!O377</f>
        <v>50000</v>
      </c>
      <c r="P378" s="843">
        <f>+'datos de entrada'!P377</f>
        <v>50000</v>
      </c>
      <c r="Q378" s="843">
        <f>+'datos de entrada'!Q377</f>
        <v>50000</v>
      </c>
      <c r="R378" s="843">
        <f>+'datos de entrada'!R377</f>
        <v>50000</v>
      </c>
      <c r="S378" s="843">
        <f>+'datos de entrada'!S377</f>
        <v>50000</v>
      </c>
      <c r="T378" s="843">
        <f>+'datos de entrada'!T377</f>
        <v>50000</v>
      </c>
      <c r="U378" s="843">
        <f>+'datos de entrada'!U377</f>
        <v>50000</v>
      </c>
      <c r="V378" s="843">
        <f>+'datos de entrada'!V377</f>
        <v>50000</v>
      </c>
      <c r="W378" s="843">
        <f>+'datos de entrada'!W377</f>
        <v>50000</v>
      </c>
      <c r="X378" s="843">
        <f>+'datos de entrada'!X377</f>
        <v>50000</v>
      </c>
      <c r="Y378" s="843">
        <f>+'datos de entrada'!Y377</f>
        <v>50000</v>
      </c>
      <c r="Z378" s="843">
        <f>+'datos de entrada'!Z377</f>
        <v>50000</v>
      </c>
      <c r="AA378" s="843">
        <f>+'datos de entrada'!AA377</f>
        <v>50000</v>
      </c>
      <c r="AB378" s="843">
        <f>+'datos de entrada'!AB377</f>
        <v>50000</v>
      </c>
      <c r="AC378" s="843">
        <f>+'datos de entrada'!AC377</f>
        <v>50000</v>
      </c>
      <c r="AD378" s="843">
        <f>+'datos de entrada'!AD377</f>
        <v>50000</v>
      </c>
      <c r="AE378" s="843">
        <f>+'datos de entrada'!AE377</f>
        <v>50000</v>
      </c>
      <c r="AF378" s="843">
        <f>+'datos de entrada'!AF377</f>
        <v>50000</v>
      </c>
      <c r="AG378" s="843">
        <f>+'datos de entrada'!AG377</f>
        <v>50000</v>
      </c>
      <c r="AH378" s="843">
        <f>+'datos de entrada'!AH377</f>
        <v>50000</v>
      </c>
      <c r="AI378" s="843">
        <f>+'datos de entrada'!AI377</f>
        <v>50000</v>
      </c>
      <c r="AJ378" s="843">
        <f>+'datos de entrada'!AJ377</f>
        <v>50000</v>
      </c>
      <c r="AK378" s="843">
        <f>+'datos de entrada'!AK377</f>
        <v>50000</v>
      </c>
      <c r="AL378" s="845">
        <f>+'datos de entrada'!AL377</f>
        <v>50000</v>
      </c>
      <c r="AM378" s="195"/>
      <c r="AN378" s="195"/>
      <c r="AO378" s="195"/>
      <c r="AP378" s="195"/>
      <c r="AQ378" s="195"/>
      <c r="AR378" s="195"/>
      <c r="AS378" s="195"/>
      <c r="AT378" s="195"/>
    </row>
    <row r="379" spans="1:46">
      <c r="A379" s="465" t="str">
        <f>+'datos de entrada'!A378</f>
        <v/>
      </c>
      <c r="B379" s="843">
        <f>+'datos de entrada'!B378</f>
        <v>0</v>
      </c>
      <c r="C379" s="843">
        <f>+'datos de entrada'!C378</f>
        <v>0</v>
      </c>
      <c r="D379" s="843">
        <f>+'datos de entrada'!D378</f>
        <v>0</v>
      </c>
      <c r="E379" s="843">
        <f>+'datos de entrada'!E378</f>
        <v>0</v>
      </c>
      <c r="F379" s="843">
        <f>+'datos de entrada'!F378</f>
        <v>0</v>
      </c>
      <c r="G379" s="843">
        <f>+'datos de entrada'!G378</f>
        <v>0</v>
      </c>
      <c r="H379" s="843">
        <f>+'datos de entrada'!H378</f>
        <v>0</v>
      </c>
      <c r="I379" s="843">
        <f>+'datos de entrada'!I378</f>
        <v>0</v>
      </c>
      <c r="J379" s="843">
        <f>+'datos de entrada'!J378</f>
        <v>0</v>
      </c>
      <c r="K379" s="843">
        <f>+'datos de entrada'!K378</f>
        <v>0</v>
      </c>
      <c r="L379" s="843">
        <f>+'datos de entrada'!L378</f>
        <v>0</v>
      </c>
      <c r="M379" s="843">
        <f>+'datos de entrada'!M378</f>
        <v>0</v>
      </c>
      <c r="N379" s="843">
        <f>+'datos de entrada'!N378</f>
        <v>0</v>
      </c>
      <c r="O379" s="843">
        <f>+'datos de entrada'!O378</f>
        <v>0</v>
      </c>
      <c r="P379" s="843">
        <f>+'datos de entrada'!P378</f>
        <v>0</v>
      </c>
      <c r="Q379" s="843">
        <f>+'datos de entrada'!Q378</f>
        <v>0</v>
      </c>
      <c r="R379" s="843">
        <f>+'datos de entrada'!R378</f>
        <v>0</v>
      </c>
      <c r="S379" s="843">
        <f>+'datos de entrada'!S378</f>
        <v>0</v>
      </c>
      <c r="T379" s="843">
        <f>+'datos de entrada'!T378</f>
        <v>0</v>
      </c>
      <c r="U379" s="843">
        <f>+'datos de entrada'!U378</f>
        <v>0</v>
      </c>
      <c r="V379" s="843">
        <f>+'datos de entrada'!V378</f>
        <v>0</v>
      </c>
      <c r="W379" s="843">
        <f>+'datos de entrada'!W378</f>
        <v>0</v>
      </c>
      <c r="X379" s="843">
        <f>+'datos de entrada'!X378</f>
        <v>0</v>
      </c>
      <c r="Y379" s="843">
        <f>+'datos de entrada'!Y378</f>
        <v>0</v>
      </c>
      <c r="Z379" s="843">
        <f>+'datos de entrada'!Z378</f>
        <v>0</v>
      </c>
      <c r="AA379" s="843">
        <f>+'datos de entrada'!AA378</f>
        <v>0</v>
      </c>
      <c r="AB379" s="843">
        <f>+'datos de entrada'!AB378</f>
        <v>0</v>
      </c>
      <c r="AC379" s="843">
        <f>+'datos de entrada'!AC378</f>
        <v>0</v>
      </c>
      <c r="AD379" s="843">
        <f>+'datos de entrada'!AD378</f>
        <v>0</v>
      </c>
      <c r="AE379" s="843">
        <f>+'datos de entrada'!AE378</f>
        <v>0</v>
      </c>
      <c r="AF379" s="843">
        <f>+'datos de entrada'!AF378</f>
        <v>0</v>
      </c>
      <c r="AG379" s="843">
        <f>+'datos de entrada'!AG378</f>
        <v>0</v>
      </c>
      <c r="AH379" s="843">
        <f>+'datos de entrada'!AH378</f>
        <v>0</v>
      </c>
      <c r="AI379" s="843">
        <f>+'datos de entrada'!AI378</f>
        <v>0</v>
      </c>
      <c r="AJ379" s="843">
        <f>+'datos de entrada'!AJ378</f>
        <v>0</v>
      </c>
      <c r="AK379" s="843">
        <f>+'datos de entrada'!AK378</f>
        <v>0</v>
      </c>
      <c r="AL379" s="845">
        <f>+'datos de entrada'!AL378</f>
        <v>0</v>
      </c>
      <c r="AM379" s="195"/>
      <c r="AN379" s="195"/>
      <c r="AO379" s="195"/>
      <c r="AP379" s="195"/>
      <c r="AQ379" s="195"/>
      <c r="AR379" s="195"/>
      <c r="AS379" s="195"/>
      <c r="AT379" s="195"/>
    </row>
    <row r="380" spans="1:46">
      <c r="A380" s="465" t="str">
        <f>+'datos de entrada'!A379</f>
        <v/>
      </c>
      <c r="B380" s="843">
        <f>+'datos de entrada'!B379</f>
        <v>0</v>
      </c>
      <c r="C380" s="843">
        <f>+'datos de entrada'!C379</f>
        <v>0</v>
      </c>
      <c r="D380" s="843">
        <f>+'datos de entrada'!D379</f>
        <v>0</v>
      </c>
      <c r="E380" s="843">
        <f>+'datos de entrada'!E379</f>
        <v>0</v>
      </c>
      <c r="F380" s="843">
        <f>+'datos de entrada'!F379</f>
        <v>0</v>
      </c>
      <c r="G380" s="843">
        <f>+'datos de entrada'!G379</f>
        <v>0</v>
      </c>
      <c r="H380" s="843">
        <f>+'datos de entrada'!H379</f>
        <v>0</v>
      </c>
      <c r="I380" s="843">
        <f>+'datos de entrada'!I379</f>
        <v>0</v>
      </c>
      <c r="J380" s="843">
        <f>+'datos de entrada'!J379</f>
        <v>0</v>
      </c>
      <c r="K380" s="843">
        <f>+'datos de entrada'!K379</f>
        <v>0</v>
      </c>
      <c r="L380" s="843">
        <f>+'datos de entrada'!L379</f>
        <v>0</v>
      </c>
      <c r="M380" s="843">
        <f>+'datos de entrada'!M379</f>
        <v>0</v>
      </c>
      <c r="N380" s="843">
        <f>+'datos de entrada'!N379</f>
        <v>0</v>
      </c>
      <c r="O380" s="843">
        <f>+'datos de entrada'!O379</f>
        <v>0</v>
      </c>
      <c r="P380" s="843">
        <f>+'datos de entrada'!P379</f>
        <v>0</v>
      </c>
      <c r="Q380" s="843">
        <f>+'datos de entrada'!Q379</f>
        <v>0</v>
      </c>
      <c r="R380" s="843">
        <f>+'datos de entrada'!R379</f>
        <v>0</v>
      </c>
      <c r="S380" s="843">
        <f>+'datos de entrada'!S379</f>
        <v>0</v>
      </c>
      <c r="T380" s="843">
        <f>+'datos de entrada'!T379</f>
        <v>0</v>
      </c>
      <c r="U380" s="843">
        <f>+'datos de entrada'!U379</f>
        <v>0</v>
      </c>
      <c r="V380" s="843">
        <f>+'datos de entrada'!V379</f>
        <v>0</v>
      </c>
      <c r="W380" s="843">
        <f>+'datos de entrada'!W379</f>
        <v>0</v>
      </c>
      <c r="X380" s="843">
        <f>+'datos de entrada'!X379</f>
        <v>0</v>
      </c>
      <c r="Y380" s="843">
        <f>+'datos de entrada'!Y379</f>
        <v>0</v>
      </c>
      <c r="Z380" s="843">
        <f>+'datos de entrada'!Z379</f>
        <v>0</v>
      </c>
      <c r="AA380" s="843">
        <f>+'datos de entrada'!AA379</f>
        <v>0</v>
      </c>
      <c r="AB380" s="843">
        <f>+'datos de entrada'!AB379</f>
        <v>0</v>
      </c>
      <c r="AC380" s="843">
        <f>+'datos de entrada'!AC379</f>
        <v>0</v>
      </c>
      <c r="AD380" s="843">
        <f>+'datos de entrada'!AD379</f>
        <v>0</v>
      </c>
      <c r="AE380" s="843">
        <f>+'datos de entrada'!AE379</f>
        <v>0</v>
      </c>
      <c r="AF380" s="843">
        <f>+'datos de entrada'!AF379</f>
        <v>0</v>
      </c>
      <c r="AG380" s="843">
        <f>+'datos de entrada'!AG379</f>
        <v>0</v>
      </c>
      <c r="AH380" s="843">
        <f>+'datos de entrada'!AH379</f>
        <v>0</v>
      </c>
      <c r="AI380" s="843">
        <f>+'datos de entrada'!AI379</f>
        <v>0</v>
      </c>
      <c r="AJ380" s="843">
        <f>+'datos de entrada'!AJ379</f>
        <v>0</v>
      </c>
      <c r="AK380" s="843">
        <f>+'datos de entrada'!AK379</f>
        <v>0</v>
      </c>
      <c r="AL380" s="845">
        <f>+'datos de entrada'!AL379</f>
        <v>0</v>
      </c>
      <c r="AM380" s="195"/>
      <c r="AN380" s="195"/>
      <c r="AO380" s="195"/>
      <c r="AP380" s="195"/>
      <c r="AQ380" s="195"/>
      <c r="AR380" s="195"/>
      <c r="AS380" s="195"/>
      <c r="AT380" s="195"/>
    </row>
    <row r="381" spans="1:46">
      <c r="A381" s="465" t="str">
        <f>+'datos de entrada'!A380</f>
        <v/>
      </c>
      <c r="B381" s="843">
        <f>+'datos de entrada'!B380</f>
        <v>0</v>
      </c>
      <c r="C381" s="843">
        <f>+'datos de entrada'!C380</f>
        <v>0</v>
      </c>
      <c r="D381" s="843">
        <f>+'datos de entrada'!D380</f>
        <v>0</v>
      </c>
      <c r="E381" s="843">
        <f>+'datos de entrada'!E380</f>
        <v>0</v>
      </c>
      <c r="F381" s="843">
        <f>+'datos de entrada'!F380</f>
        <v>0</v>
      </c>
      <c r="G381" s="843">
        <f>+'datos de entrada'!G380</f>
        <v>0</v>
      </c>
      <c r="H381" s="843">
        <f>+'datos de entrada'!H380</f>
        <v>0</v>
      </c>
      <c r="I381" s="843">
        <f>+'datos de entrada'!I380</f>
        <v>0</v>
      </c>
      <c r="J381" s="843">
        <f>+'datos de entrada'!J380</f>
        <v>0</v>
      </c>
      <c r="K381" s="843">
        <f>+'datos de entrada'!K380</f>
        <v>0</v>
      </c>
      <c r="L381" s="843">
        <f>+'datos de entrada'!L380</f>
        <v>0</v>
      </c>
      <c r="M381" s="843">
        <f>+'datos de entrada'!M380</f>
        <v>0</v>
      </c>
      <c r="N381" s="843">
        <f>+'datos de entrada'!N380</f>
        <v>0</v>
      </c>
      <c r="O381" s="843">
        <f>+'datos de entrada'!O380</f>
        <v>0</v>
      </c>
      <c r="P381" s="843">
        <f>+'datos de entrada'!P380</f>
        <v>0</v>
      </c>
      <c r="Q381" s="843">
        <f>+'datos de entrada'!Q380</f>
        <v>0</v>
      </c>
      <c r="R381" s="843">
        <f>+'datos de entrada'!R380</f>
        <v>0</v>
      </c>
      <c r="S381" s="843">
        <f>+'datos de entrada'!S380</f>
        <v>0</v>
      </c>
      <c r="T381" s="843">
        <f>+'datos de entrada'!T380</f>
        <v>0</v>
      </c>
      <c r="U381" s="843">
        <f>+'datos de entrada'!U380</f>
        <v>0</v>
      </c>
      <c r="V381" s="843">
        <f>+'datos de entrada'!V380</f>
        <v>0</v>
      </c>
      <c r="W381" s="843">
        <f>+'datos de entrada'!W380</f>
        <v>0</v>
      </c>
      <c r="X381" s="843">
        <f>+'datos de entrada'!X380</f>
        <v>0</v>
      </c>
      <c r="Y381" s="843">
        <f>+'datos de entrada'!Y380</f>
        <v>0</v>
      </c>
      <c r="Z381" s="843">
        <f>+'datos de entrada'!Z380</f>
        <v>0</v>
      </c>
      <c r="AA381" s="843">
        <f>+'datos de entrada'!AA380</f>
        <v>0</v>
      </c>
      <c r="AB381" s="843">
        <f>+'datos de entrada'!AB380</f>
        <v>0</v>
      </c>
      <c r="AC381" s="843">
        <f>+'datos de entrada'!AC380</f>
        <v>0</v>
      </c>
      <c r="AD381" s="843">
        <f>+'datos de entrada'!AD380</f>
        <v>0</v>
      </c>
      <c r="AE381" s="843">
        <f>+'datos de entrada'!AE380</f>
        <v>0</v>
      </c>
      <c r="AF381" s="843">
        <f>+'datos de entrada'!AF380</f>
        <v>0</v>
      </c>
      <c r="AG381" s="843">
        <f>+'datos de entrada'!AG380</f>
        <v>0</v>
      </c>
      <c r="AH381" s="843">
        <f>+'datos de entrada'!AH380</f>
        <v>0</v>
      </c>
      <c r="AI381" s="843">
        <f>+'datos de entrada'!AI380</f>
        <v>0</v>
      </c>
      <c r="AJ381" s="843">
        <f>+'datos de entrada'!AJ380</f>
        <v>0</v>
      </c>
      <c r="AK381" s="843">
        <f>+'datos de entrada'!AK380</f>
        <v>0</v>
      </c>
      <c r="AL381" s="845">
        <f>+'datos de entrada'!AL380</f>
        <v>0</v>
      </c>
      <c r="AM381" s="195"/>
      <c r="AN381" s="195"/>
      <c r="AO381" s="195"/>
      <c r="AP381" s="195"/>
      <c r="AQ381" s="195"/>
      <c r="AR381" s="195"/>
      <c r="AS381" s="195"/>
      <c r="AT381" s="195"/>
    </row>
    <row r="382" spans="1:46">
      <c r="A382" s="465" t="str">
        <f>+'datos de entrada'!A381</f>
        <v/>
      </c>
      <c r="B382" s="843">
        <f>+'datos de entrada'!B381</f>
        <v>0</v>
      </c>
      <c r="C382" s="843">
        <f>+'datos de entrada'!C381</f>
        <v>0</v>
      </c>
      <c r="D382" s="843">
        <f>+'datos de entrada'!D381</f>
        <v>0</v>
      </c>
      <c r="E382" s="843">
        <f>+'datos de entrada'!E381</f>
        <v>0</v>
      </c>
      <c r="F382" s="843">
        <f>+'datos de entrada'!F381</f>
        <v>0</v>
      </c>
      <c r="G382" s="843">
        <f>+'datos de entrada'!G381</f>
        <v>0</v>
      </c>
      <c r="H382" s="843">
        <f>+'datos de entrada'!H381</f>
        <v>0</v>
      </c>
      <c r="I382" s="843">
        <f>+'datos de entrada'!I381</f>
        <v>0</v>
      </c>
      <c r="J382" s="843">
        <f>+'datos de entrada'!J381</f>
        <v>0</v>
      </c>
      <c r="K382" s="843">
        <f>+'datos de entrada'!K381</f>
        <v>0</v>
      </c>
      <c r="L382" s="843">
        <f>+'datos de entrada'!L381</f>
        <v>0</v>
      </c>
      <c r="M382" s="843">
        <f>+'datos de entrada'!M381</f>
        <v>0</v>
      </c>
      <c r="N382" s="843">
        <f>+'datos de entrada'!N381</f>
        <v>0</v>
      </c>
      <c r="O382" s="843">
        <f>+'datos de entrada'!O381</f>
        <v>0</v>
      </c>
      <c r="P382" s="843">
        <f>+'datos de entrada'!P381</f>
        <v>0</v>
      </c>
      <c r="Q382" s="843">
        <f>+'datos de entrada'!Q381</f>
        <v>0</v>
      </c>
      <c r="R382" s="843">
        <f>+'datos de entrada'!R381</f>
        <v>0</v>
      </c>
      <c r="S382" s="843">
        <f>+'datos de entrada'!S381</f>
        <v>0</v>
      </c>
      <c r="T382" s="843">
        <f>+'datos de entrada'!T381</f>
        <v>0</v>
      </c>
      <c r="U382" s="843">
        <f>+'datos de entrada'!U381</f>
        <v>0</v>
      </c>
      <c r="V382" s="843">
        <f>+'datos de entrada'!V381</f>
        <v>0</v>
      </c>
      <c r="W382" s="843">
        <f>+'datos de entrada'!W381</f>
        <v>0</v>
      </c>
      <c r="X382" s="843">
        <f>+'datos de entrada'!X381</f>
        <v>0</v>
      </c>
      <c r="Y382" s="843">
        <f>+'datos de entrada'!Y381</f>
        <v>0</v>
      </c>
      <c r="Z382" s="843">
        <f>+'datos de entrada'!Z381</f>
        <v>0</v>
      </c>
      <c r="AA382" s="843">
        <f>+'datos de entrada'!AA381</f>
        <v>0</v>
      </c>
      <c r="AB382" s="843">
        <f>+'datos de entrada'!AB381</f>
        <v>0</v>
      </c>
      <c r="AC382" s="843">
        <f>+'datos de entrada'!AC381</f>
        <v>0</v>
      </c>
      <c r="AD382" s="843">
        <f>+'datos de entrada'!AD381</f>
        <v>0</v>
      </c>
      <c r="AE382" s="843">
        <f>+'datos de entrada'!AE381</f>
        <v>0</v>
      </c>
      <c r="AF382" s="843">
        <f>+'datos de entrada'!AF381</f>
        <v>0</v>
      </c>
      <c r="AG382" s="843">
        <f>+'datos de entrada'!AG381</f>
        <v>0</v>
      </c>
      <c r="AH382" s="843">
        <f>+'datos de entrada'!AH381</f>
        <v>0</v>
      </c>
      <c r="AI382" s="843">
        <f>+'datos de entrada'!AI381</f>
        <v>0</v>
      </c>
      <c r="AJ382" s="843">
        <f>+'datos de entrada'!AJ381</f>
        <v>0</v>
      </c>
      <c r="AK382" s="843">
        <f>+'datos de entrada'!AK381</f>
        <v>0</v>
      </c>
      <c r="AL382" s="845">
        <f>+'datos de entrada'!AL381</f>
        <v>0</v>
      </c>
      <c r="AM382" s="195"/>
      <c r="AN382" s="195"/>
      <c r="AO382" s="195"/>
      <c r="AP382" s="195"/>
      <c r="AQ382" s="195"/>
      <c r="AR382" s="195"/>
      <c r="AS382" s="195"/>
      <c r="AT382" s="195"/>
    </row>
    <row r="383" spans="1:46">
      <c r="A383" s="465" t="str">
        <f>+'datos de entrada'!A382</f>
        <v/>
      </c>
      <c r="B383" s="843">
        <f>+'datos de entrada'!B382</f>
        <v>0</v>
      </c>
      <c r="C383" s="843">
        <f>+'datos de entrada'!C382</f>
        <v>0</v>
      </c>
      <c r="D383" s="843">
        <f>+'datos de entrada'!D382</f>
        <v>0</v>
      </c>
      <c r="E383" s="843">
        <f>+'datos de entrada'!E382</f>
        <v>0</v>
      </c>
      <c r="F383" s="843">
        <f>+'datos de entrada'!F382</f>
        <v>0</v>
      </c>
      <c r="G383" s="843">
        <f>+'datos de entrada'!G382</f>
        <v>0</v>
      </c>
      <c r="H383" s="843">
        <f>+'datos de entrada'!H382</f>
        <v>0</v>
      </c>
      <c r="I383" s="843">
        <f>+'datos de entrada'!I382</f>
        <v>0</v>
      </c>
      <c r="J383" s="843">
        <f>+'datos de entrada'!J382</f>
        <v>0</v>
      </c>
      <c r="K383" s="843">
        <f>+'datos de entrada'!K382</f>
        <v>0</v>
      </c>
      <c r="L383" s="843">
        <f>+'datos de entrada'!L382</f>
        <v>0</v>
      </c>
      <c r="M383" s="843">
        <f>+'datos de entrada'!M382</f>
        <v>0</v>
      </c>
      <c r="N383" s="843">
        <f>+'datos de entrada'!N382</f>
        <v>0</v>
      </c>
      <c r="O383" s="843">
        <f>+'datos de entrada'!O382</f>
        <v>0</v>
      </c>
      <c r="P383" s="843">
        <f>+'datos de entrada'!P382</f>
        <v>0</v>
      </c>
      <c r="Q383" s="843">
        <f>+'datos de entrada'!Q382</f>
        <v>0</v>
      </c>
      <c r="R383" s="843">
        <f>+'datos de entrada'!R382</f>
        <v>0</v>
      </c>
      <c r="S383" s="843">
        <f>+'datos de entrada'!S382</f>
        <v>0</v>
      </c>
      <c r="T383" s="843">
        <f>+'datos de entrada'!T382</f>
        <v>0</v>
      </c>
      <c r="U383" s="843">
        <f>+'datos de entrada'!U382</f>
        <v>0</v>
      </c>
      <c r="V383" s="843">
        <f>+'datos de entrada'!V382</f>
        <v>0</v>
      </c>
      <c r="W383" s="843">
        <f>+'datos de entrada'!W382</f>
        <v>0</v>
      </c>
      <c r="X383" s="843">
        <f>+'datos de entrada'!X382</f>
        <v>0</v>
      </c>
      <c r="Y383" s="843">
        <f>+'datos de entrada'!Y382</f>
        <v>0</v>
      </c>
      <c r="Z383" s="843">
        <f>+'datos de entrada'!Z382</f>
        <v>0</v>
      </c>
      <c r="AA383" s="843">
        <f>+'datos de entrada'!AA382</f>
        <v>0</v>
      </c>
      <c r="AB383" s="843">
        <f>+'datos de entrada'!AB382</f>
        <v>0</v>
      </c>
      <c r="AC383" s="843">
        <f>+'datos de entrada'!AC382</f>
        <v>0</v>
      </c>
      <c r="AD383" s="843">
        <f>+'datos de entrada'!AD382</f>
        <v>0</v>
      </c>
      <c r="AE383" s="843">
        <f>+'datos de entrada'!AE382</f>
        <v>0</v>
      </c>
      <c r="AF383" s="843">
        <f>+'datos de entrada'!AF382</f>
        <v>0</v>
      </c>
      <c r="AG383" s="843">
        <f>+'datos de entrada'!AG382</f>
        <v>0</v>
      </c>
      <c r="AH383" s="843">
        <f>+'datos de entrada'!AH382</f>
        <v>0</v>
      </c>
      <c r="AI383" s="843">
        <f>+'datos de entrada'!AI382</f>
        <v>0</v>
      </c>
      <c r="AJ383" s="843">
        <f>+'datos de entrada'!AJ382</f>
        <v>0</v>
      </c>
      <c r="AK383" s="843">
        <f>+'datos de entrada'!AK382</f>
        <v>0</v>
      </c>
      <c r="AL383" s="845">
        <f>+'datos de entrada'!AL382</f>
        <v>0</v>
      </c>
      <c r="AM383" s="195"/>
      <c r="AN383" s="195"/>
      <c r="AO383" s="195"/>
      <c r="AP383" s="195"/>
      <c r="AQ383" s="195"/>
      <c r="AR383" s="195"/>
      <c r="AS383" s="195"/>
      <c r="AT383" s="195"/>
    </row>
    <row r="384" spans="1:46">
      <c r="A384" s="465" t="str">
        <f>+'datos de entrada'!A383</f>
        <v/>
      </c>
      <c r="B384" s="843">
        <f>+'datos de entrada'!B383</f>
        <v>0</v>
      </c>
      <c r="C384" s="843">
        <f>+'datos de entrada'!C383</f>
        <v>0</v>
      </c>
      <c r="D384" s="843">
        <f>+'datos de entrada'!D383</f>
        <v>0</v>
      </c>
      <c r="E384" s="843">
        <f>+'datos de entrada'!E383</f>
        <v>0</v>
      </c>
      <c r="F384" s="843">
        <f>+'datos de entrada'!F383</f>
        <v>0</v>
      </c>
      <c r="G384" s="843">
        <f>+'datos de entrada'!G383</f>
        <v>0</v>
      </c>
      <c r="H384" s="843">
        <f>+'datos de entrada'!H383</f>
        <v>0</v>
      </c>
      <c r="I384" s="843">
        <f>+'datos de entrada'!I383</f>
        <v>0</v>
      </c>
      <c r="J384" s="843">
        <f>+'datos de entrada'!J383</f>
        <v>0</v>
      </c>
      <c r="K384" s="843">
        <f>+'datos de entrada'!K383</f>
        <v>0</v>
      </c>
      <c r="L384" s="843">
        <f>+'datos de entrada'!L383</f>
        <v>0</v>
      </c>
      <c r="M384" s="843">
        <f>+'datos de entrada'!M383</f>
        <v>0</v>
      </c>
      <c r="N384" s="843">
        <f>+'datos de entrada'!N383</f>
        <v>0</v>
      </c>
      <c r="O384" s="843">
        <f>+'datos de entrada'!O383</f>
        <v>0</v>
      </c>
      <c r="P384" s="843">
        <f>+'datos de entrada'!P383</f>
        <v>0</v>
      </c>
      <c r="Q384" s="843">
        <f>+'datos de entrada'!Q383</f>
        <v>0</v>
      </c>
      <c r="R384" s="843">
        <f>+'datos de entrada'!R383</f>
        <v>0</v>
      </c>
      <c r="S384" s="843">
        <f>+'datos de entrada'!S383</f>
        <v>0</v>
      </c>
      <c r="T384" s="843">
        <f>+'datos de entrada'!T383</f>
        <v>0</v>
      </c>
      <c r="U384" s="843">
        <f>+'datos de entrada'!U383</f>
        <v>0</v>
      </c>
      <c r="V384" s="843">
        <f>+'datos de entrada'!V383</f>
        <v>0</v>
      </c>
      <c r="W384" s="843">
        <f>+'datos de entrada'!W383</f>
        <v>0</v>
      </c>
      <c r="X384" s="843">
        <f>+'datos de entrada'!X383</f>
        <v>0</v>
      </c>
      <c r="Y384" s="843">
        <f>+'datos de entrada'!Y383</f>
        <v>0</v>
      </c>
      <c r="Z384" s="843">
        <f>+'datos de entrada'!Z383</f>
        <v>0</v>
      </c>
      <c r="AA384" s="843">
        <f>+'datos de entrada'!AA383</f>
        <v>0</v>
      </c>
      <c r="AB384" s="843">
        <f>+'datos de entrada'!AB383</f>
        <v>0</v>
      </c>
      <c r="AC384" s="843">
        <f>+'datos de entrada'!AC383</f>
        <v>0</v>
      </c>
      <c r="AD384" s="843">
        <f>+'datos de entrada'!AD383</f>
        <v>0</v>
      </c>
      <c r="AE384" s="843">
        <f>+'datos de entrada'!AE383</f>
        <v>0</v>
      </c>
      <c r="AF384" s="843">
        <f>+'datos de entrada'!AF383</f>
        <v>0</v>
      </c>
      <c r="AG384" s="843">
        <f>+'datos de entrada'!AG383</f>
        <v>0</v>
      </c>
      <c r="AH384" s="843">
        <f>+'datos de entrada'!AH383</f>
        <v>0</v>
      </c>
      <c r="AI384" s="843">
        <f>+'datos de entrada'!AI383</f>
        <v>0</v>
      </c>
      <c r="AJ384" s="843">
        <f>+'datos de entrada'!AJ383</f>
        <v>0</v>
      </c>
      <c r="AK384" s="843">
        <f>+'datos de entrada'!AK383</f>
        <v>0</v>
      </c>
      <c r="AL384" s="845">
        <f>+'datos de entrada'!AL383</f>
        <v>0</v>
      </c>
      <c r="AM384" s="195"/>
      <c r="AN384" s="195"/>
      <c r="AO384" s="195"/>
      <c r="AP384" s="195"/>
      <c r="AQ384" s="195"/>
      <c r="AR384" s="195"/>
      <c r="AS384" s="195"/>
      <c r="AT384" s="195"/>
    </row>
    <row r="385" spans="1:46">
      <c r="A385" s="465" t="str">
        <f>+'datos de entrada'!A384</f>
        <v/>
      </c>
      <c r="B385" s="843">
        <f>+'datos de entrada'!B384</f>
        <v>0</v>
      </c>
      <c r="C385" s="843">
        <f>+'datos de entrada'!C384</f>
        <v>0</v>
      </c>
      <c r="D385" s="843">
        <f>+'datos de entrada'!D384</f>
        <v>0</v>
      </c>
      <c r="E385" s="843">
        <f>+'datos de entrada'!E384</f>
        <v>0</v>
      </c>
      <c r="F385" s="843">
        <f>+'datos de entrada'!F384</f>
        <v>0</v>
      </c>
      <c r="G385" s="843">
        <f>+'datos de entrada'!G384</f>
        <v>0</v>
      </c>
      <c r="H385" s="843">
        <f>+'datos de entrada'!H384</f>
        <v>0</v>
      </c>
      <c r="I385" s="843">
        <f>+'datos de entrada'!I384</f>
        <v>0</v>
      </c>
      <c r="J385" s="843">
        <f>+'datos de entrada'!J384</f>
        <v>0</v>
      </c>
      <c r="K385" s="843">
        <f>+'datos de entrada'!K384</f>
        <v>0</v>
      </c>
      <c r="L385" s="843">
        <f>+'datos de entrada'!L384</f>
        <v>0</v>
      </c>
      <c r="M385" s="843">
        <f>+'datos de entrada'!M384</f>
        <v>0</v>
      </c>
      <c r="N385" s="843">
        <f>+'datos de entrada'!N384</f>
        <v>0</v>
      </c>
      <c r="O385" s="843">
        <f>+'datos de entrada'!O384</f>
        <v>0</v>
      </c>
      <c r="P385" s="843">
        <f>+'datos de entrada'!P384</f>
        <v>0</v>
      </c>
      <c r="Q385" s="843">
        <f>+'datos de entrada'!Q384</f>
        <v>0</v>
      </c>
      <c r="R385" s="843">
        <f>+'datos de entrada'!R384</f>
        <v>0</v>
      </c>
      <c r="S385" s="843">
        <f>+'datos de entrada'!S384</f>
        <v>0</v>
      </c>
      <c r="T385" s="843">
        <f>+'datos de entrada'!T384</f>
        <v>0</v>
      </c>
      <c r="U385" s="843">
        <f>+'datos de entrada'!U384</f>
        <v>0</v>
      </c>
      <c r="V385" s="843">
        <f>+'datos de entrada'!V384</f>
        <v>0</v>
      </c>
      <c r="W385" s="843">
        <f>+'datos de entrada'!W384</f>
        <v>0</v>
      </c>
      <c r="X385" s="843">
        <f>+'datos de entrada'!X384</f>
        <v>0</v>
      </c>
      <c r="Y385" s="843">
        <f>+'datos de entrada'!Y384</f>
        <v>0</v>
      </c>
      <c r="Z385" s="843">
        <f>+'datos de entrada'!Z384</f>
        <v>0</v>
      </c>
      <c r="AA385" s="843">
        <f>+'datos de entrada'!AA384</f>
        <v>0</v>
      </c>
      <c r="AB385" s="843">
        <f>+'datos de entrada'!AB384</f>
        <v>0</v>
      </c>
      <c r="AC385" s="843">
        <f>+'datos de entrada'!AC384</f>
        <v>0</v>
      </c>
      <c r="AD385" s="843">
        <f>+'datos de entrada'!AD384</f>
        <v>0</v>
      </c>
      <c r="AE385" s="843">
        <f>+'datos de entrada'!AE384</f>
        <v>0</v>
      </c>
      <c r="AF385" s="843">
        <f>+'datos de entrada'!AF384</f>
        <v>0</v>
      </c>
      <c r="AG385" s="843">
        <f>+'datos de entrada'!AG384</f>
        <v>0</v>
      </c>
      <c r="AH385" s="843">
        <f>+'datos de entrada'!AH384</f>
        <v>0</v>
      </c>
      <c r="AI385" s="843">
        <f>+'datos de entrada'!AI384</f>
        <v>0</v>
      </c>
      <c r="AJ385" s="843">
        <f>+'datos de entrada'!AJ384</f>
        <v>0</v>
      </c>
      <c r="AK385" s="843">
        <f>+'datos de entrada'!AK384</f>
        <v>0</v>
      </c>
      <c r="AL385" s="845">
        <f>+'datos de entrada'!AL384</f>
        <v>0</v>
      </c>
      <c r="AM385" s="195"/>
      <c r="AN385" s="195"/>
      <c r="AO385" s="195"/>
      <c r="AP385" s="195"/>
      <c r="AQ385" s="195"/>
      <c r="AR385" s="195"/>
      <c r="AS385" s="195"/>
      <c r="AT385" s="195"/>
    </row>
    <row r="386" spans="1:46">
      <c r="A386" s="465" t="str">
        <f>+'datos de entrada'!A385</f>
        <v/>
      </c>
      <c r="B386" s="843">
        <f>+'datos de entrada'!B385</f>
        <v>0</v>
      </c>
      <c r="C386" s="843">
        <f>+'datos de entrada'!C385</f>
        <v>0</v>
      </c>
      <c r="D386" s="843">
        <f>+'datos de entrada'!D385</f>
        <v>0</v>
      </c>
      <c r="E386" s="843">
        <f>+'datos de entrada'!E385</f>
        <v>0</v>
      </c>
      <c r="F386" s="843">
        <f>+'datos de entrada'!F385</f>
        <v>0</v>
      </c>
      <c r="G386" s="843">
        <f>+'datos de entrada'!G385</f>
        <v>0</v>
      </c>
      <c r="H386" s="843">
        <f>+'datos de entrada'!H385</f>
        <v>0</v>
      </c>
      <c r="I386" s="843">
        <f>+'datos de entrada'!I385</f>
        <v>0</v>
      </c>
      <c r="J386" s="843">
        <f>+'datos de entrada'!J385</f>
        <v>0</v>
      </c>
      <c r="K386" s="843">
        <f>+'datos de entrada'!K385</f>
        <v>0</v>
      </c>
      <c r="L386" s="843">
        <f>+'datos de entrada'!L385</f>
        <v>0</v>
      </c>
      <c r="M386" s="843">
        <f>+'datos de entrada'!M385</f>
        <v>0</v>
      </c>
      <c r="N386" s="843">
        <f>+'datos de entrada'!N385</f>
        <v>0</v>
      </c>
      <c r="O386" s="843">
        <f>+'datos de entrada'!O385</f>
        <v>0</v>
      </c>
      <c r="P386" s="843">
        <f>+'datos de entrada'!P385</f>
        <v>0</v>
      </c>
      <c r="Q386" s="843">
        <f>+'datos de entrada'!Q385</f>
        <v>0</v>
      </c>
      <c r="R386" s="843">
        <f>+'datos de entrada'!R385</f>
        <v>0</v>
      </c>
      <c r="S386" s="843">
        <f>+'datos de entrada'!S385</f>
        <v>0</v>
      </c>
      <c r="T386" s="843">
        <f>+'datos de entrada'!T385</f>
        <v>0</v>
      </c>
      <c r="U386" s="843">
        <f>+'datos de entrada'!U385</f>
        <v>0</v>
      </c>
      <c r="V386" s="843">
        <f>+'datos de entrada'!V385</f>
        <v>0</v>
      </c>
      <c r="W386" s="843">
        <f>+'datos de entrada'!W385</f>
        <v>0</v>
      </c>
      <c r="X386" s="843">
        <f>+'datos de entrada'!X385</f>
        <v>0</v>
      </c>
      <c r="Y386" s="843">
        <f>+'datos de entrada'!Y385</f>
        <v>0</v>
      </c>
      <c r="Z386" s="843">
        <f>+'datos de entrada'!Z385</f>
        <v>0</v>
      </c>
      <c r="AA386" s="843">
        <f>+'datos de entrada'!AA385</f>
        <v>0</v>
      </c>
      <c r="AB386" s="843">
        <f>+'datos de entrada'!AB385</f>
        <v>0</v>
      </c>
      <c r="AC386" s="843">
        <f>+'datos de entrada'!AC385</f>
        <v>0</v>
      </c>
      <c r="AD386" s="843">
        <f>+'datos de entrada'!AD385</f>
        <v>0</v>
      </c>
      <c r="AE386" s="843">
        <f>+'datos de entrada'!AE385</f>
        <v>0</v>
      </c>
      <c r="AF386" s="843">
        <f>+'datos de entrada'!AF385</f>
        <v>0</v>
      </c>
      <c r="AG386" s="843">
        <f>+'datos de entrada'!AG385</f>
        <v>0</v>
      </c>
      <c r="AH386" s="843">
        <f>+'datos de entrada'!AH385</f>
        <v>0</v>
      </c>
      <c r="AI386" s="843">
        <f>+'datos de entrada'!AI385</f>
        <v>0</v>
      </c>
      <c r="AJ386" s="843">
        <f>+'datos de entrada'!AJ385</f>
        <v>0</v>
      </c>
      <c r="AK386" s="843">
        <f>+'datos de entrada'!AK385</f>
        <v>0</v>
      </c>
      <c r="AL386" s="845">
        <f>+'datos de entrada'!AL385</f>
        <v>0</v>
      </c>
      <c r="AM386" s="195"/>
      <c r="AN386" s="195"/>
      <c r="AO386" s="195"/>
      <c r="AP386" s="195"/>
      <c r="AQ386" s="195"/>
      <c r="AR386" s="195"/>
      <c r="AS386" s="195"/>
      <c r="AT386" s="195"/>
    </row>
    <row r="387" spans="1:46">
      <c r="A387" s="465" t="str">
        <f>+'datos de entrada'!A386</f>
        <v/>
      </c>
      <c r="B387" s="843">
        <f>+'datos de entrada'!B386</f>
        <v>0</v>
      </c>
      <c r="C387" s="843">
        <f>+'datos de entrada'!C386</f>
        <v>0</v>
      </c>
      <c r="D387" s="843">
        <f>+'datos de entrada'!D386</f>
        <v>0</v>
      </c>
      <c r="E387" s="843">
        <f>+'datos de entrada'!E386</f>
        <v>0</v>
      </c>
      <c r="F387" s="843">
        <f>+'datos de entrada'!F386</f>
        <v>0</v>
      </c>
      <c r="G387" s="843">
        <f>+'datos de entrada'!G386</f>
        <v>0</v>
      </c>
      <c r="H387" s="843">
        <f>+'datos de entrada'!H386</f>
        <v>0</v>
      </c>
      <c r="I387" s="843">
        <f>+'datos de entrada'!I386</f>
        <v>0</v>
      </c>
      <c r="J387" s="843">
        <f>+'datos de entrada'!J386</f>
        <v>0</v>
      </c>
      <c r="K387" s="843">
        <f>+'datos de entrada'!K386</f>
        <v>0</v>
      </c>
      <c r="L387" s="843">
        <f>+'datos de entrada'!L386</f>
        <v>0</v>
      </c>
      <c r="M387" s="843">
        <f>+'datos de entrada'!M386</f>
        <v>0</v>
      </c>
      <c r="N387" s="843">
        <f>+'datos de entrada'!N386</f>
        <v>0</v>
      </c>
      <c r="O387" s="843">
        <f>+'datos de entrada'!O386</f>
        <v>0</v>
      </c>
      <c r="P387" s="843">
        <f>+'datos de entrada'!P386</f>
        <v>0</v>
      </c>
      <c r="Q387" s="843">
        <f>+'datos de entrada'!Q386</f>
        <v>0</v>
      </c>
      <c r="R387" s="843">
        <f>+'datos de entrada'!R386</f>
        <v>0</v>
      </c>
      <c r="S387" s="843">
        <f>+'datos de entrada'!S386</f>
        <v>0</v>
      </c>
      <c r="T387" s="843">
        <f>+'datos de entrada'!T386</f>
        <v>0</v>
      </c>
      <c r="U387" s="843">
        <f>+'datos de entrada'!U386</f>
        <v>0</v>
      </c>
      <c r="V387" s="843">
        <f>+'datos de entrada'!V386</f>
        <v>0</v>
      </c>
      <c r="W387" s="843">
        <f>+'datos de entrada'!W386</f>
        <v>0</v>
      </c>
      <c r="X387" s="843">
        <f>+'datos de entrada'!X386</f>
        <v>0</v>
      </c>
      <c r="Y387" s="843">
        <f>+'datos de entrada'!Y386</f>
        <v>0</v>
      </c>
      <c r="Z387" s="843">
        <f>+'datos de entrada'!Z386</f>
        <v>0</v>
      </c>
      <c r="AA387" s="843">
        <f>+'datos de entrada'!AA386</f>
        <v>0</v>
      </c>
      <c r="AB387" s="843">
        <f>+'datos de entrada'!AB386</f>
        <v>0</v>
      </c>
      <c r="AC387" s="843">
        <f>+'datos de entrada'!AC386</f>
        <v>0</v>
      </c>
      <c r="AD387" s="843">
        <f>+'datos de entrada'!AD386</f>
        <v>0</v>
      </c>
      <c r="AE387" s="843">
        <f>+'datos de entrada'!AE386</f>
        <v>0</v>
      </c>
      <c r="AF387" s="843">
        <f>+'datos de entrada'!AF386</f>
        <v>0</v>
      </c>
      <c r="AG387" s="843">
        <f>+'datos de entrada'!AG386</f>
        <v>0</v>
      </c>
      <c r="AH387" s="843">
        <f>+'datos de entrada'!AH386</f>
        <v>0</v>
      </c>
      <c r="AI387" s="843">
        <f>+'datos de entrada'!AI386</f>
        <v>0</v>
      </c>
      <c r="AJ387" s="843">
        <f>+'datos de entrada'!AJ386</f>
        <v>0</v>
      </c>
      <c r="AK387" s="843">
        <f>+'datos de entrada'!AK386</f>
        <v>0</v>
      </c>
      <c r="AL387" s="845">
        <f>+'datos de entrada'!AL386</f>
        <v>0</v>
      </c>
      <c r="AM387" s="195"/>
      <c r="AN387" s="195"/>
      <c r="AO387" s="195"/>
      <c r="AP387" s="195"/>
      <c r="AQ387" s="195"/>
      <c r="AR387" s="195"/>
      <c r="AS387" s="195"/>
      <c r="AT387" s="195"/>
    </row>
    <row r="388" spans="1:46">
      <c r="A388" s="465">
        <f>+'datos de entrada'!A387</f>
        <v>0</v>
      </c>
      <c r="B388" s="843">
        <f>+'datos de entrada'!B387</f>
        <v>0</v>
      </c>
      <c r="C388" s="843">
        <f>+'datos de entrada'!C387</f>
        <v>0</v>
      </c>
      <c r="D388" s="843">
        <f>+'datos de entrada'!D387</f>
        <v>0</v>
      </c>
      <c r="E388" s="843">
        <f>+'datos de entrada'!E387</f>
        <v>0</v>
      </c>
      <c r="F388" s="843">
        <f>+'datos de entrada'!F387</f>
        <v>0</v>
      </c>
      <c r="G388" s="843">
        <f>+'datos de entrada'!G387</f>
        <v>0</v>
      </c>
      <c r="H388" s="843">
        <f>+'datos de entrada'!H387</f>
        <v>0</v>
      </c>
      <c r="I388" s="843">
        <f>+'datos de entrada'!I387</f>
        <v>0</v>
      </c>
      <c r="J388" s="843">
        <f>+'datos de entrada'!J387</f>
        <v>0</v>
      </c>
      <c r="K388" s="843">
        <f>+'datos de entrada'!K387</f>
        <v>0</v>
      </c>
      <c r="L388" s="843">
        <f>+'datos de entrada'!L387</f>
        <v>0</v>
      </c>
      <c r="M388" s="843">
        <f>+'datos de entrada'!M387</f>
        <v>0</v>
      </c>
      <c r="N388" s="843">
        <f>+'datos de entrada'!N387</f>
        <v>0</v>
      </c>
      <c r="O388" s="843">
        <f>+'datos de entrada'!O387</f>
        <v>0</v>
      </c>
      <c r="P388" s="843">
        <f>+'datos de entrada'!P387</f>
        <v>0</v>
      </c>
      <c r="Q388" s="843">
        <f>+'datos de entrada'!Q387</f>
        <v>0</v>
      </c>
      <c r="R388" s="843">
        <f>+'datos de entrada'!R387</f>
        <v>0</v>
      </c>
      <c r="S388" s="843">
        <f>+'datos de entrada'!S387</f>
        <v>0</v>
      </c>
      <c r="T388" s="843">
        <f>+'datos de entrada'!T387</f>
        <v>0</v>
      </c>
      <c r="U388" s="843">
        <f>+'datos de entrada'!U387</f>
        <v>0</v>
      </c>
      <c r="V388" s="843">
        <f>+'datos de entrada'!V387</f>
        <v>0</v>
      </c>
      <c r="W388" s="843">
        <f>+'datos de entrada'!W387</f>
        <v>0</v>
      </c>
      <c r="X388" s="843">
        <f>+'datos de entrada'!X387</f>
        <v>0</v>
      </c>
      <c r="Y388" s="843">
        <f>+'datos de entrada'!Y387</f>
        <v>0</v>
      </c>
      <c r="Z388" s="843">
        <f>+'datos de entrada'!Z387</f>
        <v>0</v>
      </c>
      <c r="AA388" s="843">
        <f>+'datos de entrada'!AA387</f>
        <v>0</v>
      </c>
      <c r="AB388" s="843">
        <f>+'datos de entrada'!AB387</f>
        <v>0</v>
      </c>
      <c r="AC388" s="843">
        <f>+'datos de entrada'!AC387</f>
        <v>0</v>
      </c>
      <c r="AD388" s="843">
        <f>+'datos de entrada'!AD387</f>
        <v>0</v>
      </c>
      <c r="AE388" s="843">
        <f>+'datos de entrada'!AE387</f>
        <v>0</v>
      </c>
      <c r="AF388" s="843">
        <f>+'datos de entrada'!AF387</f>
        <v>0</v>
      </c>
      <c r="AG388" s="843">
        <f>+'datos de entrada'!AG387</f>
        <v>0</v>
      </c>
      <c r="AH388" s="843">
        <f>+'datos de entrada'!AH387</f>
        <v>0</v>
      </c>
      <c r="AI388" s="843">
        <f>+'datos de entrada'!AI387</f>
        <v>0</v>
      </c>
      <c r="AJ388" s="843">
        <f>+'datos de entrada'!AJ387</f>
        <v>0</v>
      </c>
      <c r="AK388" s="843">
        <f>+'datos de entrada'!AK387</f>
        <v>0</v>
      </c>
      <c r="AL388" s="845">
        <f>+'datos de entrada'!AL387</f>
        <v>0</v>
      </c>
      <c r="AM388" s="195"/>
      <c r="AN388" s="195"/>
      <c r="AO388" s="195"/>
      <c r="AP388" s="195"/>
      <c r="AQ388" s="195"/>
      <c r="AR388" s="195"/>
      <c r="AS388" s="195"/>
      <c r="AT388" s="195"/>
    </row>
    <row r="389" spans="1:46">
      <c r="A389" s="465" t="str">
        <f>+'datos de entrada'!A388</f>
        <v/>
      </c>
      <c r="B389" s="843">
        <f>+'datos de entrada'!B388</f>
        <v>0</v>
      </c>
      <c r="C389" s="843">
        <f>+'datos de entrada'!C388</f>
        <v>0</v>
      </c>
      <c r="D389" s="843">
        <f>+'datos de entrada'!D388</f>
        <v>0</v>
      </c>
      <c r="E389" s="843">
        <f>+'datos de entrada'!E388</f>
        <v>0</v>
      </c>
      <c r="F389" s="843">
        <f>+'datos de entrada'!F388</f>
        <v>0</v>
      </c>
      <c r="G389" s="843">
        <f>+'datos de entrada'!G388</f>
        <v>0</v>
      </c>
      <c r="H389" s="843">
        <f>+'datos de entrada'!H388</f>
        <v>0</v>
      </c>
      <c r="I389" s="843">
        <f>+'datos de entrada'!I388</f>
        <v>0</v>
      </c>
      <c r="J389" s="843">
        <f>+'datos de entrada'!J388</f>
        <v>0</v>
      </c>
      <c r="K389" s="843">
        <f>+'datos de entrada'!K388</f>
        <v>0</v>
      </c>
      <c r="L389" s="843">
        <f>+'datos de entrada'!L388</f>
        <v>0</v>
      </c>
      <c r="M389" s="843">
        <f>+'datos de entrada'!M388</f>
        <v>0</v>
      </c>
      <c r="N389" s="843">
        <f>+'datos de entrada'!N388</f>
        <v>0</v>
      </c>
      <c r="O389" s="843">
        <f>+'datos de entrada'!O388</f>
        <v>0</v>
      </c>
      <c r="P389" s="843">
        <f>+'datos de entrada'!P388</f>
        <v>0</v>
      </c>
      <c r="Q389" s="843">
        <f>+'datos de entrada'!Q388</f>
        <v>0</v>
      </c>
      <c r="R389" s="843">
        <f>+'datos de entrada'!R388</f>
        <v>0</v>
      </c>
      <c r="S389" s="843">
        <f>+'datos de entrada'!S388</f>
        <v>0</v>
      </c>
      <c r="T389" s="843">
        <f>+'datos de entrada'!T388</f>
        <v>0</v>
      </c>
      <c r="U389" s="843">
        <f>+'datos de entrada'!U388</f>
        <v>0</v>
      </c>
      <c r="V389" s="843">
        <f>+'datos de entrada'!V388</f>
        <v>0</v>
      </c>
      <c r="W389" s="843">
        <f>+'datos de entrada'!W388</f>
        <v>0</v>
      </c>
      <c r="X389" s="843">
        <f>+'datos de entrada'!X388</f>
        <v>0</v>
      </c>
      <c r="Y389" s="843">
        <f>+'datos de entrada'!Y388</f>
        <v>0</v>
      </c>
      <c r="Z389" s="843">
        <f>+'datos de entrada'!Z388</f>
        <v>0</v>
      </c>
      <c r="AA389" s="843">
        <f>+'datos de entrada'!AA388</f>
        <v>0</v>
      </c>
      <c r="AB389" s="843">
        <f>+'datos de entrada'!AB388</f>
        <v>0</v>
      </c>
      <c r="AC389" s="843">
        <f>+'datos de entrada'!AC388</f>
        <v>0</v>
      </c>
      <c r="AD389" s="843">
        <f>+'datos de entrada'!AD388</f>
        <v>0</v>
      </c>
      <c r="AE389" s="843">
        <f>+'datos de entrada'!AE388</f>
        <v>0</v>
      </c>
      <c r="AF389" s="843">
        <f>+'datos de entrada'!AF388</f>
        <v>0</v>
      </c>
      <c r="AG389" s="843">
        <f>+'datos de entrada'!AG388</f>
        <v>0</v>
      </c>
      <c r="AH389" s="843">
        <f>+'datos de entrada'!AH388</f>
        <v>0</v>
      </c>
      <c r="AI389" s="843">
        <f>+'datos de entrada'!AI388</f>
        <v>0</v>
      </c>
      <c r="AJ389" s="843">
        <f>+'datos de entrada'!AJ388</f>
        <v>0</v>
      </c>
      <c r="AK389" s="843">
        <f>+'datos de entrada'!AK388</f>
        <v>0</v>
      </c>
      <c r="AL389" s="845">
        <f>+'datos de entrada'!AL388</f>
        <v>0</v>
      </c>
      <c r="AM389" s="195"/>
      <c r="AN389" s="195"/>
      <c r="AO389" s="195"/>
      <c r="AP389" s="195"/>
      <c r="AQ389" s="195"/>
      <c r="AR389" s="195"/>
      <c r="AS389" s="195"/>
      <c r="AT389" s="195"/>
    </row>
    <row r="390" spans="1:46">
      <c r="A390" s="465" t="str">
        <f>+'datos de entrada'!A389</f>
        <v/>
      </c>
      <c r="B390" s="843">
        <f>+'datos de entrada'!B389</f>
        <v>0</v>
      </c>
      <c r="C390" s="843">
        <f>+'datos de entrada'!C389</f>
        <v>0</v>
      </c>
      <c r="D390" s="843">
        <f>+'datos de entrada'!D389</f>
        <v>0</v>
      </c>
      <c r="E390" s="843">
        <f>+'datos de entrada'!E389</f>
        <v>0</v>
      </c>
      <c r="F390" s="843">
        <f>+'datos de entrada'!F389</f>
        <v>0</v>
      </c>
      <c r="G390" s="843">
        <f>+'datos de entrada'!G389</f>
        <v>0</v>
      </c>
      <c r="H390" s="843">
        <f>+'datos de entrada'!H389</f>
        <v>0</v>
      </c>
      <c r="I390" s="843">
        <f>+'datos de entrada'!I389</f>
        <v>0</v>
      </c>
      <c r="J390" s="843">
        <f>+'datos de entrada'!J389</f>
        <v>0</v>
      </c>
      <c r="K390" s="843">
        <f>+'datos de entrada'!K389</f>
        <v>0</v>
      </c>
      <c r="L390" s="843">
        <f>+'datos de entrada'!L389</f>
        <v>0</v>
      </c>
      <c r="M390" s="843">
        <f>+'datos de entrada'!M389</f>
        <v>0</v>
      </c>
      <c r="N390" s="843">
        <f>+'datos de entrada'!N389</f>
        <v>0</v>
      </c>
      <c r="O390" s="843">
        <f>+'datos de entrada'!O389</f>
        <v>0</v>
      </c>
      <c r="P390" s="843">
        <f>+'datos de entrada'!P389</f>
        <v>0</v>
      </c>
      <c r="Q390" s="843">
        <f>+'datos de entrada'!Q389</f>
        <v>0</v>
      </c>
      <c r="R390" s="843">
        <f>+'datos de entrada'!R389</f>
        <v>0</v>
      </c>
      <c r="S390" s="843">
        <f>+'datos de entrada'!S389</f>
        <v>0</v>
      </c>
      <c r="T390" s="843">
        <f>+'datos de entrada'!T389</f>
        <v>0</v>
      </c>
      <c r="U390" s="843">
        <f>+'datos de entrada'!U389</f>
        <v>0</v>
      </c>
      <c r="V390" s="843">
        <f>+'datos de entrada'!V389</f>
        <v>0</v>
      </c>
      <c r="W390" s="843">
        <f>+'datos de entrada'!W389</f>
        <v>0</v>
      </c>
      <c r="X390" s="843">
        <f>+'datos de entrada'!X389</f>
        <v>0</v>
      </c>
      <c r="Y390" s="843">
        <f>+'datos de entrada'!Y389</f>
        <v>0</v>
      </c>
      <c r="Z390" s="843">
        <f>+'datos de entrada'!Z389</f>
        <v>0</v>
      </c>
      <c r="AA390" s="843">
        <f>+'datos de entrada'!AA389</f>
        <v>0</v>
      </c>
      <c r="AB390" s="843">
        <f>+'datos de entrada'!AB389</f>
        <v>0</v>
      </c>
      <c r="AC390" s="843">
        <f>+'datos de entrada'!AC389</f>
        <v>0</v>
      </c>
      <c r="AD390" s="843">
        <f>+'datos de entrada'!AD389</f>
        <v>0</v>
      </c>
      <c r="AE390" s="843">
        <f>+'datos de entrada'!AE389</f>
        <v>0</v>
      </c>
      <c r="AF390" s="843">
        <f>+'datos de entrada'!AF389</f>
        <v>0</v>
      </c>
      <c r="AG390" s="843">
        <f>+'datos de entrada'!AG389</f>
        <v>0</v>
      </c>
      <c r="AH390" s="843">
        <f>+'datos de entrada'!AH389</f>
        <v>0</v>
      </c>
      <c r="AI390" s="843">
        <f>+'datos de entrada'!AI389</f>
        <v>0</v>
      </c>
      <c r="AJ390" s="843">
        <f>+'datos de entrada'!AJ389</f>
        <v>0</v>
      </c>
      <c r="AK390" s="843">
        <f>+'datos de entrada'!AK389</f>
        <v>0</v>
      </c>
      <c r="AL390" s="845">
        <f>+'datos de entrada'!AL389</f>
        <v>0</v>
      </c>
      <c r="AM390" s="195"/>
      <c r="AN390" s="195"/>
      <c r="AO390" s="195"/>
      <c r="AP390" s="195"/>
      <c r="AQ390" s="195"/>
      <c r="AR390" s="195"/>
      <c r="AS390" s="195"/>
      <c r="AT390" s="195"/>
    </row>
    <row r="391" spans="1:46" ht="15.75" thickBot="1">
      <c r="A391" s="466" t="str">
        <f>+'datos de entrada'!A390</f>
        <v/>
      </c>
      <c r="B391" s="844">
        <f>+'datos de entrada'!B390</f>
        <v>0</v>
      </c>
      <c r="C391" s="844">
        <f>+'datos de entrada'!C390</f>
        <v>0</v>
      </c>
      <c r="D391" s="844">
        <f>+'datos de entrada'!D390</f>
        <v>0</v>
      </c>
      <c r="E391" s="844">
        <f>+'datos de entrada'!E390</f>
        <v>0</v>
      </c>
      <c r="F391" s="844">
        <f>+'datos de entrada'!F390</f>
        <v>0</v>
      </c>
      <c r="G391" s="844">
        <f>+'datos de entrada'!G390</f>
        <v>0</v>
      </c>
      <c r="H391" s="844">
        <f>+'datos de entrada'!H390</f>
        <v>0</v>
      </c>
      <c r="I391" s="844">
        <f>+'datos de entrada'!I390</f>
        <v>0</v>
      </c>
      <c r="J391" s="844">
        <f>+'datos de entrada'!J390</f>
        <v>0</v>
      </c>
      <c r="K391" s="844">
        <f>+'datos de entrada'!K390</f>
        <v>0</v>
      </c>
      <c r="L391" s="844">
        <f>+'datos de entrada'!L390</f>
        <v>0</v>
      </c>
      <c r="M391" s="844">
        <f>+'datos de entrada'!M390</f>
        <v>0</v>
      </c>
      <c r="N391" s="844">
        <f>+'datos de entrada'!N390</f>
        <v>0</v>
      </c>
      <c r="O391" s="844">
        <f>+'datos de entrada'!O390</f>
        <v>0</v>
      </c>
      <c r="P391" s="844">
        <f>+'datos de entrada'!P390</f>
        <v>0</v>
      </c>
      <c r="Q391" s="844">
        <f>+'datos de entrada'!Q390</f>
        <v>0</v>
      </c>
      <c r="R391" s="844">
        <f>+'datos de entrada'!R390</f>
        <v>0</v>
      </c>
      <c r="S391" s="844">
        <f>+'datos de entrada'!S390</f>
        <v>0</v>
      </c>
      <c r="T391" s="844">
        <f>+'datos de entrada'!T390</f>
        <v>0</v>
      </c>
      <c r="U391" s="844">
        <f>+'datos de entrada'!U390</f>
        <v>0</v>
      </c>
      <c r="V391" s="844">
        <f>+'datos de entrada'!V390</f>
        <v>0</v>
      </c>
      <c r="W391" s="844">
        <f>+'datos de entrada'!W390</f>
        <v>0</v>
      </c>
      <c r="X391" s="844">
        <f>+'datos de entrada'!X390</f>
        <v>0</v>
      </c>
      <c r="Y391" s="844">
        <f>+'datos de entrada'!Y390</f>
        <v>0</v>
      </c>
      <c r="Z391" s="844">
        <f>+'datos de entrada'!Z390</f>
        <v>0</v>
      </c>
      <c r="AA391" s="844">
        <f>+'datos de entrada'!AA390</f>
        <v>0</v>
      </c>
      <c r="AB391" s="844">
        <f>+'datos de entrada'!AB390</f>
        <v>0</v>
      </c>
      <c r="AC391" s="844">
        <f>+'datos de entrada'!AC390</f>
        <v>0</v>
      </c>
      <c r="AD391" s="844">
        <f>+'datos de entrada'!AD390</f>
        <v>0</v>
      </c>
      <c r="AE391" s="844">
        <f>+'datos de entrada'!AE390</f>
        <v>0</v>
      </c>
      <c r="AF391" s="844">
        <f>+'datos de entrada'!AF390</f>
        <v>0</v>
      </c>
      <c r="AG391" s="844">
        <f>+'datos de entrada'!AG390</f>
        <v>0</v>
      </c>
      <c r="AH391" s="844">
        <f>+'datos de entrada'!AH390</f>
        <v>0</v>
      </c>
      <c r="AI391" s="844">
        <f>+'datos de entrada'!AI390</f>
        <v>0</v>
      </c>
      <c r="AJ391" s="844">
        <f>+'datos de entrada'!AJ390</f>
        <v>0</v>
      </c>
      <c r="AK391" s="844">
        <f>+'datos de entrada'!AK390</f>
        <v>0</v>
      </c>
      <c r="AL391" s="846">
        <f>+'datos de entrada'!AL390</f>
        <v>0</v>
      </c>
      <c r="AM391" s="195"/>
      <c r="AN391" s="195"/>
      <c r="AO391" s="195"/>
      <c r="AP391" s="195"/>
      <c r="AQ391" s="195"/>
      <c r="AR391" s="195"/>
      <c r="AS391" s="195"/>
      <c r="AT391" s="195"/>
    </row>
    <row r="392" spans="1:46" ht="15.75" thickBot="1">
      <c r="A392" s="193"/>
      <c r="B392" s="193"/>
      <c r="C392" s="210">
        <f t="shared" ref="C392:N392" si="10">SUM(C369:C391)</f>
        <v>3462000</v>
      </c>
      <c r="D392" s="210">
        <f t="shared" si="10"/>
        <v>3462000</v>
      </c>
      <c r="E392" s="210">
        <f t="shared" si="10"/>
        <v>3462000</v>
      </c>
      <c r="F392" s="210">
        <f t="shared" si="10"/>
        <v>3462000</v>
      </c>
      <c r="G392" s="210">
        <f t="shared" si="10"/>
        <v>3462000</v>
      </c>
      <c r="H392" s="210">
        <f t="shared" si="10"/>
        <v>3462000</v>
      </c>
      <c r="I392" s="210">
        <f t="shared" si="10"/>
        <v>3462000</v>
      </c>
      <c r="J392" s="210">
        <f t="shared" si="10"/>
        <v>3462000</v>
      </c>
      <c r="K392" s="210">
        <f t="shared" si="10"/>
        <v>3462000</v>
      </c>
      <c r="L392" s="210">
        <f t="shared" si="10"/>
        <v>3462000</v>
      </c>
      <c r="M392" s="210">
        <f t="shared" si="10"/>
        <v>3462000</v>
      </c>
      <c r="N392" s="210">
        <f t="shared" si="10"/>
        <v>3462000</v>
      </c>
      <c r="O392" s="198"/>
      <c r="P392" s="198"/>
      <c r="Q392" s="198"/>
      <c r="R392" s="195"/>
      <c r="S392" s="195"/>
      <c r="T392" s="195"/>
      <c r="U392" s="195"/>
      <c r="V392" s="195"/>
      <c r="W392" s="195"/>
      <c r="X392" s="195"/>
      <c r="Y392" s="195"/>
      <c r="Z392" s="195"/>
      <c r="AA392" s="195"/>
      <c r="AB392" s="195"/>
      <c r="AC392" s="195"/>
      <c r="AD392" s="195"/>
      <c r="AE392" s="195"/>
      <c r="AF392" s="195"/>
      <c r="AG392" s="195"/>
      <c r="AH392" s="195"/>
      <c r="AI392" s="195"/>
      <c r="AJ392" s="195"/>
      <c r="AK392" s="195"/>
      <c r="AL392" s="195"/>
      <c r="AM392" s="195"/>
      <c r="AN392" s="195"/>
      <c r="AO392" s="195"/>
      <c r="AP392" s="195"/>
      <c r="AQ392" s="195"/>
      <c r="AR392" s="195"/>
      <c r="AS392" s="195"/>
      <c r="AT392" s="195"/>
    </row>
    <row r="393" spans="1:46">
      <c r="A393" s="420"/>
      <c r="B393" s="421"/>
      <c r="C393" s="470"/>
      <c r="D393" s="194"/>
      <c r="E393" s="194"/>
      <c r="F393" s="194"/>
      <c r="G393" s="194"/>
      <c r="H393" s="194"/>
      <c r="I393" s="194"/>
      <c r="J393" s="194"/>
      <c r="K393" s="194"/>
      <c r="L393" s="194"/>
      <c r="M393" s="194"/>
      <c r="N393" s="194"/>
      <c r="O393" s="195"/>
      <c r="P393" s="195"/>
      <c r="Q393" s="195"/>
      <c r="R393" s="195"/>
      <c r="S393" s="195"/>
      <c r="T393" s="195"/>
      <c r="U393" s="195"/>
      <c r="V393" s="195"/>
      <c r="W393" s="195"/>
      <c r="X393" s="195"/>
      <c r="Y393" s="195"/>
      <c r="Z393" s="195"/>
      <c r="AA393" s="195"/>
      <c r="AB393" s="195"/>
      <c r="AC393" s="195"/>
      <c r="AD393" s="195"/>
      <c r="AE393" s="195"/>
      <c r="AF393" s="195"/>
      <c r="AG393" s="195"/>
      <c r="AH393" s="195"/>
      <c r="AI393" s="195"/>
      <c r="AJ393" s="195"/>
      <c r="AK393" s="195"/>
      <c r="AL393" s="195"/>
      <c r="AM393" s="195"/>
      <c r="AN393" s="195"/>
      <c r="AO393" s="195"/>
      <c r="AP393" s="195"/>
      <c r="AQ393" s="195"/>
      <c r="AR393" s="195"/>
      <c r="AS393" s="195"/>
      <c r="AT393" s="195"/>
    </row>
    <row r="394" spans="1:46" ht="15.75">
      <c r="A394" s="461" t="s">
        <v>150</v>
      </c>
      <c r="B394" s="392"/>
      <c r="C394" s="470"/>
      <c r="D394" s="194"/>
      <c r="E394" s="194"/>
      <c r="F394" s="194"/>
      <c r="G394" s="194"/>
      <c r="H394" s="194"/>
      <c r="I394" s="194"/>
      <c r="J394" s="194"/>
      <c r="K394" s="194"/>
      <c r="L394" s="194"/>
      <c r="M394" s="194"/>
      <c r="N394" s="194"/>
      <c r="O394" s="195"/>
      <c r="P394" s="195"/>
      <c r="Q394" s="195"/>
      <c r="R394" s="195"/>
      <c r="S394" s="195"/>
      <c r="T394" s="195"/>
      <c r="U394" s="195"/>
      <c r="V394" s="195"/>
      <c r="W394" s="195"/>
      <c r="X394" s="195"/>
      <c r="Y394" s="195"/>
      <c r="Z394" s="195"/>
      <c r="AA394" s="195"/>
      <c r="AB394" s="195"/>
      <c r="AC394" s="195"/>
      <c r="AD394" s="195"/>
      <c r="AE394" s="195"/>
      <c r="AF394" s="195"/>
      <c r="AG394" s="195"/>
      <c r="AH394" s="195"/>
      <c r="AI394" s="195"/>
      <c r="AJ394" s="195"/>
      <c r="AK394" s="195"/>
      <c r="AL394" s="195"/>
      <c r="AM394" s="195"/>
      <c r="AN394" s="195"/>
      <c r="AO394" s="195"/>
      <c r="AP394" s="195"/>
      <c r="AQ394" s="195"/>
      <c r="AR394" s="195"/>
      <c r="AS394" s="195"/>
      <c r="AT394" s="195"/>
    </row>
    <row r="395" spans="1:46">
      <c r="A395" s="462"/>
      <c r="B395" s="392"/>
      <c r="C395" s="470"/>
      <c r="D395" s="194"/>
      <c r="E395" s="194"/>
      <c r="F395" s="194"/>
      <c r="G395" s="194"/>
      <c r="H395" s="194"/>
      <c r="I395" s="194"/>
      <c r="J395" s="194"/>
      <c r="K395" s="194"/>
      <c r="L395" s="194"/>
      <c r="M395" s="194"/>
      <c r="N395" s="194"/>
      <c r="O395" s="195"/>
      <c r="P395" s="195"/>
      <c r="Q395" s="195"/>
      <c r="R395" s="195"/>
      <c r="S395" s="195"/>
      <c r="T395" s="195"/>
      <c r="U395" s="195"/>
      <c r="V395" s="195"/>
      <c r="W395" s="195"/>
      <c r="X395" s="195"/>
      <c r="Y395" s="195"/>
      <c r="Z395" s="195"/>
      <c r="AA395" s="195"/>
      <c r="AB395" s="195"/>
      <c r="AC395" s="195"/>
      <c r="AD395" s="195"/>
      <c r="AE395" s="195"/>
      <c r="AF395" s="195"/>
      <c r="AG395" s="195"/>
      <c r="AH395" s="195"/>
      <c r="AI395" s="195"/>
      <c r="AJ395" s="195"/>
      <c r="AK395" s="195"/>
      <c r="AL395" s="195"/>
      <c r="AM395" s="195"/>
      <c r="AN395" s="195"/>
      <c r="AO395" s="195"/>
      <c r="AP395" s="195"/>
      <c r="AQ395" s="195"/>
      <c r="AR395" s="195"/>
      <c r="AS395" s="195"/>
      <c r="AT395" s="195"/>
    </row>
    <row r="396" spans="1:46">
      <c r="A396" s="442"/>
      <c r="B396" s="386"/>
      <c r="C396" s="470"/>
      <c r="D396" s="194"/>
      <c r="E396" s="194"/>
      <c r="F396" s="194"/>
      <c r="G396" s="194"/>
      <c r="H396" s="194"/>
      <c r="I396" s="194"/>
      <c r="J396" s="194"/>
      <c r="K396" s="194"/>
      <c r="L396" s="194"/>
      <c r="M396" s="194"/>
      <c r="N396" s="194"/>
      <c r="O396" s="195"/>
      <c r="P396" s="195"/>
      <c r="Q396" s="195"/>
      <c r="R396" s="195"/>
      <c r="S396" s="195"/>
      <c r="T396" s="195"/>
      <c r="U396" s="195"/>
      <c r="V396" s="195"/>
      <c r="W396" s="195"/>
      <c r="X396" s="195"/>
      <c r="Y396" s="195"/>
      <c r="Z396" s="195"/>
      <c r="AA396" s="195"/>
      <c r="AB396" s="195"/>
      <c r="AC396" s="195"/>
      <c r="AD396" s="195"/>
      <c r="AE396" s="195"/>
      <c r="AF396" s="195"/>
      <c r="AG396" s="195"/>
      <c r="AH396" s="195"/>
      <c r="AI396" s="195"/>
      <c r="AJ396" s="195"/>
      <c r="AK396" s="195"/>
      <c r="AL396" s="195"/>
      <c r="AM396" s="195"/>
      <c r="AN396" s="195"/>
      <c r="AO396" s="195"/>
      <c r="AP396" s="195"/>
      <c r="AQ396" s="195"/>
      <c r="AR396" s="195"/>
      <c r="AS396" s="195"/>
      <c r="AT396" s="195"/>
    </row>
    <row r="397" spans="1:46" ht="15.75">
      <c r="A397" s="463" t="s">
        <v>635</v>
      </c>
      <c r="B397" s="468" t="s">
        <v>713</v>
      </c>
      <c r="C397" s="470"/>
      <c r="D397" s="194"/>
      <c r="E397" s="194"/>
      <c r="F397" s="194"/>
      <c r="G397" s="194"/>
      <c r="H397" s="194"/>
      <c r="I397" s="194"/>
      <c r="J397" s="194"/>
      <c r="K397" s="194"/>
      <c r="L397" s="194"/>
      <c r="M397" s="194"/>
      <c r="N397" s="194"/>
      <c r="O397" s="195"/>
      <c r="P397" s="195"/>
      <c r="Q397" s="195"/>
      <c r="R397" s="195"/>
      <c r="S397" s="195"/>
      <c r="T397" s="195"/>
      <c r="U397" s="195"/>
      <c r="V397" s="195"/>
      <c r="W397" s="195"/>
      <c r="X397" s="195"/>
      <c r="Y397" s="195"/>
      <c r="Z397" s="195"/>
      <c r="AA397" s="195"/>
      <c r="AB397" s="195"/>
      <c r="AC397" s="195"/>
      <c r="AD397" s="195"/>
      <c r="AE397" s="195"/>
      <c r="AF397" s="195"/>
      <c r="AG397" s="195"/>
      <c r="AH397" s="195"/>
      <c r="AI397" s="195"/>
      <c r="AJ397" s="195"/>
      <c r="AK397" s="195"/>
      <c r="AL397" s="195"/>
      <c r="AM397" s="195"/>
      <c r="AN397" s="195"/>
      <c r="AO397" s="195"/>
      <c r="AP397" s="195"/>
      <c r="AQ397" s="195"/>
      <c r="AR397" s="195"/>
      <c r="AS397" s="195"/>
      <c r="AT397" s="195"/>
    </row>
    <row r="398" spans="1:46" ht="15.75">
      <c r="A398" s="464"/>
      <c r="B398" s="403" t="s">
        <v>714</v>
      </c>
      <c r="C398" s="470"/>
      <c r="D398" s="194"/>
      <c r="E398" s="194"/>
      <c r="F398" s="194"/>
      <c r="G398" s="194"/>
      <c r="H398" s="194"/>
      <c r="I398" s="194"/>
      <c r="J398" s="194"/>
      <c r="K398" s="194"/>
      <c r="L398" s="194"/>
      <c r="M398" s="194"/>
      <c r="N398" s="194"/>
      <c r="O398" s="195"/>
      <c r="P398" s="195"/>
      <c r="Q398" s="195"/>
      <c r="R398" s="195"/>
      <c r="S398" s="195"/>
      <c r="T398" s="195"/>
      <c r="U398" s="195"/>
      <c r="V398" s="195"/>
      <c r="W398" s="195"/>
      <c r="X398" s="195"/>
      <c r="Y398" s="195"/>
      <c r="Z398" s="195"/>
      <c r="AA398" s="195"/>
      <c r="AB398" s="195"/>
      <c r="AC398" s="195"/>
      <c r="AD398" s="195"/>
      <c r="AE398" s="195"/>
      <c r="AF398" s="195"/>
      <c r="AG398" s="195"/>
      <c r="AH398" s="195"/>
      <c r="AI398" s="195"/>
      <c r="AJ398" s="195"/>
      <c r="AK398" s="195"/>
      <c r="AL398" s="195"/>
      <c r="AM398" s="195"/>
      <c r="AN398" s="195"/>
      <c r="AO398" s="195"/>
      <c r="AP398" s="195"/>
      <c r="AQ398" s="195"/>
      <c r="AR398" s="195"/>
      <c r="AS398" s="195"/>
      <c r="AT398" s="195"/>
    </row>
    <row r="399" spans="1:46">
      <c r="A399" s="465" t="str">
        <f>+'datos de entrada'!A398</f>
        <v>INVESTIGACION PROYECTO</v>
      </c>
      <c r="B399" s="845">
        <f>+'datos de entrada'!B398</f>
        <v>500000</v>
      </c>
      <c r="C399" s="470"/>
      <c r="D399" s="194"/>
      <c r="E399" s="194"/>
      <c r="F399" s="194"/>
      <c r="G399" s="194"/>
      <c r="H399" s="194"/>
      <c r="I399" s="194"/>
      <c r="J399" s="194"/>
      <c r="K399" s="194"/>
      <c r="L399" s="194"/>
      <c r="M399" s="194"/>
      <c r="N399" s="194"/>
      <c r="O399" s="195"/>
      <c r="P399" s="195"/>
      <c r="Q399" s="195"/>
      <c r="R399" s="195"/>
      <c r="S399" s="195"/>
      <c r="T399" s="195"/>
      <c r="U399" s="195"/>
      <c r="V399" s="195"/>
      <c r="W399" s="195"/>
      <c r="X399" s="195"/>
      <c r="Y399" s="195"/>
      <c r="Z399" s="195"/>
      <c r="AA399" s="195"/>
      <c r="AB399" s="195"/>
      <c r="AC399" s="195"/>
      <c r="AD399" s="195"/>
      <c r="AE399" s="195"/>
      <c r="AF399" s="195"/>
      <c r="AG399" s="195"/>
      <c r="AH399" s="195"/>
      <c r="AI399" s="195"/>
      <c r="AJ399" s="195"/>
      <c r="AK399" s="195"/>
      <c r="AL399" s="195"/>
      <c r="AM399" s="195"/>
      <c r="AN399" s="195"/>
      <c r="AO399" s="195"/>
      <c r="AP399" s="195"/>
      <c r="AQ399" s="195"/>
      <c r="AR399" s="195"/>
      <c r="AS399" s="195"/>
      <c r="AT399" s="195"/>
    </row>
    <row r="400" spans="1:46">
      <c r="A400" s="465" t="str">
        <f>+'datos de entrada'!A399</f>
        <v/>
      </c>
      <c r="B400" s="845">
        <f>+'datos de entrada'!B399</f>
        <v>0</v>
      </c>
      <c r="C400" s="470"/>
      <c r="D400" s="194"/>
      <c r="E400" s="194"/>
      <c r="F400" s="194"/>
      <c r="G400" s="194"/>
      <c r="H400" s="194"/>
      <c r="I400" s="194"/>
      <c r="J400" s="194"/>
      <c r="K400" s="194"/>
      <c r="L400" s="194"/>
      <c r="M400" s="194"/>
      <c r="N400" s="194"/>
      <c r="O400" s="195"/>
      <c r="P400" s="195"/>
      <c r="Q400" s="195"/>
      <c r="R400" s="195"/>
      <c r="S400" s="195"/>
      <c r="T400" s="195"/>
      <c r="U400" s="195"/>
      <c r="V400" s="195"/>
      <c r="W400" s="195"/>
      <c r="X400" s="195"/>
      <c r="Y400" s="195"/>
      <c r="Z400" s="195"/>
      <c r="AA400" s="195"/>
      <c r="AB400" s="195"/>
      <c r="AC400" s="195"/>
      <c r="AD400" s="195"/>
      <c r="AE400" s="195"/>
      <c r="AF400" s="195"/>
      <c r="AG400" s="195"/>
      <c r="AH400" s="195"/>
      <c r="AI400" s="195"/>
      <c r="AJ400" s="195"/>
      <c r="AK400" s="195"/>
      <c r="AL400" s="195"/>
      <c r="AM400" s="195"/>
      <c r="AN400" s="195"/>
      <c r="AO400" s="195"/>
      <c r="AP400" s="195"/>
      <c r="AQ400" s="195"/>
      <c r="AR400" s="195"/>
      <c r="AS400" s="195"/>
      <c r="AT400" s="195"/>
    </row>
    <row r="401" spans="1:46">
      <c r="A401" s="465" t="str">
        <f>+'datos de entrada'!A400</f>
        <v/>
      </c>
      <c r="B401" s="845">
        <f>+'datos de entrada'!B400</f>
        <v>0</v>
      </c>
      <c r="C401" s="470"/>
      <c r="D401" s="194"/>
      <c r="E401" s="194"/>
      <c r="F401" s="194"/>
      <c r="G401" s="194"/>
      <c r="H401" s="194"/>
      <c r="I401" s="194"/>
      <c r="J401" s="194"/>
      <c r="K401" s="194"/>
      <c r="L401" s="194"/>
      <c r="M401" s="194"/>
      <c r="N401" s="194"/>
      <c r="O401" s="195"/>
      <c r="P401" s="195"/>
      <c r="Q401" s="195"/>
      <c r="R401" s="195"/>
      <c r="S401" s="195"/>
      <c r="T401" s="195"/>
      <c r="U401" s="195"/>
      <c r="V401" s="195"/>
      <c r="W401" s="195"/>
      <c r="X401" s="195"/>
      <c r="Y401" s="195"/>
      <c r="Z401" s="195"/>
      <c r="AA401" s="195"/>
      <c r="AB401" s="195"/>
      <c r="AC401" s="195"/>
      <c r="AD401" s="195"/>
      <c r="AE401" s="195"/>
      <c r="AF401" s="195"/>
      <c r="AG401" s="195"/>
      <c r="AH401" s="195"/>
      <c r="AI401" s="195"/>
      <c r="AJ401" s="195"/>
      <c r="AK401" s="195"/>
      <c r="AL401" s="195"/>
      <c r="AM401" s="195"/>
      <c r="AN401" s="195"/>
      <c r="AO401" s="195"/>
      <c r="AP401" s="195"/>
      <c r="AQ401" s="195"/>
      <c r="AR401" s="195"/>
      <c r="AS401" s="195"/>
      <c r="AT401" s="195"/>
    </row>
    <row r="402" spans="1:46">
      <c r="A402" s="465" t="str">
        <f>+'datos de entrada'!A401</f>
        <v/>
      </c>
      <c r="B402" s="845">
        <f>+'datos de entrada'!B401</f>
        <v>0</v>
      </c>
      <c r="C402" s="470"/>
      <c r="D402" s="194"/>
      <c r="E402" s="194"/>
      <c r="F402" s="194"/>
      <c r="G402" s="194"/>
      <c r="H402" s="194"/>
      <c r="I402" s="194"/>
      <c r="J402" s="194"/>
      <c r="K402" s="194"/>
      <c r="L402" s="194"/>
      <c r="M402" s="194"/>
      <c r="N402" s="194"/>
      <c r="O402" s="195"/>
      <c r="P402" s="195"/>
      <c r="Q402" s="195"/>
      <c r="R402" s="195"/>
      <c r="S402" s="195"/>
      <c r="T402" s="195"/>
      <c r="U402" s="195"/>
      <c r="V402" s="195"/>
      <c r="W402" s="195"/>
      <c r="X402" s="195"/>
      <c r="Y402" s="195"/>
      <c r="Z402" s="195"/>
      <c r="AA402" s="195"/>
      <c r="AB402" s="195"/>
      <c r="AC402" s="195"/>
      <c r="AD402" s="195"/>
      <c r="AE402" s="195"/>
      <c r="AF402" s="195"/>
      <c r="AG402" s="195"/>
      <c r="AH402" s="195"/>
      <c r="AI402" s="195"/>
      <c r="AJ402" s="195"/>
      <c r="AK402" s="195"/>
      <c r="AL402" s="195"/>
      <c r="AM402" s="195"/>
      <c r="AN402" s="195"/>
      <c r="AO402" s="195"/>
      <c r="AP402" s="195"/>
      <c r="AQ402" s="195"/>
      <c r="AR402" s="195"/>
      <c r="AS402" s="195"/>
      <c r="AT402" s="195"/>
    </row>
    <row r="403" spans="1:46">
      <c r="A403" s="465" t="str">
        <f>+'datos de entrada'!A402</f>
        <v/>
      </c>
      <c r="B403" s="845">
        <f>+'datos de entrada'!B402</f>
        <v>0</v>
      </c>
      <c r="C403" s="470"/>
      <c r="D403" s="194"/>
      <c r="E403" s="194"/>
      <c r="F403" s="194"/>
      <c r="G403" s="194"/>
      <c r="H403" s="194"/>
      <c r="I403" s="194"/>
      <c r="J403" s="194"/>
      <c r="K403" s="194"/>
      <c r="L403" s="194"/>
      <c r="M403" s="194"/>
      <c r="N403" s="194"/>
      <c r="O403" s="195"/>
      <c r="P403" s="195"/>
      <c r="Q403" s="195"/>
      <c r="R403" s="195"/>
      <c r="S403" s="195"/>
      <c r="T403" s="195"/>
      <c r="U403" s="195"/>
      <c r="V403" s="195"/>
      <c r="W403" s="195"/>
      <c r="X403" s="195"/>
      <c r="Y403" s="195"/>
      <c r="Z403" s="195"/>
      <c r="AA403" s="195"/>
      <c r="AB403" s="195"/>
      <c r="AC403" s="195"/>
      <c r="AD403" s="195"/>
      <c r="AE403" s="195"/>
      <c r="AF403" s="195"/>
      <c r="AG403" s="195"/>
      <c r="AH403" s="195"/>
      <c r="AI403" s="195"/>
      <c r="AJ403" s="195"/>
      <c r="AK403" s="195"/>
      <c r="AL403" s="195"/>
      <c r="AM403" s="195"/>
      <c r="AN403" s="195"/>
      <c r="AO403" s="195"/>
      <c r="AP403" s="195"/>
      <c r="AQ403" s="195"/>
      <c r="AR403" s="195"/>
      <c r="AS403" s="195"/>
      <c r="AT403" s="195"/>
    </row>
    <row r="404" spans="1:46">
      <c r="A404" s="465" t="str">
        <f>+'datos de entrada'!A403</f>
        <v/>
      </c>
      <c r="B404" s="845">
        <f>+'datos de entrada'!B403</f>
        <v>0</v>
      </c>
      <c r="C404" s="470"/>
      <c r="D404" s="194"/>
      <c r="E404" s="194"/>
      <c r="F404" s="194"/>
      <c r="G404" s="194"/>
      <c r="H404" s="194"/>
      <c r="I404" s="194"/>
      <c r="J404" s="194"/>
      <c r="K404" s="194"/>
      <c r="L404" s="194"/>
      <c r="M404" s="194"/>
      <c r="N404" s="194"/>
      <c r="O404" s="195"/>
      <c r="P404" s="195"/>
      <c r="Q404" s="195"/>
      <c r="R404" s="195"/>
      <c r="S404" s="195"/>
      <c r="T404" s="195"/>
      <c r="U404" s="195"/>
      <c r="V404" s="195"/>
      <c r="W404" s="195"/>
      <c r="X404" s="195"/>
      <c r="Y404" s="195"/>
      <c r="Z404" s="195"/>
      <c r="AA404" s="195"/>
      <c r="AB404" s="195"/>
      <c r="AC404" s="195"/>
      <c r="AD404" s="195"/>
      <c r="AE404" s="195"/>
      <c r="AF404" s="195"/>
      <c r="AG404" s="195"/>
      <c r="AH404" s="195"/>
      <c r="AI404" s="195"/>
      <c r="AJ404" s="195"/>
      <c r="AK404" s="195"/>
      <c r="AL404" s="195"/>
      <c r="AM404" s="195"/>
      <c r="AN404" s="195"/>
      <c r="AO404" s="195"/>
      <c r="AP404" s="195"/>
      <c r="AQ404" s="195"/>
      <c r="AR404" s="195"/>
      <c r="AS404" s="195"/>
      <c r="AT404" s="195"/>
    </row>
    <row r="405" spans="1:46" ht="15.75" thickBot="1">
      <c r="A405" s="465" t="str">
        <f>+'datos de entrada'!A404</f>
        <v/>
      </c>
      <c r="B405" s="845">
        <f>+'datos de entrada'!B404</f>
        <v>0</v>
      </c>
      <c r="C405" s="471"/>
      <c r="D405" s="194"/>
      <c r="E405" s="194"/>
      <c r="F405" s="194"/>
      <c r="G405" s="194"/>
      <c r="H405" s="194"/>
      <c r="I405" s="194"/>
      <c r="J405" s="194"/>
      <c r="K405" s="194"/>
      <c r="L405" s="194"/>
      <c r="M405" s="194"/>
      <c r="N405" s="194"/>
      <c r="O405" s="195"/>
      <c r="P405" s="195"/>
      <c r="Q405" s="195"/>
      <c r="R405" s="195"/>
      <c r="S405" s="195"/>
      <c r="T405" s="195"/>
      <c r="U405" s="195"/>
      <c r="V405" s="195"/>
      <c r="W405" s="195"/>
      <c r="X405" s="195"/>
      <c r="Y405" s="195"/>
      <c r="Z405" s="195"/>
      <c r="AA405" s="195"/>
      <c r="AB405" s="195"/>
      <c r="AC405" s="195"/>
      <c r="AD405" s="195"/>
      <c r="AE405" s="195"/>
      <c r="AF405" s="195"/>
      <c r="AG405" s="195"/>
      <c r="AH405" s="195"/>
      <c r="AI405" s="195"/>
      <c r="AJ405" s="195"/>
      <c r="AK405" s="195"/>
      <c r="AL405" s="195"/>
      <c r="AM405" s="195"/>
      <c r="AN405" s="195"/>
      <c r="AO405" s="195"/>
      <c r="AP405" s="195"/>
      <c r="AQ405" s="195"/>
      <c r="AR405" s="195"/>
      <c r="AS405" s="195"/>
      <c r="AT405" s="195"/>
    </row>
    <row r="406" spans="1:46" ht="16.5" thickBot="1">
      <c r="A406" s="465" t="str">
        <f>+'datos de entrada'!A405</f>
        <v/>
      </c>
      <c r="B406" s="843">
        <f>+'datos de entrada'!B405</f>
        <v>0</v>
      </c>
      <c r="C406" s="469" t="s">
        <v>137</v>
      </c>
      <c r="D406" s="194"/>
      <c r="E406" s="210">
        <v>0</v>
      </c>
      <c r="F406" s="194"/>
      <c r="G406" s="194"/>
      <c r="H406" s="194"/>
      <c r="I406" s="194"/>
      <c r="J406" s="194"/>
      <c r="K406" s="194"/>
      <c r="L406" s="194"/>
      <c r="M406" s="194"/>
      <c r="N406" s="194"/>
      <c r="O406" s="195"/>
      <c r="P406" s="195"/>
      <c r="Q406" s="195"/>
      <c r="R406" s="195"/>
      <c r="S406" s="195"/>
      <c r="T406" s="195"/>
      <c r="U406" s="195"/>
      <c r="V406" s="195"/>
      <c r="W406" s="195"/>
      <c r="X406" s="195"/>
      <c r="Y406" s="195"/>
      <c r="Z406" s="195"/>
      <c r="AA406" s="195"/>
      <c r="AB406" s="195"/>
      <c r="AC406" s="195"/>
      <c r="AD406" s="195"/>
      <c r="AE406" s="195"/>
      <c r="AF406" s="195"/>
      <c r="AG406" s="195"/>
      <c r="AH406" s="195"/>
      <c r="AI406" s="195"/>
      <c r="AJ406" s="195"/>
      <c r="AK406" s="195"/>
      <c r="AL406" s="195"/>
      <c r="AM406" s="195"/>
      <c r="AN406" s="195"/>
      <c r="AO406" s="195"/>
      <c r="AP406" s="195"/>
      <c r="AQ406" s="195"/>
      <c r="AR406" s="195"/>
      <c r="AS406" s="195"/>
      <c r="AT406" s="195"/>
    </row>
    <row r="407" spans="1:46" ht="15.75" thickBot="1">
      <c r="A407" s="466" t="str">
        <f>+'datos de entrada'!A406</f>
        <v/>
      </c>
      <c r="B407" s="844">
        <f>+'datos de entrada'!B406</f>
        <v>0</v>
      </c>
      <c r="C407" s="847">
        <f>+'datos de entrada'!C406</f>
        <v>0</v>
      </c>
      <c r="D407" s="194"/>
      <c r="E407" s="194"/>
      <c r="F407" s="194"/>
      <c r="G407" s="1052" t="s">
        <v>159</v>
      </c>
      <c r="H407" s="1053"/>
      <c r="I407" s="194"/>
      <c r="J407" s="194"/>
      <c r="K407" s="194"/>
      <c r="L407" s="194"/>
      <c r="M407" s="194"/>
      <c r="N407" s="194"/>
      <c r="O407" s="195"/>
      <c r="P407" s="195"/>
      <c r="Q407" s="195"/>
      <c r="R407" s="195"/>
      <c r="S407" s="195"/>
      <c r="T407" s="195"/>
      <c r="U407" s="195"/>
      <c r="V407" s="195"/>
      <c r="W407" s="195"/>
      <c r="X407" s="195"/>
      <c r="Y407" s="195"/>
      <c r="Z407" s="195"/>
      <c r="AA407" s="195"/>
      <c r="AB407" s="195"/>
      <c r="AC407" s="195"/>
      <c r="AD407" s="195"/>
      <c r="AE407" s="195"/>
      <c r="AF407" s="195"/>
      <c r="AG407" s="195"/>
      <c r="AH407" s="195"/>
      <c r="AI407" s="195"/>
      <c r="AJ407" s="195"/>
      <c r="AK407" s="195"/>
      <c r="AL407" s="195"/>
      <c r="AM407" s="195"/>
      <c r="AN407" s="195"/>
      <c r="AO407" s="195"/>
      <c r="AP407" s="195"/>
      <c r="AQ407" s="195"/>
      <c r="AR407" s="195"/>
      <c r="AS407" s="195"/>
      <c r="AT407" s="195"/>
    </row>
    <row r="408" spans="1:46" ht="15.75">
      <c r="A408" s="450" t="s">
        <v>776</v>
      </c>
      <c r="B408" s="389"/>
      <c r="C408" s="389"/>
      <c r="D408" s="348"/>
      <c r="E408" s="348"/>
      <c r="F408" s="348"/>
      <c r="G408" s="1009">
        <f>+'datos de entrada'!G407</f>
        <v>0</v>
      </c>
      <c r="H408" s="1010" t="s">
        <v>875</v>
      </c>
      <c r="I408" s="194"/>
      <c r="J408" s="194"/>
      <c r="K408" s="194"/>
      <c r="L408" s="194"/>
      <c r="M408" s="194"/>
      <c r="N408" s="194"/>
      <c r="O408" s="195"/>
      <c r="P408" s="195"/>
      <c r="Q408" s="195"/>
      <c r="R408" s="195"/>
      <c r="S408" s="195"/>
      <c r="T408" s="195"/>
      <c r="U408" s="195"/>
      <c r="V408" s="195"/>
      <c r="W408" s="195"/>
      <c r="X408" s="195"/>
      <c r="Y408" s="195"/>
      <c r="Z408" s="195"/>
      <c r="AA408" s="195"/>
      <c r="AB408" s="195"/>
      <c r="AC408" s="195"/>
      <c r="AD408" s="195"/>
      <c r="AE408" s="195"/>
      <c r="AF408" s="195"/>
      <c r="AG408" s="195"/>
      <c r="AH408" s="195"/>
      <c r="AI408" s="195"/>
      <c r="AJ408" s="195"/>
      <c r="AK408" s="195"/>
      <c r="AL408" s="195"/>
      <c r="AM408" s="195"/>
      <c r="AN408" s="195"/>
      <c r="AO408" s="195"/>
      <c r="AP408" s="195"/>
      <c r="AQ408" s="195"/>
      <c r="AR408" s="195"/>
      <c r="AS408" s="195"/>
      <c r="AT408" s="195"/>
    </row>
    <row r="409" spans="1:46" ht="18">
      <c r="A409" s="451">
        <v>4</v>
      </c>
      <c r="B409" s="329" t="s">
        <v>715</v>
      </c>
      <c r="C409" s="339">
        <f>+'datos de entrada'!C408</f>
        <v>0.25</v>
      </c>
      <c r="D409" s="452"/>
      <c r="E409" s="453"/>
      <c r="F409" s="328" t="s">
        <v>10</v>
      </c>
      <c r="G409" s="339">
        <f>+'datos de entrada'!G408</f>
        <v>0.25</v>
      </c>
      <c r="H409" s="454" t="s">
        <v>874</v>
      </c>
      <c r="I409" s="194"/>
      <c r="J409" s="194"/>
      <c r="K409" s="194"/>
      <c r="L409" s="194"/>
      <c r="M409" s="194"/>
      <c r="N409" s="194"/>
      <c r="O409" s="195"/>
      <c r="P409" s="195"/>
      <c r="Q409" s="195"/>
      <c r="R409" s="195"/>
      <c r="S409" s="195"/>
      <c r="T409" s="195"/>
      <c r="U409" s="195"/>
      <c r="V409" s="195"/>
      <c r="W409" s="195"/>
      <c r="X409" s="195"/>
      <c r="Y409" s="195"/>
      <c r="Z409" s="195"/>
      <c r="AA409" s="195"/>
      <c r="AB409" s="195"/>
      <c r="AC409" s="195"/>
      <c r="AD409" s="195"/>
      <c r="AE409" s="195"/>
      <c r="AF409" s="195"/>
      <c r="AG409" s="195"/>
      <c r="AH409" s="195"/>
      <c r="AI409" s="195"/>
      <c r="AJ409" s="195"/>
      <c r="AK409" s="195"/>
      <c r="AL409" s="195"/>
      <c r="AM409" s="195"/>
      <c r="AN409" s="195"/>
      <c r="AO409" s="195"/>
      <c r="AP409" s="195"/>
      <c r="AQ409" s="195"/>
      <c r="AR409" s="195"/>
      <c r="AS409" s="195"/>
      <c r="AT409" s="195"/>
    </row>
    <row r="410" spans="1:46" ht="15.75">
      <c r="A410" s="455" t="s">
        <v>716</v>
      </c>
      <c r="B410" s="94"/>
      <c r="C410" s="339">
        <f>+'datos de entrada'!C409</f>
        <v>0.03</v>
      </c>
      <c r="D410" s="5"/>
      <c r="E410" s="339">
        <f>+'datos de entrada'!E409</f>
        <v>0</v>
      </c>
      <c r="F410" s="340" t="str">
        <f>+'datos de entrada'!F409</f>
        <v>S</v>
      </c>
      <c r="G410" s="339">
        <f>+'datos de entrada'!G409</f>
        <v>0</v>
      </c>
      <c r="H410" s="454" t="s">
        <v>873</v>
      </c>
      <c r="I410" s="194"/>
      <c r="J410" s="194"/>
      <c r="K410" s="194"/>
      <c r="L410" s="194"/>
      <c r="M410" s="194"/>
      <c r="N410" s="194"/>
      <c r="O410" s="195"/>
      <c r="P410" s="195"/>
      <c r="Q410" s="195"/>
      <c r="R410" s="195"/>
      <c r="S410" s="195"/>
      <c r="T410" s="195"/>
      <c r="U410" s="195"/>
      <c r="V410" s="195"/>
      <c r="W410" s="195"/>
      <c r="X410" s="195"/>
      <c r="Y410" s="195"/>
      <c r="Z410" s="195"/>
      <c r="AA410" s="195"/>
      <c r="AB410" s="195"/>
      <c r="AC410" s="195"/>
      <c r="AD410" s="195"/>
      <c r="AE410" s="195"/>
      <c r="AF410" s="195"/>
      <c r="AG410" s="195"/>
      <c r="AH410" s="195"/>
      <c r="AI410" s="195"/>
      <c r="AJ410" s="195"/>
      <c r="AK410" s="195"/>
      <c r="AL410" s="195"/>
      <c r="AM410" s="195"/>
      <c r="AN410" s="195"/>
      <c r="AO410" s="195"/>
      <c r="AP410" s="195"/>
      <c r="AQ410" s="195"/>
      <c r="AR410" s="195"/>
      <c r="AS410" s="195"/>
      <c r="AT410" s="195"/>
    </row>
    <row r="411" spans="1:46" ht="15" customHeight="1">
      <c r="A411" s="455" t="s">
        <v>717</v>
      </c>
      <c r="B411" s="94"/>
      <c r="C411" s="339">
        <f>+'datos de entrada'!C410</f>
        <v>0.03</v>
      </c>
      <c r="D411" s="5"/>
      <c r="E411" s="339">
        <f>+'datos de entrada'!E410</f>
        <v>0</v>
      </c>
      <c r="F411" s="7"/>
      <c r="G411" s="339">
        <f>+'datos de entrada'!G410</f>
        <v>1.1039999999999999E-2</v>
      </c>
      <c r="H411" s="454" t="s">
        <v>11</v>
      </c>
      <c r="I411" s="194"/>
      <c r="J411" s="194"/>
      <c r="K411" s="194"/>
      <c r="L411" s="194"/>
      <c r="M411" s="194"/>
      <c r="N411" s="194"/>
      <c r="O411" s="195"/>
      <c r="P411" s="195"/>
      <c r="Q411" s="195"/>
      <c r="R411" s="195"/>
      <c r="S411" s="195"/>
      <c r="T411" s="195"/>
      <c r="U411" s="195"/>
      <c r="V411" s="195"/>
      <c r="W411" s="195"/>
      <c r="X411" s="195"/>
      <c r="Y411" s="195"/>
      <c r="Z411" s="195"/>
      <c r="AA411" s="195"/>
      <c r="AB411" s="195"/>
      <c r="AC411" s="195"/>
      <c r="AD411" s="195"/>
      <c r="AE411" s="195"/>
      <c r="AF411" s="195"/>
      <c r="AG411" s="195"/>
      <c r="AH411" s="195"/>
      <c r="AI411" s="195"/>
      <c r="AJ411" s="195"/>
      <c r="AK411" s="195"/>
      <c r="AL411" s="195"/>
      <c r="AM411" s="195"/>
      <c r="AN411" s="195"/>
      <c r="AO411" s="195"/>
      <c r="AP411" s="195"/>
      <c r="AQ411" s="195"/>
      <c r="AR411" s="195"/>
      <c r="AS411" s="195"/>
      <c r="AT411" s="195"/>
    </row>
    <row r="412" spans="1:46" ht="15" customHeight="1" thickBot="1">
      <c r="A412" s="456" t="s">
        <v>718</v>
      </c>
      <c r="B412" s="457"/>
      <c r="C412" s="458">
        <f>+'datos de entrada'!C411</f>
        <v>0.03</v>
      </c>
      <c r="D412" s="459"/>
      <c r="E412" s="459"/>
      <c r="F412" s="459"/>
      <c r="G412" s="458">
        <f>+'datos de entrada'!G411</f>
        <v>2E-3</v>
      </c>
      <c r="H412" s="460" t="s">
        <v>12</v>
      </c>
      <c r="I412" s="194"/>
      <c r="J412" s="194"/>
      <c r="K412" s="194"/>
      <c r="L412" s="194"/>
      <c r="M412" s="194"/>
      <c r="N412" s="194"/>
      <c r="O412" s="195"/>
      <c r="P412" s="195"/>
      <c r="Q412" s="195"/>
      <c r="R412" s="195"/>
      <c r="S412" s="195"/>
      <c r="T412" s="195"/>
      <c r="U412" s="195"/>
      <c r="V412" s="195"/>
      <c r="W412" s="195"/>
      <c r="X412" s="195"/>
      <c r="Y412" s="195"/>
      <c r="Z412" s="195"/>
      <c r="AA412" s="195"/>
      <c r="AB412" s="195"/>
      <c r="AC412" s="195"/>
      <c r="AD412" s="195"/>
      <c r="AE412" s="195"/>
      <c r="AF412" s="195"/>
      <c r="AG412" s="195"/>
      <c r="AH412" s="195"/>
      <c r="AI412" s="195"/>
      <c r="AJ412" s="195"/>
      <c r="AK412" s="195"/>
      <c r="AL412" s="195"/>
      <c r="AM412" s="195"/>
      <c r="AN412" s="195"/>
      <c r="AO412" s="195"/>
      <c r="AP412" s="195"/>
      <c r="AQ412" s="195"/>
      <c r="AR412" s="195"/>
      <c r="AS412" s="195"/>
      <c r="AT412" s="195"/>
    </row>
    <row r="413" spans="1:46" s="198" customFormat="1" ht="15" customHeight="1">
      <c r="A413" s="310"/>
      <c r="B413" s="280"/>
      <c r="C413" s="280"/>
      <c r="D413" s="448"/>
      <c r="E413" s="449"/>
      <c r="F413" s="210"/>
      <c r="G413" s="210"/>
      <c r="H413" s="210"/>
      <c r="I413" s="210"/>
      <c r="J413" s="210"/>
      <c r="K413" s="210"/>
      <c r="L413" s="210"/>
      <c r="M413" s="210"/>
      <c r="N413" s="210"/>
    </row>
    <row r="414" spans="1:46" s="198" customFormat="1" ht="15" customHeight="1">
      <c r="A414" s="310"/>
      <c r="B414" s="311"/>
      <c r="C414" s="313"/>
      <c r="D414" s="315"/>
      <c r="E414" s="341"/>
      <c r="F414" s="210"/>
      <c r="G414" s="210"/>
      <c r="H414" s="210"/>
      <c r="I414" s="210"/>
      <c r="J414" s="210"/>
      <c r="K414" s="210"/>
      <c r="L414" s="210"/>
      <c r="M414" s="210"/>
      <c r="N414" s="210"/>
    </row>
    <row r="415" spans="1:46" s="198" customFormat="1" ht="15" customHeight="1">
      <c r="A415" s="310"/>
      <c r="B415" s="280"/>
      <c r="C415" s="313"/>
      <c r="D415" s="315"/>
      <c r="E415" s="341"/>
      <c r="F415" s="210"/>
      <c r="G415" s="210"/>
      <c r="H415" s="210"/>
      <c r="I415" s="210"/>
      <c r="J415" s="210"/>
      <c r="K415" s="210"/>
      <c r="L415" s="210"/>
      <c r="M415" s="210"/>
      <c r="N415" s="210"/>
    </row>
    <row r="416" spans="1:46" s="198" customFormat="1" ht="15" customHeight="1">
      <c r="A416" s="310"/>
      <c r="B416" s="280"/>
      <c r="C416" s="311"/>
      <c r="D416" s="315"/>
      <c r="E416" s="341"/>
      <c r="F416" s="210"/>
      <c r="G416" s="210"/>
      <c r="H416" s="210"/>
      <c r="I416" s="210"/>
      <c r="J416" s="210"/>
      <c r="K416" s="210"/>
      <c r="L416" s="210"/>
      <c r="M416" s="210"/>
      <c r="N416" s="210"/>
    </row>
    <row r="417" spans="1:14" s="198" customFormat="1" ht="15" customHeight="1">
      <c r="A417" s="310"/>
      <c r="B417" s="280"/>
      <c r="C417" s="311"/>
      <c r="D417" s="315"/>
      <c r="E417" s="341"/>
      <c r="F417" s="210"/>
      <c r="G417" s="210"/>
      <c r="H417" s="210"/>
      <c r="I417" s="210"/>
      <c r="J417" s="210"/>
      <c r="K417" s="210"/>
      <c r="L417" s="210"/>
      <c r="M417" s="210"/>
      <c r="N417" s="210"/>
    </row>
    <row r="418" spans="1:14" s="198" customFormat="1" ht="15" customHeight="1">
      <c r="A418" s="310"/>
      <c r="B418" s="280"/>
      <c r="C418" s="311"/>
      <c r="D418" s="315"/>
      <c r="E418" s="341"/>
      <c r="F418" s="210"/>
      <c r="G418" s="210"/>
      <c r="H418" s="210"/>
      <c r="I418" s="210"/>
      <c r="J418" s="210"/>
      <c r="K418" s="210"/>
      <c r="L418" s="210"/>
      <c r="M418" s="210"/>
      <c r="N418" s="210"/>
    </row>
    <row r="419" spans="1:14" s="198" customFormat="1" ht="15" customHeight="1">
      <c r="A419" s="310"/>
      <c r="B419" s="280"/>
      <c r="C419" s="311"/>
      <c r="D419" s="315"/>
      <c r="E419" s="341"/>
      <c r="F419" s="210"/>
      <c r="G419" s="210"/>
      <c r="H419" s="210"/>
      <c r="I419" s="210"/>
      <c r="J419" s="210"/>
      <c r="K419" s="210"/>
      <c r="L419" s="210"/>
      <c r="M419" s="210"/>
      <c r="N419" s="210"/>
    </row>
    <row r="420" spans="1:14" s="198" customFormat="1" ht="15" customHeight="1">
      <c r="A420" s="310"/>
      <c r="B420" s="280"/>
      <c r="C420" s="311"/>
      <c r="D420" s="315"/>
      <c r="E420" s="315"/>
      <c r="F420" s="210"/>
      <c r="G420" s="210"/>
      <c r="H420" s="210"/>
    </row>
    <row r="421" spans="1:14" s="198" customFormat="1" ht="15" customHeight="1">
      <c r="A421" s="310"/>
      <c r="B421" s="280"/>
      <c r="C421" s="311"/>
      <c r="D421" s="316"/>
      <c r="E421" s="316"/>
    </row>
    <row r="422" spans="1:14" s="198" customFormat="1" ht="15" customHeight="1">
      <c r="A422" s="310"/>
      <c r="B422" s="280"/>
      <c r="C422" s="311"/>
      <c r="D422" s="316"/>
      <c r="E422" s="316"/>
    </row>
    <row r="423" spans="1:14" s="198" customFormat="1" ht="15" customHeight="1">
      <c r="A423" s="310"/>
      <c r="B423" s="280"/>
      <c r="C423" s="311"/>
      <c r="D423" s="316"/>
      <c r="E423" s="316"/>
    </row>
    <row r="424" spans="1:14" s="198" customFormat="1" ht="15" customHeight="1">
      <c r="A424" s="310"/>
      <c r="B424" s="280"/>
      <c r="C424" s="311"/>
      <c r="D424" s="316"/>
      <c r="E424" s="316"/>
    </row>
    <row r="425" spans="1:14" s="198" customFormat="1" ht="15" customHeight="1">
      <c r="A425" s="310"/>
      <c r="B425" s="312"/>
      <c r="C425" s="311"/>
      <c r="D425" s="316"/>
      <c r="E425" s="316"/>
    </row>
    <row r="426" spans="1:14" s="198" customFormat="1" ht="15" customHeight="1">
      <c r="A426" s="310"/>
      <c r="B426" s="312"/>
      <c r="C426" s="311"/>
      <c r="D426" s="314"/>
      <c r="E426" s="316"/>
    </row>
    <row r="427" spans="1:14" s="198" customFormat="1" ht="15" customHeight="1">
      <c r="A427" s="310"/>
      <c r="B427" s="312"/>
      <c r="C427" s="311"/>
      <c r="D427" s="314"/>
      <c r="E427" s="342"/>
    </row>
    <row r="428" spans="1:14" s="198" customFormat="1" ht="15" customHeight="1">
      <c r="A428" s="310"/>
      <c r="B428" s="280"/>
      <c r="C428" s="313"/>
      <c r="D428" s="314"/>
      <c r="E428" s="342"/>
    </row>
    <row r="429" spans="1:14" s="198" customFormat="1" ht="15" customHeight="1">
      <c r="A429" s="310"/>
      <c r="B429" s="280"/>
      <c r="C429" s="313"/>
      <c r="D429" s="314"/>
      <c r="E429" s="342"/>
    </row>
    <row r="430" spans="1:14" s="198" customFormat="1" ht="15" customHeight="1">
      <c r="A430" s="310"/>
      <c r="B430" s="280"/>
      <c r="C430" s="313"/>
      <c r="D430" s="314"/>
      <c r="E430" s="342"/>
    </row>
    <row r="431" spans="1:14" s="198" customFormat="1" ht="15" customHeight="1">
      <c r="A431" s="310"/>
      <c r="B431" s="280"/>
      <c r="C431" s="313"/>
      <c r="D431" s="316"/>
      <c r="E431" s="342"/>
    </row>
    <row r="432" spans="1:14" s="198" customFormat="1" ht="15" customHeight="1">
      <c r="A432" s="310"/>
      <c r="B432" s="280"/>
      <c r="C432" s="311"/>
      <c r="D432" s="316"/>
      <c r="E432" s="342"/>
    </row>
    <row r="433" spans="1:39" s="198" customFormat="1" ht="15" customHeight="1">
      <c r="A433" s="310"/>
      <c r="B433" s="280"/>
      <c r="C433" s="311"/>
      <c r="D433" s="316"/>
      <c r="E433" s="342"/>
    </row>
    <row r="434" spans="1:39" s="198" customFormat="1" ht="15" customHeight="1">
      <c r="A434" s="310"/>
      <c r="B434" s="280"/>
      <c r="C434" s="311"/>
      <c r="D434" s="315"/>
      <c r="E434" s="342"/>
      <c r="F434" s="210"/>
      <c r="G434" s="210"/>
      <c r="H434" s="210"/>
    </row>
    <row r="435" spans="1:39" s="198" customFormat="1" ht="15" customHeight="1">
      <c r="A435" s="310"/>
      <c r="B435" s="280"/>
      <c r="C435" s="311"/>
      <c r="D435" s="210"/>
      <c r="E435" s="210"/>
      <c r="F435" s="210"/>
      <c r="G435" s="210"/>
      <c r="H435" s="210"/>
    </row>
    <row r="436" spans="1:39" ht="15" hidden="1" customHeight="1">
      <c r="A436" s="265"/>
      <c r="B436" s="280" t="s">
        <v>758</v>
      </c>
      <c r="C436" s="267"/>
      <c r="D436" s="194"/>
      <c r="E436" s="194"/>
      <c r="F436" s="194"/>
      <c r="G436" s="194"/>
      <c r="H436" s="194"/>
      <c r="I436" s="195"/>
      <c r="J436" s="195"/>
      <c r="K436" s="195"/>
      <c r="L436" s="195"/>
      <c r="M436" s="195"/>
      <c r="N436" s="195"/>
      <c r="O436" s="195"/>
      <c r="P436" s="195"/>
      <c r="Q436" s="195"/>
      <c r="R436" s="195"/>
      <c r="S436" s="195"/>
      <c r="T436" s="195"/>
      <c r="U436" s="195"/>
      <c r="V436" s="195"/>
      <c r="W436" s="195"/>
      <c r="X436" s="195"/>
      <c r="Y436" s="195"/>
      <c r="Z436" s="195"/>
      <c r="AA436" s="195"/>
      <c r="AB436" s="195"/>
      <c r="AC436" s="195"/>
      <c r="AD436" s="195"/>
      <c r="AE436" s="195"/>
      <c r="AF436" s="195"/>
      <c r="AG436" s="195"/>
      <c r="AH436" s="195"/>
      <c r="AI436" s="195"/>
      <c r="AJ436" s="195"/>
      <c r="AK436" s="195"/>
      <c r="AL436" s="195"/>
      <c r="AM436" s="195"/>
    </row>
    <row r="437" spans="1:39" hidden="1">
      <c r="A437" s="265"/>
      <c r="B437" s="280" t="s">
        <v>759</v>
      </c>
      <c r="C437" s="267"/>
      <c r="D437" s="194"/>
      <c r="E437" s="194"/>
      <c r="F437" s="194"/>
      <c r="G437" s="194"/>
      <c r="H437" s="194"/>
      <c r="I437" s="195"/>
      <c r="J437" s="195"/>
      <c r="K437" s="195"/>
      <c r="L437" s="195"/>
      <c r="M437" s="195"/>
      <c r="N437" s="195"/>
      <c r="O437" s="195"/>
      <c r="P437" s="195"/>
      <c r="Q437" s="195"/>
      <c r="R437" s="195"/>
      <c r="S437" s="195"/>
      <c r="T437" s="195"/>
      <c r="U437" s="195"/>
      <c r="V437" s="195"/>
      <c r="W437" s="195"/>
      <c r="X437" s="195"/>
      <c r="Y437" s="195"/>
      <c r="Z437" s="195"/>
      <c r="AA437" s="195"/>
      <c r="AB437" s="195"/>
      <c r="AC437" s="195"/>
      <c r="AD437" s="195"/>
      <c r="AE437" s="195"/>
      <c r="AF437" s="195"/>
      <c r="AG437" s="195"/>
      <c r="AH437" s="195"/>
      <c r="AI437" s="195"/>
      <c r="AJ437" s="195"/>
      <c r="AK437" s="195"/>
      <c r="AL437" s="195"/>
      <c r="AM437" s="195"/>
    </row>
    <row r="438" spans="1:39" hidden="1">
      <c r="A438" s="265"/>
      <c r="B438" s="266" t="s">
        <v>710</v>
      </c>
      <c r="C438" s="267"/>
      <c r="D438" s="195"/>
      <c r="E438" s="195"/>
      <c r="F438" s="195"/>
      <c r="G438" s="195"/>
      <c r="H438" s="195"/>
      <c r="I438" s="195"/>
      <c r="J438" s="195"/>
      <c r="K438" s="195"/>
      <c r="L438" s="195"/>
      <c r="M438" s="195"/>
      <c r="N438" s="195"/>
      <c r="O438" s="195"/>
      <c r="P438" s="195"/>
      <c r="Q438" s="195"/>
      <c r="R438" s="195"/>
      <c r="S438" s="195"/>
      <c r="T438" s="195"/>
      <c r="U438" s="195"/>
      <c r="V438" s="195"/>
      <c r="W438" s="195"/>
      <c r="X438" s="195"/>
      <c r="Y438" s="195"/>
      <c r="Z438" s="195"/>
      <c r="AA438" s="195"/>
      <c r="AB438" s="195"/>
      <c r="AC438" s="195"/>
      <c r="AD438" s="195"/>
      <c r="AE438" s="195"/>
      <c r="AF438" s="195"/>
      <c r="AG438" s="195"/>
      <c r="AH438" s="195"/>
      <c r="AI438" s="195"/>
      <c r="AJ438" s="195"/>
      <c r="AK438" s="195"/>
      <c r="AL438" s="195"/>
      <c r="AM438" s="195"/>
    </row>
    <row r="439" spans="1:39" hidden="1">
      <c r="A439" s="199"/>
      <c r="B439" s="199"/>
      <c r="C439" s="195"/>
      <c r="D439" s="195"/>
      <c r="E439" s="195"/>
      <c r="F439" s="195"/>
      <c r="G439" s="195"/>
      <c r="H439" s="195"/>
      <c r="I439" s="195"/>
      <c r="J439" s="195"/>
      <c r="K439" s="195"/>
      <c r="L439" s="195"/>
      <c r="M439" s="195"/>
      <c r="N439" s="195"/>
      <c r="O439" s="195"/>
      <c r="P439" s="195"/>
      <c r="Q439" s="195"/>
      <c r="R439" s="195"/>
      <c r="S439" s="195"/>
      <c r="T439" s="195"/>
      <c r="U439" s="195"/>
      <c r="V439" s="195"/>
      <c r="W439" s="195"/>
      <c r="X439" s="195"/>
      <c r="Y439" s="195"/>
      <c r="Z439" s="195"/>
      <c r="AA439" s="195"/>
      <c r="AB439" s="195"/>
      <c r="AC439" s="195"/>
      <c r="AD439" s="195"/>
      <c r="AE439" s="195"/>
      <c r="AF439" s="195"/>
      <c r="AG439" s="195"/>
      <c r="AH439" s="195"/>
      <c r="AI439" s="195"/>
      <c r="AJ439" s="195"/>
      <c r="AK439" s="195"/>
      <c r="AL439" s="195"/>
      <c r="AM439" s="195"/>
    </row>
    <row r="440" spans="1:39" ht="21" hidden="1" customHeight="1">
      <c r="A440" s="268"/>
      <c r="B440" s="199"/>
      <c r="C440" s="195"/>
      <c r="D440" s="195"/>
      <c r="E440" s="195"/>
      <c r="F440" s="195"/>
      <c r="G440" s="195"/>
      <c r="H440" s="195"/>
      <c r="I440" s="195"/>
      <c r="J440" s="195"/>
      <c r="K440" s="195"/>
      <c r="L440" s="195"/>
      <c r="M440" s="195"/>
      <c r="N440" s="195"/>
      <c r="O440" s="195"/>
      <c r="P440" s="195"/>
      <c r="Q440" s="195"/>
      <c r="R440" s="195"/>
      <c r="S440" s="195"/>
      <c r="T440" s="195"/>
      <c r="U440" s="195"/>
      <c r="V440" s="195"/>
      <c r="W440" s="195"/>
      <c r="X440" s="195"/>
      <c r="Y440" s="195"/>
      <c r="Z440" s="195"/>
      <c r="AA440" s="195"/>
      <c r="AB440" s="195"/>
      <c r="AC440" s="195"/>
      <c r="AD440" s="195"/>
      <c r="AE440" s="195"/>
      <c r="AF440" s="195"/>
      <c r="AG440" s="195"/>
      <c r="AH440" s="195"/>
      <c r="AI440" s="195"/>
      <c r="AJ440" s="195"/>
      <c r="AK440" s="195"/>
      <c r="AL440" s="195"/>
      <c r="AM440" s="195"/>
    </row>
    <row r="441" spans="1:39" hidden="1">
      <c r="A441" s="199"/>
      <c r="B441" s="199"/>
      <c r="C441" s="195"/>
      <c r="D441" s="195"/>
      <c r="E441" s="195"/>
      <c r="F441" s="195"/>
      <c r="G441" s="195"/>
      <c r="H441" s="195"/>
      <c r="I441" s="195"/>
      <c r="J441" s="195"/>
      <c r="K441" s="195"/>
      <c r="L441" s="195"/>
      <c r="M441" s="195"/>
      <c r="N441" s="195"/>
      <c r="O441" s="195"/>
      <c r="P441" s="195"/>
      <c r="Q441" s="195"/>
      <c r="R441" s="195"/>
      <c r="S441" s="195"/>
      <c r="T441" s="195"/>
      <c r="U441" s="195"/>
      <c r="V441" s="195"/>
      <c r="W441" s="195"/>
      <c r="X441" s="195"/>
      <c r="Y441" s="195"/>
      <c r="Z441" s="195"/>
      <c r="AA441" s="195"/>
      <c r="AB441" s="195"/>
      <c r="AC441" s="195"/>
      <c r="AD441" s="195"/>
      <c r="AE441" s="195"/>
      <c r="AF441" s="195"/>
      <c r="AG441" s="195"/>
      <c r="AH441" s="195"/>
      <c r="AI441" s="195"/>
      <c r="AJ441" s="195"/>
      <c r="AK441" s="195"/>
      <c r="AL441" s="195"/>
      <c r="AM441" s="195"/>
    </row>
    <row r="442" spans="1:39" ht="15.75" hidden="1">
      <c r="A442" s="269"/>
      <c r="B442" s="270"/>
      <c r="C442" s="195"/>
      <c r="D442" s="195"/>
      <c r="E442" s="195"/>
      <c r="F442" s="195"/>
      <c r="G442" s="195"/>
      <c r="H442" s="195"/>
      <c r="I442" s="195"/>
      <c r="J442" s="195"/>
      <c r="K442" s="195"/>
      <c r="L442" s="195"/>
      <c r="M442" s="195"/>
      <c r="N442" s="195"/>
      <c r="O442" s="195"/>
      <c r="P442" s="195"/>
      <c r="Q442" s="195"/>
      <c r="R442" s="195"/>
      <c r="S442" s="195"/>
      <c r="T442" s="195"/>
      <c r="U442" s="195"/>
      <c r="V442" s="195"/>
      <c r="W442" s="195"/>
      <c r="X442" s="195"/>
      <c r="Y442" s="195"/>
      <c r="Z442" s="195"/>
      <c r="AA442" s="195"/>
      <c r="AB442" s="195"/>
      <c r="AC442" s="195"/>
      <c r="AD442" s="195"/>
      <c r="AE442" s="195"/>
      <c r="AF442" s="195"/>
      <c r="AG442" s="195"/>
      <c r="AH442" s="195"/>
      <c r="AI442" s="195"/>
      <c r="AJ442" s="195"/>
      <c r="AK442" s="195"/>
      <c r="AL442" s="195"/>
      <c r="AM442" s="195"/>
    </row>
    <row r="443" spans="1:39" hidden="1">
      <c r="A443" s="199"/>
      <c r="B443" s="199"/>
      <c r="C443" s="195"/>
      <c r="D443" s="195"/>
      <c r="E443" s="195"/>
      <c r="F443" s="195"/>
      <c r="G443" s="195"/>
      <c r="H443" s="195"/>
      <c r="I443" s="195"/>
      <c r="J443" s="195"/>
      <c r="K443" s="195"/>
      <c r="L443" s="195"/>
      <c r="M443" s="195"/>
      <c r="N443" s="195"/>
      <c r="O443" s="195"/>
      <c r="P443" s="195"/>
      <c r="Q443" s="195"/>
      <c r="R443" s="195"/>
      <c r="S443" s="195"/>
      <c r="T443" s="195"/>
      <c r="U443" s="195"/>
      <c r="V443" s="195"/>
      <c r="W443" s="195"/>
      <c r="X443" s="195"/>
      <c r="Y443" s="195"/>
      <c r="Z443" s="195"/>
      <c r="AA443" s="195"/>
      <c r="AB443" s="195"/>
      <c r="AC443" s="195"/>
      <c r="AD443" s="195"/>
      <c r="AE443" s="195"/>
      <c r="AF443" s="195"/>
      <c r="AG443" s="195"/>
      <c r="AH443" s="195"/>
      <c r="AI443" s="195"/>
      <c r="AJ443" s="195"/>
      <c r="AK443" s="195"/>
      <c r="AL443" s="195"/>
      <c r="AM443" s="195"/>
    </row>
    <row r="444" spans="1:39" hidden="1">
      <c r="A444" s="271"/>
      <c r="B444" s="199"/>
      <c r="C444" s="195"/>
      <c r="D444" s="195"/>
      <c r="E444" s="195"/>
      <c r="F444" s="195"/>
      <c r="G444" s="195"/>
      <c r="H444" s="195"/>
      <c r="I444" s="195"/>
      <c r="J444" s="195"/>
      <c r="K444" s="195"/>
      <c r="L444" s="195"/>
      <c r="M444" s="195"/>
      <c r="N444" s="195"/>
      <c r="O444" s="195"/>
      <c r="P444" s="195"/>
      <c r="Q444" s="195"/>
      <c r="R444" s="195"/>
      <c r="S444" s="195"/>
      <c r="T444" s="195"/>
      <c r="U444" s="195"/>
      <c r="V444" s="195"/>
      <c r="W444" s="195"/>
      <c r="X444" s="195"/>
      <c r="Y444" s="195"/>
      <c r="Z444" s="195"/>
      <c r="AA444" s="195"/>
      <c r="AB444" s="195"/>
      <c r="AC444" s="195"/>
      <c r="AD444" s="195"/>
      <c r="AE444" s="195"/>
      <c r="AF444" s="195"/>
      <c r="AG444" s="195"/>
      <c r="AH444" s="195"/>
      <c r="AI444" s="195"/>
      <c r="AJ444" s="195"/>
      <c r="AK444" s="195"/>
      <c r="AL444" s="195"/>
      <c r="AM444" s="195"/>
    </row>
    <row r="445" spans="1:39" hidden="1">
      <c r="A445" s="271"/>
      <c r="B445" s="199"/>
      <c r="C445" s="195"/>
      <c r="D445" s="195"/>
      <c r="E445" s="195"/>
      <c r="F445" s="195"/>
      <c r="G445" s="195"/>
      <c r="H445" s="195"/>
      <c r="I445" s="195"/>
      <c r="J445" s="195"/>
      <c r="K445" s="195"/>
      <c r="L445" s="195"/>
      <c r="M445" s="195"/>
      <c r="N445" s="195"/>
      <c r="O445" s="195"/>
      <c r="P445" s="195"/>
      <c r="Q445" s="195"/>
      <c r="R445" s="195"/>
      <c r="S445" s="195"/>
      <c r="T445" s="195"/>
      <c r="U445" s="195"/>
      <c r="V445" s="195"/>
      <c r="W445" s="195"/>
      <c r="X445" s="195"/>
      <c r="Y445" s="195"/>
      <c r="Z445" s="195"/>
      <c r="AA445" s="195"/>
      <c r="AB445" s="195"/>
      <c r="AC445" s="195"/>
      <c r="AD445" s="195"/>
      <c r="AE445" s="195"/>
      <c r="AF445" s="195"/>
      <c r="AG445" s="195"/>
      <c r="AH445" s="195"/>
      <c r="AI445" s="195"/>
      <c r="AJ445" s="195"/>
      <c r="AK445" s="195"/>
      <c r="AL445" s="195"/>
      <c r="AM445" s="195"/>
    </row>
    <row r="446" spans="1:39" hidden="1">
      <c r="A446" s="271"/>
      <c r="B446" s="199"/>
      <c r="C446" s="195"/>
      <c r="D446" s="195"/>
      <c r="E446" s="195"/>
      <c r="F446" s="195"/>
      <c r="G446" s="195"/>
      <c r="H446" s="195"/>
      <c r="I446" s="195"/>
      <c r="J446" s="195"/>
      <c r="K446" s="195"/>
      <c r="L446" s="195"/>
      <c r="M446" s="195"/>
      <c r="N446" s="195"/>
      <c r="O446" s="195"/>
      <c r="P446" s="195"/>
      <c r="Q446" s="195"/>
      <c r="R446" s="195"/>
      <c r="S446" s="195"/>
      <c r="T446" s="195"/>
      <c r="U446" s="195"/>
      <c r="V446" s="195"/>
      <c r="W446" s="195"/>
      <c r="X446" s="195"/>
      <c r="Y446" s="195"/>
      <c r="Z446" s="195"/>
      <c r="AA446" s="195"/>
      <c r="AB446" s="195"/>
      <c r="AC446" s="195"/>
      <c r="AD446" s="195"/>
      <c r="AE446" s="195"/>
      <c r="AF446" s="195"/>
      <c r="AG446" s="195"/>
      <c r="AH446" s="195"/>
      <c r="AI446" s="195"/>
      <c r="AJ446" s="195"/>
      <c r="AK446" s="195"/>
      <c r="AL446" s="195"/>
      <c r="AM446" s="195"/>
    </row>
    <row r="447" spans="1:39" ht="15.75" hidden="1">
      <c r="A447" s="269"/>
      <c r="B447" s="270">
        <v>0</v>
      </c>
      <c r="C447" s="195"/>
      <c r="D447" s="195"/>
      <c r="E447" s="195"/>
      <c r="F447" s="195"/>
      <c r="G447" s="195"/>
      <c r="H447" s="195"/>
      <c r="I447" s="195"/>
      <c r="J447" s="195"/>
      <c r="K447" s="195"/>
      <c r="L447" s="195"/>
      <c r="M447" s="195"/>
      <c r="N447" s="195"/>
      <c r="O447" s="195"/>
      <c r="P447" s="195"/>
      <c r="Q447" s="195"/>
      <c r="R447" s="195"/>
      <c r="S447" s="195"/>
      <c r="T447" s="195"/>
      <c r="U447" s="195"/>
      <c r="V447" s="195"/>
      <c r="W447" s="195"/>
      <c r="X447" s="195"/>
      <c r="Y447" s="195"/>
      <c r="Z447" s="195"/>
      <c r="AA447" s="195"/>
      <c r="AB447" s="195"/>
      <c r="AC447" s="195"/>
      <c r="AD447" s="195"/>
      <c r="AE447" s="195"/>
      <c r="AF447" s="195"/>
      <c r="AG447" s="195"/>
      <c r="AH447" s="195"/>
      <c r="AI447" s="195"/>
      <c r="AJ447" s="195"/>
      <c r="AK447" s="195"/>
      <c r="AL447" s="195"/>
      <c r="AM447" s="195"/>
    </row>
    <row r="448" spans="1:39" hidden="1">
      <c r="A448" s="271"/>
      <c r="B448" s="199"/>
      <c r="C448" s="195"/>
      <c r="D448" s="195"/>
      <c r="E448" s="195"/>
      <c r="F448" s="195"/>
      <c r="G448" s="195"/>
      <c r="H448" s="195"/>
      <c r="I448" s="195"/>
      <c r="J448" s="195"/>
      <c r="K448" s="195"/>
      <c r="L448" s="195"/>
      <c r="M448" s="195"/>
      <c r="N448" s="195"/>
      <c r="O448" s="195"/>
      <c r="P448" s="195"/>
      <c r="Q448" s="195"/>
      <c r="R448" s="195"/>
      <c r="S448" s="195"/>
      <c r="T448" s="195"/>
      <c r="U448" s="195"/>
      <c r="V448" s="195"/>
      <c r="W448" s="195"/>
      <c r="X448" s="195"/>
      <c r="Y448" s="195"/>
      <c r="Z448" s="195"/>
      <c r="AA448" s="195"/>
      <c r="AB448" s="195"/>
      <c r="AC448" s="195"/>
      <c r="AD448" s="195"/>
      <c r="AE448" s="195"/>
      <c r="AF448" s="195"/>
      <c r="AG448" s="195"/>
      <c r="AH448" s="195"/>
      <c r="AI448" s="195"/>
      <c r="AJ448" s="195"/>
      <c r="AK448" s="195"/>
      <c r="AL448" s="195"/>
      <c r="AM448" s="195"/>
    </row>
    <row r="449" spans="1:39" hidden="1">
      <c r="A449" s="271"/>
      <c r="B449" s="199"/>
      <c r="C449" s="195"/>
      <c r="D449" s="195"/>
      <c r="E449" s="195"/>
      <c r="F449" s="195"/>
      <c r="G449" s="195"/>
      <c r="H449" s="195"/>
      <c r="I449" s="195"/>
      <c r="J449" s="195"/>
      <c r="K449" s="195"/>
      <c r="L449" s="195"/>
      <c r="M449" s="195"/>
      <c r="N449" s="195"/>
      <c r="O449" s="195"/>
      <c r="P449" s="195"/>
      <c r="Q449" s="195"/>
      <c r="R449" s="195"/>
      <c r="S449" s="195"/>
      <c r="T449" s="195"/>
      <c r="U449" s="195"/>
      <c r="V449" s="195"/>
      <c r="W449" s="195"/>
      <c r="X449" s="195"/>
      <c r="Y449" s="195"/>
      <c r="Z449" s="195"/>
      <c r="AA449" s="195"/>
      <c r="AB449" s="195"/>
      <c r="AC449" s="195"/>
      <c r="AD449" s="195"/>
      <c r="AE449" s="195"/>
      <c r="AF449" s="195"/>
      <c r="AG449" s="195"/>
      <c r="AH449" s="195"/>
      <c r="AI449" s="195"/>
      <c r="AJ449" s="195"/>
      <c r="AK449" s="195"/>
      <c r="AL449" s="195"/>
      <c r="AM449" s="195"/>
    </row>
    <row r="450" spans="1:39" hidden="1">
      <c r="A450" s="271"/>
      <c r="B450" s="199"/>
      <c r="C450" s="195"/>
      <c r="D450" s="195"/>
      <c r="E450" s="195"/>
      <c r="F450" s="195"/>
      <c r="G450" s="195"/>
      <c r="H450" s="195"/>
      <c r="I450" s="195"/>
      <c r="J450" s="195"/>
      <c r="K450" s="195"/>
      <c r="L450" s="195"/>
      <c r="M450" s="195"/>
      <c r="N450" s="195"/>
      <c r="O450" s="195"/>
      <c r="P450" s="195"/>
      <c r="Q450" s="195"/>
      <c r="R450" s="195"/>
      <c r="S450" s="195"/>
      <c r="T450" s="195"/>
      <c r="U450" s="195"/>
      <c r="V450" s="195"/>
      <c r="W450" s="195"/>
      <c r="X450" s="195"/>
      <c r="Y450" s="195"/>
      <c r="Z450" s="195"/>
      <c r="AA450" s="195"/>
      <c r="AB450" s="195"/>
      <c r="AC450" s="195"/>
      <c r="AD450" s="195"/>
      <c r="AE450" s="195"/>
      <c r="AF450" s="195"/>
      <c r="AG450" s="195"/>
      <c r="AH450" s="195"/>
      <c r="AI450" s="195"/>
      <c r="AJ450" s="195"/>
      <c r="AK450" s="195"/>
      <c r="AL450" s="195"/>
      <c r="AM450" s="195"/>
    </row>
    <row r="451" spans="1:39" hidden="1">
      <c r="A451" s="271"/>
      <c r="B451" s="199"/>
      <c r="C451" s="195"/>
      <c r="D451" s="195"/>
      <c r="E451" s="195"/>
      <c r="F451" s="195"/>
      <c r="G451" s="195"/>
      <c r="H451" s="195"/>
      <c r="I451" s="195"/>
      <c r="J451" s="195"/>
      <c r="K451" s="195"/>
      <c r="L451" s="195"/>
      <c r="M451" s="195"/>
      <c r="N451" s="195"/>
      <c r="O451" s="195"/>
      <c r="P451" s="195"/>
      <c r="Q451" s="195"/>
      <c r="R451" s="195"/>
      <c r="S451" s="195"/>
      <c r="T451" s="195"/>
      <c r="U451" s="195"/>
      <c r="V451" s="195"/>
      <c r="W451" s="195"/>
      <c r="X451" s="195"/>
      <c r="Y451" s="195"/>
      <c r="Z451" s="195"/>
      <c r="AA451" s="195"/>
      <c r="AB451" s="195"/>
      <c r="AC451" s="195"/>
      <c r="AD451" s="195"/>
      <c r="AE451" s="195"/>
      <c r="AF451" s="195"/>
      <c r="AG451" s="195"/>
      <c r="AH451" s="195"/>
      <c r="AI451" s="195"/>
      <c r="AJ451" s="195"/>
      <c r="AK451" s="195"/>
      <c r="AL451" s="195"/>
      <c r="AM451" s="195"/>
    </row>
    <row r="452" spans="1:39" ht="15.75" hidden="1">
      <c r="A452" s="269"/>
      <c r="B452" s="270">
        <v>0</v>
      </c>
      <c r="C452" s="195"/>
      <c r="D452" s="195"/>
      <c r="E452" s="195"/>
      <c r="F452" s="195"/>
      <c r="G452" s="195"/>
      <c r="H452" s="195"/>
      <c r="I452" s="195"/>
      <c r="J452" s="195"/>
      <c r="K452" s="195"/>
      <c r="L452" s="195"/>
      <c r="M452" s="195"/>
      <c r="N452" s="195"/>
      <c r="O452" s="195"/>
      <c r="P452" s="195"/>
      <c r="Q452" s="195"/>
      <c r="R452" s="195"/>
      <c r="S452" s="195"/>
      <c r="T452" s="195"/>
      <c r="U452" s="195"/>
      <c r="V452" s="195"/>
      <c r="W452" s="195"/>
      <c r="X452" s="195"/>
      <c r="Y452" s="195"/>
      <c r="Z452" s="195"/>
      <c r="AA452" s="195"/>
      <c r="AB452" s="195"/>
      <c r="AC452" s="195"/>
      <c r="AD452" s="195"/>
      <c r="AE452" s="195"/>
      <c r="AF452" s="195"/>
      <c r="AG452" s="195"/>
      <c r="AH452" s="195"/>
      <c r="AI452" s="195"/>
      <c r="AJ452" s="195"/>
      <c r="AK452" s="195"/>
      <c r="AL452" s="195"/>
      <c r="AM452" s="195"/>
    </row>
    <row r="453" spans="1:39" ht="15.75" hidden="1">
      <c r="A453" s="269"/>
      <c r="B453" s="270">
        <v>0</v>
      </c>
      <c r="C453" s="195"/>
      <c r="D453" s="195"/>
      <c r="E453" s="195"/>
      <c r="F453" s="195"/>
      <c r="G453" s="195"/>
      <c r="H453" s="195"/>
      <c r="I453" s="195"/>
      <c r="J453" s="195"/>
      <c r="K453" s="195"/>
      <c r="L453" s="195"/>
      <c r="M453" s="195"/>
      <c r="N453" s="195"/>
      <c r="O453" s="195"/>
      <c r="P453" s="195"/>
      <c r="Q453" s="195"/>
      <c r="R453" s="195"/>
      <c r="S453" s="195"/>
      <c r="T453" s="195"/>
      <c r="U453" s="195"/>
      <c r="V453" s="195"/>
      <c r="W453" s="195"/>
      <c r="X453" s="195"/>
      <c r="Y453" s="195"/>
      <c r="Z453" s="195"/>
      <c r="AA453" s="195"/>
      <c r="AB453" s="195"/>
      <c r="AC453" s="195"/>
      <c r="AD453" s="195"/>
      <c r="AE453" s="195"/>
      <c r="AF453" s="195"/>
      <c r="AG453" s="195"/>
      <c r="AH453" s="195"/>
      <c r="AI453" s="195"/>
      <c r="AJ453" s="195"/>
      <c r="AK453" s="195"/>
      <c r="AL453" s="195"/>
      <c r="AM453" s="195"/>
    </row>
    <row r="454" spans="1:39" hidden="1">
      <c r="A454" s="271"/>
      <c r="B454" s="199"/>
      <c r="C454" s="195"/>
      <c r="D454" s="195"/>
      <c r="E454" s="195"/>
      <c r="F454" s="195"/>
      <c r="G454" s="195"/>
      <c r="H454" s="195"/>
      <c r="I454" s="195"/>
      <c r="J454" s="195"/>
      <c r="K454" s="195"/>
      <c r="L454" s="195"/>
      <c r="M454" s="195"/>
      <c r="N454" s="195"/>
      <c r="O454" s="195"/>
      <c r="P454" s="195"/>
      <c r="Q454" s="195"/>
      <c r="R454" s="195"/>
      <c r="S454" s="195"/>
      <c r="T454" s="195"/>
      <c r="U454" s="195"/>
      <c r="V454" s="195"/>
      <c r="W454" s="195"/>
      <c r="X454" s="195"/>
      <c r="Y454" s="195"/>
      <c r="Z454" s="195"/>
      <c r="AA454" s="195"/>
      <c r="AB454" s="195"/>
      <c r="AC454" s="195"/>
      <c r="AD454" s="195"/>
      <c r="AE454" s="195"/>
      <c r="AF454" s="195"/>
      <c r="AG454" s="195"/>
      <c r="AH454" s="195"/>
      <c r="AI454" s="195"/>
      <c r="AJ454" s="195"/>
      <c r="AK454" s="195"/>
      <c r="AL454" s="195"/>
      <c r="AM454" s="195"/>
    </row>
    <row r="455" spans="1:39" hidden="1">
      <c r="A455" s="271"/>
      <c r="B455" s="199"/>
      <c r="C455" s="195"/>
      <c r="D455" s="195"/>
      <c r="E455" s="195"/>
      <c r="F455" s="195"/>
      <c r="G455" s="195"/>
      <c r="H455" s="195"/>
      <c r="I455" s="195"/>
      <c r="J455" s="195"/>
      <c r="K455" s="195"/>
      <c r="L455" s="195"/>
      <c r="M455" s="195"/>
      <c r="N455" s="195"/>
      <c r="O455" s="195"/>
      <c r="P455" s="195"/>
      <c r="Q455" s="195"/>
      <c r="R455" s="195"/>
      <c r="S455" s="195"/>
      <c r="T455" s="195"/>
      <c r="U455" s="195"/>
      <c r="V455" s="195"/>
      <c r="W455" s="195"/>
      <c r="X455" s="195"/>
      <c r="Y455" s="195"/>
      <c r="Z455" s="195"/>
      <c r="AA455" s="195"/>
      <c r="AB455" s="195"/>
      <c r="AC455" s="195"/>
      <c r="AD455" s="195"/>
      <c r="AE455" s="195"/>
      <c r="AF455" s="195"/>
      <c r="AG455" s="195"/>
      <c r="AH455" s="195"/>
      <c r="AI455" s="195"/>
      <c r="AJ455" s="195"/>
      <c r="AK455" s="195"/>
      <c r="AL455" s="195"/>
      <c r="AM455" s="195"/>
    </row>
    <row r="456" spans="1:39" ht="15.75" hidden="1">
      <c r="A456" s="269"/>
      <c r="B456" s="270">
        <v>0</v>
      </c>
      <c r="C456" s="195"/>
      <c r="D456" s="195"/>
      <c r="E456" s="195"/>
      <c r="F456" s="195"/>
      <c r="G456" s="195"/>
      <c r="H456" s="195"/>
      <c r="I456" s="195"/>
      <c r="J456" s="195"/>
      <c r="K456" s="195"/>
      <c r="L456" s="195"/>
      <c r="M456" s="195"/>
      <c r="N456" s="195"/>
      <c r="O456" s="195"/>
      <c r="P456" s="195"/>
      <c r="Q456" s="195"/>
      <c r="R456" s="195"/>
      <c r="S456" s="195"/>
      <c r="T456" s="195"/>
      <c r="U456" s="195"/>
      <c r="V456" s="195"/>
      <c r="W456" s="195"/>
      <c r="X456" s="195"/>
      <c r="Y456" s="195"/>
      <c r="Z456" s="195"/>
      <c r="AA456" s="195"/>
      <c r="AB456" s="195"/>
      <c r="AC456" s="195"/>
      <c r="AD456" s="195"/>
      <c r="AE456" s="195"/>
      <c r="AF456" s="195"/>
      <c r="AG456" s="195"/>
      <c r="AH456" s="195"/>
      <c r="AI456" s="195"/>
      <c r="AJ456" s="195"/>
      <c r="AK456" s="195"/>
      <c r="AL456" s="195"/>
      <c r="AM456" s="195"/>
    </row>
    <row r="457" spans="1:39" hidden="1">
      <c r="A457" s="271"/>
      <c r="B457" s="199"/>
      <c r="C457" s="195"/>
      <c r="D457" s="195"/>
      <c r="E457" s="195"/>
      <c r="F457" s="195"/>
      <c r="G457" s="195"/>
      <c r="H457" s="195"/>
      <c r="I457" s="195"/>
      <c r="J457" s="195"/>
      <c r="K457" s="195"/>
      <c r="L457" s="195"/>
      <c r="M457" s="195"/>
      <c r="N457" s="195"/>
      <c r="O457" s="195"/>
      <c r="P457" s="195"/>
      <c r="Q457" s="195"/>
      <c r="R457" s="195"/>
      <c r="S457" s="195"/>
      <c r="T457" s="195"/>
      <c r="U457" s="195"/>
      <c r="V457" s="195"/>
      <c r="W457" s="195"/>
      <c r="X457" s="195"/>
      <c r="Y457" s="195"/>
      <c r="Z457" s="195"/>
      <c r="AA457" s="195"/>
      <c r="AB457" s="195"/>
      <c r="AC457" s="195"/>
      <c r="AD457" s="195"/>
      <c r="AE457" s="195"/>
      <c r="AF457" s="195"/>
      <c r="AG457" s="195"/>
      <c r="AH457" s="195"/>
      <c r="AI457" s="195"/>
      <c r="AJ457" s="195"/>
      <c r="AK457" s="195"/>
      <c r="AL457" s="195"/>
      <c r="AM457" s="195"/>
    </row>
    <row r="458" spans="1:39" hidden="1">
      <c r="A458" s="271"/>
      <c r="B458" s="199"/>
      <c r="C458" s="195"/>
      <c r="D458" s="195"/>
      <c r="E458" s="195"/>
      <c r="F458" s="195"/>
      <c r="G458" s="195"/>
      <c r="H458" s="195"/>
      <c r="I458" s="195"/>
      <c r="J458" s="195"/>
      <c r="K458" s="195"/>
      <c r="L458" s="195"/>
      <c r="M458" s="195"/>
      <c r="N458" s="195"/>
      <c r="O458" s="195"/>
      <c r="P458" s="195"/>
      <c r="Q458" s="195"/>
      <c r="R458" s="195"/>
      <c r="S458" s="195"/>
      <c r="T458" s="195"/>
      <c r="U458" s="195"/>
      <c r="V458" s="195"/>
      <c r="W458" s="195"/>
      <c r="X458" s="195"/>
      <c r="Y458" s="195"/>
      <c r="Z458" s="195"/>
      <c r="AA458" s="195"/>
      <c r="AB458" s="195"/>
      <c r="AC458" s="195"/>
      <c r="AD458" s="195"/>
      <c r="AE458" s="195"/>
      <c r="AF458" s="195"/>
      <c r="AG458" s="195"/>
      <c r="AH458" s="195"/>
      <c r="AI458" s="195"/>
      <c r="AJ458" s="195"/>
      <c r="AK458" s="195"/>
      <c r="AL458" s="195"/>
      <c r="AM458" s="195"/>
    </row>
    <row r="459" spans="1:39" ht="15.75" hidden="1">
      <c r="A459" s="269"/>
      <c r="B459" s="270"/>
      <c r="C459" s="195"/>
      <c r="D459" s="195"/>
      <c r="E459" s="195"/>
      <c r="F459" s="195"/>
      <c r="G459" s="195"/>
      <c r="H459" s="195"/>
      <c r="I459" s="195"/>
      <c r="J459" s="195"/>
      <c r="K459" s="195"/>
      <c r="L459" s="195"/>
      <c r="M459" s="195"/>
      <c r="N459" s="195"/>
      <c r="O459" s="195"/>
      <c r="P459" s="195"/>
      <c r="Q459" s="195"/>
      <c r="R459" s="195"/>
      <c r="S459" s="195"/>
      <c r="T459" s="195"/>
      <c r="U459" s="195"/>
      <c r="V459" s="195"/>
      <c r="W459" s="195"/>
      <c r="X459" s="195"/>
      <c r="Y459" s="195"/>
      <c r="Z459" s="195"/>
      <c r="AA459" s="195"/>
      <c r="AB459" s="195"/>
      <c r="AC459" s="195"/>
      <c r="AD459" s="195"/>
      <c r="AE459" s="195"/>
      <c r="AF459" s="195"/>
      <c r="AG459" s="195"/>
      <c r="AH459" s="195"/>
      <c r="AI459" s="195"/>
      <c r="AJ459" s="195"/>
      <c r="AK459" s="195"/>
      <c r="AL459" s="195"/>
      <c r="AM459" s="195"/>
    </row>
    <row r="460" spans="1:39" hidden="1">
      <c r="A460" s="271"/>
      <c r="B460" s="199"/>
      <c r="C460" s="195"/>
      <c r="D460" s="195"/>
      <c r="E460" s="195"/>
      <c r="F460" s="195"/>
      <c r="G460" s="195"/>
      <c r="H460" s="195"/>
      <c r="I460" s="195"/>
      <c r="J460" s="195"/>
      <c r="K460" s="195"/>
      <c r="L460" s="195"/>
      <c r="M460" s="195"/>
      <c r="N460" s="195"/>
      <c r="O460" s="195"/>
      <c r="P460" s="195"/>
      <c r="Q460" s="195"/>
      <c r="R460" s="195"/>
      <c r="S460" s="195"/>
      <c r="T460" s="195"/>
      <c r="U460" s="195"/>
      <c r="V460" s="195"/>
      <c r="W460" s="195"/>
      <c r="X460" s="195"/>
      <c r="Y460" s="195"/>
      <c r="Z460" s="195"/>
      <c r="AA460" s="195"/>
      <c r="AB460" s="195"/>
      <c r="AC460" s="195"/>
      <c r="AD460" s="195"/>
      <c r="AE460" s="195"/>
      <c r="AF460" s="195"/>
      <c r="AG460" s="195"/>
      <c r="AH460" s="195"/>
      <c r="AI460" s="195"/>
      <c r="AJ460" s="195"/>
      <c r="AK460" s="195"/>
      <c r="AL460" s="195"/>
      <c r="AM460" s="195"/>
    </row>
    <row r="461" spans="1:39" ht="15.75" hidden="1">
      <c r="A461" s="269"/>
      <c r="B461" s="270"/>
      <c r="C461" s="195"/>
      <c r="D461" s="195"/>
      <c r="E461" s="195"/>
      <c r="F461" s="195"/>
      <c r="G461" s="195"/>
      <c r="H461" s="195"/>
      <c r="I461" s="195"/>
      <c r="J461" s="195"/>
      <c r="K461" s="195"/>
      <c r="L461" s="195"/>
      <c r="M461" s="195"/>
      <c r="N461" s="195"/>
      <c r="O461" s="195"/>
      <c r="P461" s="195"/>
      <c r="Q461" s="195"/>
      <c r="R461" s="195"/>
      <c r="S461" s="195"/>
      <c r="T461" s="195"/>
      <c r="U461" s="195"/>
      <c r="V461" s="195"/>
      <c r="W461" s="195"/>
      <c r="X461" s="195"/>
      <c r="Y461" s="195"/>
      <c r="Z461" s="195"/>
      <c r="AA461" s="195"/>
      <c r="AB461" s="195"/>
      <c r="AC461" s="195"/>
      <c r="AD461" s="195"/>
      <c r="AE461" s="195"/>
      <c r="AF461" s="195"/>
      <c r="AG461" s="195"/>
      <c r="AH461" s="195"/>
      <c r="AI461" s="195"/>
      <c r="AJ461" s="195"/>
      <c r="AK461" s="195"/>
      <c r="AL461" s="195"/>
      <c r="AM461" s="195"/>
    </row>
    <row r="462" spans="1:39" hidden="1">
      <c r="A462" s="195"/>
      <c r="B462" s="195"/>
      <c r="C462" s="195"/>
      <c r="D462" s="195"/>
      <c r="E462" s="195"/>
      <c r="F462" s="195"/>
      <c r="G462" s="195"/>
      <c r="H462" s="195"/>
      <c r="I462" s="195"/>
      <c r="J462" s="195"/>
      <c r="K462" s="195"/>
      <c r="L462" s="195"/>
      <c r="M462" s="195"/>
      <c r="N462" s="195"/>
      <c r="O462" s="195"/>
      <c r="P462" s="195"/>
      <c r="Q462" s="195"/>
      <c r="R462" s="195"/>
      <c r="S462" s="195"/>
      <c r="T462" s="195"/>
      <c r="U462" s="195"/>
      <c r="V462" s="195"/>
      <c r="W462" s="195"/>
      <c r="X462" s="195"/>
      <c r="Y462" s="195"/>
      <c r="Z462" s="195"/>
      <c r="AA462" s="195"/>
      <c r="AB462" s="195"/>
      <c r="AC462" s="195"/>
      <c r="AD462" s="195"/>
      <c r="AE462" s="195"/>
      <c r="AF462" s="195"/>
      <c r="AG462" s="195"/>
      <c r="AH462" s="195"/>
      <c r="AI462" s="195"/>
      <c r="AJ462" s="195"/>
      <c r="AK462" s="195"/>
      <c r="AL462" s="195"/>
      <c r="AM462" s="195"/>
    </row>
    <row r="463" spans="1:39" hidden="1">
      <c r="A463" s="272"/>
      <c r="B463" s="195"/>
      <c r="C463" s="195"/>
      <c r="D463" s="195"/>
      <c r="E463" s="195"/>
      <c r="F463" s="195"/>
      <c r="G463" s="195"/>
      <c r="H463" s="195"/>
      <c r="I463" s="195"/>
      <c r="J463" s="195"/>
      <c r="K463" s="195"/>
      <c r="L463" s="195"/>
      <c r="M463" s="195"/>
      <c r="N463" s="195"/>
      <c r="O463" s="195"/>
      <c r="P463" s="195"/>
      <c r="Q463" s="195"/>
      <c r="R463" s="195"/>
      <c r="S463" s="195"/>
      <c r="T463" s="195"/>
      <c r="U463" s="195"/>
      <c r="V463" s="195"/>
      <c r="W463" s="195"/>
      <c r="X463" s="195"/>
      <c r="Y463" s="195"/>
      <c r="Z463" s="195"/>
      <c r="AA463" s="195"/>
      <c r="AB463" s="195"/>
      <c r="AC463" s="195"/>
      <c r="AD463" s="195"/>
      <c r="AE463" s="195"/>
      <c r="AF463" s="195"/>
      <c r="AG463" s="195"/>
      <c r="AH463" s="195"/>
      <c r="AI463" s="195"/>
      <c r="AJ463" s="195"/>
      <c r="AK463" s="195"/>
      <c r="AL463" s="195"/>
      <c r="AM463" s="195"/>
    </row>
    <row r="464" spans="1:39" hidden="1">
      <c r="A464" s="195"/>
      <c r="B464" s="195"/>
      <c r="C464" s="195"/>
      <c r="D464" s="195"/>
      <c r="E464" s="195"/>
      <c r="F464" s="195"/>
      <c r="G464" s="195"/>
      <c r="H464" s="195"/>
      <c r="I464" s="195"/>
      <c r="J464" s="195"/>
      <c r="K464" s="195"/>
      <c r="L464" s="195"/>
      <c r="M464" s="195"/>
      <c r="N464" s="195"/>
      <c r="O464" s="195"/>
      <c r="P464" s="195"/>
      <c r="Q464" s="195"/>
      <c r="R464" s="195"/>
      <c r="S464" s="195"/>
      <c r="T464" s="195"/>
      <c r="U464" s="195"/>
      <c r="V464" s="195"/>
      <c r="W464" s="195"/>
      <c r="X464" s="195"/>
      <c r="Y464" s="195"/>
      <c r="Z464" s="195"/>
      <c r="AA464" s="195"/>
      <c r="AB464" s="195"/>
      <c r="AC464" s="195"/>
      <c r="AD464" s="195"/>
      <c r="AE464" s="195"/>
      <c r="AF464" s="195"/>
      <c r="AG464" s="195"/>
      <c r="AH464" s="195"/>
      <c r="AI464" s="195"/>
      <c r="AJ464" s="195"/>
      <c r="AK464" s="195"/>
      <c r="AL464" s="195"/>
      <c r="AM464" s="195"/>
    </row>
    <row r="465" spans="1:39" hidden="1">
      <c r="A465" s="272"/>
      <c r="B465" s="195"/>
      <c r="C465" s="195"/>
      <c r="D465" s="195"/>
      <c r="E465" s="195"/>
      <c r="F465" s="195"/>
      <c r="G465" s="195"/>
      <c r="H465" s="195"/>
      <c r="I465" s="195"/>
      <c r="J465" s="195"/>
      <c r="K465" s="195"/>
      <c r="L465" s="195"/>
      <c r="M465" s="195"/>
      <c r="N465" s="195"/>
      <c r="O465" s="195"/>
      <c r="P465" s="195"/>
      <c r="Q465" s="195"/>
      <c r="R465" s="195"/>
      <c r="S465" s="195"/>
      <c r="T465" s="195"/>
      <c r="U465" s="195"/>
      <c r="V465" s="195"/>
      <c r="W465" s="195"/>
      <c r="X465" s="195"/>
      <c r="Y465" s="195"/>
      <c r="Z465" s="195"/>
      <c r="AA465" s="195"/>
      <c r="AB465" s="195"/>
      <c r="AC465" s="195"/>
      <c r="AD465" s="195"/>
      <c r="AE465" s="195"/>
      <c r="AF465" s="195"/>
      <c r="AG465" s="195"/>
      <c r="AH465" s="195"/>
      <c r="AI465" s="195"/>
      <c r="AJ465" s="195"/>
      <c r="AK465" s="195"/>
      <c r="AL465" s="195"/>
      <c r="AM465" s="195"/>
    </row>
    <row r="466" spans="1:39" hidden="1">
      <c r="A466" s="272"/>
      <c r="B466" s="273"/>
      <c r="C466" s="274"/>
      <c r="D466" s="195"/>
      <c r="E466" s="195"/>
      <c r="F466" s="195"/>
      <c r="G466" s="195"/>
      <c r="H466" s="195"/>
      <c r="I466" s="195"/>
      <c r="J466" s="195"/>
      <c r="K466" s="195"/>
      <c r="L466" s="195"/>
      <c r="M466" s="195"/>
      <c r="N466" s="195"/>
      <c r="O466" s="195"/>
      <c r="P466" s="195"/>
      <c r="Q466" s="195"/>
      <c r="R466" s="195"/>
      <c r="S466" s="195"/>
      <c r="T466" s="195"/>
      <c r="U466" s="195"/>
      <c r="V466" s="195"/>
      <c r="W466" s="195"/>
      <c r="X466" s="195"/>
      <c r="Y466" s="195"/>
      <c r="Z466" s="195"/>
      <c r="AA466" s="195"/>
      <c r="AB466" s="195"/>
      <c r="AC466" s="195"/>
      <c r="AD466" s="195"/>
      <c r="AE466" s="195"/>
      <c r="AF466" s="195"/>
      <c r="AG466" s="195"/>
      <c r="AH466" s="195"/>
      <c r="AI466" s="195"/>
      <c r="AJ466" s="195"/>
      <c r="AK466" s="195"/>
      <c r="AL466" s="195"/>
      <c r="AM466" s="195"/>
    </row>
    <row r="467" spans="1:39" hidden="1">
      <c r="A467" s="195"/>
      <c r="B467" s="275"/>
      <c r="C467" s="275"/>
      <c r="D467" s="195"/>
      <c r="E467" s="195"/>
      <c r="F467" s="195"/>
      <c r="G467" s="195"/>
      <c r="H467" s="195"/>
      <c r="I467" s="195"/>
      <c r="J467" s="195"/>
      <c r="K467" s="195"/>
      <c r="L467" s="195"/>
      <c r="M467" s="195"/>
      <c r="N467" s="195"/>
      <c r="O467" s="195"/>
      <c r="P467" s="195"/>
      <c r="Q467" s="195"/>
      <c r="R467" s="195"/>
      <c r="S467" s="195"/>
      <c r="T467" s="195"/>
      <c r="U467" s="195"/>
      <c r="V467" s="195"/>
      <c r="W467" s="195"/>
      <c r="X467" s="195"/>
      <c r="Y467" s="195"/>
      <c r="Z467" s="195"/>
      <c r="AA467" s="195"/>
      <c r="AB467" s="195"/>
      <c r="AC467" s="195"/>
      <c r="AD467" s="195"/>
      <c r="AE467" s="195"/>
      <c r="AF467" s="195"/>
      <c r="AG467" s="195"/>
      <c r="AH467" s="195"/>
      <c r="AI467" s="195"/>
      <c r="AJ467" s="195"/>
      <c r="AK467" s="195"/>
      <c r="AL467" s="195"/>
      <c r="AM467" s="195"/>
    </row>
    <row r="468" spans="1:39" hidden="1">
      <c r="A468" s="195" t="s">
        <v>587</v>
      </c>
      <c r="B468" s="275"/>
      <c r="C468" s="275"/>
      <c r="D468" s="195"/>
      <c r="E468" s="195"/>
      <c r="F468" s="195"/>
      <c r="G468" s="195"/>
      <c r="H468" s="195"/>
      <c r="I468" s="195"/>
      <c r="J468" s="195"/>
      <c r="K468" s="195"/>
      <c r="L468" s="195"/>
      <c r="M468" s="195"/>
      <c r="N468" s="195"/>
      <c r="O468" s="195"/>
      <c r="P468" s="195"/>
      <c r="Q468" s="195"/>
      <c r="R468" s="195"/>
      <c r="S468" s="195"/>
      <c r="T468" s="195"/>
      <c r="U468" s="195"/>
      <c r="V468" s="195"/>
      <c r="W468" s="195"/>
      <c r="X468" s="195"/>
      <c r="Y468" s="195"/>
      <c r="Z468" s="195"/>
      <c r="AA468" s="195"/>
      <c r="AB468" s="195"/>
      <c r="AC468" s="195"/>
      <c r="AD468" s="195"/>
      <c r="AE468" s="195"/>
      <c r="AF468" s="195"/>
      <c r="AG468" s="195"/>
      <c r="AH468" s="195"/>
      <c r="AI468" s="195"/>
      <c r="AJ468" s="195"/>
      <c r="AK468" s="195"/>
      <c r="AL468" s="195"/>
      <c r="AM468" s="195"/>
    </row>
    <row r="469" spans="1:39" hidden="1">
      <c r="A469" s="195" t="s">
        <v>588</v>
      </c>
      <c r="B469" s="275"/>
      <c r="C469" s="275"/>
      <c r="D469" s="195"/>
      <c r="E469" s="195"/>
      <c r="F469" s="195"/>
      <c r="G469" s="195"/>
      <c r="H469" s="195"/>
      <c r="I469" s="195"/>
      <c r="J469" s="195"/>
      <c r="K469" s="195"/>
      <c r="L469" s="195"/>
      <c r="M469" s="195"/>
      <c r="N469" s="195"/>
      <c r="O469" s="195"/>
      <c r="P469" s="195"/>
      <c r="Q469" s="195"/>
      <c r="R469" s="195"/>
      <c r="S469" s="195"/>
      <c r="T469" s="195"/>
      <c r="U469" s="195"/>
      <c r="V469" s="195"/>
      <c r="W469" s="195"/>
      <c r="X469" s="195"/>
      <c r="Y469" s="195"/>
      <c r="Z469" s="195"/>
      <c r="AA469" s="195"/>
      <c r="AB469" s="195"/>
      <c r="AC469" s="195"/>
      <c r="AD469" s="195"/>
      <c r="AE469" s="195"/>
      <c r="AF469" s="195"/>
      <c r="AG469" s="195"/>
      <c r="AH469" s="195"/>
      <c r="AI469" s="195"/>
      <c r="AJ469" s="195"/>
      <c r="AK469" s="195"/>
      <c r="AL469" s="195"/>
      <c r="AM469" s="195"/>
    </row>
    <row r="470" spans="1:39" hidden="1">
      <c r="A470" s="195" t="s">
        <v>589</v>
      </c>
      <c r="B470" s="275"/>
      <c r="C470" s="275"/>
      <c r="D470" s="195"/>
      <c r="E470" s="195"/>
      <c r="F470" s="195"/>
      <c r="G470" s="195"/>
      <c r="H470" s="195"/>
      <c r="I470" s="195"/>
      <c r="J470" s="195"/>
      <c r="K470" s="195"/>
      <c r="L470" s="195"/>
      <c r="M470" s="195"/>
      <c r="N470" s="195"/>
      <c r="O470" s="195"/>
      <c r="P470" s="195"/>
      <c r="Q470" s="195"/>
      <c r="R470" s="195"/>
      <c r="S470" s="195"/>
      <c r="T470" s="195"/>
      <c r="U470" s="195"/>
      <c r="V470" s="195"/>
      <c r="W470" s="195"/>
      <c r="X470" s="195"/>
      <c r="Y470" s="195"/>
      <c r="Z470" s="195"/>
      <c r="AA470" s="195"/>
      <c r="AB470" s="195"/>
      <c r="AC470" s="195"/>
      <c r="AD470" s="195"/>
      <c r="AE470" s="195"/>
      <c r="AF470" s="195"/>
      <c r="AG470" s="195"/>
      <c r="AH470" s="195"/>
      <c r="AI470" s="195"/>
      <c r="AJ470" s="195"/>
      <c r="AK470" s="195"/>
      <c r="AL470" s="195"/>
      <c r="AM470" s="195"/>
    </row>
    <row r="471" spans="1:39" hidden="1">
      <c r="A471" s="195" t="s">
        <v>590</v>
      </c>
      <c r="B471" s="275"/>
      <c r="C471" s="275"/>
      <c r="D471" s="195"/>
      <c r="E471" s="195"/>
      <c r="F471" s="195"/>
      <c r="G471" s="195"/>
      <c r="H471" s="195"/>
      <c r="I471" s="195"/>
      <c r="J471" s="195"/>
      <c r="K471" s="195"/>
      <c r="L471" s="195"/>
      <c r="M471" s="195"/>
      <c r="N471" s="195"/>
      <c r="O471" s="195"/>
      <c r="P471" s="195"/>
      <c r="Q471" s="195"/>
      <c r="R471" s="195"/>
      <c r="S471" s="195"/>
      <c r="T471" s="195"/>
      <c r="U471" s="195"/>
      <c r="V471" s="195"/>
      <c r="W471" s="195"/>
      <c r="X471" s="195"/>
      <c r="Y471" s="195"/>
      <c r="Z471" s="195"/>
      <c r="AA471" s="195"/>
      <c r="AB471" s="195"/>
      <c r="AC471" s="195"/>
      <c r="AD471" s="195"/>
      <c r="AE471" s="195"/>
      <c r="AF471" s="195"/>
      <c r="AG471" s="195"/>
      <c r="AH471" s="195"/>
      <c r="AI471" s="195"/>
      <c r="AJ471" s="195"/>
      <c r="AK471" s="195"/>
      <c r="AL471" s="195"/>
      <c r="AM471" s="195"/>
    </row>
    <row r="472" spans="1:39" hidden="1">
      <c r="A472" s="195" t="s">
        <v>591</v>
      </c>
      <c r="B472" s="275"/>
      <c r="C472" s="275"/>
      <c r="D472" s="195"/>
      <c r="E472" s="195"/>
      <c r="F472" s="195"/>
      <c r="G472" s="195"/>
      <c r="H472" s="195"/>
      <c r="I472" s="195"/>
      <c r="J472" s="195"/>
      <c r="K472" s="195"/>
      <c r="L472" s="195"/>
      <c r="M472" s="195"/>
      <c r="N472" s="195"/>
      <c r="O472" s="195"/>
      <c r="P472" s="195"/>
      <c r="Q472" s="195"/>
      <c r="R472" s="195"/>
      <c r="S472" s="195"/>
      <c r="T472" s="195"/>
      <c r="U472" s="195"/>
      <c r="V472" s="195"/>
      <c r="W472" s="195"/>
      <c r="X472" s="195"/>
      <c r="Y472" s="195"/>
      <c r="Z472" s="195"/>
      <c r="AA472" s="195"/>
      <c r="AB472" s="195"/>
      <c r="AC472" s="195"/>
      <c r="AD472" s="195"/>
      <c r="AE472" s="195"/>
      <c r="AF472" s="195"/>
      <c r="AG472" s="195"/>
      <c r="AH472" s="195"/>
      <c r="AI472" s="195"/>
      <c r="AJ472" s="195"/>
      <c r="AK472" s="195"/>
      <c r="AL472" s="195"/>
      <c r="AM472" s="195"/>
    </row>
    <row r="473" spans="1:39" hidden="1">
      <c r="A473" s="195">
        <v>0</v>
      </c>
      <c r="B473" s="275"/>
      <c r="C473" s="275"/>
      <c r="D473" s="195"/>
      <c r="E473" s="195"/>
      <c r="F473" s="195"/>
      <c r="G473" s="195"/>
      <c r="H473" s="195"/>
      <c r="I473" s="195"/>
      <c r="J473" s="195"/>
      <c r="K473" s="195"/>
      <c r="L473" s="195"/>
      <c r="M473" s="195"/>
      <c r="N473" s="195"/>
      <c r="O473" s="195"/>
      <c r="P473" s="195"/>
      <c r="Q473" s="195"/>
      <c r="R473" s="195"/>
      <c r="S473" s="195"/>
      <c r="T473" s="195"/>
      <c r="U473" s="195"/>
      <c r="V473" s="195"/>
      <c r="W473" s="195"/>
      <c r="X473" s="195"/>
      <c r="Y473" s="195"/>
      <c r="Z473" s="195"/>
      <c r="AA473" s="195"/>
      <c r="AB473" s="195"/>
      <c r="AC473" s="195"/>
      <c r="AD473" s="195"/>
      <c r="AE473" s="195"/>
      <c r="AF473" s="195"/>
      <c r="AG473" s="195"/>
      <c r="AH473" s="195"/>
      <c r="AI473" s="195"/>
      <c r="AJ473" s="195"/>
      <c r="AK473" s="195"/>
      <c r="AL473" s="195"/>
      <c r="AM473" s="195"/>
    </row>
    <row r="474" spans="1:39" hidden="1">
      <c r="A474" s="195">
        <v>0</v>
      </c>
      <c r="B474" s="275"/>
      <c r="C474" s="275"/>
      <c r="D474" s="195"/>
      <c r="E474" s="195"/>
      <c r="F474" s="195"/>
      <c r="G474" s="195"/>
      <c r="H474" s="195"/>
      <c r="I474" s="195"/>
      <c r="J474" s="195"/>
      <c r="K474" s="195"/>
      <c r="L474" s="195"/>
      <c r="M474" s="195"/>
      <c r="N474" s="195"/>
      <c r="O474" s="195"/>
      <c r="P474" s="195"/>
      <c r="Q474" s="195"/>
      <c r="R474" s="195"/>
      <c r="S474" s="195"/>
      <c r="T474" s="195"/>
      <c r="U474" s="195"/>
      <c r="V474" s="195"/>
      <c r="W474" s="195"/>
      <c r="X474" s="195"/>
      <c r="Y474" s="195"/>
      <c r="Z474" s="195"/>
      <c r="AA474" s="195"/>
      <c r="AB474" s="195"/>
      <c r="AC474" s="195"/>
      <c r="AD474" s="195"/>
      <c r="AE474" s="195"/>
      <c r="AF474" s="195"/>
      <c r="AG474" s="195"/>
      <c r="AH474" s="195"/>
      <c r="AI474" s="195"/>
      <c r="AJ474" s="195"/>
      <c r="AK474" s="195"/>
      <c r="AL474" s="195"/>
      <c r="AM474" s="195"/>
    </row>
    <row r="475" spans="1:39" hidden="1">
      <c r="A475" s="195">
        <v>0</v>
      </c>
      <c r="B475" s="275"/>
      <c r="C475" s="275"/>
      <c r="D475" s="195"/>
      <c r="E475" s="195"/>
      <c r="F475" s="195"/>
      <c r="G475" s="195"/>
      <c r="H475" s="195"/>
      <c r="I475" s="195"/>
      <c r="J475" s="195"/>
      <c r="K475" s="195"/>
      <c r="L475" s="195"/>
      <c r="M475" s="195"/>
      <c r="N475" s="195"/>
      <c r="O475" s="195"/>
      <c r="P475" s="195"/>
      <c r="Q475" s="195"/>
      <c r="R475" s="195"/>
      <c r="S475" s="195"/>
      <c r="T475" s="195"/>
      <c r="U475" s="195"/>
      <c r="V475" s="195"/>
      <c r="W475" s="195"/>
      <c r="X475" s="195"/>
      <c r="Y475" s="195"/>
      <c r="Z475" s="195"/>
      <c r="AA475" s="195"/>
      <c r="AB475" s="195"/>
      <c r="AC475" s="195"/>
      <c r="AD475" s="195"/>
      <c r="AE475" s="195"/>
      <c r="AF475" s="195"/>
      <c r="AG475" s="195"/>
      <c r="AH475" s="195"/>
      <c r="AI475" s="195"/>
      <c r="AJ475" s="195"/>
      <c r="AK475" s="195"/>
      <c r="AL475" s="195"/>
      <c r="AM475" s="195"/>
    </row>
    <row r="476" spans="1:39" hidden="1">
      <c r="A476" s="195">
        <v>0</v>
      </c>
      <c r="B476" s="275"/>
      <c r="C476" s="275"/>
      <c r="D476" s="195"/>
      <c r="E476" s="195"/>
      <c r="F476" s="195"/>
      <c r="G476" s="195"/>
      <c r="H476" s="195"/>
      <c r="I476" s="195"/>
      <c r="J476" s="195"/>
      <c r="K476" s="195"/>
      <c r="L476" s="195"/>
      <c r="M476" s="195"/>
      <c r="N476" s="195"/>
      <c r="O476" s="195"/>
      <c r="P476" s="195"/>
      <c r="Q476" s="195"/>
      <c r="R476" s="195"/>
      <c r="S476" s="195"/>
      <c r="T476" s="195"/>
      <c r="U476" s="195"/>
      <c r="V476" s="195"/>
      <c r="W476" s="195"/>
      <c r="X476" s="195"/>
      <c r="Y476" s="195"/>
      <c r="Z476" s="195"/>
      <c r="AA476" s="195"/>
      <c r="AB476" s="195"/>
      <c r="AC476" s="195"/>
      <c r="AD476" s="195"/>
      <c r="AE476" s="195"/>
      <c r="AF476" s="195"/>
      <c r="AG476" s="195"/>
      <c r="AH476" s="195"/>
      <c r="AI476" s="195"/>
      <c r="AJ476" s="195"/>
      <c r="AK476" s="195"/>
      <c r="AL476" s="195"/>
      <c r="AM476" s="195"/>
    </row>
    <row r="477" spans="1:39" hidden="1">
      <c r="A477" s="195">
        <v>0</v>
      </c>
      <c r="B477" s="275"/>
      <c r="C477" s="275"/>
      <c r="D477" s="195"/>
      <c r="E477" s="195"/>
      <c r="F477" s="195"/>
      <c r="G477" s="195"/>
      <c r="H477" s="195"/>
      <c r="I477" s="195"/>
      <c r="J477" s="195"/>
      <c r="K477" s="195"/>
      <c r="L477" s="195"/>
      <c r="M477" s="195"/>
      <c r="N477" s="195"/>
      <c r="O477" s="195"/>
      <c r="P477" s="195"/>
      <c r="Q477" s="195"/>
      <c r="R477" s="195"/>
      <c r="S477" s="195"/>
      <c r="T477" s="195"/>
      <c r="U477" s="195"/>
      <c r="V477" s="195"/>
      <c r="W477" s="195"/>
      <c r="X477" s="195"/>
      <c r="Y477" s="195"/>
      <c r="Z477" s="195"/>
      <c r="AA477" s="195"/>
      <c r="AB477" s="195"/>
      <c r="AC477" s="195"/>
      <c r="AD477" s="195"/>
      <c r="AE477" s="195"/>
      <c r="AF477" s="195"/>
      <c r="AG477" s="195"/>
      <c r="AH477" s="195"/>
      <c r="AI477" s="195"/>
      <c r="AJ477" s="195"/>
      <c r="AK477" s="195"/>
      <c r="AL477" s="195"/>
      <c r="AM477" s="195"/>
    </row>
    <row r="478" spans="1:39" hidden="1">
      <c r="A478" s="195">
        <v>0</v>
      </c>
      <c r="B478" s="275"/>
      <c r="C478" s="275"/>
      <c r="D478" s="195"/>
      <c r="E478" s="195"/>
      <c r="F478" s="195"/>
      <c r="G478" s="195"/>
      <c r="H478" s="195"/>
      <c r="I478" s="195"/>
      <c r="J478" s="195"/>
      <c r="K478" s="195"/>
      <c r="L478" s="195"/>
      <c r="M478" s="195"/>
      <c r="N478" s="195"/>
      <c r="O478" s="195"/>
      <c r="P478" s="195"/>
      <c r="Q478" s="195"/>
      <c r="R478" s="195"/>
      <c r="S478" s="195"/>
      <c r="T478" s="195"/>
      <c r="U478" s="195"/>
      <c r="V478" s="195"/>
      <c r="W478" s="195"/>
      <c r="X478" s="195"/>
      <c r="Y478" s="195"/>
      <c r="Z478" s="195"/>
      <c r="AA478" s="195"/>
      <c r="AB478" s="195"/>
      <c r="AC478" s="195"/>
      <c r="AD478" s="195"/>
      <c r="AE478" s="195"/>
      <c r="AF478" s="195"/>
      <c r="AG478" s="195"/>
      <c r="AH478" s="195"/>
      <c r="AI478" s="195"/>
      <c r="AJ478" s="195"/>
      <c r="AK478" s="195"/>
      <c r="AL478" s="195"/>
      <c r="AM478" s="195"/>
    </row>
    <row r="479" spans="1:39" hidden="1">
      <c r="A479" s="195"/>
      <c r="B479" s="195"/>
      <c r="C479" s="195"/>
      <c r="D479" s="195"/>
      <c r="E479" s="195"/>
      <c r="F479" s="195"/>
      <c r="G479" s="195"/>
      <c r="H479" s="195"/>
      <c r="I479" s="195"/>
      <c r="J479" s="195"/>
      <c r="K479" s="195"/>
      <c r="L479" s="195"/>
      <c r="M479" s="195"/>
      <c r="N479" s="195"/>
      <c r="O479" s="195"/>
      <c r="P479" s="195"/>
      <c r="Q479" s="195"/>
      <c r="R479" s="195"/>
      <c r="S479" s="195"/>
      <c r="T479" s="195"/>
      <c r="U479" s="195"/>
      <c r="V479" s="195"/>
      <c r="W479" s="195"/>
      <c r="X479" s="195"/>
      <c r="Y479" s="195"/>
      <c r="Z479" s="195"/>
      <c r="AA479" s="195"/>
      <c r="AB479" s="195"/>
      <c r="AC479" s="195"/>
      <c r="AD479" s="195"/>
      <c r="AE479" s="195"/>
      <c r="AF479" s="195"/>
      <c r="AG479" s="195"/>
      <c r="AH479" s="195"/>
      <c r="AI479" s="195"/>
      <c r="AJ479" s="195"/>
      <c r="AK479" s="195"/>
      <c r="AL479" s="195"/>
      <c r="AM479" s="195"/>
    </row>
    <row r="480" spans="1:39" hidden="1">
      <c r="A480" s="272" t="s">
        <v>760</v>
      </c>
      <c r="B480" s="195"/>
      <c r="C480" s="195"/>
      <c r="D480" s="195"/>
      <c r="E480" s="195"/>
      <c r="F480" s="195"/>
      <c r="G480" s="195"/>
      <c r="H480" s="195"/>
      <c r="I480" s="195"/>
      <c r="J480" s="195"/>
      <c r="K480" s="195"/>
      <c r="L480" s="195"/>
      <c r="M480" s="195"/>
      <c r="N480" s="195"/>
      <c r="O480" s="195"/>
      <c r="P480" s="195"/>
      <c r="Q480" s="195"/>
      <c r="R480" s="195"/>
      <c r="S480" s="195"/>
      <c r="T480" s="195"/>
      <c r="U480" s="195"/>
      <c r="V480" s="195"/>
      <c r="W480" s="195"/>
      <c r="X480" s="195"/>
      <c r="Y480" s="195"/>
      <c r="Z480" s="195"/>
      <c r="AA480" s="195"/>
      <c r="AB480" s="195"/>
      <c r="AC480" s="195"/>
      <c r="AD480" s="195"/>
      <c r="AE480" s="195"/>
      <c r="AF480" s="195"/>
      <c r="AG480" s="195"/>
      <c r="AH480" s="195"/>
      <c r="AI480" s="195"/>
      <c r="AJ480" s="195"/>
      <c r="AK480" s="195"/>
      <c r="AL480" s="195"/>
      <c r="AM480" s="195"/>
    </row>
    <row r="481" spans="1:39" hidden="1">
      <c r="A481" s="272"/>
      <c r="B481" s="195"/>
      <c r="C481" s="195"/>
      <c r="D481" s="195"/>
      <c r="E481" s="195"/>
      <c r="F481" s="195"/>
      <c r="G481" s="195"/>
      <c r="H481" s="195"/>
      <c r="I481" s="195"/>
      <c r="J481" s="195"/>
      <c r="K481" s="195"/>
      <c r="L481" s="195"/>
      <c r="M481" s="195"/>
      <c r="N481" s="195"/>
      <c r="O481" s="195"/>
      <c r="P481" s="195"/>
      <c r="Q481" s="195"/>
      <c r="R481" s="195"/>
      <c r="S481" s="195"/>
      <c r="T481" s="195"/>
      <c r="U481" s="195"/>
      <c r="V481" s="195"/>
      <c r="W481" s="195"/>
      <c r="X481" s="195"/>
      <c r="Y481" s="195"/>
      <c r="Z481" s="195"/>
      <c r="AA481" s="195"/>
      <c r="AB481" s="195"/>
      <c r="AC481" s="195"/>
      <c r="AD481" s="195"/>
      <c r="AE481" s="195"/>
      <c r="AF481" s="195"/>
      <c r="AG481" s="195"/>
      <c r="AH481" s="195"/>
      <c r="AI481" s="195"/>
      <c r="AJ481" s="195"/>
      <c r="AK481" s="195"/>
      <c r="AL481" s="195"/>
      <c r="AM481" s="195"/>
    </row>
    <row r="482" spans="1:39" hidden="1">
      <c r="A482" s="272"/>
      <c r="B482" s="195"/>
      <c r="C482" s="195"/>
      <c r="D482" s="195"/>
      <c r="E482" s="195"/>
      <c r="F482" s="195"/>
      <c r="G482" s="195"/>
      <c r="H482" s="195"/>
      <c r="I482" s="195"/>
      <c r="J482" s="195"/>
      <c r="K482" s="195"/>
      <c r="L482" s="195"/>
      <c r="M482" s="195"/>
      <c r="N482" s="195"/>
      <c r="O482" s="195"/>
      <c r="P482" s="195"/>
      <c r="Q482" s="195"/>
      <c r="R482" s="195"/>
      <c r="S482" s="195"/>
      <c r="T482" s="195"/>
      <c r="U482" s="195"/>
      <c r="V482" s="195"/>
      <c r="W482" s="195"/>
      <c r="X482" s="195"/>
      <c r="Y482" s="195"/>
      <c r="Z482" s="195"/>
      <c r="AA482" s="195"/>
      <c r="AB482" s="195"/>
      <c r="AC482" s="195"/>
      <c r="AD482" s="195"/>
      <c r="AE482" s="195"/>
      <c r="AF482" s="195"/>
      <c r="AG482" s="195"/>
      <c r="AH482" s="195"/>
      <c r="AI482" s="195"/>
      <c r="AJ482" s="195"/>
      <c r="AK482" s="195"/>
      <c r="AL482" s="195"/>
      <c r="AM482" s="195"/>
    </row>
    <row r="483" spans="1:39" hidden="1">
      <c r="A483" s="195"/>
      <c r="B483" s="195"/>
      <c r="C483" s="195"/>
      <c r="D483" s="195"/>
      <c r="E483" s="195"/>
      <c r="F483" s="195"/>
      <c r="G483" s="195"/>
      <c r="H483" s="195"/>
      <c r="I483" s="195"/>
      <c r="J483" s="195"/>
      <c r="K483" s="195"/>
      <c r="L483" s="195"/>
      <c r="M483" s="195"/>
      <c r="N483" s="195"/>
      <c r="O483" s="195"/>
      <c r="P483" s="195"/>
      <c r="Q483" s="195"/>
      <c r="R483" s="195"/>
      <c r="S483" s="195"/>
      <c r="T483" s="195"/>
      <c r="U483" s="195"/>
      <c r="V483" s="195"/>
      <c r="W483" s="195"/>
      <c r="X483" s="195"/>
      <c r="Y483" s="195"/>
      <c r="Z483" s="195"/>
      <c r="AA483" s="195"/>
      <c r="AB483" s="195"/>
      <c r="AC483" s="195"/>
      <c r="AD483" s="195"/>
      <c r="AE483" s="195"/>
      <c r="AF483" s="195"/>
      <c r="AG483" s="195"/>
      <c r="AH483" s="195"/>
      <c r="AI483" s="195"/>
      <c r="AJ483" s="195"/>
      <c r="AK483" s="195"/>
      <c r="AL483" s="195"/>
      <c r="AM483" s="195"/>
    </row>
    <row r="484" spans="1:39" hidden="1">
      <c r="A484" s="272"/>
      <c r="B484" s="195"/>
      <c r="C484" s="195"/>
      <c r="D484" s="195"/>
      <c r="E484" s="195"/>
      <c r="F484" s="195"/>
      <c r="G484" s="195"/>
      <c r="H484" s="195"/>
      <c r="I484" s="195"/>
      <c r="J484" s="195"/>
      <c r="K484" s="195"/>
      <c r="L484" s="195"/>
      <c r="M484" s="195"/>
      <c r="N484" s="195"/>
      <c r="O484" s="195"/>
      <c r="P484" s="195"/>
      <c r="Q484" s="195"/>
      <c r="R484" s="195"/>
      <c r="S484" s="195"/>
      <c r="T484" s="195"/>
      <c r="U484" s="195"/>
      <c r="V484" s="195"/>
      <c r="W484" s="195"/>
      <c r="X484" s="195"/>
      <c r="Y484" s="195"/>
      <c r="Z484" s="195"/>
      <c r="AA484" s="195"/>
      <c r="AB484" s="195"/>
      <c r="AC484" s="195"/>
      <c r="AD484" s="195"/>
      <c r="AE484" s="195"/>
      <c r="AF484" s="195"/>
      <c r="AG484" s="195"/>
      <c r="AH484" s="195"/>
      <c r="AI484" s="195"/>
      <c r="AJ484" s="195"/>
      <c r="AK484" s="195"/>
      <c r="AL484" s="195"/>
      <c r="AM484" s="195"/>
    </row>
    <row r="485" spans="1:39" hidden="1">
      <c r="A485" s="272"/>
      <c r="B485" s="195"/>
      <c r="C485" s="195"/>
      <c r="D485" s="195"/>
      <c r="E485" s="195"/>
      <c r="F485" s="195"/>
      <c r="G485" s="195"/>
      <c r="H485" s="195"/>
      <c r="I485" s="195"/>
      <c r="J485" s="195"/>
      <c r="K485" s="195"/>
      <c r="L485" s="195"/>
      <c r="M485" s="195"/>
      <c r="N485" s="195"/>
      <c r="O485" s="195"/>
      <c r="P485" s="195"/>
      <c r="Q485" s="195"/>
      <c r="R485" s="195"/>
      <c r="S485" s="195"/>
      <c r="T485" s="195"/>
      <c r="U485" s="195"/>
      <c r="V485" s="195"/>
      <c r="W485" s="195"/>
      <c r="X485" s="195"/>
      <c r="Y485" s="195"/>
      <c r="Z485" s="195"/>
      <c r="AA485" s="195"/>
      <c r="AB485" s="195"/>
      <c r="AC485" s="195"/>
      <c r="AD485" s="195"/>
      <c r="AE485" s="195"/>
      <c r="AF485" s="195"/>
      <c r="AG485" s="195"/>
      <c r="AH485" s="195"/>
      <c r="AI485" s="195"/>
      <c r="AJ485" s="195"/>
      <c r="AK485" s="195"/>
      <c r="AL485" s="195"/>
      <c r="AM485" s="195"/>
    </row>
    <row r="486" spans="1:39" hidden="1">
      <c r="A486" s="272"/>
      <c r="B486" s="195"/>
      <c r="C486" s="195"/>
      <c r="D486" s="195"/>
      <c r="E486" s="195"/>
      <c r="F486" s="195"/>
      <c r="G486" s="195"/>
      <c r="H486" s="195"/>
      <c r="I486" s="195"/>
      <c r="J486" s="195"/>
      <c r="K486" s="195"/>
      <c r="L486" s="195"/>
      <c r="M486" s="195"/>
      <c r="N486" s="195"/>
      <c r="O486" s="195"/>
      <c r="P486" s="195"/>
      <c r="Q486" s="195"/>
      <c r="R486" s="195"/>
      <c r="S486" s="195"/>
      <c r="T486" s="195"/>
      <c r="U486" s="195"/>
      <c r="V486" s="195"/>
      <c r="W486" s="195"/>
      <c r="X486" s="195"/>
      <c r="Y486" s="195"/>
      <c r="Z486" s="195"/>
      <c r="AA486" s="195"/>
      <c r="AB486" s="195"/>
      <c r="AC486" s="195"/>
      <c r="AD486" s="195"/>
      <c r="AE486" s="195"/>
      <c r="AF486" s="195"/>
      <c r="AG486" s="195"/>
      <c r="AH486" s="195"/>
      <c r="AI486" s="195"/>
      <c r="AJ486" s="195"/>
      <c r="AK486" s="195"/>
      <c r="AL486" s="195"/>
      <c r="AM486" s="195"/>
    </row>
    <row r="487" spans="1:39" hidden="1">
      <c r="A487" s="272"/>
      <c r="B487" s="195"/>
      <c r="C487" s="195"/>
      <c r="D487" s="195"/>
      <c r="E487" s="195"/>
      <c r="F487" s="195"/>
      <c r="G487" s="195"/>
      <c r="H487" s="195"/>
      <c r="I487" s="195"/>
      <c r="J487" s="195"/>
      <c r="K487" s="195"/>
      <c r="L487" s="195"/>
      <c r="M487" s="195"/>
      <c r="N487" s="195"/>
      <c r="O487" s="195"/>
      <c r="P487" s="195"/>
      <c r="Q487" s="195"/>
      <c r="R487" s="195"/>
      <c r="S487" s="195"/>
      <c r="T487" s="195"/>
      <c r="U487" s="195"/>
      <c r="V487" s="195"/>
      <c r="W487" s="195"/>
      <c r="X487" s="195"/>
      <c r="Y487" s="195"/>
      <c r="Z487" s="195"/>
      <c r="AA487" s="195"/>
      <c r="AB487" s="195"/>
      <c r="AC487" s="195"/>
      <c r="AD487" s="195"/>
      <c r="AE487" s="195"/>
      <c r="AF487" s="195"/>
      <c r="AG487" s="195"/>
      <c r="AH487" s="195"/>
      <c r="AI487" s="195"/>
      <c r="AJ487" s="195"/>
      <c r="AK487" s="195"/>
      <c r="AL487" s="195"/>
      <c r="AM487" s="195"/>
    </row>
    <row r="488" spans="1:39" hidden="1">
      <c r="A488" s="272"/>
      <c r="B488" s="195"/>
      <c r="C488" s="195"/>
      <c r="D488" s="195"/>
      <c r="E488" s="195"/>
      <c r="F488" s="195"/>
      <c r="G488" s="195"/>
      <c r="H488" s="195"/>
      <c r="I488" s="195"/>
      <c r="J488" s="195"/>
      <c r="K488" s="195"/>
      <c r="L488" s="195"/>
      <c r="M488" s="195"/>
      <c r="N488" s="195"/>
      <c r="O488" s="195"/>
      <c r="P488" s="195"/>
      <c r="Q488" s="195"/>
      <c r="R488" s="195"/>
      <c r="S488" s="195"/>
      <c r="T488" s="195"/>
      <c r="U488" s="195"/>
      <c r="V488" s="195"/>
      <c r="W488" s="195"/>
      <c r="X488" s="195"/>
      <c r="Y488" s="195"/>
      <c r="Z488" s="195"/>
      <c r="AA488" s="195"/>
      <c r="AB488" s="195"/>
      <c r="AC488" s="195"/>
      <c r="AD488" s="195"/>
      <c r="AE488" s="195"/>
      <c r="AF488" s="195"/>
      <c r="AG488" s="195"/>
      <c r="AH488" s="195"/>
      <c r="AI488" s="195"/>
      <c r="AJ488" s="195"/>
      <c r="AK488" s="195"/>
      <c r="AL488" s="195"/>
      <c r="AM488" s="195"/>
    </row>
    <row r="489" spans="1:39" hidden="1">
      <c r="A489" s="195"/>
      <c r="B489" s="195"/>
      <c r="C489" s="195"/>
      <c r="D489" s="195"/>
      <c r="E489" s="195"/>
      <c r="F489" s="195"/>
      <c r="G489" s="195"/>
      <c r="H489" s="195"/>
      <c r="I489" s="195"/>
      <c r="J489" s="195"/>
      <c r="K489" s="195"/>
      <c r="L489" s="195"/>
      <c r="M489" s="195"/>
      <c r="N489" s="195"/>
      <c r="O489" s="195"/>
      <c r="P489" s="195"/>
      <c r="Q489" s="195"/>
      <c r="R489" s="195"/>
      <c r="S489" s="195"/>
      <c r="T489" s="195"/>
      <c r="U489" s="195"/>
      <c r="V489" s="195"/>
      <c r="W489" s="195"/>
      <c r="X489" s="195"/>
      <c r="Y489" s="195"/>
      <c r="Z489" s="195"/>
      <c r="AA489" s="195"/>
      <c r="AB489" s="195"/>
      <c r="AC489" s="195"/>
      <c r="AD489" s="195"/>
      <c r="AE489" s="195"/>
      <c r="AF489" s="195"/>
      <c r="AG489" s="195"/>
      <c r="AH489" s="195"/>
      <c r="AI489" s="195"/>
      <c r="AJ489" s="195"/>
      <c r="AK489" s="195"/>
      <c r="AL489" s="195"/>
      <c r="AM489" s="195"/>
    </row>
    <row r="490" spans="1:39" hidden="1">
      <c r="A490" s="272"/>
      <c r="B490" s="195"/>
      <c r="C490" s="195"/>
      <c r="D490" s="195"/>
      <c r="E490" s="195"/>
      <c r="F490" s="195"/>
      <c r="G490" s="195"/>
      <c r="H490" s="195"/>
      <c r="I490" s="195"/>
      <c r="J490" s="195"/>
      <c r="K490" s="195"/>
      <c r="L490" s="195"/>
      <c r="M490" s="195"/>
      <c r="N490" s="195"/>
      <c r="O490" s="195"/>
      <c r="P490" s="195"/>
      <c r="Q490" s="195"/>
      <c r="R490" s="195"/>
      <c r="S490" s="195"/>
      <c r="T490" s="195"/>
      <c r="U490" s="195"/>
      <c r="V490" s="195"/>
      <c r="W490" s="195"/>
      <c r="X490" s="195"/>
      <c r="Y490" s="195"/>
      <c r="Z490" s="195"/>
      <c r="AA490" s="195"/>
      <c r="AB490" s="195"/>
      <c r="AC490" s="195"/>
      <c r="AD490" s="195"/>
      <c r="AE490" s="195"/>
      <c r="AF490" s="195"/>
      <c r="AG490" s="195"/>
      <c r="AH490" s="195"/>
      <c r="AI490" s="195"/>
      <c r="AJ490" s="195"/>
      <c r="AK490" s="195"/>
      <c r="AL490" s="195"/>
      <c r="AM490" s="195"/>
    </row>
    <row r="491" spans="1:39" hidden="1">
      <c r="A491" s="272"/>
      <c r="B491" s="195"/>
      <c r="C491" s="195"/>
      <c r="D491" s="195"/>
      <c r="E491" s="195"/>
      <c r="F491" s="195"/>
      <c r="G491" s="195"/>
      <c r="H491" s="195"/>
      <c r="I491" s="195"/>
      <c r="J491" s="195"/>
      <c r="K491" s="195"/>
      <c r="L491" s="195"/>
      <c r="M491" s="195"/>
      <c r="N491" s="195"/>
      <c r="O491" s="195"/>
      <c r="P491" s="195"/>
      <c r="Q491" s="195"/>
      <c r="R491" s="195"/>
      <c r="S491" s="195"/>
      <c r="T491" s="195"/>
      <c r="U491" s="195"/>
      <c r="V491" s="195"/>
      <c r="W491" s="195"/>
      <c r="X491" s="195"/>
      <c r="Y491" s="195"/>
      <c r="Z491" s="195"/>
      <c r="AA491" s="195"/>
      <c r="AB491" s="195"/>
      <c r="AC491" s="195"/>
      <c r="AD491" s="195"/>
      <c r="AE491" s="195"/>
      <c r="AF491" s="195"/>
      <c r="AG491" s="195"/>
      <c r="AH491" s="195"/>
      <c r="AI491" s="195"/>
      <c r="AJ491" s="195"/>
      <c r="AK491" s="195"/>
      <c r="AL491" s="195"/>
      <c r="AM491" s="195"/>
    </row>
    <row r="492" spans="1:39" hidden="1">
      <c r="A492" s="272"/>
      <c r="B492" s="195"/>
      <c r="C492" s="195"/>
      <c r="D492" s="195"/>
      <c r="E492" s="195"/>
      <c r="F492" s="195"/>
      <c r="G492" s="195"/>
      <c r="H492" s="195"/>
      <c r="I492" s="195"/>
      <c r="J492" s="195"/>
      <c r="K492" s="195"/>
      <c r="L492" s="195"/>
      <c r="M492" s="195"/>
      <c r="N492" s="195"/>
      <c r="O492" s="195"/>
      <c r="P492" s="195"/>
      <c r="Q492" s="195"/>
      <c r="R492" s="195"/>
      <c r="S492" s="195"/>
      <c r="T492" s="195"/>
      <c r="U492" s="195"/>
      <c r="V492" s="195"/>
      <c r="W492" s="195"/>
      <c r="X492" s="195"/>
      <c r="Y492" s="195"/>
      <c r="Z492" s="195"/>
      <c r="AA492" s="195"/>
      <c r="AB492" s="195"/>
      <c r="AC492" s="195"/>
      <c r="AD492" s="195"/>
      <c r="AE492" s="195"/>
      <c r="AF492" s="195"/>
      <c r="AG492" s="195"/>
      <c r="AH492" s="195"/>
      <c r="AI492" s="195"/>
      <c r="AJ492" s="195"/>
      <c r="AK492" s="195"/>
      <c r="AL492" s="195"/>
      <c r="AM492" s="195"/>
    </row>
    <row r="493" spans="1:39" hidden="1">
      <c r="A493" s="272"/>
      <c r="B493" s="195"/>
      <c r="C493" s="195"/>
      <c r="D493" s="195"/>
      <c r="E493" s="195"/>
      <c r="F493" s="195"/>
      <c r="G493" s="195"/>
      <c r="H493" s="195"/>
      <c r="I493" s="195"/>
      <c r="J493" s="195"/>
      <c r="K493" s="195"/>
      <c r="L493" s="195"/>
      <c r="M493" s="195"/>
      <c r="N493" s="195"/>
      <c r="O493" s="195"/>
      <c r="P493" s="195"/>
      <c r="Q493" s="195"/>
      <c r="R493" s="195"/>
      <c r="S493" s="195"/>
      <c r="T493" s="195"/>
      <c r="U493" s="195"/>
      <c r="V493" s="195"/>
      <c r="W493" s="195"/>
      <c r="X493" s="195"/>
      <c r="Y493" s="195"/>
      <c r="Z493" s="195"/>
      <c r="AA493" s="195"/>
      <c r="AB493" s="195"/>
      <c r="AC493" s="195"/>
      <c r="AD493" s="195"/>
      <c r="AE493" s="195"/>
      <c r="AF493" s="195"/>
      <c r="AG493" s="195"/>
      <c r="AH493" s="195"/>
      <c r="AI493" s="195"/>
      <c r="AJ493" s="195"/>
      <c r="AK493" s="195"/>
      <c r="AL493" s="195"/>
      <c r="AM493" s="195"/>
    </row>
    <row r="494" spans="1:39" hidden="1">
      <c r="A494" s="272"/>
      <c r="B494" s="195"/>
      <c r="C494" s="195"/>
      <c r="D494" s="195"/>
      <c r="E494" s="195"/>
      <c r="F494" s="195"/>
      <c r="G494" s="195"/>
      <c r="H494" s="195"/>
      <c r="I494" s="195"/>
      <c r="J494" s="195"/>
      <c r="K494" s="195"/>
      <c r="L494" s="195"/>
      <c r="M494" s="195"/>
      <c r="N494" s="195"/>
      <c r="O494" s="195"/>
      <c r="P494" s="195"/>
      <c r="Q494" s="195"/>
      <c r="R494" s="195"/>
      <c r="S494" s="195"/>
      <c r="T494" s="195"/>
      <c r="U494" s="195"/>
      <c r="V494" s="195"/>
      <c r="W494" s="195"/>
      <c r="X494" s="195"/>
      <c r="Y494" s="195"/>
      <c r="Z494" s="195"/>
      <c r="AA494" s="195"/>
      <c r="AB494" s="195"/>
      <c r="AC494" s="195"/>
      <c r="AD494" s="195"/>
      <c r="AE494" s="195"/>
      <c r="AF494" s="195"/>
      <c r="AG494" s="195"/>
      <c r="AH494" s="195"/>
      <c r="AI494" s="195"/>
      <c r="AJ494" s="195"/>
      <c r="AK494" s="195"/>
      <c r="AL494" s="195"/>
      <c r="AM494" s="195"/>
    </row>
    <row r="495" spans="1:39" hidden="1">
      <c r="A495" s="195"/>
      <c r="B495" s="195"/>
      <c r="C495" s="195"/>
      <c r="D495" s="195"/>
      <c r="E495" s="195"/>
      <c r="F495" s="195"/>
      <c r="G495" s="195"/>
      <c r="H495" s="195"/>
      <c r="I495" s="195"/>
      <c r="J495" s="195"/>
      <c r="K495" s="195"/>
      <c r="L495" s="195"/>
      <c r="M495" s="195"/>
      <c r="N495" s="195"/>
      <c r="O495" s="195"/>
      <c r="P495" s="195"/>
      <c r="Q495" s="195"/>
      <c r="R495" s="195"/>
      <c r="S495" s="195"/>
      <c r="T495" s="195"/>
      <c r="U495" s="195"/>
      <c r="V495" s="195"/>
      <c r="W495" s="195"/>
      <c r="X495" s="195"/>
      <c r="Y495" s="195"/>
      <c r="Z495" s="195"/>
      <c r="AA495" s="195"/>
      <c r="AB495" s="195"/>
      <c r="AC495" s="195"/>
      <c r="AD495" s="195"/>
      <c r="AE495" s="195"/>
      <c r="AF495" s="195"/>
      <c r="AG495" s="195"/>
      <c r="AH495" s="195"/>
      <c r="AI495" s="195"/>
      <c r="AJ495" s="195"/>
      <c r="AK495" s="195"/>
      <c r="AL495" s="195"/>
      <c r="AM495" s="195"/>
    </row>
    <row r="496" spans="1:39" hidden="1">
      <c r="A496" s="272"/>
      <c r="B496" s="195"/>
      <c r="C496" s="195"/>
      <c r="D496" s="195"/>
      <c r="E496" s="195"/>
      <c r="F496" s="195"/>
      <c r="G496" s="195"/>
      <c r="H496" s="195"/>
      <c r="I496" s="195"/>
      <c r="J496" s="195"/>
      <c r="K496" s="195"/>
      <c r="L496" s="195"/>
      <c r="M496" s="195"/>
      <c r="N496" s="195"/>
      <c r="O496" s="195"/>
      <c r="P496" s="195"/>
      <c r="Q496" s="195"/>
      <c r="R496" s="195"/>
      <c r="S496" s="195"/>
      <c r="T496" s="195"/>
      <c r="U496" s="195"/>
      <c r="V496" s="195"/>
      <c r="W496" s="195"/>
      <c r="X496" s="195"/>
      <c r="Y496" s="195"/>
      <c r="Z496" s="195"/>
      <c r="AA496" s="195"/>
      <c r="AB496" s="195"/>
      <c r="AC496" s="195"/>
      <c r="AD496" s="195"/>
      <c r="AE496" s="195"/>
      <c r="AF496" s="195"/>
      <c r="AG496" s="195"/>
      <c r="AH496" s="195"/>
      <c r="AI496" s="195"/>
      <c r="AJ496" s="195"/>
      <c r="AK496" s="195"/>
      <c r="AL496" s="195"/>
      <c r="AM496" s="195"/>
    </row>
    <row r="497" spans="1:39" hidden="1">
      <c r="A497" s="272"/>
      <c r="B497" s="195"/>
      <c r="C497" s="195"/>
      <c r="D497" s="195"/>
      <c r="E497" s="195"/>
      <c r="F497" s="195"/>
      <c r="G497" s="195"/>
      <c r="H497" s="195"/>
      <c r="I497" s="195"/>
      <c r="J497" s="195"/>
      <c r="K497" s="195"/>
      <c r="L497" s="195"/>
      <c r="M497" s="195"/>
      <c r="N497" s="195"/>
      <c r="O497" s="195"/>
      <c r="P497" s="195"/>
      <c r="Q497" s="195"/>
      <c r="R497" s="195"/>
      <c r="S497" s="195"/>
      <c r="T497" s="195"/>
      <c r="U497" s="195"/>
      <c r="V497" s="195"/>
      <c r="W497" s="195"/>
      <c r="X497" s="195"/>
      <c r="Y497" s="195"/>
      <c r="Z497" s="195"/>
      <c r="AA497" s="195"/>
      <c r="AB497" s="195"/>
      <c r="AC497" s="195"/>
      <c r="AD497" s="195"/>
      <c r="AE497" s="195"/>
      <c r="AF497" s="195"/>
      <c r="AG497" s="195"/>
      <c r="AH497" s="195"/>
      <c r="AI497" s="195"/>
      <c r="AJ497" s="195"/>
      <c r="AK497" s="195"/>
      <c r="AL497" s="195"/>
      <c r="AM497" s="195"/>
    </row>
    <row r="498" spans="1:39" hidden="1">
      <c r="A498" s="272"/>
      <c r="B498" s="195"/>
      <c r="C498" s="195"/>
      <c r="D498" s="195"/>
      <c r="E498" s="195"/>
      <c r="F498" s="195"/>
      <c r="G498" s="195"/>
      <c r="H498" s="195"/>
      <c r="I498" s="195"/>
      <c r="J498" s="195"/>
      <c r="K498" s="195"/>
      <c r="L498" s="195"/>
      <c r="M498" s="195"/>
      <c r="N498" s="195"/>
      <c r="O498" s="195"/>
      <c r="P498" s="195"/>
      <c r="Q498" s="195"/>
      <c r="R498" s="195"/>
      <c r="S498" s="195"/>
      <c r="T498" s="195"/>
      <c r="U498" s="195"/>
      <c r="V498" s="195"/>
      <c r="W498" s="195"/>
      <c r="X498" s="195"/>
      <c r="Y498" s="195"/>
      <c r="Z498" s="195"/>
      <c r="AA498" s="195"/>
      <c r="AB498" s="195"/>
      <c r="AC498" s="195"/>
      <c r="AD498" s="195"/>
      <c r="AE498" s="195"/>
      <c r="AF498" s="195"/>
      <c r="AG498" s="195"/>
      <c r="AH498" s="195"/>
      <c r="AI498" s="195"/>
      <c r="AJ498" s="195"/>
      <c r="AK498" s="195"/>
      <c r="AL498" s="195"/>
      <c r="AM498" s="195"/>
    </row>
    <row r="499" spans="1:39" hidden="1">
      <c r="A499" s="272"/>
      <c r="B499" s="195"/>
      <c r="C499" s="195"/>
      <c r="D499" s="195"/>
      <c r="E499" s="195"/>
      <c r="F499" s="195"/>
      <c r="G499" s="195"/>
      <c r="H499" s="195"/>
      <c r="I499" s="195"/>
      <c r="J499" s="195"/>
      <c r="K499" s="195"/>
      <c r="L499" s="195"/>
      <c r="M499" s="195"/>
      <c r="N499" s="195"/>
      <c r="O499" s="195"/>
      <c r="P499" s="195"/>
      <c r="Q499" s="195"/>
      <c r="R499" s="195"/>
      <c r="S499" s="195"/>
      <c r="T499" s="195"/>
      <c r="U499" s="195"/>
      <c r="V499" s="195"/>
      <c r="W499" s="195"/>
      <c r="X499" s="195"/>
      <c r="Y499" s="195"/>
      <c r="Z499" s="195"/>
      <c r="AA499" s="195"/>
      <c r="AB499" s="195"/>
      <c r="AC499" s="195"/>
      <c r="AD499" s="195"/>
      <c r="AE499" s="195"/>
      <c r="AF499" s="195"/>
      <c r="AG499" s="195"/>
      <c r="AH499" s="195"/>
      <c r="AI499" s="195"/>
      <c r="AJ499" s="195"/>
      <c r="AK499" s="195"/>
      <c r="AL499" s="195"/>
      <c r="AM499" s="195"/>
    </row>
    <row r="500" spans="1:39" hidden="1">
      <c r="A500" s="272"/>
      <c r="B500" s="195">
        <v>500</v>
      </c>
      <c r="C500" s="195"/>
      <c r="D500" s="195"/>
      <c r="E500" s="195"/>
      <c r="F500" s="195"/>
      <c r="G500" s="195"/>
      <c r="H500" s="195"/>
      <c r="I500" s="195"/>
      <c r="J500" s="195"/>
      <c r="K500" s="195"/>
      <c r="L500" s="195"/>
      <c r="M500" s="195"/>
      <c r="N500" s="195"/>
      <c r="O500" s="195"/>
      <c r="P500" s="195"/>
      <c r="Q500" s="195"/>
      <c r="R500" s="195"/>
      <c r="S500" s="195"/>
      <c r="T500" s="195"/>
      <c r="U500" s="195"/>
      <c r="V500" s="195"/>
      <c r="W500" s="195"/>
      <c r="X500" s="195"/>
      <c r="Y500" s="195"/>
      <c r="Z500" s="195"/>
      <c r="AA500" s="195"/>
      <c r="AB500" s="195"/>
      <c r="AC500" s="195"/>
      <c r="AD500" s="195"/>
      <c r="AE500" s="195"/>
      <c r="AF500" s="195"/>
      <c r="AG500" s="195"/>
      <c r="AH500" s="195"/>
      <c r="AI500" s="195"/>
      <c r="AJ500" s="195"/>
      <c r="AK500" s="195"/>
      <c r="AL500" s="195"/>
      <c r="AM500" s="195"/>
    </row>
    <row r="501" spans="1:39" hidden="1">
      <c r="A501" s="195"/>
      <c r="B501" s="195"/>
      <c r="C501" s="195"/>
      <c r="D501" s="195"/>
      <c r="E501" s="195"/>
      <c r="F501" s="195"/>
      <c r="G501" s="195"/>
      <c r="H501" s="195"/>
      <c r="I501" s="195"/>
      <c r="J501" s="195"/>
      <c r="K501" s="195"/>
      <c r="L501" s="195"/>
      <c r="M501" s="195"/>
      <c r="N501" s="195"/>
      <c r="O501" s="195"/>
      <c r="P501" s="195"/>
      <c r="Q501" s="195"/>
      <c r="R501" s="195"/>
      <c r="S501" s="195"/>
      <c r="T501" s="195"/>
      <c r="U501" s="195"/>
      <c r="V501" s="195"/>
      <c r="W501" s="195"/>
      <c r="X501" s="195"/>
      <c r="Y501" s="195"/>
      <c r="Z501" s="195"/>
      <c r="AA501" s="195"/>
      <c r="AB501" s="195"/>
      <c r="AC501" s="195"/>
      <c r="AD501" s="195"/>
      <c r="AE501" s="195"/>
      <c r="AF501" s="195"/>
      <c r="AG501" s="195"/>
      <c r="AH501" s="195"/>
      <c r="AI501" s="195"/>
      <c r="AJ501" s="195"/>
      <c r="AK501" s="195"/>
      <c r="AL501" s="195"/>
      <c r="AM501" s="195"/>
    </row>
    <row r="502" spans="1:39" hidden="1">
      <c r="A502" s="272"/>
      <c r="B502" s="195"/>
      <c r="C502" s="195"/>
      <c r="D502" s="195"/>
      <c r="E502" s="195"/>
      <c r="F502" s="195"/>
      <c r="G502" s="195"/>
      <c r="H502" s="195"/>
      <c r="I502" s="195"/>
      <c r="J502" s="195"/>
      <c r="K502" s="195"/>
      <c r="L502" s="195"/>
      <c r="M502" s="195"/>
      <c r="N502" s="195"/>
      <c r="O502" s="195"/>
      <c r="P502" s="195"/>
      <c r="Q502" s="195"/>
      <c r="R502" s="195"/>
      <c r="S502" s="195"/>
      <c r="T502" s="195"/>
      <c r="U502" s="195"/>
      <c r="V502" s="195"/>
      <c r="W502" s="195"/>
      <c r="X502" s="195"/>
      <c r="Y502" s="195"/>
      <c r="Z502" s="195"/>
      <c r="AA502" s="195"/>
      <c r="AB502" s="195"/>
      <c r="AC502" s="195"/>
      <c r="AD502" s="195"/>
      <c r="AE502" s="195"/>
      <c r="AF502" s="195"/>
      <c r="AG502" s="195"/>
      <c r="AH502" s="195"/>
      <c r="AI502" s="195"/>
      <c r="AJ502" s="195"/>
      <c r="AK502" s="195"/>
      <c r="AL502" s="195"/>
      <c r="AM502" s="195"/>
    </row>
    <row r="503" spans="1:39" hidden="1">
      <c r="A503" s="95"/>
    </row>
    <row r="504" spans="1:39" hidden="1">
      <c r="A504" s="95"/>
    </row>
    <row r="505" spans="1:39" hidden="1">
      <c r="A505" s="95"/>
    </row>
    <row r="506" spans="1:39" hidden="1">
      <c r="A506" s="95"/>
    </row>
    <row r="507" spans="1:39" hidden="1"/>
    <row r="508" spans="1:39" hidden="1">
      <c r="A508" s="95"/>
    </row>
    <row r="509" spans="1:39" hidden="1">
      <c r="A509" s="95"/>
    </row>
    <row r="510" spans="1:39" hidden="1">
      <c r="A510" s="95"/>
    </row>
  </sheetData>
  <sheetProtection password="902B" sheet="1" objects="1" scenarios="1"/>
  <mergeCells count="103">
    <mergeCell ref="J367:J368"/>
    <mergeCell ref="K367:K368"/>
    <mergeCell ref="L367:L368"/>
    <mergeCell ref="M367:M368"/>
    <mergeCell ref="P248:P249"/>
    <mergeCell ref="P299:P300"/>
    <mergeCell ref="P289:P290"/>
    <mergeCell ref="N367:N368"/>
    <mergeCell ref="O367:O368"/>
    <mergeCell ref="P367:P368"/>
    <mergeCell ref="S367:S368"/>
    <mergeCell ref="S336:S337"/>
    <mergeCell ref="R367:R368"/>
    <mergeCell ref="Q367:Q368"/>
    <mergeCell ref="Q336:Q337"/>
    <mergeCell ref="R336:R337"/>
    <mergeCell ref="I367:I368"/>
    <mergeCell ref="L336:L337"/>
    <mergeCell ref="M336:M337"/>
    <mergeCell ref="A192:A193"/>
    <mergeCell ref="K310:K311"/>
    <mergeCell ref="I336:I337"/>
    <mergeCell ref="J336:J337"/>
    <mergeCell ref="K336:K337"/>
    <mergeCell ref="G192:G193"/>
    <mergeCell ref="H192:H193"/>
    <mergeCell ref="C367:C368"/>
    <mergeCell ref="D367:D368"/>
    <mergeCell ref="E367:E368"/>
    <mergeCell ref="F367:F368"/>
    <mergeCell ref="G367:G368"/>
    <mergeCell ref="H367:H368"/>
    <mergeCell ref="H248:H249"/>
    <mergeCell ref="C98:C99"/>
    <mergeCell ref="A98:A99"/>
    <mergeCell ref="B98:B99"/>
    <mergeCell ref="A116:A117"/>
    <mergeCell ref="B116:B117"/>
    <mergeCell ref="B192:F192"/>
    <mergeCell ref="A194:A196"/>
    <mergeCell ref="A96:C96"/>
    <mergeCell ref="F96:G97"/>
    <mergeCell ref="A28:B29"/>
    <mergeCell ref="A11:A14"/>
    <mergeCell ref="B11:B14"/>
    <mergeCell ref="A45:A46"/>
    <mergeCell ref="B45:B46"/>
    <mergeCell ref="A62:D63"/>
    <mergeCell ref="A78:A80"/>
    <mergeCell ref="C11:H12"/>
    <mergeCell ref="C13:C14"/>
    <mergeCell ref="E13:E14"/>
    <mergeCell ref="H13:H14"/>
    <mergeCell ref="G13:G14"/>
    <mergeCell ref="F13:F14"/>
    <mergeCell ref="D13:D14"/>
    <mergeCell ref="A30:A31"/>
    <mergeCell ref="B30:B31"/>
    <mergeCell ref="H351:J351"/>
    <mergeCell ref="C336:C337"/>
    <mergeCell ref="D336:D337"/>
    <mergeCell ref="E336:E337"/>
    <mergeCell ref="C351:E351"/>
    <mergeCell ref="H336:H337"/>
    <mergeCell ref="F336:F337"/>
    <mergeCell ref="G336:G337"/>
    <mergeCell ref="H258:H259"/>
    <mergeCell ref="H269:H270"/>
    <mergeCell ref="H279:H280"/>
    <mergeCell ref="H289:H290"/>
    <mergeCell ref="P258:P259"/>
    <mergeCell ref="N336:N337"/>
    <mergeCell ref="P279:P280"/>
    <mergeCell ref="P269:P270"/>
    <mergeCell ref="O336:O337"/>
    <mergeCell ref="P336:P337"/>
    <mergeCell ref="AE336:AE337"/>
    <mergeCell ref="AC336:AC337"/>
    <mergeCell ref="AD336:AD337"/>
    <mergeCell ref="W336:W337"/>
    <mergeCell ref="X336:X337"/>
    <mergeCell ref="Y336:Y337"/>
    <mergeCell ref="Z336:Z337"/>
    <mergeCell ref="AG336:AG337"/>
    <mergeCell ref="AH336:AH337"/>
    <mergeCell ref="AI336:AI337"/>
    <mergeCell ref="AJ336:AJ337"/>
    <mergeCell ref="AK336:AK337"/>
    <mergeCell ref="T336:T337"/>
    <mergeCell ref="AA336:AA337"/>
    <mergeCell ref="AB336:AB337"/>
    <mergeCell ref="U336:U337"/>
    <mergeCell ref="V336:V337"/>
    <mergeCell ref="AL336:AL337"/>
    <mergeCell ref="G407:H407"/>
    <mergeCell ref="D2:E2"/>
    <mergeCell ref="B1:I1"/>
    <mergeCell ref="E137:F137"/>
    <mergeCell ref="B310:J310"/>
    <mergeCell ref="B7:D7"/>
    <mergeCell ref="H299:H300"/>
    <mergeCell ref="I192:I193"/>
    <mergeCell ref="AF336:AF337"/>
  </mergeCells>
  <phoneticPr fontId="62" type="noConversion"/>
  <pageMargins left="0.75" right="0.75" top="1" bottom="1" header="0" footer="0"/>
  <pageSetup paperSize="9" orientation="portrait" horizontalDpi="0" verticalDpi="0" r:id="rId1"/>
  <headerFooter alignWithMargins="0"/>
  <drawing r:id="rId2"/>
  <legacyDrawing r:id="rId3"/>
  <controls>
    <mc:AlternateContent xmlns:mc="http://schemas.openxmlformats.org/markup-compatibility/2006">
      <mc:Choice Requires="x14">
        <control shapeId="2512898" r:id="rId4" name="CommandButton1">
          <controlPr defaultSize="0" autoLine="0" r:id="rId5">
            <anchor moveWithCells="1">
              <from>
                <xdr:col>3</xdr:col>
                <xdr:colOff>9525</xdr:colOff>
                <xdr:row>1</xdr:row>
                <xdr:rowOff>0</xdr:rowOff>
              </from>
              <to>
                <xdr:col>5</xdr:col>
                <xdr:colOff>9525</xdr:colOff>
                <xdr:row>2</xdr:row>
                <xdr:rowOff>19050</xdr:rowOff>
              </to>
            </anchor>
          </controlPr>
        </control>
      </mc:Choice>
      <mc:Fallback>
        <control shapeId="2512898" r:id="rId4" name="CommandButton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S509"/>
  <sheetViews>
    <sheetView showGridLines="0" topLeftCell="A175" zoomScale="75" workbookViewId="0">
      <selection activeCell="G193" sqref="G193"/>
    </sheetView>
  </sheetViews>
  <sheetFormatPr baseColWidth="10" defaultColWidth="12.42578125" defaultRowHeight="17.100000000000001" customHeight="1"/>
  <cols>
    <col min="1" max="1" width="48.7109375" style="2" customWidth="1"/>
    <col min="2" max="2" width="17.42578125" style="2" customWidth="1"/>
    <col min="3" max="3" width="17.85546875" style="2" customWidth="1"/>
    <col min="4" max="4" width="15.85546875" style="2" customWidth="1"/>
    <col min="5" max="5" width="16" style="2" customWidth="1"/>
    <col min="6" max="6" width="16.5703125" style="2" customWidth="1"/>
    <col min="7" max="7" width="14.7109375" style="2" customWidth="1"/>
    <col min="8" max="8" width="13.85546875" style="2" customWidth="1"/>
    <col min="9" max="9" width="19.85546875" style="2" bestFit="1" customWidth="1"/>
    <col min="10" max="10" width="21.7109375" style="2" customWidth="1"/>
    <col min="11" max="12" width="13.7109375" style="2" customWidth="1"/>
    <col min="13" max="13" width="12" style="2" customWidth="1"/>
    <col min="14" max="15" width="12.42578125" style="2"/>
    <col min="16" max="16" width="15.28515625" style="2" customWidth="1"/>
    <col min="17" max="21" width="12.42578125" style="2"/>
    <col min="22" max="30" width="12.42578125" style="2" customWidth="1"/>
    <col min="31" max="32" width="12.85546875" style="2" customWidth="1"/>
    <col min="33" max="33" width="14.5703125" style="2" customWidth="1"/>
    <col min="34" max="34" width="12.42578125" style="2"/>
    <col min="35" max="35" width="14.5703125" style="2" customWidth="1"/>
    <col min="36" max="37" width="14.85546875" style="2" customWidth="1"/>
    <col min="38" max="16384" width="12.42578125" style="2"/>
  </cols>
  <sheetData>
    <row r="1" spans="1:40" ht="17.100000000000001" customHeight="1">
      <c r="A1" s="189"/>
      <c r="B1" s="190"/>
      <c r="C1" s="190"/>
      <c r="D1" s="190"/>
      <c r="E1" s="191"/>
      <c r="F1" s="191"/>
      <c r="G1" s="191"/>
      <c r="H1" s="194"/>
      <c r="I1" s="194"/>
      <c r="J1" s="194"/>
      <c r="K1" s="194"/>
      <c r="L1" s="194"/>
      <c r="M1" s="194"/>
      <c r="N1" s="194"/>
      <c r="O1" s="195"/>
      <c r="P1" s="195"/>
      <c r="Q1" s="195"/>
      <c r="R1" s="195"/>
      <c r="S1" s="195"/>
      <c r="T1" s="195"/>
      <c r="U1" s="195"/>
      <c r="AN1" s="2" t="s">
        <v>835</v>
      </c>
    </row>
    <row r="2" spans="1:40" ht="17.100000000000001" customHeight="1">
      <c r="A2" s="192" t="s">
        <v>570</v>
      </c>
      <c r="B2" s="191"/>
      <c r="C2" s="191"/>
      <c r="D2" s="191"/>
      <c r="E2" s="191"/>
      <c r="F2" s="191"/>
      <c r="G2" s="191"/>
      <c r="H2" s="194"/>
      <c r="I2" s="194"/>
      <c r="J2" s="194"/>
      <c r="K2" s="194"/>
      <c r="L2" s="194"/>
      <c r="M2" s="194"/>
      <c r="N2" s="194"/>
      <c r="O2" s="195"/>
      <c r="P2" s="195"/>
      <c r="Q2" s="195"/>
      <c r="R2" s="195"/>
      <c r="S2" s="195"/>
      <c r="T2" s="195"/>
      <c r="U2" s="195"/>
    </row>
    <row r="3" spans="1:40" ht="17.100000000000001" customHeight="1">
      <c r="A3" s="193"/>
      <c r="B3" s="193"/>
      <c r="C3" s="193"/>
      <c r="D3" s="193"/>
      <c r="E3" s="193"/>
      <c r="F3" s="193"/>
      <c r="G3" s="194"/>
      <c r="H3" s="194"/>
      <c r="I3" s="194"/>
      <c r="J3" s="194"/>
      <c r="K3" s="194"/>
      <c r="L3" s="194"/>
      <c r="M3" s="194"/>
      <c r="N3" s="194"/>
      <c r="O3" s="195"/>
      <c r="P3" s="195"/>
      <c r="Q3" s="195"/>
      <c r="R3" s="195"/>
      <c r="S3" s="195"/>
      <c r="T3" s="195"/>
      <c r="U3" s="195"/>
    </row>
    <row r="4" spans="1:40" ht="17.100000000000001" customHeight="1">
      <c r="A4" s="4" t="s">
        <v>571</v>
      </c>
      <c r="B4" s="859" t="s">
        <v>887</v>
      </c>
      <c r="C4" s="331"/>
      <c r="D4" s="331"/>
      <c r="E4" s="331"/>
      <c r="F4" s="332"/>
      <c r="G4" s="194"/>
      <c r="H4" s="194"/>
      <c r="I4" s="194"/>
      <c r="J4" s="194"/>
      <c r="K4" s="194"/>
      <c r="L4" s="194"/>
      <c r="M4" s="194"/>
      <c r="N4" s="194"/>
      <c r="O4" s="195"/>
      <c r="P4" s="195"/>
      <c r="Q4" s="195"/>
      <c r="R4" s="195"/>
      <c r="S4" s="195"/>
      <c r="T4" s="195"/>
      <c r="U4" s="195"/>
    </row>
    <row r="5" spans="1:40" ht="17.100000000000001" customHeight="1">
      <c r="A5" s="4" t="s">
        <v>572</v>
      </c>
      <c r="B5" s="175" t="str">
        <f>CONCATENATE(B6," / ",C6," / ",D6)</f>
        <v xml:space="preserve">JORGE FLOREZ / LIZETH PAJARO / </v>
      </c>
      <c r="C5" s="176"/>
      <c r="D5" s="176"/>
      <c r="E5" s="176"/>
      <c r="F5" s="177"/>
      <c r="G5" s="194"/>
      <c r="H5" s="194"/>
      <c r="I5" s="194"/>
      <c r="J5" s="194"/>
      <c r="K5" s="194"/>
      <c r="L5" s="194"/>
      <c r="M5" s="194"/>
      <c r="N5" s="194"/>
      <c r="O5" s="195"/>
      <c r="P5" s="195"/>
      <c r="Q5" s="195"/>
      <c r="R5" s="195"/>
      <c r="S5" s="195"/>
      <c r="T5" s="195"/>
      <c r="U5" s="195"/>
    </row>
    <row r="6" spans="1:40" ht="17.100000000000001" customHeight="1">
      <c r="A6" s="294" t="str">
        <f>IF(C7=1,"TRANSFORMACION",IF(C7=2,"COMERCIALIZACION",IF(C7=3,"SERVICIOS","")))</f>
        <v>COMERCIALIZACION</v>
      </c>
      <c r="B6" s="860" t="s">
        <v>888</v>
      </c>
      <c r="C6" s="860" t="s">
        <v>889</v>
      </c>
      <c r="D6" s="860" t="s">
        <v>596</v>
      </c>
      <c r="E6" s="198"/>
      <c r="F6" s="198"/>
      <c r="G6" s="195"/>
      <c r="H6" s="195"/>
      <c r="I6" s="195"/>
      <c r="J6" s="195"/>
      <c r="K6" s="195"/>
      <c r="L6" s="195"/>
      <c r="M6" s="195"/>
      <c r="N6" s="195"/>
      <c r="O6" s="195"/>
      <c r="P6" s="195"/>
      <c r="Q6" s="195"/>
      <c r="R6" s="195"/>
      <c r="S6" s="195"/>
      <c r="T6" s="195"/>
      <c r="U6" s="195"/>
    </row>
    <row r="7" spans="1:40" ht="17.100000000000001" customHeight="1">
      <c r="A7" s="167" t="s">
        <v>573</v>
      </c>
      <c r="B7" s="861">
        <v>1</v>
      </c>
      <c r="C7" s="862">
        <v>2</v>
      </c>
      <c r="D7" s="195"/>
      <c r="E7" s="195"/>
      <c r="F7" s="195"/>
      <c r="G7" s="195"/>
      <c r="H7" s="195"/>
      <c r="I7" s="195"/>
      <c r="J7" s="195"/>
      <c r="K7" s="195"/>
      <c r="L7" s="195"/>
      <c r="M7" s="195"/>
      <c r="N7" s="195"/>
      <c r="O7" s="195"/>
      <c r="P7" s="195"/>
      <c r="Q7" s="195"/>
      <c r="R7" s="195"/>
      <c r="S7" s="195"/>
      <c r="T7" s="195"/>
      <c r="U7" s="195"/>
    </row>
    <row r="8" spans="1:40" ht="17.100000000000001" customHeight="1">
      <c r="A8" s="200" t="s">
        <v>574</v>
      </c>
      <c r="B8" s="1"/>
      <c r="C8" s="194"/>
      <c r="D8" s="194"/>
      <c r="E8" s="194"/>
      <c r="F8" s="194"/>
      <c r="G8" s="196"/>
      <c r="H8" s="194"/>
      <c r="I8" s="194"/>
      <c r="J8" s="194"/>
      <c r="K8" s="195"/>
      <c r="L8" s="195"/>
      <c r="M8" s="195"/>
      <c r="N8" s="195"/>
      <c r="O8" s="195"/>
      <c r="P8" s="195"/>
      <c r="Q8" s="195"/>
      <c r="R8" s="195"/>
      <c r="S8" s="195"/>
      <c r="T8" s="195"/>
      <c r="U8" s="195"/>
    </row>
    <row r="9" spans="1:40" ht="17.100000000000001" customHeight="1">
      <c r="A9" s="193"/>
      <c r="B9" s="193"/>
      <c r="C9" s="193"/>
      <c r="D9" s="193"/>
      <c r="E9" s="193"/>
      <c r="F9" s="193"/>
      <c r="G9" s="193"/>
      <c r="H9" s="193"/>
      <c r="I9" s="197"/>
      <c r="J9" s="197"/>
      <c r="K9" s="195"/>
      <c r="L9" s="195"/>
      <c r="M9" s="195"/>
      <c r="N9" s="195"/>
      <c r="O9" s="195"/>
      <c r="P9" s="195"/>
      <c r="Q9" s="195"/>
      <c r="R9" s="195"/>
      <c r="S9" s="195"/>
      <c r="T9" s="195"/>
      <c r="U9" s="195"/>
    </row>
    <row r="10" spans="1:40" ht="17.100000000000001" customHeight="1">
      <c r="A10" s="1075" t="s">
        <v>575</v>
      </c>
      <c r="B10" s="1075" t="s">
        <v>576</v>
      </c>
      <c r="C10" s="1107" t="s">
        <v>577</v>
      </c>
      <c r="D10" s="1108"/>
      <c r="E10" s="1108"/>
      <c r="F10" s="1108"/>
      <c r="G10" s="1108"/>
      <c r="H10" s="1147"/>
      <c r="I10" s="210"/>
      <c r="J10" s="211" t="s">
        <v>578</v>
      </c>
      <c r="K10" s="198"/>
      <c r="L10" s="195"/>
      <c r="M10" s="195"/>
      <c r="N10" s="195"/>
      <c r="O10" s="195"/>
      <c r="P10" s="195"/>
      <c r="Q10" s="195"/>
      <c r="R10" s="195"/>
      <c r="S10" s="195"/>
      <c r="T10" s="195"/>
      <c r="U10" s="195"/>
    </row>
    <row r="11" spans="1:40" ht="17.100000000000001" customHeight="1">
      <c r="A11" s="1095"/>
      <c r="B11" s="1095"/>
      <c r="C11" s="1110"/>
      <c r="D11" s="1103"/>
      <c r="E11" s="1103"/>
      <c r="F11" s="1103"/>
      <c r="G11" s="1103"/>
      <c r="H11" s="1148"/>
      <c r="I11" s="210"/>
      <c r="J11" s="211" t="s">
        <v>579</v>
      </c>
      <c r="K11" s="198"/>
      <c r="L11" s="195"/>
      <c r="M11" s="195"/>
      <c r="N11" s="195"/>
      <c r="O11" s="195"/>
      <c r="P11" s="195"/>
      <c r="Q11" s="195"/>
      <c r="R11" s="195"/>
      <c r="S11" s="195"/>
      <c r="T11" s="195"/>
      <c r="U11" s="195"/>
    </row>
    <row r="12" spans="1:40" ht="17.100000000000001" customHeight="1">
      <c r="A12" s="1095"/>
      <c r="B12" s="1095"/>
      <c r="C12" s="1075" t="s">
        <v>580</v>
      </c>
      <c r="D12" s="1079" t="s">
        <v>581</v>
      </c>
      <c r="E12" s="1075" t="s">
        <v>582</v>
      </c>
      <c r="F12" s="1079" t="s">
        <v>583</v>
      </c>
      <c r="G12" s="1075" t="s">
        <v>584</v>
      </c>
      <c r="H12" s="1079" t="s">
        <v>585</v>
      </c>
      <c r="I12" s="210"/>
      <c r="J12" s="211" t="s">
        <v>586</v>
      </c>
      <c r="K12" s="198"/>
      <c r="L12" s="195"/>
      <c r="M12" s="195"/>
      <c r="N12" s="195"/>
      <c r="O12" s="195"/>
      <c r="P12" s="195"/>
      <c r="Q12" s="195"/>
      <c r="R12" s="195"/>
      <c r="S12" s="195"/>
      <c r="T12" s="195"/>
      <c r="U12" s="195"/>
    </row>
    <row r="13" spans="1:40" ht="17.100000000000001" customHeight="1">
      <c r="A13" s="1076"/>
      <c r="B13" s="1076"/>
      <c r="C13" s="1076"/>
      <c r="D13" s="1080"/>
      <c r="E13" s="1076"/>
      <c r="F13" s="1080"/>
      <c r="G13" s="1076"/>
      <c r="H13" s="1080"/>
      <c r="I13" s="212"/>
      <c r="J13" s="212"/>
      <c r="K13" s="198"/>
      <c r="L13" s="195"/>
      <c r="M13" s="195"/>
      <c r="N13" s="195"/>
      <c r="O13" s="195"/>
      <c r="P13" s="195"/>
      <c r="Q13" s="195"/>
      <c r="R13" s="195"/>
      <c r="S13" s="195"/>
      <c r="T13" s="195"/>
      <c r="U13" s="195"/>
    </row>
    <row r="14" spans="1:40" ht="17.100000000000001" customHeight="1">
      <c r="A14" s="863" t="s">
        <v>890</v>
      </c>
      <c r="B14" s="864">
        <v>27000</v>
      </c>
      <c r="C14" s="865">
        <v>0.1</v>
      </c>
      <c r="D14" s="865">
        <v>0</v>
      </c>
      <c r="E14" s="865">
        <v>0</v>
      </c>
      <c r="F14" s="866">
        <v>0.8</v>
      </c>
      <c r="G14" s="866">
        <v>0.1</v>
      </c>
      <c r="H14" s="866">
        <v>0</v>
      </c>
      <c r="I14" s="213">
        <f>SUM(C14:H14)</f>
        <v>1</v>
      </c>
      <c r="J14" s="210">
        <f>+B14</f>
        <v>27000</v>
      </c>
      <c r="K14" s="198"/>
      <c r="L14" s="195"/>
      <c r="M14" s="195"/>
      <c r="N14" s="195"/>
      <c r="O14" s="195"/>
      <c r="P14" s="195"/>
      <c r="Q14" s="195"/>
      <c r="R14" s="195"/>
      <c r="S14" s="195"/>
      <c r="T14" s="195"/>
      <c r="U14" s="195"/>
    </row>
    <row r="15" spans="1:40" ht="17.100000000000001" customHeight="1">
      <c r="A15" s="867" t="s">
        <v>596</v>
      </c>
      <c r="B15" s="868"/>
      <c r="C15" s="869"/>
      <c r="D15" s="869"/>
      <c r="E15" s="869"/>
      <c r="F15" s="866"/>
      <c r="G15" s="866"/>
      <c r="H15" s="866"/>
      <c r="I15" s="213">
        <f t="shared" ref="I15:I25" si="0">SUM(C15:H15)</f>
        <v>0</v>
      </c>
      <c r="J15" s="210">
        <f t="shared" ref="J15:J25" si="1">+B15</f>
        <v>0</v>
      </c>
      <c r="K15" s="198"/>
      <c r="L15" s="195"/>
      <c r="M15" s="195"/>
      <c r="N15" s="195"/>
      <c r="O15" s="195"/>
      <c r="P15" s="195"/>
      <c r="Q15" s="195"/>
      <c r="R15" s="195"/>
      <c r="S15" s="195"/>
      <c r="T15" s="195"/>
      <c r="U15" s="195"/>
    </row>
    <row r="16" spans="1:40" ht="17.100000000000001" customHeight="1">
      <c r="A16" s="867" t="s">
        <v>596</v>
      </c>
      <c r="B16" s="864"/>
      <c r="C16" s="869"/>
      <c r="D16" s="869"/>
      <c r="E16" s="869"/>
      <c r="F16" s="866"/>
      <c r="G16" s="866"/>
      <c r="H16" s="866"/>
      <c r="I16" s="213">
        <f t="shared" si="0"/>
        <v>0</v>
      </c>
      <c r="J16" s="210">
        <f t="shared" si="1"/>
        <v>0</v>
      </c>
      <c r="K16" s="198"/>
      <c r="L16" s="195"/>
      <c r="M16" s="195"/>
      <c r="N16" s="195"/>
      <c r="O16" s="195"/>
      <c r="P16" s="195"/>
      <c r="Q16" s="195"/>
      <c r="R16" s="195"/>
      <c r="S16" s="195"/>
      <c r="T16" s="195"/>
      <c r="U16" s="195"/>
    </row>
    <row r="17" spans="1:21" ht="17.100000000000001" customHeight="1">
      <c r="A17" s="867" t="s">
        <v>596</v>
      </c>
      <c r="B17" s="868"/>
      <c r="C17" s="869"/>
      <c r="D17" s="869"/>
      <c r="E17" s="869"/>
      <c r="F17" s="866"/>
      <c r="G17" s="866"/>
      <c r="H17" s="866"/>
      <c r="I17" s="213">
        <f t="shared" si="0"/>
        <v>0</v>
      </c>
      <c r="J17" s="210">
        <f t="shared" si="1"/>
        <v>0</v>
      </c>
      <c r="K17" s="198"/>
      <c r="L17" s="195"/>
      <c r="M17" s="195"/>
      <c r="N17" s="195"/>
      <c r="O17" s="195"/>
      <c r="P17" s="195"/>
      <c r="Q17" s="195"/>
      <c r="R17" s="195"/>
      <c r="S17" s="195"/>
      <c r="T17" s="195"/>
      <c r="U17" s="195"/>
    </row>
    <row r="18" spans="1:21" ht="17.100000000000001" customHeight="1">
      <c r="A18" s="325" t="s">
        <v>596</v>
      </c>
      <c r="B18" s="864"/>
      <c r="C18" s="866"/>
      <c r="D18" s="866"/>
      <c r="E18" s="866"/>
      <c r="F18" s="866"/>
      <c r="G18" s="866"/>
      <c r="H18" s="866"/>
      <c r="I18" s="213">
        <f t="shared" si="0"/>
        <v>0</v>
      </c>
      <c r="J18" s="210">
        <f t="shared" si="1"/>
        <v>0</v>
      </c>
      <c r="K18" s="198"/>
      <c r="L18" s="195"/>
      <c r="M18" s="195"/>
      <c r="N18" s="195"/>
      <c r="O18" s="195"/>
      <c r="P18" s="195"/>
      <c r="Q18" s="195"/>
      <c r="R18" s="195"/>
      <c r="S18" s="195"/>
      <c r="T18" s="195"/>
      <c r="U18" s="195"/>
    </row>
    <row r="19" spans="1:21" ht="17.100000000000001" customHeight="1">
      <c r="A19" s="325" t="s">
        <v>596</v>
      </c>
      <c r="B19" s="868"/>
      <c r="C19" s="866"/>
      <c r="D19" s="866"/>
      <c r="E19" s="866"/>
      <c r="F19" s="866"/>
      <c r="G19" s="866"/>
      <c r="H19" s="866"/>
      <c r="I19" s="213">
        <f t="shared" si="0"/>
        <v>0</v>
      </c>
      <c r="J19" s="210">
        <f t="shared" si="1"/>
        <v>0</v>
      </c>
      <c r="K19" s="198"/>
      <c r="L19" s="195"/>
      <c r="M19" s="195"/>
      <c r="N19" s="195"/>
      <c r="O19" s="195"/>
      <c r="P19" s="195"/>
      <c r="Q19" s="195"/>
      <c r="R19" s="195"/>
      <c r="S19" s="195"/>
      <c r="T19" s="195"/>
      <c r="U19" s="195"/>
    </row>
    <row r="20" spans="1:21" ht="17.100000000000001" customHeight="1">
      <c r="A20" s="325" t="s">
        <v>596</v>
      </c>
      <c r="B20" s="864"/>
      <c r="C20" s="866"/>
      <c r="D20" s="866"/>
      <c r="E20" s="866"/>
      <c r="F20" s="866"/>
      <c r="G20" s="866"/>
      <c r="H20" s="866"/>
      <c r="I20" s="213">
        <f t="shared" si="0"/>
        <v>0</v>
      </c>
      <c r="J20" s="210">
        <f t="shared" si="1"/>
        <v>0</v>
      </c>
      <c r="K20" s="198"/>
      <c r="L20" s="195"/>
      <c r="M20" s="195"/>
      <c r="N20" s="195"/>
      <c r="O20" s="195"/>
      <c r="P20" s="195"/>
      <c r="Q20" s="195"/>
      <c r="R20" s="195"/>
      <c r="S20" s="195"/>
      <c r="T20" s="195"/>
      <c r="U20" s="195"/>
    </row>
    <row r="21" spans="1:21" ht="17.100000000000001" customHeight="1">
      <c r="A21" s="325" t="s">
        <v>596</v>
      </c>
      <c r="B21" s="868"/>
      <c r="C21" s="866"/>
      <c r="D21" s="866"/>
      <c r="E21" s="866"/>
      <c r="F21" s="866"/>
      <c r="G21" s="866"/>
      <c r="H21" s="866"/>
      <c r="I21" s="213">
        <f t="shared" si="0"/>
        <v>0</v>
      </c>
      <c r="J21" s="210">
        <f t="shared" si="1"/>
        <v>0</v>
      </c>
      <c r="K21" s="198"/>
      <c r="L21" s="195"/>
      <c r="M21" s="195"/>
      <c r="N21" s="195"/>
      <c r="O21" s="195"/>
      <c r="P21" s="195"/>
      <c r="Q21" s="195"/>
      <c r="R21" s="195"/>
      <c r="S21" s="195"/>
      <c r="T21" s="195"/>
      <c r="U21" s="195"/>
    </row>
    <row r="22" spans="1:21" ht="17.100000000000001" customHeight="1">
      <c r="A22" s="325" t="s">
        <v>596</v>
      </c>
      <c r="B22" s="864"/>
      <c r="C22" s="866"/>
      <c r="D22" s="866"/>
      <c r="E22" s="866"/>
      <c r="F22" s="866"/>
      <c r="G22" s="866"/>
      <c r="H22" s="866"/>
      <c r="I22" s="213">
        <f t="shared" si="0"/>
        <v>0</v>
      </c>
      <c r="J22" s="210">
        <f t="shared" si="1"/>
        <v>0</v>
      </c>
      <c r="K22" s="198"/>
      <c r="L22" s="195"/>
      <c r="M22" s="195"/>
      <c r="N22" s="195"/>
      <c r="O22" s="195"/>
      <c r="P22" s="195"/>
      <c r="Q22" s="195"/>
      <c r="R22" s="195"/>
      <c r="S22" s="195"/>
      <c r="T22" s="195"/>
      <c r="U22" s="195"/>
    </row>
    <row r="23" spans="1:21" ht="17.100000000000001" customHeight="1">
      <c r="A23" s="325" t="s">
        <v>596</v>
      </c>
      <c r="B23" s="868"/>
      <c r="C23" s="866"/>
      <c r="D23" s="866"/>
      <c r="E23" s="866"/>
      <c r="F23" s="866"/>
      <c r="G23" s="866"/>
      <c r="H23" s="866"/>
      <c r="I23" s="213">
        <f t="shared" si="0"/>
        <v>0</v>
      </c>
      <c r="J23" s="210">
        <f t="shared" si="1"/>
        <v>0</v>
      </c>
      <c r="K23" s="198"/>
      <c r="L23" s="195"/>
      <c r="M23" s="195"/>
      <c r="N23" s="195"/>
      <c r="O23" s="195"/>
      <c r="P23" s="195"/>
      <c r="Q23" s="195"/>
      <c r="R23" s="195"/>
      <c r="S23" s="195"/>
      <c r="T23" s="195"/>
      <c r="U23" s="195"/>
    </row>
    <row r="24" spans="1:21" ht="17.100000000000001" customHeight="1">
      <c r="A24" s="325" t="s">
        <v>596</v>
      </c>
      <c r="B24" s="864"/>
      <c r="C24" s="866"/>
      <c r="D24" s="866"/>
      <c r="E24" s="866"/>
      <c r="F24" s="866"/>
      <c r="G24" s="866"/>
      <c r="H24" s="866"/>
      <c r="I24" s="213">
        <f t="shared" si="0"/>
        <v>0</v>
      </c>
      <c r="J24" s="210">
        <f t="shared" si="1"/>
        <v>0</v>
      </c>
      <c r="K24" s="198"/>
      <c r="L24" s="195"/>
      <c r="M24" s="195"/>
      <c r="N24" s="195"/>
      <c r="O24" s="195"/>
      <c r="P24" s="195"/>
      <c r="Q24" s="195"/>
      <c r="R24" s="195"/>
      <c r="S24" s="195"/>
      <c r="T24" s="195"/>
      <c r="U24" s="195"/>
    </row>
    <row r="25" spans="1:21" ht="17.100000000000001" customHeight="1">
      <c r="A25" s="325" t="s">
        <v>596</v>
      </c>
      <c r="B25" s="868"/>
      <c r="C25" s="866"/>
      <c r="D25" s="866"/>
      <c r="E25" s="866"/>
      <c r="F25" s="866"/>
      <c r="G25" s="866"/>
      <c r="H25" s="866"/>
      <c r="I25" s="213">
        <f t="shared" si="0"/>
        <v>0</v>
      </c>
      <c r="J25" s="210">
        <f t="shared" si="1"/>
        <v>0</v>
      </c>
      <c r="K25" s="198"/>
      <c r="L25" s="195"/>
      <c r="M25" s="195"/>
      <c r="N25" s="195"/>
      <c r="O25" s="195"/>
      <c r="P25" s="195"/>
      <c r="Q25" s="195"/>
      <c r="R25" s="195"/>
      <c r="S25" s="195"/>
      <c r="T25" s="195"/>
      <c r="U25" s="195"/>
    </row>
    <row r="26" spans="1:21" ht="17.100000000000001" customHeight="1">
      <c r="A26" s="203"/>
      <c r="B26" s="203"/>
      <c r="C26" s="204"/>
      <c r="D26" s="204"/>
      <c r="E26" s="204"/>
      <c r="F26" s="204"/>
      <c r="G26" s="204"/>
      <c r="H26" s="204"/>
      <c r="I26" s="202"/>
      <c r="J26" s="201"/>
      <c r="K26" s="195"/>
      <c r="L26" s="195"/>
      <c r="M26" s="195"/>
      <c r="N26" s="195"/>
      <c r="O26" s="195"/>
      <c r="P26" s="195"/>
      <c r="Q26" s="195"/>
      <c r="R26" s="195"/>
      <c r="S26" s="195"/>
      <c r="T26" s="195"/>
      <c r="U26" s="195"/>
    </row>
    <row r="27" spans="1:21" ht="17.100000000000001" customHeight="1">
      <c r="A27" s="1133" t="s">
        <v>592</v>
      </c>
      <c r="B27" s="1134"/>
      <c r="C27" s="204"/>
      <c r="D27" s="204"/>
      <c r="E27" s="204"/>
      <c r="F27" s="204"/>
      <c r="G27" s="204"/>
      <c r="H27" s="204"/>
      <c r="I27" s="202"/>
      <c r="J27" s="201"/>
      <c r="K27" s="195"/>
      <c r="L27" s="195"/>
      <c r="M27" s="195"/>
      <c r="N27" s="195"/>
      <c r="O27" s="195"/>
      <c r="P27" s="195"/>
      <c r="Q27" s="195"/>
      <c r="R27" s="195"/>
      <c r="S27" s="195"/>
      <c r="T27" s="195"/>
      <c r="U27" s="195"/>
    </row>
    <row r="28" spans="1:21" ht="17.100000000000001" customHeight="1">
      <c r="A28" s="1135"/>
      <c r="B28" s="1135"/>
      <c r="C28" s="204"/>
      <c r="D28" s="204"/>
      <c r="E28" s="204"/>
      <c r="F28" s="204"/>
      <c r="G28" s="204"/>
      <c r="H28" s="204"/>
      <c r="I28" s="202"/>
      <c r="J28" s="201"/>
      <c r="K28" s="195"/>
      <c r="L28" s="195"/>
      <c r="M28" s="195"/>
      <c r="N28" s="195"/>
      <c r="O28" s="195"/>
      <c r="P28" s="195"/>
      <c r="Q28" s="195"/>
      <c r="R28" s="195"/>
      <c r="S28" s="195"/>
      <c r="T28" s="195"/>
      <c r="U28" s="195"/>
    </row>
    <row r="29" spans="1:21" ht="17.100000000000001" customHeight="1">
      <c r="A29" s="1118" t="s">
        <v>575</v>
      </c>
      <c r="B29" s="1075" t="s">
        <v>593</v>
      </c>
      <c r="C29" s="195"/>
      <c r="D29" s="195"/>
      <c r="E29" s="195"/>
      <c r="F29" s="195"/>
      <c r="G29" s="202"/>
      <c r="H29" s="201"/>
      <c r="I29" s="195"/>
      <c r="J29" s="195"/>
      <c r="K29" s="195"/>
      <c r="L29" s="195"/>
      <c r="M29" s="195"/>
      <c r="N29" s="195"/>
      <c r="O29" s="195"/>
      <c r="P29" s="195"/>
      <c r="Q29" s="195"/>
      <c r="R29" s="195"/>
      <c r="S29" s="195"/>
      <c r="T29" s="195"/>
      <c r="U29" s="195"/>
    </row>
    <row r="30" spans="1:21" ht="17.100000000000001" customHeight="1">
      <c r="A30" s="1118"/>
      <c r="B30" s="1076"/>
      <c r="C30" s="195"/>
      <c r="D30" s="195"/>
      <c r="E30" s="195"/>
      <c r="F30" s="195"/>
      <c r="G30" s="202"/>
      <c r="H30" s="201"/>
      <c r="I30" s="195"/>
      <c r="J30" s="195"/>
      <c r="K30" s="195"/>
      <c r="L30" s="195"/>
      <c r="M30" s="195"/>
      <c r="N30" s="195"/>
      <c r="O30" s="195"/>
      <c r="P30" s="195"/>
      <c r="Q30" s="195"/>
      <c r="R30" s="195"/>
      <c r="S30" s="195"/>
      <c r="T30" s="195"/>
      <c r="U30" s="195"/>
    </row>
    <row r="31" spans="1:21" ht="17.100000000000001" customHeight="1">
      <c r="A31" s="325" t="s">
        <v>890</v>
      </c>
      <c r="B31" s="866">
        <v>0</v>
      </c>
      <c r="C31" s="195"/>
      <c r="D31" s="195"/>
      <c r="E31" s="195"/>
      <c r="F31" s="195"/>
      <c r="G31" s="202"/>
      <c r="H31" s="201"/>
      <c r="I31" s="195"/>
      <c r="J31" s="195"/>
      <c r="K31" s="195"/>
      <c r="L31" s="195"/>
      <c r="M31" s="195"/>
      <c r="N31" s="195"/>
      <c r="O31" s="195"/>
      <c r="P31" s="195"/>
      <c r="Q31" s="195"/>
      <c r="R31" s="195"/>
      <c r="S31" s="195"/>
      <c r="T31" s="195"/>
      <c r="U31" s="195"/>
    </row>
    <row r="32" spans="1:21" ht="17.100000000000001" customHeight="1">
      <c r="A32" s="325" t="s">
        <v>596</v>
      </c>
      <c r="B32" s="866">
        <v>0</v>
      </c>
      <c r="C32" s="195"/>
      <c r="D32" s="195"/>
      <c r="E32" s="195"/>
      <c r="F32" s="195"/>
      <c r="G32" s="202"/>
      <c r="H32" s="201"/>
      <c r="I32" s="195"/>
      <c r="J32" s="195"/>
      <c r="K32" s="195"/>
      <c r="L32" s="195"/>
      <c r="M32" s="195"/>
      <c r="N32" s="195"/>
      <c r="O32" s="195"/>
      <c r="P32" s="195"/>
      <c r="Q32" s="195"/>
      <c r="R32" s="195"/>
      <c r="S32" s="195"/>
      <c r="T32" s="195"/>
      <c r="U32" s="195"/>
    </row>
    <row r="33" spans="1:21" ht="17.100000000000001" customHeight="1">
      <c r="A33" s="325" t="s">
        <v>596</v>
      </c>
      <c r="B33" s="866">
        <v>0</v>
      </c>
      <c r="C33" s="195"/>
      <c r="D33" s="195"/>
      <c r="E33" s="195"/>
      <c r="F33" s="195"/>
      <c r="G33" s="202"/>
      <c r="H33" s="201"/>
      <c r="I33" s="195"/>
      <c r="J33" s="195"/>
      <c r="K33" s="195"/>
      <c r="L33" s="195"/>
      <c r="M33" s="195"/>
      <c r="N33" s="195"/>
      <c r="O33" s="195"/>
      <c r="P33" s="195"/>
      <c r="Q33" s="195"/>
      <c r="R33" s="195"/>
      <c r="S33" s="195"/>
      <c r="T33" s="195"/>
      <c r="U33" s="195"/>
    </row>
    <row r="34" spans="1:21" ht="17.100000000000001" customHeight="1">
      <c r="A34" s="325" t="s">
        <v>596</v>
      </c>
      <c r="B34" s="866">
        <v>0</v>
      </c>
      <c r="C34" s="195"/>
      <c r="D34" s="195"/>
      <c r="E34" s="195"/>
      <c r="F34" s="195"/>
      <c r="G34" s="202"/>
      <c r="H34" s="201"/>
      <c r="I34" s="195"/>
      <c r="J34" s="195"/>
      <c r="K34" s="195"/>
      <c r="L34" s="195"/>
      <c r="M34" s="195"/>
      <c r="N34" s="195"/>
      <c r="O34" s="195"/>
      <c r="P34" s="195"/>
      <c r="Q34" s="195"/>
      <c r="R34" s="195"/>
      <c r="S34" s="195"/>
      <c r="T34" s="195"/>
      <c r="U34" s="195"/>
    </row>
    <row r="35" spans="1:21" ht="17.100000000000001" customHeight="1">
      <c r="A35" s="325" t="s">
        <v>596</v>
      </c>
      <c r="B35" s="866">
        <v>0</v>
      </c>
      <c r="C35" s="195"/>
      <c r="D35" s="195"/>
      <c r="E35" s="195"/>
      <c r="F35" s="195"/>
      <c r="G35" s="202"/>
      <c r="H35" s="201"/>
      <c r="I35" s="195"/>
      <c r="J35" s="195"/>
      <c r="K35" s="195"/>
      <c r="L35" s="195"/>
      <c r="M35" s="195"/>
      <c r="N35" s="195"/>
      <c r="O35" s="195"/>
      <c r="P35" s="195"/>
      <c r="Q35" s="195"/>
      <c r="R35" s="195"/>
      <c r="S35" s="195"/>
      <c r="T35" s="195"/>
      <c r="U35" s="195"/>
    </row>
    <row r="36" spans="1:21" ht="17.100000000000001" customHeight="1">
      <c r="A36" s="325" t="s">
        <v>596</v>
      </c>
      <c r="B36" s="866">
        <v>0</v>
      </c>
      <c r="C36" s="195"/>
      <c r="D36" s="195"/>
      <c r="E36" s="195"/>
      <c r="F36" s="195"/>
      <c r="G36" s="202"/>
      <c r="H36" s="201"/>
      <c r="I36" s="195"/>
      <c r="J36" s="195"/>
      <c r="K36" s="195"/>
      <c r="L36" s="195"/>
      <c r="M36" s="195"/>
      <c r="N36" s="195"/>
      <c r="O36" s="195"/>
      <c r="P36" s="195"/>
      <c r="Q36" s="195"/>
      <c r="R36" s="195"/>
      <c r="S36" s="195"/>
      <c r="T36" s="195"/>
      <c r="U36" s="195"/>
    </row>
    <row r="37" spans="1:21" ht="17.100000000000001" customHeight="1">
      <c r="A37" s="325" t="s">
        <v>596</v>
      </c>
      <c r="B37" s="866">
        <v>0</v>
      </c>
      <c r="C37" s="195"/>
      <c r="D37" s="195"/>
      <c r="E37" s="195"/>
      <c r="F37" s="195"/>
      <c r="G37" s="202"/>
      <c r="H37" s="201"/>
      <c r="I37" s="195"/>
      <c r="J37" s="195"/>
      <c r="K37" s="195"/>
      <c r="L37" s="195"/>
      <c r="M37" s="195"/>
      <c r="N37" s="195"/>
      <c r="O37" s="195"/>
      <c r="P37" s="195"/>
      <c r="Q37" s="195"/>
      <c r="R37" s="195"/>
      <c r="S37" s="195"/>
      <c r="T37" s="195"/>
      <c r="U37" s="195"/>
    </row>
    <row r="38" spans="1:21" ht="17.100000000000001" customHeight="1">
      <c r="A38" s="325" t="s">
        <v>596</v>
      </c>
      <c r="B38" s="866">
        <v>0</v>
      </c>
      <c r="C38" s="195"/>
      <c r="D38" s="195"/>
      <c r="E38" s="195"/>
      <c r="F38" s="195"/>
      <c r="G38" s="202"/>
      <c r="H38" s="201"/>
      <c r="I38" s="195"/>
      <c r="J38" s="195"/>
      <c r="K38" s="195"/>
      <c r="L38" s="195"/>
      <c r="M38" s="195"/>
      <c r="N38" s="195"/>
      <c r="O38" s="195"/>
      <c r="P38" s="195"/>
      <c r="Q38" s="195"/>
      <c r="R38" s="195"/>
      <c r="S38" s="195"/>
      <c r="T38" s="195"/>
      <c r="U38" s="195"/>
    </row>
    <row r="39" spans="1:21" ht="17.100000000000001" customHeight="1">
      <c r="A39" s="325" t="s">
        <v>596</v>
      </c>
      <c r="B39" s="866">
        <v>0</v>
      </c>
      <c r="C39" s="195"/>
      <c r="D39" s="195"/>
      <c r="E39" s="195"/>
      <c r="F39" s="195"/>
      <c r="G39" s="202"/>
      <c r="H39" s="201"/>
      <c r="I39" s="195"/>
      <c r="J39" s="195"/>
      <c r="K39" s="195"/>
      <c r="L39" s="195"/>
      <c r="M39" s="195"/>
      <c r="N39" s="195"/>
      <c r="O39" s="195"/>
      <c r="P39" s="195"/>
      <c r="Q39" s="195"/>
      <c r="R39" s="195"/>
      <c r="S39" s="195"/>
      <c r="T39" s="195"/>
      <c r="U39" s="195"/>
    </row>
    <row r="40" spans="1:21" ht="17.100000000000001" customHeight="1">
      <c r="A40" s="325" t="s">
        <v>596</v>
      </c>
      <c r="B40" s="866">
        <v>0</v>
      </c>
      <c r="C40" s="195"/>
      <c r="D40" s="195"/>
      <c r="E40" s="195"/>
      <c r="F40" s="195"/>
      <c r="G40" s="202"/>
      <c r="H40" s="201"/>
      <c r="I40" s="195"/>
      <c r="J40" s="195"/>
      <c r="K40" s="195"/>
      <c r="L40" s="195"/>
      <c r="M40" s="195"/>
      <c r="N40" s="195"/>
      <c r="O40" s="195"/>
      <c r="P40" s="195"/>
      <c r="Q40" s="195"/>
      <c r="R40" s="195"/>
      <c r="S40" s="195"/>
      <c r="T40" s="195"/>
      <c r="U40" s="195"/>
    </row>
    <row r="41" spans="1:21" ht="17.100000000000001" customHeight="1">
      <c r="A41" s="325" t="s">
        <v>596</v>
      </c>
      <c r="B41" s="866">
        <v>0</v>
      </c>
      <c r="C41" s="195"/>
      <c r="D41" s="195"/>
      <c r="E41" s="195"/>
      <c r="F41" s="195"/>
      <c r="G41" s="202"/>
      <c r="H41" s="201"/>
      <c r="I41" s="195"/>
      <c r="J41" s="195"/>
      <c r="K41" s="195"/>
      <c r="L41" s="195"/>
      <c r="M41" s="195"/>
      <c r="N41" s="195"/>
      <c r="O41" s="195"/>
      <c r="P41" s="195"/>
      <c r="Q41" s="195"/>
      <c r="R41" s="195"/>
      <c r="S41" s="195"/>
      <c r="T41" s="195"/>
      <c r="U41" s="195"/>
    </row>
    <row r="42" spans="1:21" ht="17.100000000000001" customHeight="1">
      <c r="A42" s="325" t="s">
        <v>596</v>
      </c>
      <c r="B42" s="866">
        <v>0</v>
      </c>
      <c r="C42" s="195"/>
      <c r="D42" s="195"/>
      <c r="E42" s="195"/>
      <c r="F42" s="195"/>
      <c r="G42" s="202"/>
      <c r="H42" s="201"/>
      <c r="I42" s="195"/>
      <c r="J42" s="195"/>
      <c r="K42" s="195"/>
      <c r="L42" s="195"/>
      <c r="M42" s="195"/>
      <c r="N42" s="195"/>
      <c r="O42" s="195"/>
      <c r="P42" s="195"/>
      <c r="Q42" s="195"/>
      <c r="R42" s="195"/>
      <c r="S42" s="195"/>
      <c r="T42" s="195"/>
      <c r="U42" s="195"/>
    </row>
    <row r="43" spans="1:21" ht="17.100000000000001" hidden="1" customHeight="1">
      <c r="A43" s="203"/>
      <c r="B43" s="203"/>
      <c r="C43" s="204"/>
      <c r="D43" s="204"/>
      <c r="E43" s="204"/>
      <c r="F43" s="204"/>
      <c r="G43" s="204"/>
      <c r="H43" s="204"/>
      <c r="I43" s="202"/>
      <c r="J43" s="201"/>
      <c r="K43" s="195"/>
      <c r="L43" s="195"/>
      <c r="M43" s="195"/>
      <c r="N43" s="195"/>
      <c r="O43" s="195"/>
      <c r="P43" s="195"/>
      <c r="Q43" s="195"/>
      <c r="R43" s="195"/>
      <c r="S43" s="195"/>
      <c r="T43" s="195"/>
      <c r="U43" s="195"/>
    </row>
    <row r="44" spans="1:21" ht="17.100000000000001" customHeight="1">
      <c r="A44" s="1075" t="s">
        <v>594</v>
      </c>
      <c r="B44" s="1145" t="s">
        <v>595</v>
      </c>
      <c r="C44" s="205"/>
      <c r="D44" s="195"/>
      <c r="E44" s="204"/>
      <c r="F44" s="204"/>
      <c r="G44" s="204"/>
      <c r="H44" s="204"/>
      <c r="I44" s="202"/>
      <c r="J44" s="201"/>
      <c r="K44" s="195"/>
      <c r="L44" s="195"/>
      <c r="M44" s="195"/>
      <c r="N44" s="195"/>
      <c r="O44" s="195"/>
      <c r="P44" s="195"/>
      <c r="Q44" s="195"/>
      <c r="R44" s="195"/>
      <c r="S44" s="195"/>
      <c r="T44" s="195"/>
      <c r="U44" s="195"/>
    </row>
    <row r="45" spans="1:21" ht="17.100000000000001" customHeight="1">
      <c r="A45" s="1076"/>
      <c r="B45" s="1145"/>
      <c r="C45" s="205"/>
      <c r="D45" s="195"/>
      <c r="E45" s="204"/>
      <c r="F45" s="204"/>
      <c r="G45" s="204"/>
      <c r="H45" s="204"/>
      <c r="I45" s="202"/>
      <c r="J45" s="201"/>
      <c r="K45" s="195"/>
      <c r="L45" s="195"/>
      <c r="M45" s="195"/>
      <c r="N45" s="195"/>
      <c r="O45" s="195"/>
      <c r="P45" s="195"/>
      <c r="Q45" s="195"/>
      <c r="R45" s="195"/>
      <c r="S45" s="195"/>
      <c r="T45" s="195"/>
      <c r="U45" s="195"/>
    </row>
    <row r="46" spans="1:21" ht="17.100000000000001" customHeight="1">
      <c r="A46" s="870" t="s">
        <v>891</v>
      </c>
      <c r="B46" s="871">
        <v>2000000</v>
      </c>
      <c r="C46" s="206"/>
      <c r="D46" s="204"/>
      <c r="E46" s="204"/>
      <c r="F46" s="204"/>
      <c r="G46" s="204"/>
      <c r="H46" s="204"/>
      <c r="I46" s="202"/>
      <c r="J46" s="201"/>
      <c r="K46" s="195"/>
      <c r="L46" s="195"/>
      <c r="M46" s="195"/>
      <c r="N46" s="195"/>
      <c r="O46" s="195"/>
      <c r="P46" s="195"/>
      <c r="Q46" s="195"/>
      <c r="R46" s="195"/>
      <c r="S46" s="195"/>
      <c r="T46" s="195"/>
      <c r="U46" s="195"/>
    </row>
    <row r="47" spans="1:21" ht="17.100000000000001" customHeight="1">
      <c r="A47" s="872" t="s">
        <v>904</v>
      </c>
      <c r="B47" s="871">
        <v>2000000</v>
      </c>
      <c r="C47" s="206"/>
      <c r="D47" s="204"/>
      <c r="E47" s="204"/>
      <c r="F47" s="204"/>
      <c r="G47" s="204"/>
      <c r="H47" s="204"/>
      <c r="I47" s="202"/>
      <c r="J47" s="201"/>
      <c r="K47" s="195"/>
      <c r="L47" s="195"/>
      <c r="M47" s="195"/>
      <c r="N47" s="195"/>
      <c r="O47" s="195"/>
      <c r="P47" s="195"/>
      <c r="Q47" s="195"/>
      <c r="R47" s="195"/>
      <c r="S47" s="195"/>
      <c r="T47" s="195"/>
      <c r="U47" s="195"/>
    </row>
    <row r="48" spans="1:21" ht="17.100000000000001" customHeight="1">
      <c r="A48" s="872" t="s">
        <v>905</v>
      </c>
      <c r="B48" s="871">
        <v>500000</v>
      </c>
      <c r="C48" s="206"/>
      <c r="D48" s="204"/>
      <c r="E48" s="204"/>
      <c r="F48" s="204"/>
      <c r="G48" s="204"/>
      <c r="H48" s="204"/>
      <c r="I48" s="202"/>
      <c r="J48" s="201"/>
      <c r="K48" s="195"/>
      <c r="L48" s="195"/>
      <c r="M48" s="195"/>
      <c r="N48" s="195"/>
      <c r="O48" s="195"/>
      <c r="P48" s="195"/>
      <c r="Q48" s="195"/>
      <c r="R48" s="195"/>
      <c r="S48" s="195"/>
      <c r="T48" s="195"/>
      <c r="U48" s="195"/>
    </row>
    <row r="49" spans="1:32" ht="17.100000000000001" customHeight="1">
      <c r="A49" s="873" t="s">
        <v>906</v>
      </c>
      <c r="B49" s="874">
        <v>500000</v>
      </c>
      <c r="C49" s="207"/>
      <c r="D49" s="204"/>
      <c r="E49" s="204"/>
      <c r="F49" s="204"/>
      <c r="G49" s="204"/>
      <c r="H49" s="204"/>
      <c r="I49" s="202"/>
      <c r="J49" s="201"/>
      <c r="K49" s="195"/>
      <c r="L49" s="195"/>
      <c r="M49" s="195"/>
      <c r="N49" s="195"/>
      <c r="O49" s="195"/>
      <c r="P49" s="195"/>
      <c r="Q49" s="195"/>
      <c r="R49" s="195"/>
      <c r="S49" s="195"/>
      <c r="T49" s="195"/>
      <c r="U49" s="195"/>
    </row>
    <row r="50" spans="1:32" ht="17.100000000000001" customHeight="1">
      <c r="A50" s="872" t="s">
        <v>596</v>
      </c>
      <c r="B50" s="871">
        <v>0</v>
      </c>
      <c r="C50" s="206"/>
      <c r="D50" s="204"/>
      <c r="E50" s="204"/>
      <c r="F50" s="204"/>
      <c r="G50" s="204"/>
      <c r="H50" s="204"/>
      <c r="I50" s="202"/>
      <c r="J50" s="201"/>
      <c r="K50" s="195"/>
      <c r="L50" s="195"/>
      <c r="M50" s="195"/>
      <c r="N50" s="195"/>
      <c r="O50" s="195"/>
      <c r="P50" s="195"/>
      <c r="Q50" s="195"/>
      <c r="R50" s="195"/>
      <c r="S50" s="195"/>
      <c r="T50" s="195"/>
      <c r="U50" s="195"/>
    </row>
    <row r="51" spans="1:32" ht="17.100000000000001" customHeight="1">
      <c r="A51" s="872" t="s">
        <v>596</v>
      </c>
      <c r="B51" s="874">
        <v>0</v>
      </c>
      <c r="C51" s="206"/>
      <c r="D51" s="204"/>
      <c r="E51" s="204"/>
      <c r="F51" s="204"/>
      <c r="G51" s="204"/>
      <c r="H51" s="204"/>
      <c r="I51" s="202"/>
      <c r="J51" s="201"/>
      <c r="K51" s="195"/>
      <c r="L51" s="195"/>
      <c r="M51" s="195"/>
      <c r="N51" s="195"/>
      <c r="O51" s="195"/>
      <c r="P51" s="195"/>
      <c r="Q51" s="195"/>
      <c r="R51" s="195"/>
      <c r="S51" s="195"/>
      <c r="T51" s="195"/>
      <c r="U51" s="195"/>
    </row>
    <row r="52" spans="1:32" ht="17.100000000000001" customHeight="1">
      <c r="A52" s="872" t="s">
        <v>596</v>
      </c>
      <c r="B52" s="871">
        <v>0</v>
      </c>
      <c r="C52" s="206"/>
      <c r="D52" s="204"/>
      <c r="E52" s="204"/>
      <c r="F52" s="204"/>
      <c r="G52" s="204"/>
      <c r="H52" s="204"/>
      <c r="I52" s="202"/>
      <c r="J52" s="201"/>
      <c r="K52" s="195"/>
      <c r="L52" s="195"/>
      <c r="M52" s="195"/>
      <c r="N52" s="195"/>
      <c r="O52" s="195"/>
      <c r="P52" s="195"/>
      <c r="Q52" s="195"/>
      <c r="R52" s="195"/>
      <c r="S52" s="195"/>
      <c r="T52" s="195"/>
      <c r="U52" s="195"/>
    </row>
    <row r="53" spans="1:32" ht="17.100000000000001" customHeight="1">
      <c r="A53" s="872" t="s">
        <v>596</v>
      </c>
      <c r="B53" s="874">
        <v>0</v>
      </c>
      <c r="C53" s="206"/>
      <c r="D53" s="204"/>
      <c r="E53" s="204"/>
      <c r="F53" s="204"/>
      <c r="G53" s="204"/>
      <c r="H53" s="204"/>
      <c r="I53" s="202"/>
      <c r="J53" s="201"/>
      <c r="K53" s="195"/>
      <c r="L53" s="195"/>
      <c r="M53" s="195"/>
      <c r="N53" s="195"/>
      <c r="O53" s="195"/>
      <c r="P53" s="195"/>
      <c r="Q53" s="195"/>
      <c r="R53" s="195"/>
      <c r="S53" s="195"/>
      <c r="T53" s="195"/>
      <c r="U53" s="195"/>
    </row>
    <row r="54" spans="1:32" ht="17.100000000000001" customHeight="1">
      <c r="A54" s="872" t="s">
        <v>596</v>
      </c>
      <c r="B54" s="871">
        <v>0</v>
      </c>
      <c r="C54" s="206"/>
      <c r="D54" s="204"/>
      <c r="E54" s="204"/>
      <c r="F54" s="204"/>
      <c r="G54" s="204"/>
      <c r="H54" s="204"/>
      <c r="I54" s="202"/>
      <c r="J54" s="201"/>
      <c r="K54" s="195"/>
      <c r="L54" s="195"/>
      <c r="M54" s="195"/>
      <c r="N54" s="195"/>
      <c r="O54" s="195"/>
      <c r="P54" s="195"/>
      <c r="Q54" s="195"/>
      <c r="R54" s="195"/>
      <c r="S54" s="195"/>
      <c r="T54" s="195"/>
      <c r="U54" s="195"/>
    </row>
    <row r="55" spans="1:32" ht="17.100000000000001" customHeight="1">
      <c r="A55" s="872" t="s">
        <v>884</v>
      </c>
      <c r="B55" s="874">
        <v>5000000</v>
      </c>
      <c r="C55" s="206"/>
      <c r="D55" s="204"/>
      <c r="E55" s="204"/>
      <c r="F55" s="204"/>
      <c r="G55" s="204"/>
      <c r="H55" s="204"/>
      <c r="I55" s="202"/>
      <c r="J55" s="201"/>
      <c r="K55" s="195"/>
      <c r="L55" s="195"/>
      <c r="M55" s="195"/>
      <c r="N55" s="195"/>
      <c r="O55" s="195"/>
      <c r="P55" s="195"/>
      <c r="Q55" s="195"/>
      <c r="R55" s="195"/>
      <c r="S55" s="195"/>
      <c r="T55" s="195"/>
      <c r="U55" s="195"/>
    </row>
    <row r="56" spans="1:32" ht="17.100000000000001" customHeight="1">
      <c r="A56" s="872" t="s">
        <v>885</v>
      </c>
      <c r="B56" s="871">
        <v>10000000</v>
      </c>
      <c r="C56" s="206"/>
      <c r="D56" s="204"/>
      <c r="E56" s="204"/>
      <c r="F56" s="204"/>
      <c r="G56" s="204"/>
      <c r="H56" s="204"/>
      <c r="I56" s="202"/>
      <c r="J56" s="201"/>
      <c r="K56" s="195"/>
      <c r="L56" s="195"/>
      <c r="M56" s="195"/>
      <c r="N56" s="195"/>
      <c r="O56" s="195"/>
      <c r="P56" s="195"/>
      <c r="Q56" s="195"/>
      <c r="R56" s="195"/>
      <c r="S56" s="195"/>
      <c r="T56" s="195"/>
      <c r="U56" s="195"/>
    </row>
    <row r="57" spans="1:32" ht="17.100000000000001" customHeight="1">
      <c r="A57" s="872" t="s">
        <v>886</v>
      </c>
      <c r="B57" s="874">
        <v>15000000</v>
      </c>
      <c r="C57" s="206"/>
      <c r="D57" s="204"/>
      <c r="E57" s="204"/>
      <c r="F57" s="204"/>
      <c r="G57" s="204"/>
      <c r="H57" s="204"/>
      <c r="I57" s="202"/>
      <c r="J57" s="201"/>
      <c r="K57" s="195"/>
      <c r="L57" s="195"/>
      <c r="M57" s="195"/>
      <c r="N57" s="195"/>
      <c r="O57" s="195"/>
      <c r="P57" s="195"/>
      <c r="Q57" s="195"/>
      <c r="R57" s="195"/>
      <c r="S57" s="195"/>
      <c r="T57" s="195"/>
      <c r="U57" s="195"/>
    </row>
    <row r="58" spans="1:32" ht="17.100000000000001" hidden="1" customHeight="1">
      <c r="A58" s="203"/>
      <c r="B58" s="203"/>
      <c r="C58" s="204"/>
      <c r="D58" s="204"/>
      <c r="E58" s="204"/>
      <c r="F58" s="204"/>
      <c r="G58" s="204"/>
      <c r="H58" s="204"/>
      <c r="I58" s="202"/>
      <c r="J58" s="201"/>
      <c r="K58" s="195"/>
      <c r="L58" s="195"/>
      <c r="M58" s="195"/>
      <c r="N58" s="195"/>
      <c r="O58" s="195"/>
      <c r="P58" s="195"/>
      <c r="Q58" s="195"/>
      <c r="R58" s="195"/>
      <c r="S58" s="195"/>
      <c r="T58" s="195"/>
      <c r="U58" s="195"/>
    </row>
    <row r="59" spans="1:32" ht="17.100000000000001" hidden="1" customHeight="1">
      <c r="A59" s="208" t="s">
        <v>597</v>
      </c>
      <c r="B59" s="203"/>
      <c r="C59" s="204"/>
      <c r="D59" s="204"/>
      <c r="E59" s="195"/>
      <c r="F59" s="204"/>
      <c r="G59" s="204"/>
      <c r="H59" s="204"/>
      <c r="I59" s="202"/>
      <c r="J59" s="201"/>
      <c r="K59" s="195"/>
      <c r="L59" s="195"/>
      <c r="M59" s="195"/>
      <c r="N59" s="195"/>
      <c r="O59" s="195"/>
      <c r="P59" s="195"/>
      <c r="Q59" s="195"/>
      <c r="R59" s="195"/>
      <c r="S59" s="195"/>
      <c r="T59" s="195"/>
      <c r="U59" s="195"/>
    </row>
    <row r="60" spans="1:32" ht="17.100000000000001" hidden="1" customHeight="1">
      <c r="A60" s="203"/>
      <c r="B60" s="203"/>
      <c r="C60" s="204"/>
      <c r="D60" s="204"/>
      <c r="E60" s="204"/>
      <c r="F60" s="204"/>
      <c r="G60" s="204"/>
      <c r="H60" s="204"/>
      <c r="I60" s="202"/>
      <c r="J60" s="201"/>
      <c r="K60" s="195"/>
      <c r="L60" s="195"/>
      <c r="M60" s="195"/>
      <c r="N60" s="195"/>
      <c r="O60" s="195"/>
      <c r="P60" s="195"/>
      <c r="Q60" s="195"/>
      <c r="R60" s="195"/>
      <c r="S60" s="195"/>
      <c r="T60" s="195"/>
      <c r="U60" s="195"/>
    </row>
    <row r="61" spans="1:32" ht="17.100000000000001" customHeight="1">
      <c r="A61" s="1153" t="s">
        <v>598</v>
      </c>
      <c r="B61" s="1108"/>
      <c r="C61" s="1108"/>
      <c r="D61" s="1147"/>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row>
    <row r="62" spans="1:32" ht="17.100000000000001" customHeight="1">
      <c r="A62" s="1110"/>
      <c r="B62" s="1103"/>
      <c r="C62" s="1103"/>
      <c r="D62" s="1148"/>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row>
    <row r="63" spans="1:32" ht="17.100000000000001" customHeight="1">
      <c r="A63" s="220" t="s">
        <v>599</v>
      </c>
      <c r="B63" s="38" t="s">
        <v>600</v>
      </c>
      <c r="C63" s="38" t="s">
        <v>601</v>
      </c>
      <c r="D63" s="38" t="s">
        <v>602</v>
      </c>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row>
    <row r="64" spans="1:32" ht="17.100000000000001" customHeight="1">
      <c r="A64" s="325" t="s">
        <v>890</v>
      </c>
      <c r="B64" s="209">
        <f>SUM(B81:M81)</f>
        <v>13500</v>
      </c>
      <c r="C64" s="209">
        <f>+B64+B99</f>
        <v>14893</v>
      </c>
      <c r="D64" s="209">
        <f>+C64+C99</f>
        <v>16913</v>
      </c>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row>
    <row r="65" spans="1:41" ht="17.100000000000001" customHeight="1">
      <c r="A65" s="325" t="s">
        <v>596</v>
      </c>
      <c r="B65" s="209">
        <f t="shared" ref="B65:B75" si="2">SUM(B82:M82)</f>
        <v>0</v>
      </c>
      <c r="C65" s="209">
        <f t="shared" ref="C65:D75" si="3">+B65+B100</f>
        <v>0</v>
      </c>
      <c r="D65" s="209">
        <f t="shared" si="3"/>
        <v>0</v>
      </c>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row>
    <row r="66" spans="1:41" ht="17.100000000000001" customHeight="1">
      <c r="A66" s="325" t="s">
        <v>596</v>
      </c>
      <c r="B66" s="209">
        <f t="shared" si="2"/>
        <v>0</v>
      </c>
      <c r="C66" s="209">
        <f t="shared" si="3"/>
        <v>0</v>
      </c>
      <c r="D66" s="209">
        <f t="shared" si="3"/>
        <v>0</v>
      </c>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row>
    <row r="67" spans="1:41" ht="17.100000000000001" customHeight="1">
      <c r="A67" s="325" t="s">
        <v>596</v>
      </c>
      <c r="B67" s="209">
        <f t="shared" si="2"/>
        <v>0</v>
      </c>
      <c r="C67" s="209">
        <f t="shared" si="3"/>
        <v>0</v>
      </c>
      <c r="D67" s="209">
        <f t="shared" si="3"/>
        <v>0</v>
      </c>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row>
    <row r="68" spans="1:41" ht="17.100000000000001" customHeight="1">
      <c r="A68" s="325" t="s">
        <v>596</v>
      </c>
      <c r="B68" s="209">
        <f t="shared" si="2"/>
        <v>0</v>
      </c>
      <c r="C68" s="209">
        <f t="shared" si="3"/>
        <v>0</v>
      </c>
      <c r="D68" s="209">
        <f t="shared" si="3"/>
        <v>0</v>
      </c>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row>
    <row r="69" spans="1:41" ht="17.100000000000001" customHeight="1">
      <c r="A69" s="325" t="s">
        <v>596</v>
      </c>
      <c r="B69" s="209">
        <f t="shared" si="2"/>
        <v>0</v>
      </c>
      <c r="C69" s="209">
        <f t="shared" si="3"/>
        <v>0</v>
      </c>
      <c r="D69" s="209">
        <f t="shared" si="3"/>
        <v>0</v>
      </c>
      <c r="E69" s="195"/>
      <c r="F69" s="195"/>
      <c r="G69" s="195"/>
      <c r="H69" s="195"/>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row>
    <row r="70" spans="1:41" ht="17.100000000000001" customHeight="1">
      <c r="A70" s="325" t="s">
        <v>596</v>
      </c>
      <c r="B70" s="209">
        <f t="shared" si="2"/>
        <v>0</v>
      </c>
      <c r="C70" s="209">
        <f t="shared" si="3"/>
        <v>0</v>
      </c>
      <c r="D70" s="209">
        <f t="shared" si="3"/>
        <v>0</v>
      </c>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row>
    <row r="71" spans="1:41" ht="17.100000000000001" customHeight="1">
      <c r="A71" s="325" t="s">
        <v>596</v>
      </c>
      <c r="B71" s="209">
        <f t="shared" si="2"/>
        <v>0</v>
      </c>
      <c r="C71" s="209">
        <f t="shared" si="3"/>
        <v>0</v>
      </c>
      <c r="D71" s="209">
        <f t="shared" si="3"/>
        <v>0</v>
      </c>
      <c r="E71" s="195"/>
      <c r="F71" s="195"/>
      <c r="G71" s="195"/>
      <c r="H71" s="195"/>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row>
    <row r="72" spans="1:41" ht="17.100000000000001" customHeight="1">
      <c r="A72" s="325" t="s">
        <v>596</v>
      </c>
      <c r="B72" s="209">
        <f t="shared" si="2"/>
        <v>0</v>
      </c>
      <c r="C72" s="209">
        <f t="shared" si="3"/>
        <v>0</v>
      </c>
      <c r="D72" s="209">
        <f t="shared" si="3"/>
        <v>0</v>
      </c>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row>
    <row r="73" spans="1:41" ht="17.100000000000001" customHeight="1">
      <c r="A73" s="325" t="s">
        <v>596</v>
      </c>
      <c r="B73" s="209">
        <f t="shared" si="2"/>
        <v>0</v>
      </c>
      <c r="C73" s="209">
        <f t="shared" si="3"/>
        <v>0</v>
      </c>
      <c r="D73" s="209">
        <f t="shared" si="3"/>
        <v>0</v>
      </c>
      <c r="E73" s="195"/>
      <c r="F73" s="195"/>
      <c r="G73" s="195"/>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row>
    <row r="74" spans="1:41" ht="17.100000000000001" customHeight="1">
      <c r="A74" s="325" t="s">
        <v>596</v>
      </c>
      <c r="B74" s="209">
        <f t="shared" si="2"/>
        <v>0</v>
      </c>
      <c r="C74" s="209">
        <f t="shared" si="3"/>
        <v>0</v>
      </c>
      <c r="D74" s="209">
        <f t="shared" si="3"/>
        <v>0</v>
      </c>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row>
    <row r="75" spans="1:41" ht="17.100000000000001" customHeight="1">
      <c r="A75" s="325" t="s">
        <v>596</v>
      </c>
      <c r="B75" s="209">
        <f t="shared" si="2"/>
        <v>0</v>
      </c>
      <c r="C75" s="209">
        <f t="shared" si="3"/>
        <v>0</v>
      </c>
      <c r="D75" s="209">
        <f t="shared" si="3"/>
        <v>0</v>
      </c>
      <c r="E75" s="195"/>
      <c r="F75" s="195"/>
      <c r="G75" s="195"/>
      <c r="H75" s="195"/>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row>
    <row r="76" spans="1:41" ht="17.100000000000001" hidden="1" customHeight="1">
      <c r="A76" s="219"/>
      <c r="B76" s="194"/>
      <c r="C76" s="194"/>
      <c r="D76" s="194"/>
      <c r="E76" s="194"/>
      <c r="F76" s="194"/>
      <c r="G76" s="194"/>
      <c r="H76" s="194"/>
      <c r="I76" s="194"/>
      <c r="J76" s="194"/>
      <c r="K76" s="194"/>
      <c r="L76" s="194"/>
      <c r="M76" s="194"/>
      <c r="N76" s="194"/>
      <c r="O76" s="195"/>
      <c r="P76" s="195"/>
      <c r="Q76" s="195"/>
      <c r="R76" s="195"/>
      <c r="S76" s="195"/>
      <c r="T76" s="195"/>
      <c r="U76" s="195"/>
      <c r="V76" s="195"/>
      <c r="W76" s="195"/>
      <c r="X76" s="195"/>
      <c r="Y76" s="195"/>
      <c r="Z76" s="195"/>
      <c r="AA76" s="195"/>
      <c r="AB76" s="195"/>
      <c r="AC76" s="195"/>
      <c r="AD76" s="195"/>
      <c r="AE76" s="195"/>
      <c r="AF76" s="195"/>
    </row>
    <row r="77" spans="1:41" ht="17.100000000000001" customHeight="1">
      <c r="A77" s="1136" t="s">
        <v>603</v>
      </c>
      <c r="B77" s="875" t="s">
        <v>17</v>
      </c>
      <c r="C77" s="214" t="s">
        <v>16</v>
      </c>
      <c r="D77" s="214" t="s">
        <v>17</v>
      </c>
      <c r="E77" s="214" t="s">
        <v>18</v>
      </c>
      <c r="F77" s="214" t="s">
        <v>19</v>
      </c>
      <c r="G77" s="214" t="s">
        <v>20</v>
      </c>
      <c r="H77" s="214" t="s">
        <v>21</v>
      </c>
      <c r="I77" s="214" t="s">
        <v>22</v>
      </c>
      <c r="J77" s="214" t="s">
        <v>604</v>
      </c>
      <c r="K77" s="214" t="s">
        <v>23</v>
      </c>
      <c r="L77" s="214" t="s">
        <v>24</v>
      </c>
      <c r="M77" s="214" t="s">
        <v>25</v>
      </c>
      <c r="N77" s="214" t="s">
        <v>26</v>
      </c>
      <c r="O77" s="211" t="s">
        <v>27</v>
      </c>
      <c r="P77" s="210"/>
      <c r="Q77" s="210"/>
      <c r="R77" s="210"/>
      <c r="S77" s="210"/>
      <c r="T77" s="210"/>
      <c r="U77" s="210"/>
      <c r="V77" s="210"/>
      <c r="W77" s="210"/>
      <c r="X77" s="210"/>
      <c r="Y77" s="210"/>
      <c r="Z77" s="210"/>
      <c r="AA77" s="210"/>
      <c r="AB77" s="198"/>
      <c r="AC77" s="198"/>
      <c r="AD77" s="198"/>
      <c r="AE77" s="198"/>
      <c r="AF77" s="198"/>
    </row>
    <row r="78" spans="1:41" ht="17.100000000000001" customHeight="1">
      <c r="A78" s="1137"/>
      <c r="B78" s="876">
        <v>2014</v>
      </c>
      <c r="C78" s="214">
        <v>6</v>
      </c>
      <c r="D78" s="212"/>
      <c r="E78" s="212"/>
      <c r="F78" s="212"/>
      <c r="G78" s="212"/>
      <c r="H78" s="212"/>
      <c r="I78" s="212"/>
      <c r="J78" s="212"/>
      <c r="K78" s="212"/>
      <c r="L78" s="212"/>
      <c r="M78" s="212"/>
      <c r="N78" s="210"/>
      <c r="O78" s="212" t="s">
        <v>605</v>
      </c>
      <c r="P78" s="212" t="s">
        <v>605</v>
      </c>
      <c r="Q78" s="212" t="s">
        <v>605</v>
      </c>
      <c r="R78" s="212" t="s">
        <v>605</v>
      </c>
      <c r="S78" s="212" t="s">
        <v>605</v>
      </c>
      <c r="T78" s="212" t="s">
        <v>605</v>
      </c>
      <c r="U78" s="212" t="s">
        <v>605</v>
      </c>
      <c r="V78" s="212" t="s">
        <v>605</v>
      </c>
      <c r="W78" s="212" t="s">
        <v>605</v>
      </c>
      <c r="X78" s="212" t="s">
        <v>605</v>
      </c>
      <c r="Y78" s="212" t="s">
        <v>605</v>
      </c>
      <c r="Z78" s="212" t="s">
        <v>605</v>
      </c>
      <c r="AA78" s="212" t="s">
        <v>605</v>
      </c>
      <c r="AB78" s="215" t="str">
        <f>+B77</f>
        <v>FEB</v>
      </c>
      <c r="AC78" s="216">
        <v>2008</v>
      </c>
      <c r="AD78" s="198"/>
      <c r="AE78" s="217">
        <v>39448</v>
      </c>
      <c r="AF78" s="218">
        <f>AE78+AE80+AE79</f>
        <v>41683</v>
      </c>
    </row>
    <row r="79" spans="1:41" ht="17.100000000000001" customHeight="1">
      <c r="A79" s="1137"/>
      <c r="B79" s="178">
        <f>+AF78</f>
        <v>41683</v>
      </c>
      <c r="C79" s="178">
        <f>+B79+30</f>
        <v>41713</v>
      </c>
      <c r="D79" s="178">
        <f t="shared" ref="D79:M79" si="4">+C79+30</f>
        <v>41743</v>
      </c>
      <c r="E79" s="178">
        <f t="shared" si="4"/>
        <v>41773</v>
      </c>
      <c r="F79" s="178">
        <f t="shared" si="4"/>
        <v>41803</v>
      </c>
      <c r="G79" s="178">
        <f t="shared" si="4"/>
        <v>41833</v>
      </c>
      <c r="H79" s="178">
        <f t="shared" si="4"/>
        <v>41863</v>
      </c>
      <c r="I79" s="178">
        <f t="shared" si="4"/>
        <v>41893</v>
      </c>
      <c r="J79" s="178">
        <f t="shared" si="4"/>
        <v>41923</v>
      </c>
      <c r="K79" s="178">
        <f t="shared" si="4"/>
        <v>41953</v>
      </c>
      <c r="L79" s="178">
        <f t="shared" si="4"/>
        <v>41983</v>
      </c>
      <c r="M79" s="178">
        <f t="shared" si="4"/>
        <v>42013</v>
      </c>
      <c r="N79" s="235">
        <v>9</v>
      </c>
      <c r="O79" s="236">
        <v>12</v>
      </c>
      <c r="P79" s="236" t="s">
        <v>606</v>
      </c>
      <c r="Q79" s="236" t="s">
        <v>607</v>
      </c>
      <c r="R79" s="236" t="s">
        <v>608</v>
      </c>
      <c r="S79" s="236" t="s">
        <v>609</v>
      </c>
      <c r="T79" s="236" t="s">
        <v>610</v>
      </c>
      <c r="U79" s="236" t="s">
        <v>611</v>
      </c>
      <c r="V79" s="236" t="s">
        <v>612</v>
      </c>
      <c r="W79" s="236" t="s">
        <v>613</v>
      </c>
      <c r="X79" s="236" t="s">
        <v>614</v>
      </c>
      <c r="Y79" s="236" t="s">
        <v>615</v>
      </c>
      <c r="Z79" s="236" t="s">
        <v>616</v>
      </c>
      <c r="AA79" s="236" t="s">
        <v>617</v>
      </c>
      <c r="AB79" s="237">
        <f>VLOOKUP(AB78,AB81:AC92,2,FALSE)</f>
        <v>2</v>
      </c>
      <c r="AC79" s="238">
        <f>+B78</f>
        <v>2014</v>
      </c>
      <c r="AD79" s="238">
        <v>1</v>
      </c>
      <c r="AE79" s="239">
        <f>30*(AB79-1)+15</f>
        <v>45</v>
      </c>
      <c r="AF79" s="235"/>
      <c r="AG79" s="11"/>
      <c r="AH79" s="11"/>
      <c r="AI79" s="11"/>
      <c r="AJ79" s="11"/>
      <c r="AK79" s="11"/>
      <c r="AL79" s="11"/>
      <c r="AM79" s="11"/>
      <c r="AN79" s="11"/>
      <c r="AO79" s="11"/>
    </row>
    <row r="80" spans="1:41" ht="17.100000000000001" customHeight="1">
      <c r="A80" s="222">
        <v>200</v>
      </c>
      <c r="B80" s="179">
        <v>1</v>
      </c>
      <c r="C80" s="179">
        <v>2</v>
      </c>
      <c r="D80" s="179">
        <v>3</v>
      </c>
      <c r="E80" s="179">
        <v>4</v>
      </c>
      <c r="F80" s="179">
        <v>5</v>
      </c>
      <c r="G80" s="179">
        <v>6</v>
      </c>
      <c r="H80" s="179">
        <v>7</v>
      </c>
      <c r="I80" s="179">
        <v>8</v>
      </c>
      <c r="J80" s="179">
        <v>9</v>
      </c>
      <c r="K80" s="179">
        <v>10</v>
      </c>
      <c r="L80" s="179">
        <v>11</v>
      </c>
      <c r="M80" s="179">
        <v>12</v>
      </c>
      <c r="N80" s="240"/>
      <c r="O80" s="240" t="s">
        <v>605</v>
      </c>
      <c r="P80" s="240" t="s">
        <v>605</v>
      </c>
      <c r="Q80" s="240" t="s">
        <v>605</v>
      </c>
      <c r="R80" s="240" t="s">
        <v>605</v>
      </c>
      <c r="S80" s="240" t="s">
        <v>605</v>
      </c>
      <c r="T80" s="240" t="s">
        <v>605</v>
      </c>
      <c r="U80" s="240" t="s">
        <v>605</v>
      </c>
      <c r="V80" s="240" t="s">
        <v>605</v>
      </c>
      <c r="W80" s="240" t="s">
        <v>605</v>
      </c>
      <c r="X80" s="240" t="s">
        <v>605</v>
      </c>
      <c r="Y80" s="240" t="s">
        <v>605</v>
      </c>
      <c r="Z80" s="240" t="s">
        <v>605</v>
      </c>
      <c r="AA80" s="240" t="s">
        <v>605</v>
      </c>
      <c r="AB80" s="241"/>
      <c r="AC80" s="241"/>
      <c r="AD80" s="241"/>
      <c r="AE80" s="242">
        <f>+(AC79-AC78)*365</f>
        <v>2190</v>
      </c>
      <c r="AF80" s="241"/>
      <c r="AG80" s="12"/>
      <c r="AH80" s="12"/>
      <c r="AI80" s="12"/>
      <c r="AJ80" s="12"/>
      <c r="AK80" s="12"/>
      <c r="AL80" s="12"/>
      <c r="AM80" s="12"/>
      <c r="AN80" s="12"/>
      <c r="AO80" s="12"/>
    </row>
    <row r="81" spans="1:32" ht="17.100000000000001" customHeight="1">
      <c r="A81" s="325" t="s">
        <v>890</v>
      </c>
      <c r="B81" s="180">
        <f>+'GRAFIC VTAS'!B14</f>
        <v>810</v>
      </c>
      <c r="C81" s="180">
        <f>+'GRAFIC VTAS'!C14</f>
        <v>945</v>
      </c>
      <c r="D81" s="180">
        <f>+'GRAFIC VTAS'!D14</f>
        <v>945</v>
      </c>
      <c r="E81" s="180">
        <f>+'GRAFIC VTAS'!E14</f>
        <v>945</v>
      </c>
      <c r="F81" s="180">
        <f>+'GRAFIC VTAS'!F14</f>
        <v>1350</v>
      </c>
      <c r="G81" s="180">
        <f>+'GRAFIC VTAS'!G14</f>
        <v>1215</v>
      </c>
      <c r="H81" s="180">
        <f>+'GRAFIC VTAS'!H14</f>
        <v>1080</v>
      </c>
      <c r="I81" s="180">
        <f>+'GRAFIC VTAS'!I14</f>
        <v>1080</v>
      </c>
      <c r="J81" s="180">
        <f>+'GRAFIC VTAS'!J14</f>
        <v>1080</v>
      </c>
      <c r="K81" s="180">
        <f>+'GRAFIC VTAS'!K14</f>
        <v>1350</v>
      </c>
      <c r="L81" s="180">
        <f>+'GRAFIC VTAS'!L14</f>
        <v>1890</v>
      </c>
      <c r="M81" s="180">
        <f>+'GRAFIC VTAS'!M14</f>
        <v>810</v>
      </c>
      <c r="N81" s="210">
        <f>SUM(B81:M81)</f>
        <v>13500</v>
      </c>
      <c r="O81" s="210" t="str">
        <f t="shared" ref="O81:P92" si="5">+A81</f>
        <v>CAMISETAS</v>
      </c>
      <c r="P81" s="210">
        <f>+B81</f>
        <v>810</v>
      </c>
      <c r="Q81" s="210">
        <f t="shared" ref="Q81:AA92" si="6">+C81</f>
        <v>945</v>
      </c>
      <c r="R81" s="210">
        <f t="shared" si="6"/>
        <v>945</v>
      </c>
      <c r="S81" s="210">
        <f t="shared" si="6"/>
        <v>945</v>
      </c>
      <c r="T81" s="210">
        <f t="shared" si="6"/>
        <v>1350</v>
      </c>
      <c r="U81" s="210">
        <f t="shared" si="6"/>
        <v>1215</v>
      </c>
      <c r="V81" s="210">
        <f t="shared" si="6"/>
        <v>1080</v>
      </c>
      <c r="W81" s="210">
        <f t="shared" si="6"/>
        <v>1080</v>
      </c>
      <c r="X81" s="210">
        <f t="shared" si="6"/>
        <v>1080</v>
      </c>
      <c r="Y81" s="210">
        <f t="shared" si="6"/>
        <v>1350</v>
      </c>
      <c r="Z81" s="210">
        <f t="shared" si="6"/>
        <v>1890</v>
      </c>
      <c r="AA81" s="210">
        <f t="shared" si="6"/>
        <v>810</v>
      </c>
      <c r="AB81" s="198" t="s">
        <v>16</v>
      </c>
      <c r="AC81" s="198">
        <v>1</v>
      </c>
      <c r="AD81" s="198">
        <v>2008</v>
      </c>
      <c r="AE81" s="198">
        <v>0</v>
      </c>
      <c r="AF81" s="198"/>
    </row>
    <row r="82" spans="1:32" ht="17.100000000000001" customHeight="1">
      <c r="A82" s="325" t="s">
        <v>596</v>
      </c>
      <c r="B82" s="180">
        <f>+'GRAFIC VTAS'!B15</f>
        <v>0</v>
      </c>
      <c r="C82" s="180">
        <f>+'GRAFIC VTAS'!C15</f>
        <v>0</v>
      </c>
      <c r="D82" s="180">
        <f>+'GRAFIC VTAS'!D15</f>
        <v>0</v>
      </c>
      <c r="E82" s="180">
        <f>+'GRAFIC VTAS'!E15</f>
        <v>0</v>
      </c>
      <c r="F82" s="180">
        <f>+'GRAFIC VTAS'!F15</f>
        <v>0</v>
      </c>
      <c r="G82" s="180">
        <f>+'GRAFIC VTAS'!G15</f>
        <v>0</v>
      </c>
      <c r="H82" s="180">
        <f>+'GRAFIC VTAS'!H15</f>
        <v>0</v>
      </c>
      <c r="I82" s="180">
        <f>+'GRAFIC VTAS'!I15</f>
        <v>0</v>
      </c>
      <c r="J82" s="180">
        <f>+'GRAFIC VTAS'!J15</f>
        <v>0</v>
      </c>
      <c r="K82" s="180">
        <f>+'GRAFIC VTAS'!K15</f>
        <v>0</v>
      </c>
      <c r="L82" s="180">
        <f>+'GRAFIC VTAS'!L15</f>
        <v>0</v>
      </c>
      <c r="M82" s="180">
        <f>+'GRAFIC VTAS'!M15</f>
        <v>0</v>
      </c>
      <c r="N82" s="210">
        <f t="shared" ref="N82:N92" si="7">SUM(B82:M82)</f>
        <v>0</v>
      </c>
      <c r="O82" s="210" t="str">
        <f t="shared" si="5"/>
        <v/>
      </c>
      <c r="P82" s="210">
        <f t="shared" si="5"/>
        <v>0</v>
      </c>
      <c r="Q82" s="210">
        <f t="shared" si="6"/>
        <v>0</v>
      </c>
      <c r="R82" s="210">
        <f t="shared" si="6"/>
        <v>0</v>
      </c>
      <c r="S82" s="210">
        <f t="shared" si="6"/>
        <v>0</v>
      </c>
      <c r="T82" s="210">
        <f t="shared" si="6"/>
        <v>0</v>
      </c>
      <c r="U82" s="210">
        <f t="shared" si="6"/>
        <v>0</v>
      </c>
      <c r="V82" s="210">
        <f t="shared" si="6"/>
        <v>0</v>
      </c>
      <c r="W82" s="210">
        <f t="shared" si="6"/>
        <v>0</v>
      </c>
      <c r="X82" s="210">
        <f t="shared" si="6"/>
        <v>0</v>
      </c>
      <c r="Y82" s="210">
        <f t="shared" si="6"/>
        <v>0</v>
      </c>
      <c r="Z82" s="210">
        <f t="shared" si="6"/>
        <v>0</v>
      </c>
      <c r="AA82" s="210">
        <f t="shared" si="6"/>
        <v>0</v>
      </c>
      <c r="AB82" s="198" t="s">
        <v>17</v>
      </c>
      <c r="AC82" s="198">
        <v>2</v>
      </c>
      <c r="AD82" s="198">
        <v>2009</v>
      </c>
      <c r="AE82" s="198">
        <v>366</v>
      </c>
      <c r="AF82" s="198">
        <v>366</v>
      </c>
    </row>
    <row r="83" spans="1:32" ht="17.100000000000001" customHeight="1">
      <c r="A83" s="325" t="s">
        <v>596</v>
      </c>
      <c r="B83" s="180">
        <f>+'GRAFIC VTAS'!B16</f>
        <v>0</v>
      </c>
      <c r="C83" s="180">
        <f>+'GRAFIC VTAS'!C16</f>
        <v>0</v>
      </c>
      <c r="D83" s="180">
        <f>+'GRAFIC VTAS'!D16</f>
        <v>0</v>
      </c>
      <c r="E83" s="180">
        <f>+'GRAFIC VTAS'!E16</f>
        <v>0</v>
      </c>
      <c r="F83" s="180">
        <f>+'GRAFIC VTAS'!F16</f>
        <v>0</v>
      </c>
      <c r="G83" s="180">
        <f>+'GRAFIC VTAS'!G16</f>
        <v>0</v>
      </c>
      <c r="H83" s="180">
        <f>+'GRAFIC VTAS'!H16</f>
        <v>0</v>
      </c>
      <c r="I83" s="180">
        <f>+'GRAFIC VTAS'!I16</f>
        <v>0</v>
      </c>
      <c r="J83" s="180">
        <f>+'GRAFIC VTAS'!J16</f>
        <v>0</v>
      </c>
      <c r="K83" s="180">
        <f>+'GRAFIC VTAS'!K16</f>
        <v>0</v>
      </c>
      <c r="L83" s="180">
        <f>+'GRAFIC VTAS'!L16</f>
        <v>0</v>
      </c>
      <c r="M83" s="180">
        <f>+'GRAFIC VTAS'!M16</f>
        <v>0</v>
      </c>
      <c r="N83" s="210">
        <f t="shared" si="7"/>
        <v>0</v>
      </c>
      <c r="O83" s="210" t="str">
        <f t="shared" si="5"/>
        <v/>
      </c>
      <c r="P83" s="210">
        <f t="shared" si="5"/>
        <v>0</v>
      </c>
      <c r="Q83" s="210">
        <f t="shared" si="6"/>
        <v>0</v>
      </c>
      <c r="R83" s="210">
        <f t="shared" si="6"/>
        <v>0</v>
      </c>
      <c r="S83" s="210">
        <f t="shared" si="6"/>
        <v>0</v>
      </c>
      <c r="T83" s="210">
        <f t="shared" si="6"/>
        <v>0</v>
      </c>
      <c r="U83" s="210">
        <f t="shared" si="6"/>
        <v>0</v>
      </c>
      <c r="V83" s="210">
        <f t="shared" si="6"/>
        <v>0</v>
      </c>
      <c r="W83" s="210">
        <f t="shared" si="6"/>
        <v>0</v>
      </c>
      <c r="X83" s="210">
        <f t="shared" si="6"/>
        <v>0</v>
      </c>
      <c r="Y83" s="210">
        <f t="shared" si="6"/>
        <v>0</v>
      </c>
      <c r="Z83" s="210">
        <f t="shared" si="6"/>
        <v>0</v>
      </c>
      <c r="AA83" s="210">
        <f t="shared" si="6"/>
        <v>0</v>
      </c>
      <c r="AB83" s="198" t="s">
        <v>18</v>
      </c>
      <c r="AC83" s="198">
        <v>3</v>
      </c>
      <c r="AD83" s="198">
        <v>2010</v>
      </c>
      <c r="AE83" s="198">
        <v>365</v>
      </c>
      <c r="AF83" s="198">
        <v>731</v>
      </c>
    </row>
    <row r="84" spans="1:32" ht="17.100000000000001" customHeight="1">
      <c r="A84" s="325" t="s">
        <v>596</v>
      </c>
      <c r="B84" s="180">
        <f>+'GRAFIC VTAS'!B17</f>
        <v>0</v>
      </c>
      <c r="C84" s="180">
        <f>+'GRAFIC VTAS'!C17</f>
        <v>0</v>
      </c>
      <c r="D84" s="180">
        <f>+'GRAFIC VTAS'!D17</f>
        <v>0</v>
      </c>
      <c r="E84" s="180">
        <f>+'GRAFIC VTAS'!E17</f>
        <v>0</v>
      </c>
      <c r="F84" s="180">
        <f>+'GRAFIC VTAS'!F17</f>
        <v>0</v>
      </c>
      <c r="G84" s="180">
        <f>+'GRAFIC VTAS'!G17</f>
        <v>0</v>
      </c>
      <c r="H84" s="180">
        <f>+'GRAFIC VTAS'!H17</f>
        <v>0</v>
      </c>
      <c r="I84" s="180">
        <f>+'GRAFIC VTAS'!I17</f>
        <v>0</v>
      </c>
      <c r="J84" s="180">
        <f>+'GRAFIC VTAS'!J17</f>
        <v>0</v>
      </c>
      <c r="K84" s="180">
        <f>+'GRAFIC VTAS'!K17</f>
        <v>0</v>
      </c>
      <c r="L84" s="180">
        <f>+'GRAFIC VTAS'!L17</f>
        <v>0</v>
      </c>
      <c r="M84" s="180">
        <f>+'GRAFIC VTAS'!M17</f>
        <v>0</v>
      </c>
      <c r="N84" s="210">
        <f t="shared" si="7"/>
        <v>0</v>
      </c>
      <c r="O84" s="210" t="str">
        <f t="shared" si="5"/>
        <v/>
      </c>
      <c r="P84" s="210">
        <f t="shared" si="5"/>
        <v>0</v>
      </c>
      <c r="Q84" s="210">
        <f t="shared" si="6"/>
        <v>0</v>
      </c>
      <c r="R84" s="210">
        <f t="shared" si="6"/>
        <v>0</v>
      </c>
      <c r="S84" s="210">
        <f t="shared" si="6"/>
        <v>0</v>
      </c>
      <c r="T84" s="210">
        <f t="shared" si="6"/>
        <v>0</v>
      </c>
      <c r="U84" s="210">
        <f t="shared" si="6"/>
        <v>0</v>
      </c>
      <c r="V84" s="210">
        <f t="shared" si="6"/>
        <v>0</v>
      </c>
      <c r="W84" s="210">
        <f t="shared" si="6"/>
        <v>0</v>
      </c>
      <c r="X84" s="210">
        <f t="shared" si="6"/>
        <v>0</v>
      </c>
      <c r="Y84" s="210">
        <f t="shared" si="6"/>
        <v>0</v>
      </c>
      <c r="Z84" s="210">
        <f t="shared" si="6"/>
        <v>0</v>
      </c>
      <c r="AA84" s="210">
        <f t="shared" si="6"/>
        <v>0</v>
      </c>
      <c r="AB84" s="198" t="s">
        <v>19</v>
      </c>
      <c r="AC84" s="198">
        <v>4</v>
      </c>
      <c r="AD84" s="198">
        <v>2011</v>
      </c>
      <c r="AE84" s="198">
        <v>365</v>
      </c>
      <c r="AF84" s="198">
        <v>1096</v>
      </c>
    </row>
    <row r="85" spans="1:32" ht="17.100000000000001" customHeight="1">
      <c r="A85" s="325" t="s">
        <v>596</v>
      </c>
      <c r="B85" s="180">
        <f>+'GRAFIC VTAS'!B18</f>
        <v>0</v>
      </c>
      <c r="C85" s="180">
        <f>+'GRAFIC VTAS'!C18</f>
        <v>0</v>
      </c>
      <c r="D85" s="180">
        <f>+'GRAFIC VTAS'!D18</f>
        <v>0</v>
      </c>
      <c r="E85" s="180">
        <f>+'GRAFIC VTAS'!E18</f>
        <v>0</v>
      </c>
      <c r="F85" s="180">
        <f>+'GRAFIC VTAS'!F18</f>
        <v>0</v>
      </c>
      <c r="G85" s="180">
        <f>+'GRAFIC VTAS'!G18</f>
        <v>0</v>
      </c>
      <c r="H85" s="180">
        <f>+'GRAFIC VTAS'!H18</f>
        <v>0</v>
      </c>
      <c r="I85" s="180">
        <f>+'GRAFIC VTAS'!I18</f>
        <v>0</v>
      </c>
      <c r="J85" s="180">
        <f>+'GRAFIC VTAS'!J18</f>
        <v>0</v>
      </c>
      <c r="K85" s="180">
        <f>+'GRAFIC VTAS'!K18</f>
        <v>0</v>
      </c>
      <c r="L85" s="180">
        <f>+'GRAFIC VTAS'!L18</f>
        <v>0</v>
      </c>
      <c r="M85" s="180">
        <f>+'GRAFIC VTAS'!M18</f>
        <v>0</v>
      </c>
      <c r="N85" s="210">
        <f t="shared" si="7"/>
        <v>0</v>
      </c>
      <c r="O85" s="210" t="str">
        <f t="shared" si="5"/>
        <v/>
      </c>
      <c r="P85" s="210">
        <f t="shared" si="5"/>
        <v>0</v>
      </c>
      <c r="Q85" s="210">
        <f t="shared" si="6"/>
        <v>0</v>
      </c>
      <c r="R85" s="210">
        <f t="shared" si="6"/>
        <v>0</v>
      </c>
      <c r="S85" s="210">
        <f t="shared" si="6"/>
        <v>0</v>
      </c>
      <c r="T85" s="210">
        <f t="shared" si="6"/>
        <v>0</v>
      </c>
      <c r="U85" s="210">
        <f t="shared" si="6"/>
        <v>0</v>
      </c>
      <c r="V85" s="210">
        <f t="shared" si="6"/>
        <v>0</v>
      </c>
      <c r="W85" s="210">
        <f t="shared" si="6"/>
        <v>0</v>
      </c>
      <c r="X85" s="210">
        <f t="shared" si="6"/>
        <v>0</v>
      </c>
      <c r="Y85" s="210">
        <f t="shared" si="6"/>
        <v>0</v>
      </c>
      <c r="Z85" s="210">
        <f t="shared" si="6"/>
        <v>0</v>
      </c>
      <c r="AA85" s="210">
        <f t="shared" si="6"/>
        <v>0</v>
      </c>
      <c r="AB85" s="198" t="s">
        <v>20</v>
      </c>
      <c r="AC85" s="198">
        <v>5</v>
      </c>
      <c r="AD85" s="198">
        <v>2012</v>
      </c>
      <c r="AE85" s="198">
        <v>365</v>
      </c>
      <c r="AF85" s="198">
        <v>1461</v>
      </c>
    </row>
    <row r="86" spans="1:32" ht="17.100000000000001" customHeight="1">
      <c r="A86" s="325" t="s">
        <v>596</v>
      </c>
      <c r="B86" s="180">
        <f>+'GRAFIC VTAS'!B19</f>
        <v>0</v>
      </c>
      <c r="C86" s="180">
        <f>+'GRAFIC VTAS'!C19</f>
        <v>0</v>
      </c>
      <c r="D86" s="180">
        <f>+'GRAFIC VTAS'!D19</f>
        <v>0</v>
      </c>
      <c r="E86" s="180">
        <f>+'GRAFIC VTAS'!E19</f>
        <v>0</v>
      </c>
      <c r="F86" s="180">
        <f>+'GRAFIC VTAS'!F19</f>
        <v>0</v>
      </c>
      <c r="G86" s="180">
        <f>+'GRAFIC VTAS'!G19</f>
        <v>0</v>
      </c>
      <c r="H86" s="180">
        <f>+'GRAFIC VTAS'!H19</f>
        <v>0</v>
      </c>
      <c r="I86" s="180">
        <f>+'GRAFIC VTAS'!I19</f>
        <v>0</v>
      </c>
      <c r="J86" s="180">
        <f>+'GRAFIC VTAS'!J19</f>
        <v>0</v>
      </c>
      <c r="K86" s="180">
        <f>+'GRAFIC VTAS'!K19</f>
        <v>0</v>
      </c>
      <c r="L86" s="180">
        <f>+'GRAFIC VTAS'!L19</f>
        <v>0</v>
      </c>
      <c r="M86" s="180">
        <f>+'GRAFIC VTAS'!M19</f>
        <v>0</v>
      </c>
      <c r="N86" s="210">
        <f t="shared" si="7"/>
        <v>0</v>
      </c>
      <c r="O86" s="210" t="str">
        <f t="shared" si="5"/>
        <v/>
      </c>
      <c r="P86" s="210">
        <f t="shared" si="5"/>
        <v>0</v>
      </c>
      <c r="Q86" s="210">
        <f t="shared" si="6"/>
        <v>0</v>
      </c>
      <c r="R86" s="210">
        <f t="shared" si="6"/>
        <v>0</v>
      </c>
      <c r="S86" s="210">
        <f t="shared" si="6"/>
        <v>0</v>
      </c>
      <c r="T86" s="210">
        <f t="shared" si="6"/>
        <v>0</v>
      </c>
      <c r="U86" s="210">
        <f t="shared" si="6"/>
        <v>0</v>
      </c>
      <c r="V86" s="210">
        <f t="shared" si="6"/>
        <v>0</v>
      </c>
      <c r="W86" s="210">
        <f t="shared" si="6"/>
        <v>0</v>
      </c>
      <c r="X86" s="210">
        <f t="shared" si="6"/>
        <v>0</v>
      </c>
      <c r="Y86" s="210">
        <f t="shared" si="6"/>
        <v>0</v>
      </c>
      <c r="Z86" s="210">
        <f t="shared" si="6"/>
        <v>0</v>
      </c>
      <c r="AA86" s="210">
        <f t="shared" si="6"/>
        <v>0</v>
      </c>
      <c r="AB86" s="198" t="s">
        <v>21</v>
      </c>
      <c r="AC86" s="198">
        <v>6</v>
      </c>
      <c r="AD86" s="198">
        <v>2013</v>
      </c>
      <c r="AE86" s="198">
        <v>366</v>
      </c>
      <c r="AF86" s="198">
        <v>1827</v>
      </c>
    </row>
    <row r="87" spans="1:32" ht="17.100000000000001" customHeight="1">
      <c r="A87" s="325" t="s">
        <v>596</v>
      </c>
      <c r="B87" s="180">
        <f>+'GRAFIC VTAS'!B20</f>
        <v>0</v>
      </c>
      <c r="C87" s="180">
        <f>+'GRAFIC VTAS'!C20</f>
        <v>0</v>
      </c>
      <c r="D87" s="180">
        <f>+'GRAFIC VTAS'!D20</f>
        <v>0</v>
      </c>
      <c r="E87" s="180">
        <f>+'GRAFIC VTAS'!E20</f>
        <v>0</v>
      </c>
      <c r="F87" s="180">
        <f>+'GRAFIC VTAS'!F20</f>
        <v>0</v>
      </c>
      <c r="G87" s="180">
        <f>+'GRAFIC VTAS'!G20</f>
        <v>0</v>
      </c>
      <c r="H87" s="180">
        <f>+'GRAFIC VTAS'!H20</f>
        <v>0</v>
      </c>
      <c r="I87" s="180">
        <f>+'GRAFIC VTAS'!I20</f>
        <v>0</v>
      </c>
      <c r="J87" s="180">
        <f>+'GRAFIC VTAS'!J20</f>
        <v>0</v>
      </c>
      <c r="K87" s="180">
        <f>+'GRAFIC VTAS'!K20</f>
        <v>0</v>
      </c>
      <c r="L87" s="180">
        <f>+'GRAFIC VTAS'!L20</f>
        <v>0</v>
      </c>
      <c r="M87" s="180">
        <f>+'GRAFIC VTAS'!M20</f>
        <v>0</v>
      </c>
      <c r="N87" s="210">
        <f t="shared" si="7"/>
        <v>0</v>
      </c>
      <c r="O87" s="210" t="str">
        <f t="shared" si="5"/>
        <v/>
      </c>
      <c r="P87" s="210">
        <f t="shared" si="5"/>
        <v>0</v>
      </c>
      <c r="Q87" s="210">
        <f t="shared" si="6"/>
        <v>0</v>
      </c>
      <c r="R87" s="210">
        <f t="shared" si="6"/>
        <v>0</v>
      </c>
      <c r="S87" s="210">
        <f t="shared" si="6"/>
        <v>0</v>
      </c>
      <c r="T87" s="210">
        <f t="shared" si="6"/>
        <v>0</v>
      </c>
      <c r="U87" s="210">
        <f t="shared" si="6"/>
        <v>0</v>
      </c>
      <c r="V87" s="210">
        <f t="shared" si="6"/>
        <v>0</v>
      </c>
      <c r="W87" s="210">
        <f t="shared" si="6"/>
        <v>0</v>
      </c>
      <c r="X87" s="210">
        <f t="shared" si="6"/>
        <v>0</v>
      </c>
      <c r="Y87" s="210">
        <f t="shared" si="6"/>
        <v>0</v>
      </c>
      <c r="Z87" s="210">
        <f t="shared" si="6"/>
        <v>0</v>
      </c>
      <c r="AA87" s="210">
        <f t="shared" si="6"/>
        <v>0</v>
      </c>
      <c r="AB87" s="198" t="s">
        <v>22</v>
      </c>
      <c r="AC87" s="198">
        <v>7</v>
      </c>
      <c r="AD87" s="198">
        <v>2014</v>
      </c>
      <c r="AE87" s="198">
        <v>365</v>
      </c>
      <c r="AF87" s="198">
        <v>2192</v>
      </c>
    </row>
    <row r="88" spans="1:32" ht="17.100000000000001" customHeight="1">
      <c r="A88" s="325" t="s">
        <v>596</v>
      </c>
      <c r="B88" s="180">
        <f>+'GRAFIC VTAS'!B21</f>
        <v>0</v>
      </c>
      <c r="C88" s="180">
        <f>+'GRAFIC VTAS'!C21</f>
        <v>0</v>
      </c>
      <c r="D88" s="180">
        <f>+'GRAFIC VTAS'!D21</f>
        <v>0</v>
      </c>
      <c r="E88" s="180">
        <f>+'GRAFIC VTAS'!E21</f>
        <v>0</v>
      </c>
      <c r="F88" s="180">
        <f>+'GRAFIC VTAS'!F21</f>
        <v>0</v>
      </c>
      <c r="G88" s="180">
        <f>+'GRAFIC VTAS'!G21</f>
        <v>0</v>
      </c>
      <c r="H88" s="180">
        <f>+'GRAFIC VTAS'!H21</f>
        <v>0</v>
      </c>
      <c r="I88" s="180">
        <f>+'GRAFIC VTAS'!I21</f>
        <v>0</v>
      </c>
      <c r="J88" s="180">
        <f>+'GRAFIC VTAS'!J21</f>
        <v>0</v>
      </c>
      <c r="K88" s="180">
        <f>+'GRAFIC VTAS'!K21</f>
        <v>0</v>
      </c>
      <c r="L88" s="180">
        <f>+'GRAFIC VTAS'!L21</f>
        <v>0</v>
      </c>
      <c r="M88" s="180">
        <f>+'GRAFIC VTAS'!M21</f>
        <v>0</v>
      </c>
      <c r="N88" s="210">
        <f t="shared" si="7"/>
        <v>0</v>
      </c>
      <c r="O88" s="210" t="str">
        <f t="shared" si="5"/>
        <v/>
      </c>
      <c r="P88" s="210">
        <f t="shared" si="5"/>
        <v>0</v>
      </c>
      <c r="Q88" s="210">
        <f t="shared" si="6"/>
        <v>0</v>
      </c>
      <c r="R88" s="210">
        <f t="shared" si="6"/>
        <v>0</v>
      </c>
      <c r="S88" s="210">
        <f t="shared" si="6"/>
        <v>0</v>
      </c>
      <c r="T88" s="210">
        <f t="shared" si="6"/>
        <v>0</v>
      </c>
      <c r="U88" s="210">
        <f t="shared" si="6"/>
        <v>0</v>
      </c>
      <c r="V88" s="210">
        <f t="shared" si="6"/>
        <v>0</v>
      </c>
      <c r="W88" s="210">
        <f t="shared" si="6"/>
        <v>0</v>
      </c>
      <c r="X88" s="210">
        <f t="shared" si="6"/>
        <v>0</v>
      </c>
      <c r="Y88" s="210">
        <f t="shared" si="6"/>
        <v>0</v>
      </c>
      <c r="Z88" s="210">
        <f t="shared" si="6"/>
        <v>0</v>
      </c>
      <c r="AA88" s="210">
        <f t="shared" si="6"/>
        <v>0</v>
      </c>
      <c r="AB88" s="198" t="s">
        <v>604</v>
      </c>
      <c r="AC88" s="198">
        <v>8</v>
      </c>
      <c r="AD88" s="198">
        <v>2015</v>
      </c>
      <c r="AE88" s="198">
        <v>365</v>
      </c>
      <c r="AF88" s="198">
        <v>2557</v>
      </c>
    </row>
    <row r="89" spans="1:32" ht="17.100000000000001" customHeight="1">
      <c r="A89" s="325" t="s">
        <v>596</v>
      </c>
      <c r="B89" s="180">
        <f>+'GRAFIC VTAS'!B22</f>
        <v>0</v>
      </c>
      <c r="C89" s="180">
        <f>+'GRAFIC VTAS'!C22</f>
        <v>0</v>
      </c>
      <c r="D89" s="180">
        <f>+'GRAFIC VTAS'!D22</f>
        <v>0</v>
      </c>
      <c r="E89" s="180">
        <f>+'GRAFIC VTAS'!E22</f>
        <v>0</v>
      </c>
      <c r="F89" s="180">
        <f>+'GRAFIC VTAS'!F22</f>
        <v>0</v>
      </c>
      <c r="G89" s="180">
        <f>+'GRAFIC VTAS'!G22</f>
        <v>0</v>
      </c>
      <c r="H89" s="180">
        <f>+'GRAFIC VTAS'!H22</f>
        <v>0</v>
      </c>
      <c r="I89" s="180">
        <f>+'GRAFIC VTAS'!I22</f>
        <v>0</v>
      </c>
      <c r="J89" s="180">
        <f>+'GRAFIC VTAS'!J22</f>
        <v>0</v>
      </c>
      <c r="K89" s="180">
        <f>+'GRAFIC VTAS'!K22</f>
        <v>0</v>
      </c>
      <c r="L89" s="180">
        <f>+'GRAFIC VTAS'!L22</f>
        <v>0</v>
      </c>
      <c r="M89" s="180">
        <f>+'GRAFIC VTAS'!M22</f>
        <v>0</v>
      </c>
      <c r="N89" s="210">
        <f t="shared" si="7"/>
        <v>0</v>
      </c>
      <c r="O89" s="210" t="str">
        <f t="shared" si="5"/>
        <v/>
      </c>
      <c r="P89" s="210">
        <f t="shared" si="5"/>
        <v>0</v>
      </c>
      <c r="Q89" s="210">
        <f t="shared" si="6"/>
        <v>0</v>
      </c>
      <c r="R89" s="210">
        <f t="shared" si="6"/>
        <v>0</v>
      </c>
      <c r="S89" s="210">
        <f t="shared" si="6"/>
        <v>0</v>
      </c>
      <c r="T89" s="210">
        <f t="shared" si="6"/>
        <v>0</v>
      </c>
      <c r="U89" s="210">
        <f t="shared" si="6"/>
        <v>0</v>
      </c>
      <c r="V89" s="210">
        <f t="shared" si="6"/>
        <v>0</v>
      </c>
      <c r="W89" s="210">
        <f t="shared" si="6"/>
        <v>0</v>
      </c>
      <c r="X89" s="210">
        <f t="shared" si="6"/>
        <v>0</v>
      </c>
      <c r="Y89" s="210">
        <f t="shared" si="6"/>
        <v>0</v>
      </c>
      <c r="Z89" s="210">
        <f t="shared" si="6"/>
        <v>0</v>
      </c>
      <c r="AA89" s="210">
        <f t="shared" si="6"/>
        <v>0</v>
      </c>
      <c r="AB89" s="198" t="s">
        <v>23</v>
      </c>
      <c r="AC89" s="198">
        <v>9</v>
      </c>
      <c r="AD89" s="198">
        <v>2016</v>
      </c>
      <c r="AE89" s="198">
        <v>365</v>
      </c>
      <c r="AF89" s="198">
        <v>2922</v>
      </c>
    </row>
    <row r="90" spans="1:32" ht="17.100000000000001" customHeight="1">
      <c r="A90" s="325" t="s">
        <v>596</v>
      </c>
      <c r="B90" s="180">
        <f>+'GRAFIC VTAS'!B23</f>
        <v>0</v>
      </c>
      <c r="C90" s="180">
        <f>+'GRAFIC VTAS'!C23</f>
        <v>0</v>
      </c>
      <c r="D90" s="180">
        <f>+'GRAFIC VTAS'!D23</f>
        <v>0</v>
      </c>
      <c r="E90" s="180">
        <f>+'GRAFIC VTAS'!E23</f>
        <v>0</v>
      </c>
      <c r="F90" s="180">
        <f>+'GRAFIC VTAS'!F23</f>
        <v>0</v>
      </c>
      <c r="G90" s="180">
        <f>+'GRAFIC VTAS'!G23</f>
        <v>0</v>
      </c>
      <c r="H90" s="180">
        <f>+'GRAFIC VTAS'!H23</f>
        <v>0</v>
      </c>
      <c r="I90" s="180">
        <f>+'GRAFIC VTAS'!I23</f>
        <v>0</v>
      </c>
      <c r="J90" s="180">
        <f>+'GRAFIC VTAS'!J23</f>
        <v>0</v>
      </c>
      <c r="K90" s="180">
        <f>+'GRAFIC VTAS'!K23</f>
        <v>0</v>
      </c>
      <c r="L90" s="180">
        <f>+'GRAFIC VTAS'!L23</f>
        <v>0</v>
      </c>
      <c r="M90" s="180">
        <f>+'GRAFIC VTAS'!M23</f>
        <v>0</v>
      </c>
      <c r="N90" s="210">
        <f t="shared" si="7"/>
        <v>0</v>
      </c>
      <c r="O90" s="210" t="str">
        <f t="shared" si="5"/>
        <v/>
      </c>
      <c r="P90" s="210">
        <f t="shared" si="5"/>
        <v>0</v>
      </c>
      <c r="Q90" s="210">
        <f t="shared" si="6"/>
        <v>0</v>
      </c>
      <c r="R90" s="210">
        <f t="shared" si="6"/>
        <v>0</v>
      </c>
      <c r="S90" s="210">
        <f t="shared" si="6"/>
        <v>0</v>
      </c>
      <c r="T90" s="210">
        <f t="shared" si="6"/>
        <v>0</v>
      </c>
      <c r="U90" s="210">
        <f t="shared" si="6"/>
        <v>0</v>
      </c>
      <c r="V90" s="210">
        <f t="shared" si="6"/>
        <v>0</v>
      </c>
      <c r="W90" s="210">
        <f t="shared" si="6"/>
        <v>0</v>
      </c>
      <c r="X90" s="210">
        <f t="shared" si="6"/>
        <v>0</v>
      </c>
      <c r="Y90" s="210">
        <f t="shared" si="6"/>
        <v>0</v>
      </c>
      <c r="Z90" s="210">
        <f t="shared" si="6"/>
        <v>0</v>
      </c>
      <c r="AA90" s="210">
        <f t="shared" si="6"/>
        <v>0</v>
      </c>
      <c r="AB90" s="198" t="s">
        <v>24</v>
      </c>
      <c r="AC90" s="198">
        <v>10</v>
      </c>
      <c r="AD90" s="198">
        <v>2017</v>
      </c>
      <c r="AE90" s="198">
        <v>366</v>
      </c>
      <c r="AF90" s="198">
        <v>3288</v>
      </c>
    </row>
    <row r="91" spans="1:32" ht="17.100000000000001" customHeight="1">
      <c r="A91" s="325" t="s">
        <v>596</v>
      </c>
      <c r="B91" s="180">
        <f>+'GRAFIC VTAS'!B24</f>
        <v>0</v>
      </c>
      <c r="C91" s="180">
        <f>+'GRAFIC VTAS'!C24</f>
        <v>0</v>
      </c>
      <c r="D91" s="180">
        <f>+'GRAFIC VTAS'!D24</f>
        <v>0</v>
      </c>
      <c r="E91" s="180">
        <f>+'GRAFIC VTAS'!E24</f>
        <v>0</v>
      </c>
      <c r="F91" s="180">
        <f>+'GRAFIC VTAS'!F24</f>
        <v>0</v>
      </c>
      <c r="G91" s="180">
        <f>+'GRAFIC VTAS'!G24</f>
        <v>0</v>
      </c>
      <c r="H91" s="180">
        <f>+'GRAFIC VTAS'!H24</f>
        <v>0</v>
      </c>
      <c r="I91" s="180">
        <f>+'GRAFIC VTAS'!I24</f>
        <v>0</v>
      </c>
      <c r="J91" s="180">
        <f>+'GRAFIC VTAS'!J24</f>
        <v>0</v>
      </c>
      <c r="K91" s="180">
        <f>+'GRAFIC VTAS'!K24</f>
        <v>0</v>
      </c>
      <c r="L91" s="180">
        <f>+'GRAFIC VTAS'!L24</f>
        <v>0</v>
      </c>
      <c r="M91" s="180">
        <f>+'GRAFIC VTAS'!M24</f>
        <v>0</v>
      </c>
      <c r="N91" s="210">
        <f t="shared" si="7"/>
        <v>0</v>
      </c>
      <c r="O91" s="210" t="str">
        <f t="shared" si="5"/>
        <v/>
      </c>
      <c r="P91" s="210">
        <f t="shared" si="5"/>
        <v>0</v>
      </c>
      <c r="Q91" s="210">
        <f t="shared" si="6"/>
        <v>0</v>
      </c>
      <c r="R91" s="210">
        <f t="shared" si="6"/>
        <v>0</v>
      </c>
      <c r="S91" s="210">
        <f t="shared" si="6"/>
        <v>0</v>
      </c>
      <c r="T91" s="210">
        <f t="shared" si="6"/>
        <v>0</v>
      </c>
      <c r="U91" s="210">
        <f t="shared" si="6"/>
        <v>0</v>
      </c>
      <c r="V91" s="210">
        <f t="shared" si="6"/>
        <v>0</v>
      </c>
      <c r="W91" s="210">
        <f t="shared" si="6"/>
        <v>0</v>
      </c>
      <c r="X91" s="210">
        <f t="shared" si="6"/>
        <v>0</v>
      </c>
      <c r="Y91" s="210">
        <f t="shared" si="6"/>
        <v>0</v>
      </c>
      <c r="Z91" s="210">
        <f t="shared" si="6"/>
        <v>0</v>
      </c>
      <c r="AA91" s="210">
        <f t="shared" si="6"/>
        <v>0</v>
      </c>
      <c r="AB91" s="198" t="s">
        <v>25</v>
      </c>
      <c r="AC91" s="198">
        <v>11</v>
      </c>
      <c r="AD91" s="198">
        <v>2018</v>
      </c>
      <c r="AE91" s="198">
        <v>365</v>
      </c>
      <c r="AF91" s="198">
        <v>3653</v>
      </c>
    </row>
    <row r="92" spans="1:32" ht="17.100000000000001" customHeight="1">
      <c r="A92" s="325" t="s">
        <v>596</v>
      </c>
      <c r="B92" s="180">
        <f>+'GRAFIC VTAS'!B25</f>
        <v>0</v>
      </c>
      <c r="C92" s="180">
        <f>+'GRAFIC VTAS'!C25</f>
        <v>0</v>
      </c>
      <c r="D92" s="180">
        <f>+'GRAFIC VTAS'!D25</f>
        <v>0</v>
      </c>
      <c r="E92" s="180">
        <f>+'GRAFIC VTAS'!E25</f>
        <v>0</v>
      </c>
      <c r="F92" s="180">
        <f>+'GRAFIC VTAS'!F25</f>
        <v>0</v>
      </c>
      <c r="G92" s="180">
        <f>+'GRAFIC VTAS'!G25</f>
        <v>0</v>
      </c>
      <c r="H92" s="180">
        <f>+'GRAFIC VTAS'!H25</f>
        <v>0</v>
      </c>
      <c r="I92" s="180">
        <f>+'GRAFIC VTAS'!I25</f>
        <v>0</v>
      </c>
      <c r="J92" s="180">
        <f>+'GRAFIC VTAS'!J25</f>
        <v>0</v>
      </c>
      <c r="K92" s="180">
        <f>+'GRAFIC VTAS'!K25</f>
        <v>0</v>
      </c>
      <c r="L92" s="180">
        <f>+'GRAFIC VTAS'!L25</f>
        <v>0</v>
      </c>
      <c r="M92" s="180">
        <f>+'GRAFIC VTAS'!M25</f>
        <v>0</v>
      </c>
      <c r="N92" s="210">
        <f t="shared" si="7"/>
        <v>0</v>
      </c>
      <c r="O92" s="210" t="str">
        <f t="shared" si="5"/>
        <v/>
      </c>
      <c r="P92" s="210">
        <f t="shared" si="5"/>
        <v>0</v>
      </c>
      <c r="Q92" s="210">
        <f t="shared" si="6"/>
        <v>0</v>
      </c>
      <c r="R92" s="210">
        <f t="shared" si="6"/>
        <v>0</v>
      </c>
      <c r="S92" s="210">
        <f t="shared" si="6"/>
        <v>0</v>
      </c>
      <c r="T92" s="210">
        <f t="shared" si="6"/>
        <v>0</v>
      </c>
      <c r="U92" s="210">
        <f t="shared" si="6"/>
        <v>0</v>
      </c>
      <c r="V92" s="210">
        <f t="shared" si="6"/>
        <v>0</v>
      </c>
      <c r="W92" s="210">
        <f t="shared" si="6"/>
        <v>0</v>
      </c>
      <c r="X92" s="210">
        <f t="shared" si="6"/>
        <v>0</v>
      </c>
      <c r="Y92" s="210">
        <f t="shared" si="6"/>
        <v>0</v>
      </c>
      <c r="Z92" s="210">
        <f t="shared" si="6"/>
        <v>0</v>
      </c>
      <c r="AA92" s="210">
        <f t="shared" si="6"/>
        <v>0</v>
      </c>
      <c r="AB92" s="198" t="s">
        <v>26</v>
      </c>
      <c r="AC92" s="198">
        <v>12</v>
      </c>
      <c r="AD92" s="198">
        <v>2019</v>
      </c>
      <c r="AE92" s="198">
        <v>365</v>
      </c>
      <c r="AF92" s="198">
        <v>4018</v>
      </c>
    </row>
    <row r="93" spans="1:32" ht="17.100000000000001" hidden="1" customHeight="1">
      <c r="A93" s="212"/>
      <c r="B93" s="221">
        <f>+B79+365</f>
        <v>42048</v>
      </c>
      <c r="C93" s="221">
        <f t="shared" ref="C93:M93" si="8">+C79+365</f>
        <v>42078</v>
      </c>
      <c r="D93" s="221">
        <f t="shared" si="8"/>
        <v>42108</v>
      </c>
      <c r="E93" s="221">
        <f t="shared" si="8"/>
        <v>42138</v>
      </c>
      <c r="F93" s="221">
        <f t="shared" si="8"/>
        <v>42168</v>
      </c>
      <c r="G93" s="221">
        <f t="shared" si="8"/>
        <v>42198</v>
      </c>
      <c r="H93" s="221">
        <f t="shared" si="8"/>
        <v>42228</v>
      </c>
      <c r="I93" s="221">
        <f t="shared" si="8"/>
        <v>42258</v>
      </c>
      <c r="J93" s="221">
        <f t="shared" si="8"/>
        <v>42288</v>
      </c>
      <c r="K93" s="221">
        <f t="shared" si="8"/>
        <v>42318</v>
      </c>
      <c r="L93" s="221">
        <f t="shared" si="8"/>
        <v>42348</v>
      </c>
      <c r="M93" s="221">
        <f t="shared" si="8"/>
        <v>42378</v>
      </c>
      <c r="N93" s="210"/>
      <c r="O93" s="212"/>
      <c r="P93" s="212"/>
      <c r="Q93" s="212"/>
      <c r="R93" s="212"/>
      <c r="S93" s="212"/>
      <c r="T93" s="212"/>
      <c r="U93" s="212"/>
      <c r="V93" s="212"/>
      <c r="W93" s="212"/>
      <c r="X93" s="212"/>
      <c r="Y93" s="212"/>
      <c r="Z93" s="212"/>
      <c r="AA93" s="212"/>
      <c r="AB93" s="198"/>
      <c r="AC93" s="198"/>
      <c r="AD93" s="198">
        <v>2020</v>
      </c>
      <c r="AE93" s="198">
        <v>365</v>
      </c>
      <c r="AF93" s="198">
        <v>4383</v>
      </c>
    </row>
    <row r="94" spans="1:32" ht="17.100000000000001" customHeight="1">
      <c r="A94" s="243"/>
      <c r="B94" s="13">
        <f>+B93+365</f>
        <v>42413</v>
      </c>
      <c r="C94" s="13">
        <f t="shared" ref="C94:M94" si="9">+C93+365</f>
        <v>42443</v>
      </c>
      <c r="D94" s="221">
        <f t="shared" si="9"/>
        <v>42473</v>
      </c>
      <c r="E94" s="221">
        <f t="shared" si="9"/>
        <v>42503</v>
      </c>
      <c r="F94" s="245">
        <f t="shared" si="9"/>
        <v>42533</v>
      </c>
      <c r="G94" s="246">
        <f t="shared" si="9"/>
        <v>42563</v>
      </c>
      <c r="H94" s="221">
        <f t="shared" si="9"/>
        <v>42593</v>
      </c>
      <c r="I94" s="221">
        <f t="shared" si="9"/>
        <v>42623</v>
      </c>
      <c r="J94" s="221">
        <f t="shared" si="9"/>
        <v>42653</v>
      </c>
      <c r="K94" s="221">
        <f t="shared" si="9"/>
        <v>42683</v>
      </c>
      <c r="L94" s="221">
        <f t="shared" si="9"/>
        <v>42713</v>
      </c>
      <c r="M94" s="221">
        <f t="shared" si="9"/>
        <v>42743</v>
      </c>
      <c r="N94" s="210"/>
      <c r="O94" s="212"/>
      <c r="P94" s="212"/>
      <c r="Q94" s="212"/>
      <c r="R94" s="212"/>
      <c r="S94" s="212"/>
      <c r="T94" s="212"/>
      <c r="U94" s="212"/>
      <c r="V94" s="212"/>
      <c r="W94" s="212"/>
      <c r="X94" s="212"/>
      <c r="Y94" s="212"/>
      <c r="Z94" s="212"/>
      <c r="AA94" s="212"/>
      <c r="AB94" s="198"/>
      <c r="AC94" s="198"/>
      <c r="AD94" s="198">
        <v>2021</v>
      </c>
      <c r="AE94" s="198">
        <v>366</v>
      </c>
      <c r="AF94" s="198">
        <v>4749</v>
      </c>
    </row>
    <row r="95" spans="1:32" ht="17.100000000000001" customHeight="1">
      <c r="A95" s="1138" t="s">
        <v>618</v>
      </c>
      <c r="B95" s="1138"/>
      <c r="C95" s="1138"/>
      <c r="D95" s="210"/>
      <c r="E95" s="210"/>
      <c r="F95" s="1149" t="s">
        <v>772</v>
      </c>
      <c r="G95" s="1150"/>
      <c r="H95" s="210"/>
      <c r="I95" s="210"/>
      <c r="J95" s="228"/>
      <c r="K95" s="228"/>
      <c r="L95" s="228"/>
      <c r="M95" s="228"/>
      <c r="N95" s="210"/>
      <c r="O95" s="212"/>
      <c r="P95" s="212"/>
      <c r="Q95" s="212"/>
      <c r="R95" s="212"/>
      <c r="S95" s="212"/>
      <c r="T95" s="212"/>
      <c r="U95" s="212"/>
      <c r="V95" s="212"/>
      <c r="W95" s="212"/>
      <c r="X95" s="212"/>
      <c r="Y95" s="212"/>
      <c r="Z95" s="212"/>
      <c r="AA95" s="212"/>
      <c r="AB95" s="198"/>
      <c r="AC95" s="198"/>
      <c r="AD95" s="198">
        <v>2022</v>
      </c>
      <c r="AE95" s="198">
        <v>365</v>
      </c>
      <c r="AF95" s="198">
        <v>5114</v>
      </c>
    </row>
    <row r="96" spans="1:32" ht="17.100000000000001" customHeight="1">
      <c r="A96" s="243"/>
      <c r="B96" s="244"/>
      <c r="C96" s="244"/>
      <c r="D96" s="212"/>
      <c r="E96" s="212"/>
      <c r="F96" s="1151"/>
      <c r="G96" s="1152"/>
      <c r="H96" s="194"/>
      <c r="I96" s="210"/>
      <c r="J96" s="228"/>
      <c r="K96" s="228"/>
      <c r="L96" s="228"/>
      <c r="M96" s="228"/>
      <c r="N96" s="210"/>
      <c r="O96" s="212"/>
      <c r="P96" s="212"/>
      <c r="Q96" s="212"/>
      <c r="R96" s="212"/>
      <c r="S96" s="212"/>
      <c r="T96" s="212"/>
      <c r="U96" s="212"/>
      <c r="V96" s="212"/>
      <c r="W96" s="212"/>
      <c r="X96" s="212"/>
      <c r="Y96" s="212"/>
      <c r="Z96" s="212"/>
      <c r="AA96" s="212"/>
      <c r="AB96" s="198"/>
      <c r="AC96" s="198"/>
      <c r="AD96" s="198">
        <v>2023</v>
      </c>
      <c r="AE96" s="198">
        <v>365</v>
      </c>
      <c r="AF96" s="198">
        <v>5479</v>
      </c>
    </row>
    <row r="97" spans="1:32" ht="17.100000000000001" customHeight="1">
      <c r="A97" s="1116" t="s">
        <v>575</v>
      </c>
      <c r="B97" s="1116" t="s">
        <v>619</v>
      </c>
      <c r="C97" s="1116" t="s">
        <v>620</v>
      </c>
      <c r="D97" s="225"/>
      <c r="E97" s="225"/>
      <c r="F97" s="15" t="s">
        <v>619</v>
      </c>
      <c r="G97" s="16" t="s">
        <v>620</v>
      </c>
      <c r="H97" s="229"/>
      <c r="I97" s="225"/>
      <c r="J97" s="228"/>
      <c r="K97" s="228"/>
      <c r="L97" s="228"/>
      <c r="M97" s="228"/>
      <c r="N97" s="210"/>
      <c r="O97" s="212"/>
      <c r="P97" s="212"/>
      <c r="Q97" s="212"/>
      <c r="R97" s="212"/>
      <c r="S97" s="212"/>
      <c r="T97" s="212"/>
      <c r="U97" s="212"/>
      <c r="V97" s="212"/>
      <c r="W97" s="212"/>
      <c r="X97" s="212"/>
      <c r="Y97" s="212"/>
      <c r="Z97" s="212"/>
      <c r="AA97" s="212"/>
      <c r="AB97" s="198"/>
      <c r="AC97" s="198"/>
      <c r="AD97" s="198">
        <v>2024</v>
      </c>
      <c r="AE97" s="198">
        <v>365</v>
      </c>
      <c r="AF97" s="198">
        <v>5844</v>
      </c>
    </row>
    <row r="98" spans="1:32" ht="17.100000000000001" customHeight="1">
      <c r="A98" s="1117"/>
      <c r="B98" s="1117"/>
      <c r="C98" s="1117"/>
      <c r="D98" s="226"/>
      <c r="E98" s="226"/>
      <c r="F98" s="18"/>
      <c r="G98" s="19"/>
      <c r="H98" s="230"/>
      <c r="I98" s="226"/>
      <c r="J98" s="228"/>
      <c r="K98" s="228"/>
      <c r="L98" s="228"/>
      <c r="M98" s="228"/>
      <c r="N98" s="210"/>
      <c r="O98" s="212"/>
      <c r="P98" s="212"/>
      <c r="Q98" s="212"/>
      <c r="R98" s="212"/>
      <c r="S98" s="212"/>
      <c r="T98" s="212"/>
      <c r="U98" s="212"/>
      <c r="V98" s="212"/>
      <c r="W98" s="212"/>
      <c r="X98" s="212"/>
      <c r="Y98" s="212"/>
      <c r="Z98" s="212"/>
      <c r="AA98" s="212"/>
      <c r="AB98" s="198"/>
      <c r="AC98" s="198"/>
      <c r="AD98" s="198">
        <v>2025</v>
      </c>
      <c r="AE98" s="198">
        <v>366</v>
      </c>
      <c r="AF98" s="198">
        <v>6210</v>
      </c>
    </row>
    <row r="99" spans="1:32" ht="17.100000000000001" customHeight="1">
      <c r="A99" s="325"/>
      <c r="B99" s="180">
        <f>+'GRAFIC VTAS'!AR1</f>
        <v>1393</v>
      </c>
      <c r="C99" s="180">
        <f>+'GRAFIC VTAS'!AT1</f>
        <v>2020</v>
      </c>
      <c r="D99" s="227"/>
      <c r="E99" s="227"/>
      <c r="F99" s="181">
        <f>IF(B99=0,0,+B99/N81)</f>
        <v>0.10318518518518519</v>
      </c>
      <c r="G99" s="181">
        <f>IF(C99=0,0,(C99/(N81+B99)))</f>
        <v>0.13563419055932316</v>
      </c>
      <c r="H99" s="231"/>
      <c r="I99" s="233"/>
      <c r="J99" s="228"/>
      <c r="K99" s="228"/>
      <c r="L99" s="228"/>
      <c r="M99" s="228"/>
      <c r="N99" s="210"/>
      <c r="O99" s="212"/>
      <c r="P99" s="212"/>
      <c r="Q99" s="212"/>
      <c r="R99" s="212"/>
      <c r="S99" s="212"/>
      <c r="T99" s="212"/>
      <c r="U99" s="212"/>
      <c r="V99" s="212"/>
      <c r="W99" s="212"/>
      <c r="X99" s="212"/>
      <c r="Y99" s="212"/>
      <c r="Z99" s="212"/>
      <c r="AA99" s="212"/>
      <c r="AB99" s="198"/>
      <c r="AC99" s="198"/>
      <c r="AD99" s="198">
        <v>2026</v>
      </c>
      <c r="AE99" s="198">
        <v>365</v>
      </c>
      <c r="AF99" s="198">
        <v>6575</v>
      </c>
    </row>
    <row r="100" spans="1:32" ht="17.100000000000001" customHeight="1">
      <c r="A100" s="325"/>
      <c r="B100" s="180">
        <f>+'GRAFIC VTAS'!AR2</f>
        <v>0</v>
      </c>
      <c r="C100" s="180">
        <f>+'GRAFIC VTAS'!AT2</f>
        <v>0</v>
      </c>
      <c r="D100" s="227"/>
      <c r="E100" s="227"/>
      <c r="F100" s="181">
        <f t="shared" ref="F100:F110" si="10">IF(B100=0,0,+B100/N82)</f>
        <v>0</v>
      </c>
      <c r="G100" s="181">
        <f t="shared" ref="G100:G110" si="11">IF(C100=0,0,(C100/(N82+B100)))</f>
        <v>0</v>
      </c>
      <c r="H100" s="231"/>
      <c r="I100" s="233"/>
      <c r="J100" s="228"/>
      <c r="K100" s="228"/>
      <c r="L100" s="228"/>
      <c r="M100" s="228"/>
      <c r="N100" s="210"/>
      <c r="O100" s="212"/>
      <c r="P100" s="212"/>
      <c r="Q100" s="212"/>
      <c r="R100" s="212"/>
      <c r="S100" s="212"/>
      <c r="T100" s="212"/>
      <c r="U100" s="212"/>
      <c r="V100" s="212"/>
      <c r="W100" s="212"/>
      <c r="X100" s="212"/>
      <c r="Y100" s="212"/>
      <c r="Z100" s="212"/>
      <c r="AA100" s="212"/>
      <c r="AB100" s="198"/>
      <c r="AC100" s="198"/>
      <c r="AD100" s="198">
        <v>2027</v>
      </c>
      <c r="AE100" s="198">
        <v>365</v>
      </c>
      <c r="AF100" s="198">
        <v>6940</v>
      </c>
    </row>
    <row r="101" spans="1:32" ht="17.100000000000001" customHeight="1">
      <c r="A101" s="325"/>
      <c r="B101" s="180">
        <f>+'GRAFIC VTAS'!AR3</f>
        <v>0</v>
      </c>
      <c r="C101" s="180">
        <f>+'GRAFIC VTAS'!AT3</f>
        <v>0</v>
      </c>
      <c r="D101" s="227"/>
      <c r="E101" s="227"/>
      <c r="F101" s="181">
        <f t="shared" si="10"/>
        <v>0</v>
      </c>
      <c r="G101" s="181">
        <f t="shared" si="11"/>
        <v>0</v>
      </c>
      <c r="H101" s="231"/>
      <c r="I101" s="233"/>
      <c r="J101" s="228"/>
      <c r="K101" s="228"/>
      <c r="L101" s="228"/>
      <c r="M101" s="228"/>
      <c r="N101" s="210"/>
      <c r="O101" s="212"/>
      <c r="P101" s="212"/>
      <c r="Q101" s="212"/>
      <c r="R101" s="212"/>
      <c r="S101" s="212"/>
      <c r="T101" s="212"/>
      <c r="U101" s="212"/>
      <c r="V101" s="212"/>
      <c r="W101" s="212"/>
      <c r="X101" s="212"/>
      <c r="Y101" s="212"/>
      <c r="Z101" s="212"/>
      <c r="AA101" s="212"/>
      <c r="AB101" s="198"/>
      <c r="AC101" s="198"/>
      <c r="AD101" s="198">
        <v>2028</v>
      </c>
      <c r="AE101" s="198">
        <v>365</v>
      </c>
      <c r="AF101" s="198">
        <v>7305</v>
      </c>
    </row>
    <row r="102" spans="1:32" ht="17.100000000000001" customHeight="1">
      <c r="A102" s="325"/>
      <c r="B102" s="180">
        <f>+'GRAFIC VTAS'!AR4</f>
        <v>0</v>
      </c>
      <c r="C102" s="180">
        <f>+'GRAFIC VTAS'!AT4</f>
        <v>0</v>
      </c>
      <c r="D102" s="227"/>
      <c r="E102" s="227"/>
      <c r="F102" s="181">
        <f t="shared" si="10"/>
        <v>0</v>
      </c>
      <c r="G102" s="181">
        <f t="shared" si="11"/>
        <v>0</v>
      </c>
      <c r="H102" s="232"/>
      <c r="I102" s="234"/>
      <c r="J102" s="228"/>
      <c r="K102" s="228"/>
      <c r="L102" s="228"/>
      <c r="M102" s="228"/>
      <c r="N102" s="210"/>
      <c r="O102" s="212"/>
      <c r="P102" s="212"/>
      <c r="Q102" s="212"/>
      <c r="R102" s="212"/>
      <c r="S102" s="212"/>
      <c r="T102" s="212"/>
      <c r="U102" s="212"/>
      <c r="V102" s="212"/>
      <c r="W102" s="212"/>
      <c r="X102" s="212"/>
      <c r="Y102" s="212"/>
      <c r="Z102" s="212"/>
      <c r="AA102" s="212"/>
      <c r="AB102" s="198"/>
      <c r="AC102" s="198"/>
      <c r="AD102" s="198"/>
      <c r="AE102" s="198"/>
      <c r="AF102" s="198"/>
    </row>
    <row r="103" spans="1:32" ht="17.100000000000001" customHeight="1">
      <c r="A103" s="325"/>
      <c r="B103" s="180">
        <f>+'GRAFIC VTAS'!AR5</f>
        <v>0</v>
      </c>
      <c r="C103" s="180">
        <f>+'GRAFIC VTAS'!AT5</f>
        <v>0</v>
      </c>
      <c r="D103" s="227"/>
      <c r="E103" s="227"/>
      <c r="F103" s="181">
        <f t="shared" si="10"/>
        <v>0</v>
      </c>
      <c r="G103" s="181">
        <f t="shared" si="11"/>
        <v>0</v>
      </c>
      <c r="H103" s="231"/>
      <c r="I103" s="233"/>
      <c r="J103" s="228"/>
      <c r="K103" s="228"/>
      <c r="L103" s="228"/>
      <c r="M103" s="228"/>
      <c r="N103" s="210"/>
      <c r="O103" s="212"/>
      <c r="P103" s="212"/>
      <c r="Q103" s="212"/>
      <c r="R103" s="212"/>
      <c r="S103" s="212"/>
      <c r="T103" s="212"/>
      <c r="U103" s="212"/>
      <c r="V103" s="212"/>
      <c r="W103" s="212"/>
      <c r="X103" s="212"/>
      <c r="Y103" s="212"/>
      <c r="Z103" s="212"/>
      <c r="AA103" s="212"/>
      <c r="AB103" s="198"/>
      <c r="AC103" s="198"/>
      <c r="AD103" s="198"/>
      <c r="AE103" s="198"/>
      <c r="AF103" s="198"/>
    </row>
    <row r="104" spans="1:32" ht="17.100000000000001" customHeight="1">
      <c r="A104" s="325"/>
      <c r="B104" s="180">
        <f>+'GRAFIC VTAS'!AR6</f>
        <v>0</v>
      </c>
      <c r="C104" s="180">
        <f>+'GRAFIC VTAS'!AT6</f>
        <v>0</v>
      </c>
      <c r="D104" s="227"/>
      <c r="E104" s="227"/>
      <c r="F104" s="181">
        <f t="shared" si="10"/>
        <v>0</v>
      </c>
      <c r="G104" s="181">
        <f t="shared" si="11"/>
        <v>0</v>
      </c>
      <c r="H104" s="231"/>
      <c r="I104" s="233"/>
      <c r="J104" s="228"/>
      <c r="K104" s="228"/>
      <c r="L104" s="228"/>
      <c r="M104" s="228"/>
      <c r="N104" s="210"/>
      <c r="O104" s="212"/>
      <c r="P104" s="212"/>
      <c r="Q104" s="212"/>
      <c r="R104" s="212"/>
      <c r="S104" s="212"/>
      <c r="T104" s="212"/>
      <c r="U104" s="212"/>
      <c r="V104" s="212"/>
      <c r="W104" s="212"/>
      <c r="X104" s="212"/>
      <c r="Y104" s="212"/>
      <c r="Z104" s="212"/>
      <c r="AA104" s="212"/>
      <c r="AB104" s="198"/>
      <c r="AC104" s="198"/>
      <c r="AD104" s="198"/>
      <c r="AE104" s="198"/>
      <c r="AF104" s="198"/>
    </row>
    <row r="105" spans="1:32" ht="17.100000000000001" customHeight="1">
      <c r="A105" s="325"/>
      <c r="B105" s="180">
        <f>+'GRAFIC VTAS'!AR7</f>
        <v>0</v>
      </c>
      <c r="C105" s="180">
        <f>+'GRAFIC VTAS'!AT7</f>
        <v>0</v>
      </c>
      <c r="D105" s="227"/>
      <c r="E105" s="227"/>
      <c r="F105" s="181">
        <f t="shared" si="10"/>
        <v>0</v>
      </c>
      <c r="G105" s="181">
        <f t="shared" si="11"/>
        <v>0</v>
      </c>
      <c r="H105" s="231"/>
      <c r="I105" s="233"/>
      <c r="J105" s="228"/>
      <c r="K105" s="228"/>
      <c r="L105" s="228"/>
      <c r="M105" s="228"/>
      <c r="N105" s="210"/>
      <c r="O105" s="212"/>
      <c r="P105" s="212"/>
      <c r="Q105" s="212"/>
      <c r="R105" s="212"/>
      <c r="S105" s="212"/>
      <c r="T105" s="212"/>
      <c r="U105" s="212"/>
      <c r="V105" s="212"/>
      <c r="W105" s="212"/>
      <c r="X105" s="212"/>
      <c r="Y105" s="212"/>
      <c r="Z105" s="212"/>
      <c r="AA105" s="212"/>
      <c r="AB105" s="198"/>
      <c r="AC105" s="198"/>
      <c r="AD105" s="198"/>
      <c r="AE105" s="198"/>
      <c r="AF105" s="198"/>
    </row>
    <row r="106" spans="1:32" ht="17.100000000000001" customHeight="1">
      <c r="A106" s="325"/>
      <c r="B106" s="180">
        <f>+'GRAFIC VTAS'!AR8</f>
        <v>0</v>
      </c>
      <c r="C106" s="180">
        <f>+'GRAFIC VTAS'!AT8</f>
        <v>0</v>
      </c>
      <c r="D106" s="227"/>
      <c r="E106" s="227"/>
      <c r="F106" s="181">
        <f t="shared" si="10"/>
        <v>0</v>
      </c>
      <c r="G106" s="181">
        <f t="shared" si="11"/>
        <v>0</v>
      </c>
      <c r="H106" s="231"/>
      <c r="I106" s="233"/>
      <c r="J106" s="228"/>
      <c r="K106" s="228"/>
      <c r="L106" s="228"/>
      <c r="M106" s="228"/>
      <c r="N106" s="210"/>
      <c r="O106" s="212"/>
      <c r="P106" s="212"/>
      <c r="Q106" s="212"/>
      <c r="R106" s="212"/>
      <c r="S106" s="212"/>
      <c r="T106" s="212"/>
      <c r="U106" s="212"/>
      <c r="V106" s="212"/>
      <c r="W106" s="212"/>
      <c r="X106" s="212"/>
      <c r="Y106" s="212"/>
      <c r="Z106" s="212"/>
      <c r="AA106" s="212"/>
      <c r="AB106" s="198"/>
      <c r="AC106" s="198"/>
      <c r="AD106" s="198"/>
      <c r="AE106" s="198"/>
      <c r="AF106" s="198"/>
    </row>
    <row r="107" spans="1:32" ht="17.100000000000001" customHeight="1">
      <c r="A107" s="325"/>
      <c r="B107" s="180">
        <f>+'GRAFIC VTAS'!AR9</f>
        <v>0</v>
      </c>
      <c r="C107" s="180">
        <f>+'GRAFIC VTAS'!AT9</f>
        <v>0</v>
      </c>
      <c r="D107" s="227"/>
      <c r="E107" s="227"/>
      <c r="F107" s="181">
        <f t="shared" si="10"/>
        <v>0</v>
      </c>
      <c r="G107" s="181">
        <f t="shared" si="11"/>
        <v>0</v>
      </c>
      <c r="H107" s="231"/>
      <c r="I107" s="233"/>
      <c r="J107" s="228"/>
      <c r="K107" s="228"/>
      <c r="L107" s="228"/>
      <c r="M107" s="228"/>
      <c r="N107" s="210"/>
      <c r="O107" s="212"/>
      <c r="P107" s="212"/>
      <c r="Q107" s="212"/>
      <c r="R107" s="212"/>
      <c r="S107" s="212"/>
      <c r="T107" s="212"/>
      <c r="U107" s="212"/>
      <c r="V107" s="212"/>
      <c r="W107" s="212"/>
      <c r="X107" s="212"/>
      <c r="Y107" s="212"/>
      <c r="Z107" s="212"/>
      <c r="AA107" s="212"/>
      <c r="AB107" s="198"/>
      <c r="AC107" s="198"/>
      <c r="AD107" s="198"/>
      <c r="AE107" s="198"/>
      <c r="AF107" s="198"/>
    </row>
    <row r="108" spans="1:32" ht="17.100000000000001" customHeight="1">
      <c r="A108" s="325"/>
      <c r="B108" s="180">
        <f>+'GRAFIC VTAS'!AR10</f>
        <v>0</v>
      </c>
      <c r="C108" s="180">
        <f>+'GRAFIC VTAS'!AT10</f>
        <v>0</v>
      </c>
      <c r="D108" s="227"/>
      <c r="E108" s="227"/>
      <c r="F108" s="181">
        <f t="shared" si="10"/>
        <v>0</v>
      </c>
      <c r="G108" s="181">
        <f t="shared" si="11"/>
        <v>0</v>
      </c>
      <c r="H108" s="231"/>
      <c r="I108" s="233"/>
      <c r="J108" s="228"/>
      <c r="K108" s="228"/>
      <c r="L108" s="228"/>
      <c r="M108" s="228"/>
      <c r="N108" s="210"/>
      <c r="O108" s="212"/>
      <c r="P108" s="212"/>
      <c r="Q108" s="212"/>
      <c r="R108" s="212"/>
      <c r="S108" s="212"/>
      <c r="T108" s="212"/>
      <c r="U108" s="212"/>
      <c r="V108" s="212"/>
      <c r="W108" s="212"/>
      <c r="X108" s="212"/>
      <c r="Y108" s="212"/>
      <c r="Z108" s="212"/>
      <c r="AA108" s="212"/>
      <c r="AB108" s="198"/>
      <c r="AC108" s="198"/>
      <c r="AD108" s="198"/>
      <c r="AE108" s="198"/>
      <c r="AF108" s="198"/>
    </row>
    <row r="109" spans="1:32" ht="17.100000000000001" customHeight="1">
      <c r="A109" s="325"/>
      <c r="B109" s="180">
        <f>+'GRAFIC VTAS'!AR11</f>
        <v>0</v>
      </c>
      <c r="C109" s="180">
        <f>+'GRAFIC VTAS'!AT11</f>
        <v>0</v>
      </c>
      <c r="D109" s="227"/>
      <c r="E109" s="227"/>
      <c r="F109" s="181">
        <f t="shared" si="10"/>
        <v>0</v>
      </c>
      <c r="G109" s="181">
        <f t="shared" si="11"/>
        <v>0</v>
      </c>
      <c r="H109" s="231"/>
      <c r="I109" s="233"/>
      <c r="J109" s="228"/>
      <c r="K109" s="228"/>
      <c r="L109" s="228"/>
      <c r="M109" s="228"/>
      <c r="N109" s="210"/>
      <c r="O109" s="212"/>
      <c r="P109" s="212"/>
      <c r="Q109" s="212"/>
      <c r="R109" s="212"/>
      <c r="S109" s="212"/>
      <c r="T109" s="212"/>
      <c r="U109" s="212"/>
      <c r="V109" s="212"/>
      <c r="W109" s="212"/>
      <c r="X109" s="212"/>
      <c r="Y109" s="212"/>
      <c r="Z109" s="212"/>
      <c r="AA109" s="212"/>
      <c r="AB109" s="198"/>
      <c r="AC109" s="198"/>
      <c r="AD109" s="198"/>
      <c r="AE109" s="198"/>
      <c r="AF109" s="198"/>
    </row>
    <row r="110" spans="1:32" ht="17.100000000000001" customHeight="1">
      <c r="A110" s="325"/>
      <c r="B110" s="180">
        <f>+'GRAFIC VTAS'!AR12</f>
        <v>0</v>
      </c>
      <c r="C110" s="180">
        <f>+'GRAFIC VTAS'!AT12</f>
        <v>0</v>
      </c>
      <c r="D110" s="227"/>
      <c r="E110" s="227"/>
      <c r="F110" s="181">
        <f t="shared" si="10"/>
        <v>0</v>
      </c>
      <c r="G110" s="181">
        <f t="shared" si="11"/>
        <v>0</v>
      </c>
      <c r="H110" s="231"/>
      <c r="I110" s="233"/>
      <c r="J110" s="228"/>
      <c r="K110" s="228"/>
      <c r="L110" s="228"/>
      <c r="M110" s="228"/>
      <c r="N110" s="210"/>
      <c r="O110" s="212"/>
      <c r="P110" s="212"/>
      <c r="Q110" s="212"/>
      <c r="R110" s="212"/>
      <c r="S110" s="212"/>
      <c r="T110" s="212"/>
      <c r="U110" s="212"/>
      <c r="V110" s="212"/>
      <c r="W110" s="212"/>
      <c r="X110" s="212"/>
      <c r="Y110" s="212"/>
      <c r="Z110" s="212"/>
      <c r="AA110" s="212"/>
      <c r="AB110" s="198"/>
      <c r="AC110" s="198"/>
      <c r="AD110" s="198"/>
      <c r="AE110" s="198"/>
      <c r="AF110" s="198"/>
    </row>
    <row r="111" spans="1:32" ht="17.100000000000001" hidden="1" customHeight="1">
      <c r="A111" s="193"/>
      <c r="B111" s="223"/>
      <c r="C111" s="223"/>
      <c r="D111" s="228"/>
      <c r="E111" s="228"/>
      <c r="F111" s="223"/>
      <c r="G111" s="223"/>
      <c r="H111" s="223"/>
      <c r="I111" s="223"/>
      <c r="J111" s="228"/>
      <c r="K111" s="228"/>
      <c r="L111" s="228"/>
      <c r="M111" s="228"/>
      <c r="N111" s="210"/>
      <c r="O111" s="212"/>
      <c r="P111" s="212"/>
      <c r="Q111" s="212"/>
      <c r="R111" s="212"/>
      <c r="S111" s="212"/>
      <c r="T111" s="212"/>
      <c r="U111" s="212"/>
      <c r="V111" s="212"/>
      <c r="W111" s="212"/>
      <c r="X111" s="212"/>
      <c r="Y111" s="212"/>
      <c r="Z111" s="212"/>
      <c r="AA111" s="212"/>
      <c r="AB111" s="198"/>
      <c r="AC111" s="198"/>
      <c r="AD111" s="198"/>
      <c r="AE111" s="198"/>
      <c r="AF111" s="198"/>
    </row>
    <row r="112" spans="1:32" ht="17.100000000000001" hidden="1" customHeight="1">
      <c r="A112" s="193"/>
      <c r="B112" s="223"/>
      <c r="C112" s="223"/>
      <c r="D112" s="228"/>
      <c r="E112" s="228"/>
      <c r="F112" s="223"/>
      <c r="G112" s="223"/>
      <c r="H112" s="223"/>
      <c r="I112" s="223"/>
      <c r="J112" s="223"/>
      <c r="K112" s="223"/>
      <c r="L112" s="223"/>
      <c r="M112" s="223"/>
      <c r="N112" s="194"/>
      <c r="O112" s="193"/>
      <c r="P112" s="193"/>
      <c r="Q112" s="193"/>
      <c r="R112" s="193"/>
      <c r="S112" s="193"/>
      <c r="T112" s="193"/>
      <c r="U112" s="193"/>
      <c r="V112" s="193"/>
      <c r="W112" s="193"/>
      <c r="X112" s="193"/>
      <c r="Y112" s="193"/>
      <c r="Z112" s="193"/>
      <c r="AA112" s="193"/>
      <c r="AB112" s="195"/>
      <c r="AC112" s="195"/>
      <c r="AD112" s="195"/>
      <c r="AE112" s="195"/>
      <c r="AF112" s="195"/>
    </row>
    <row r="113" spans="1:27" ht="17.100000000000001" customHeight="1">
      <c r="A113" s="6" t="s">
        <v>621</v>
      </c>
      <c r="C113" s="14"/>
      <c r="D113" s="14"/>
      <c r="E113" s="14"/>
      <c r="F113" s="14"/>
      <c r="G113" s="14"/>
      <c r="H113" s="14"/>
      <c r="I113" s="14"/>
      <c r="J113" s="14"/>
      <c r="K113" s="14"/>
      <c r="L113" s="14"/>
      <c r="M113" s="14"/>
      <c r="N113" s="1"/>
      <c r="O113" s="3"/>
      <c r="P113" s="3"/>
      <c r="Q113" s="3"/>
      <c r="R113" s="3"/>
      <c r="S113" s="3"/>
      <c r="T113" s="3"/>
      <c r="U113" s="3"/>
      <c r="V113" s="3"/>
      <c r="W113" s="3"/>
      <c r="X113" s="3"/>
      <c r="Y113" s="3"/>
      <c r="Z113" s="3"/>
      <c r="AA113" s="3"/>
    </row>
    <row r="114" spans="1:27" ht="17.100000000000001" customHeight="1">
      <c r="A114" s="20">
        <v>1000</v>
      </c>
      <c r="C114" s="14"/>
      <c r="D114" s="14"/>
      <c r="E114" s="14"/>
      <c r="F114" s="14"/>
      <c r="G114" s="14"/>
      <c r="H114" s="14"/>
      <c r="I114" s="14"/>
      <c r="J114" s="14"/>
      <c r="K114" s="14"/>
      <c r="L114" s="14"/>
      <c r="M114" s="14"/>
      <c r="N114" s="1"/>
      <c r="O114" s="3"/>
      <c r="P114" s="3"/>
      <c r="Q114" s="3"/>
      <c r="R114" s="3"/>
      <c r="S114" s="3"/>
      <c r="T114" s="3"/>
      <c r="U114" s="3"/>
      <c r="V114" s="3"/>
      <c r="W114" s="3"/>
      <c r="X114" s="3"/>
      <c r="Y114" s="3"/>
      <c r="Z114" s="3"/>
      <c r="AA114" s="3"/>
    </row>
    <row r="115" spans="1:27" ht="17.100000000000001" customHeight="1">
      <c r="A115" s="1118"/>
      <c r="B115" s="1075" t="s">
        <v>622</v>
      </c>
      <c r="C115" s="14"/>
      <c r="D115" s="14"/>
      <c r="E115" s="14"/>
      <c r="F115" s="14"/>
      <c r="G115" s="14"/>
      <c r="H115" s="14"/>
      <c r="I115" s="14"/>
      <c r="J115" s="14"/>
      <c r="K115" s="14"/>
      <c r="L115" s="14"/>
      <c r="M115" s="14"/>
      <c r="N115" s="1"/>
      <c r="O115" s="3"/>
      <c r="P115" s="3"/>
      <c r="Q115" s="3"/>
      <c r="R115" s="3"/>
      <c r="S115" s="3"/>
      <c r="T115" s="3"/>
      <c r="U115" s="3"/>
      <c r="V115" s="3"/>
      <c r="W115" s="3"/>
      <c r="X115" s="3"/>
      <c r="Y115" s="3"/>
      <c r="Z115" s="3"/>
      <c r="AA115" s="3"/>
    </row>
    <row r="116" spans="1:27" ht="17.100000000000001" customHeight="1">
      <c r="A116" s="1118"/>
      <c r="B116" s="1076"/>
      <c r="C116" s="14"/>
      <c r="D116" s="14"/>
      <c r="E116" s="14"/>
      <c r="F116" s="14"/>
      <c r="G116" s="14"/>
      <c r="H116" s="14"/>
      <c r="I116" s="14"/>
      <c r="J116" s="14"/>
      <c r="K116" s="14"/>
      <c r="L116" s="14"/>
      <c r="M116" s="14"/>
      <c r="N116" s="1"/>
      <c r="O116" s="3"/>
      <c r="P116" s="3"/>
      <c r="Q116" s="3"/>
      <c r="R116" s="3"/>
      <c r="S116" s="3"/>
      <c r="T116" s="3"/>
      <c r="U116" s="3"/>
      <c r="V116" s="3"/>
      <c r="W116" s="3"/>
      <c r="X116" s="3"/>
      <c r="Y116" s="3"/>
      <c r="Z116" s="3"/>
      <c r="AA116" s="3"/>
    </row>
    <row r="117" spans="1:27" ht="17.100000000000001" customHeight="1">
      <c r="A117" s="21" t="s">
        <v>623</v>
      </c>
      <c r="B117" s="182"/>
      <c r="C117" s="14"/>
      <c r="D117" s="14"/>
      <c r="E117" s="14"/>
      <c r="F117" s="14"/>
      <c r="G117" s="14"/>
      <c r="H117" s="14"/>
      <c r="I117" s="14"/>
      <c r="J117" s="14"/>
      <c r="K117" s="14"/>
      <c r="L117" s="14"/>
      <c r="M117" s="14"/>
      <c r="N117" s="1"/>
      <c r="O117" s="3"/>
      <c r="P117" s="3"/>
      <c r="Q117" s="3"/>
      <c r="R117" s="3"/>
      <c r="S117" s="3"/>
      <c r="T117" s="3"/>
      <c r="U117" s="3"/>
      <c r="V117" s="3"/>
      <c r="W117" s="3"/>
      <c r="X117" s="3"/>
      <c r="Y117" s="3"/>
      <c r="Z117" s="3"/>
      <c r="AA117" s="3"/>
    </row>
    <row r="118" spans="1:27" ht="17.100000000000001" customHeight="1">
      <c r="A118" s="21" t="s">
        <v>624</v>
      </c>
      <c r="B118" s="182"/>
      <c r="C118" s="14"/>
      <c r="D118" s="14"/>
      <c r="E118" s="14"/>
      <c r="F118" s="14"/>
      <c r="G118" s="14"/>
      <c r="H118" s="14"/>
      <c r="I118" s="14"/>
      <c r="J118" s="14"/>
      <c r="K118" s="14"/>
      <c r="L118" s="14"/>
      <c r="M118" s="14"/>
      <c r="N118" s="1"/>
      <c r="O118" s="3"/>
      <c r="P118" s="3"/>
      <c r="Q118" s="3"/>
      <c r="R118" s="3"/>
      <c r="S118" s="3"/>
      <c r="T118" s="3"/>
      <c r="U118" s="3"/>
      <c r="V118" s="3"/>
      <c r="W118" s="3"/>
      <c r="X118" s="3"/>
      <c r="Y118" s="3"/>
      <c r="Z118" s="3"/>
      <c r="AA118" s="3"/>
    </row>
    <row r="119" spans="1:27" ht="17.100000000000001" customHeight="1">
      <c r="A119" s="21" t="s">
        <v>625</v>
      </c>
      <c r="B119" s="182"/>
      <c r="C119" s="1"/>
      <c r="D119" s="1"/>
      <c r="E119" s="1"/>
      <c r="F119" s="1"/>
      <c r="G119" s="1"/>
      <c r="H119" s="1"/>
      <c r="I119" s="1"/>
      <c r="J119" s="1"/>
      <c r="K119" s="1"/>
      <c r="L119" s="1"/>
      <c r="M119" s="1"/>
      <c r="N119" s="22"/>
    </row>
    <row r="120" spans="1:27" ht="17.100000000000001" customHeight="1">
      <c r="A120" s="21" t="s">
        <v>626</v>
      </c>
      <c r="B120" s="182"/>
      <c r="C120" s="5"/>
    </row>
    <row r="121" spans="1:27" ht="17.100000000000001" customHeight="1">
      <c r="A121" s="21" t="s">
        <v>627</v>
      </c>
      <c r="B121" s="182"/>
      <c r="C121" s="5"/>
    </row>
    <row r="122" spans="1:27" ht="17.100000000000001" customHeight="1">
      <c r="A122" s="21" t="s">
        <v>628</v>
      </c>
      <c r="B122" s="182"/>
      <c r="C122" s="5"/>
    </row>
    <row r="123" spans="1:27" ht="17.100000000000001" customHeight="1">
      <c r="A123" s="21" t="s">
        <v>629</v>
      </c>
      <c r="B123" s="182"/>
      <c r="C123" s="5"/>
    </row>
    <row r="124" spans="1:27" ht="17.100000000000001" customHeight="1">
      <c r="A124" s="21" t="s">
        <v>630</v>
      </c>
      <c r="B124" s="182"/>
      <c r="C124" s="5"/>
    </row>
    <row r="125" spans="1:27" ht="17.100000000000001" customHeight="1">
      <c r="A125" s="21" t="s">
        <v>631</v>
      </c>
      <c r="B125" s="182"/>
      <c r="C125" s="5"/>
    </row>
    <row r="126" spans="1:27" ht="17.100000000000001" customHeight="1">
      <c r="A126" s="23">
        <v>0</v>
      </c>
      <c r="B126" s="182"/>
      <c r="C126" s="5"/>
    </row>
    <row r="127" spans="1:27" ht="17.100000000000001" customHeight="1">
      <c r="A127" s="23">
        <v>0</v>
      </c>
      <c r="B127" s="182"/>
      <c r="C127" s="5"/>
    </row>
    <row r="128" spans="1:27" ht="17.100000000000001" customHeight="1">
      <c r="A128" s="23"/>
      <c r="B128" s="182"/>
      <c r="C128" s="5"/>
    </row>
    <row r="129" spans="1:32" ht="17.100000000000001" customHeight="1">
      <c r="C129" s="5"/>
    </row>
    <row r="130" spans="1:32" ht="17.100000000000001" hidden="1" customHeight="1">
      <c r="C130" s="5"/>
    </row>
    <row r="131" spans="1:32" ht="17.100000000000001" hidden="1" customHeight="1">
      <c r="A131" s="24"/>
      <c r="B131" s="3"/>
      <c r="C131" s="17"/>
      <c r="D131" s="3"/>
      <c r="E131" s="3"/>
      <c r="F131" s="3"/>
    </row>
    <row r="132" spans="1:32" ht="17.100000000000001" hidden="1" customHeight="1"/>
    <row r="133" spans="1:32" ht="17.100000000000001" hidden="1" customHeight="1"/>
    <row r="134" spans="1:32" ht="17.100000000000001" hidden="1" customHeight="1">
      <c r="A134" s="24"/>
      <c r="B134" s="25"/>
    </row>
    <row r="135" spans="1:32" ht="17.100000000000001" hidden="1" customHeight="1"/>
    <row r="136" spans="1:32" ht="17.100000000000001" customHeight="1">
      <c r="A136" s="169" t="s">
        <v>632</v>
      </c>
      <c r="B136" s="1"/>
      <c r="C136" s="1"/>
      <c r="D136" s="195"/>
      <c r="E136" s="195"/>
      <c r="F136" s="195"/>
      <c r="G136" s="195"/>
      <c r="H136" s="195"/>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row>
    <row r="137" spans="1:32" ht="17.100000000000001" customHeight="1">
      <c r="A137" s="1"/>
      <c r="B137" s="1"/>
      <c r="C137" s="1"/>
      <c r="D137" s="195"/>
      <c r="E137" s="195"/>
      <c r="F137" s="195"/>
      <c r="G137" s="195"/>
      <c r="H137" s="195"/>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row>
    <row r="138" spans="1:32" ht="17.100000000000001" customHeight="1">
      <c r="A138" s="170" t="s">
        <v>633</v>
      </c>
      <c r="B138" s="1"/>
      <c r="C138" s="1"/>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row>
    <row r="139" spans="1:32" ht="17.100000000000001" customHeight="1">
      <c r="A139" s="1"/>
      <c r="B139" s="1"/>
      <c r="C139" s="1"/>
      <c r="D139" s="195"/>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row>
    <row r="140" spans="1:32" ht="17.100000000000001" customHeight="1">
      <c r="A140" s="170" t="s">
        <v>634</v>
      </c>
      <c r="B140" s="1"/>
      <c r="C140" s="1"/>
      <c r="D140" s="195"/>
      <c r="E140" s="195"/>
      <c r="F140" s="195"/>
      <c r="G140" s="195"/>
      <c r="H140" s="195"/>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row>
    <row r="141" spans="1:32" ht="17.100000000000001" customHeight="1">
      <c r="A141" s="3"/>
      <c r="B141" s="3"/>
      <c r="C141" s="1"/>
      <c r="D141" s="195"/>
      <c r="E141" s="195"/>
      <c r="F141" s="195"/>
      <c r="G141" s="195"/>
      <c r="H141" s="195"/>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row>
    <row r="142" spans="1:32" ht="17.100000000000001" customHeight="1">
      <c r="A142" s="26" t="s">
        <v>635</v>
      </c>
      <c r="B142" s="26" t="s">
        <v>636</v>
      </c>
      <c r="C142" s="27" t="s">
        <v>637</v>
      </c>
      <c r="D142" s="252"/>
      <c r="E142" s="195"/>
      <c r="F142" s="195"/>
      <c r="G142" s="195"/>
      <c r="H142" s="195"/>
      <c r="I142" s="247"/>
      <c r="J142" s="247"/>
      <c r="K142" s="247"/>
      <c r="L142" s="247"/>
      <c r="M142" s="247"/>
      <c r="N142" s="247"/>
      <c r="O142" s="247"/>
      <c r="P142" s="247"/>
      <c r="Q142" s="248"/>
      <c r="R142" s="195"/>
      <c r="S142" s="195"/>
      <c r="T142" s="195"/>
      <c r="U142" s="195"/>
      <c r="V142" s="195"/>
      <c r="W142" s="195"/>
      <c r="X142" s="195"/>
      <c r="Y142" s="195"/>
      <c r="Z142" s="195"/>
      <c r="AA142" s="195"/>
      <c r="AB142" s="195"/>
      <c r="AC142" s="195"/>
      <c r="AD142" s="195"/>
      <c r="AE142" s="195"/>
      <c r="AF142" s="195"/>
    </row>
    <row r="143" spans="1:32" ht="17.100000000000001" customHeight="1">
      <c r="A143" s="28"/>
      <c r="B143" s="28"/>
      <c r="C143" s="29"/>
      <c r="D143" s="199"/>
      <c r="E143" s="195"/>
      <c r="F143" s="195"/>
      <c r="G143" s="195"/>
      <c r="H143" s="195"/>
      <c r="I143" s="199"/>
      <c r="J143" s="199"/>
      <c r="K143" s="199"/>
      <c r="L143" s="199"/>
      <c r="M143" s="199"/>
      <c r="N143" s="199"/>
      <c r="O143" s="199"/>
      <c r="P143" s="199"/>
      <c r="Q143" s="195"/>
      <c r="R143" s="195"/>
      <c r="S143" s="195"/>
      <c r="T143" s="195"/>
      <c r="U143" s="195"/>
      <c r="V143" s="195"/>
      <c r="W143" s="195"/>
      <c r="X143" s="195"/>
      <c r="Y143" s="195"/>
      <c r="Z143" s="195"/>
      <c r="AA143" s="195"/>
      <c r="AB143" s="195"/>
      <c r="AC143" s="195"/>
      <c r="AD143" s="195"/>
      <c r="AE143" s="195"/>
      <c r="AF143" s="195"/>
    </row>
    <row r="144" spans="1:32" ht="17.100000000000001" customHeight="1">
      <c r="A144" s="21" t="s">
        <v>623</v>
      </c>
      <c r="B144" s="183">
        <f ca="1">+'inversion af'!K95</f>
        <v>0</v>
      </c>
      <c r="C144" s="309">
        <v>100000000</v>
      </c>
      <c r="D144" s="199"/>
      <c r="E144" s="195"/>
      <c r="F144" s="195"/>
      <c r="G144" s="195"/>
      <c r="H144" s="195"/>
      <c r="I144" s="199"/>
      <c r="J144" s="199"/>
      <c r="K144" s="199"/>
      <c r="L144" s="199"/>
      <c r="M144" s="199"/>
      <c r="N144" s="199"/>
      <c r="O144" s="199"/>
      <c r="P144" s="199"/>
      <c r="Q144" s="195"/>
      <c r="R144" s="195"/>
      <c r="S144" s="195"/>
      <c r="T144" s="195"/>
      <c r="U144" s="195"/>
      <c r="V144" s="195"/>
      <c r="W144" s="195"/>
      <c r="X144" s="195"/>
      <c r="Y144" s="195"/>
      <c r="Z144" s="195"/>
      <c r="AA144" s="195"/>
      <c r="AB144" s="195"/>
      <c r="AC144" s="195"/>
      <c r="AD144" s="195"/>
      <c r="AE144" s="195"/>
      <c r="AF144" s="195"/>
    </row>
    <row r="145" spans="1:32" ht="17.100000000000001" customHeight="1">
      <c r="A145" s="21" t="s">
        <v>624</v>
      </c>
      <c r="B145" s="183">
        <f ca="1">+'inversion af'!K96</f>
        <v>0</v>
      </c>
      <c r="C145" s="183">
        <v>20</v>
      </c>
      <c r="D145" s="199"/>
      <c r="E145" s="195"/>
      <c r="F145" s="195"/>
      <c r="G145" s="195"/>
      <c r="H145" s="195"/>
      <c r="I145" s="199"/>
      <c r="J145" s="199"/>
      <c r="K145" s="199"/>
      <c r="L145" s="199"/>
      <c r="M145" s="199"/>
      <c r="N145" s="199"/>
      <c r="O145" s="199"/>
      <c r="P145" s="199"/>
      <c r="Q145" s="195"/>
      <c r="R145" s="195"/>
      <c r="S145" s="195"/>
      <c r="T145" s="195"/>
      <c r="U145" s="195"/>
      <c r="V145" s="195"/>
      <c r="W145" s="195"/>
      <c r="X145" s="195"/>
      <c r="Y145" s="195"/>
      <c r="Z145" s="195"/>
      <c r="AA145" s="195"/>
      <c r="AB145" s="195"/>
      <c r="AC145" s="195"/>
      <c r="AD145" s="195"/>
      <c r="AE145" s="195"/>
      <c r="AF145" s="195"/>
    </row>
    <row r="146" spans="1:32" ht="17.100000000000001" customHeight="1">
      <c r="A146" s="21" t="s">
        <v>625</v>
      </c>
      <c r="B146" s="183">
        <f ca="1">+'inversion af'!K97</f>
        <v>30800000</v>
      </c>
      <c r="C146" s="183">
        <v>10</v>
      </c>
      <c r="D146" s="203"/>
      <c r="E146" s="195"/>
      <c r="F146" s="195"/>
      <c r="G146" s="195"/>
      <c r="H146" s="195"/>
      <c r="I146" s="199"/>
      <c r="J146" s="199"/>
      <c r="K146" s="199"/>
      <c r="L146" s="199"/>
      <c r="M146" s="199"/>
      <c r="N146" s="199"/>
      <c r="O146" s="199"/>
      <c r="P146" s="199"/>
      <c r="Q146" s="195"/>
      <c r="R146" s="195"/>
      <c r="S146" s="195"/>
      <c r="T146" s="195"/>
      <c r="U146" s="195"/>
      <c r="V146" s="195"/>
      <c r="W146" s="195"/>
      <c r="X146" s="195"/>
      <c r="Y146" s="195"/>
      <c r="Z146" s="195"/>
      <c r="AA146" s="195"/>
      <c r="AB146" s="195"/>
      <c r="AC146" s="195"/>
      <c r="AD146" s="195"/>
      <c r="AE146" s="195"/>
      <c r="AF146" s="195"/>
    </row>
    <row r="147" spans="1:32" ht="17.100000000000001" customHeight="1">
      <c r="A147" s="21" t="s">
        <v>626</v>
      </c>
      <c r="B147" s="183">
        <f ca="1">+'inversion af'!K98</f>
        <v>0</v>
      </c>
      <c r="C147" s="183">
        <v>5</v>
      </c>
      <c r="D147" s="203"/>
      <c r="E147" s="195"/>
      <c r="F147" s="194"/>
      <c r="G147" s="194"/>
      <c r="H147" s="194"/>
      <c r="I147" s="203"/>
      <c r="J147" s="203"/>
      <c r="K147" s="203"/>
      <c r="L147" s="203"/>
      <c r="M147" s="203"/>
      <c r="N147" s="203"/>
      <c r="O147" s="199"/>
      <c r="P147" s="199"/>
      <c r="Q147" s="195"/>
      <c r="R147" s="195"/>
      <c r="S147" s="195"/>
      <c r="T147" s="195"/>
      <c r="U147" s="195"/>
      <c r="V147" s="195"/>
      <c r="W147" s="195"/>
      <c r="X147" s="195"/>
      <c r="Y147" s="195"/>
      <c r="Z147" s="195"/>
      <c r="AA147" s="195"/>
      <c r="AB147" s="195"/>
      <c r="AC147" s="195"/>
      <c r="AD147" s="195"/>
      <c r="AE147" s="195"/>
      <c r="AF147" s="195"/>
    </row>
    <row r="148" spans="1:32" ht="17.100000000000001" customHeight="1">
      <c r="A148" s="21" t="s">
        <v>627</v>
      </c>
      <c r="B148" s="183">
        <f ca="1">+'inversion af'!K99</f>
        <v>8000000</v>
      </c>
      <c r="C148" s="183">
        <v>5</v>
      </c>
      <c r="D148" s="203"/>
      <c r="E148" s="195"/>
      <c r="F148" s="194"/>
      <c r="G148" s="194"/>
      <c r="H148" s="194"/>
      <c r="I148" s="203"/>
      <c r="J148" s="203"/>
      <c r="K148" s="203"/>
      <c r="L148" s="203"/>
      <c r="M148" s="203"/>
      <c r="N148" s="203"/>
      <c r="O148" s="199"/>
      <c r="P148" s="199"/>
      <c r="Q148" s="195"/>
      <c r="R148" s="195"/>
      <c r="S148" s="195"/>
      <c r="T148" s="195"/>
      <c r="U148" s="195"/>
      <c r="V148" s="195"/>
      <c r="W148" s="195"/>
      <c r="X148" s="195"/>
      <c r="Y148" s="195"/>
      <c r="Z148" s="195"/>
      <c r="AA148" s="195"/>
      <c r="AB148" s="195"/>
      <c r="AC148" s="195"/>
      <c r="AD148" s="195"/>
      <c r="AE148" s="195"/>
      <c r="AF148" s="195"/>
    </row>
    <row r="149" spans="1:32" ht="17.100000000000001" customHeight="1">
      <c r="A149" s="21" t="s">
        <v>628</v>
      </c>
      <c r="B149" s="183">
        <f ca="1">+'inversion af'!K100</f>
        <v>8550000</v>
      </c>
      <c r="C149" s="183">
        <v>10</v>
      </c>
      <c r="D149" s="203"/>
      <c r="E149" s="195"/>
      <c r="F149" s="194"/>
      <c r="G149" s="194"/>
      <c r="H149" s="194"/>
      <c r="I149" s="203"/>
      <c r="J149" s="203"/>
      <c r="K149" s="203"/>
      <c r="L149" s="203"/>
      <c r="M149" s="203"/>
      <c r="N149" s="203"/>
      <c r="O149" s="199"/>
      <c r="P149" s="199"/>
      <c r="Q149" s="195"/>
      <c r="R149" s="195"/>
      <c r="S149" s="195"/>
      <c r="T149" s="195"/>
      <c r="U149" s="195"/>
      <c r="V149" s="195"/>
      <c r="W149" s="195"/>
      <c r="X149" s="195"/>
      <c r="Y149" s="195"/>
      <c r="Z149" s="195"/>
      <c r="AA149" s="195"/>
      <c r="AB149" s="195"/>
      <c r="AC149" s="195"/>
      <c r="AD149" s="195"/>
      <c r="AE149" s="195"/>
      <c r="AF149" s="195"/>
    </row>
    <row r="150" spans="1:32" ht="17.100000000000001" customHeight="1">
      <c r="A150" s="21" t="s">
        <v>629</v>
      </c>
      <c r="B150" s="183">
        <f ca="1">+'inversion af'!K101</f>
        <v>0</v>
      </c>
      <c r="C150" s="183">
        <v>1</v>
      </c>
      <c r="D150" s="203"/>
      <c r="E150" s="195"/>
      <c r="F150" s="194"/>
      <c r="G150" s="194"/>
      <c r="H150" s="194"/>
      <c r="I150" s="203"/>
      <c r="J150" s="203"/>
      <c r="K150" s="203"/>
      <c r="L150" s="203"/>
      <c r="M150" s="203"/>
      <c r="N150" s="203"/>
      <c r="O150" s="199"/>
      <c r="P150" s="199"/>
      <c r="Q150" s="195"/>
      <c r="R150" s="195"/>
      <c r="S150" s="195"/>
      <c r="T150" s="195"/>
      <c r="U150" s="195"/>
      <c r="V150" s="195"/>
      <c r="W150" s="195"/>
      <c r="X150" s="195"/>
      <c r="Y150" s="195"/>
      <c r="Z150" s="195"/>
      <c r="AA150" s="195"/>
      <c r="AB150" s="195"/>
      <c r="AC150" s="195"/>
      <c r="AD150" s="195"/>
      <c r="AE150" s="195"/>
      <c r="AF150" s="195"/>
    </row>
    <row r="151" spans="1:32" ht="17.100000000000001" customHeight="1">
      <c r="A151" s="21" t="s">
        <v>630</v>
      </c>
      <c r="B151" s="183">
        <f ca="1">+'inversion af'!K102</f>
        <v>0</v>
      </c>
      <c r="C151" s="183">
        <v>3</v>
      </c>
      <c r="D151" s="203"/>
      <c r="E151" s="195"/>
      <c r="F151" s="194"/>
      <c r="G151" s="194"/>
      <c r="H151" s="194"/>
      <c r="I151" s="203"/>
      <c r="J151" s="203"/>
      <c r="K151" s="203"/>
      <c r="L151" s="203"/>
      <c r="M151" s="203"/>
      <c r="N151" s="203"/>
      <c r="O151" s="199"/>
      <c r="P151" s="199"/>
      <c r="Q151" s="195"/>
      <c r="R151" s="195"/>
      <c r="S151" s="195"/>
      <c r="T151" s="195"/>
      <c r="U151" s="195"/>
      <c r="V151" s="195"/>
      <c r="W151" s="195"/>
      <c r="X151" s="195"/>
      <c r="Y151" s="195"/>
      <c r="Z151" s="195"/>
      <c r="AA151" s="195"/>
      <c r="AB151" s="195"/>
      <c r="AC151" s="195"/>
      <c r="AD151" s="195"/>
      <c r="AE151" s="195"/>
      <c r="AF151" s="195"/>
    </row>
    <row r="152" spans="1:32" ht="17.100000000000001" customHeight="1">
      <c r="A152" s="21" t="s">
        <v>631</v>
      </c>
      <c r="B152" s="183">
        <f ca="1">+'inversion af'!K103</f>
        <v>0</v>
      </c>
      <c r="C152" s="183">
        <v>3</v>
      </c>
      <c r="D152" s="203"/>
      <c r="E152" s="195"/>
      <c r="F152" s="194"/>
      <c r="G152" s="194"/>
      <c r="H152" s="194"/>
      <c r="I152" s="203"/>
      <c r="J152" s="203"/>
      <c r="K152" s="203"/>
      <c r="L152" s="203"/>
      <c r="M152" s="203"/>
      <c r="N152" s="203"/>
      <c r="O152" s="199"/>
      <c r="P152" s="199"/>
      <c r="Q152" s="195"/>
      <c r="R152" s="195"/>
      <c r="S152" s="195"/>
      <c r="T152" s="195"/>
      <c r="U152" s="195"/>
      <c r="V152" s="195"/>
      <c r="W152" s="195"/>
      <c r="X152" s="195"/>
      <c r="Y152" s="195"/>
      <c r="Z152" s="195"/>
      <c r="AA152" s="195"/>
      <c r="AB152" s="195"/>
      <c r="AC152" s="195"/>
      <c r="AD152" s="195"/>
      <c r="AE152" s="195"/>
      <c r="AF152" s="195"/>
    </row>
    <row r="153" spans="1:32" ht="17.100000000000001" customHeight="1">
      <c r="A153" s="185"/>
      <c r="B153" s="186"/>
      <c r="C153" s="186"/>
      <c r="D153" s="203"/>
      <c r="E153" s="195"/>
      <c r="F153" s="194"/>
      <c r="G153" s="194"/>
      <c r="H153" s="194"/>
      <c r="I153" s="203"/>
      <c r="J153" s="203"/>
      <c r="K153" s="203"/>
      <c r="L153" s="203"/>
      <c r="M153" s="203"/>
      <c r="N153" s="203"/>
      <c r="O153" s="199"/>
      <c r="P153" s="199"/>
      <c r="Q153" s="195"/>
      <c r="R153" s="195"/>
      <c r="S153" s="195"/>
      <c r="T153" s="195"/>
      <c r="U153" s="195"/>
      <c r="V153" s="195"/>
      <c r="W153" s="195"/>
      <c r="X153" s="195"/>
      <c r="Y153" s="195"/>
      <c r="Z153" s="195"/>
      <c r="AA153" s="195"/>
      <c r="AB153" s="195"/>
      <c r="AC153" s="195"/>
      <c r="AD153" s="195"/>
      <c r="AE153" s="195"/>
      <c r="AF153" s="195"/>
    </row>
    <row r="154" spans="1:32" ht="17.100000000000001" hidden="1" customHeight="1">
      <c r="A154" s="203"/>
      <c r="B154" s="203"/>
      <c r="C154" s="203"/>
      <c r="D154" s="203"/>
      <c r="E154" s="195"/>
      <c r="F154" s="194"/>
      <c r="G154" s="194"/>
      <c r="H154" s="194"/>
      <c r="I154" s="203"/>
      <c r="J154" s="203"/>
      <c r="K154" s="203"/>
      <c r="L154" s="203"/>
      <c r="M154" s="203"/>
      <c r="N154" s="203"/>
      <c r="O154" s="199"/>
      <c r="P154" s="199"/>
      <c r="Q154" s="195"/>
      <c r="R154" s="195"/>
      <c r="S154" s="195"/>
      <c r="T154" s="195"/>
      <c r="U154" s="195"/>
      <c r="V154" s="195"/>
      <c r="W154" s="195"/>
      <c r="X154" s="195"/>
      <c r="Y154" s="195"/>
      <c r="Z154" s="195"/>
      <c r="AA154" s="195"/>
      <c r="AB154" s="195"/>
      <c r="AC154" s="195"/>
      <c r="AD154" s="195"/>
      <c r="AE154" s="195"/>
      <c r="AF154" s="195"/>
    </row>
    <row r="155" spans="1:32" ht="17.100000000000001" hidden="1" customHeight="1">
      <c r="A155" s="193"/>
      <c r="B155" s="193"/>
      <c r="C155" s="194"/>
      <c r="D155" s="194"/>
      <c r="E155" s="195"/>
      <c r="F155" s="194"/>
      <c r="G155" s="194"/>
      <c r="H155" s="194"/>
      <c r="I155" s="203"/>
      <c r="J155" s="203"/>
      <c r="K155" s="203"/>
      <c r="L155" s="203"/>
      <c r="M155" s="203"/>
      <c r="N155" s="203"/>
      <c r="O155" s="199"/>
      <c r="P155" s="199"/>
      <c r="Q155" s="195"/>
      <c r="R155" s="195"/>
      <c r="S155" s="195"/>
      <c r="T155" s="195"/>
      <c r="U155" s="195"/>
      <c r="V155" s="195"/>
      <c r="W155" s="195"/>
      <c r="X155" s="195"/>
      <c r="Y155" s="195"/>
      <c r="Z155" s="195"/>
      <c r="AA155" s="195"/>
      <c r="AB155" s="195"/>
      <c r="AC155" s="195"/>
      <c r="AD155" s="195"/>
      <c r="AE155" s="195"/>
      <c r="AF155" s="195"/>
    </row>
    <row r="156" spans="1:32" ht="17.100000000000001" customHeight="1">
      <c r="A156" s="1"/>
      <c r="B156" s="1"/>
      <c r="C156" s="1"/>
      <c r="D156" s="1"/>
      <c r="F156" s="1"/>
      <c r="G156" s="1"/>
      <c r="H156" s="194"/>
      <c r="I156" s="203"/>
      <c r="J156" s="203"/>
      <c r="K156" s="203"/>
      <c r="L156" s="203"/>
      <c r="M156" s="203"/>
      <c r="N156" s="203"/>
      <c r="O156" s="199"/>
      <c r="P156" s="199"/>
      <c r="Q156" s="195"/>
      <c r="R156" s="195"/>
      <c r="S156" s="195"/>
      <c r="T156" s="195"/>
      <c r="U156" s="195"/>
      <c r="V156" s="195"/>
      <c r="W156" s="195"/>
      <c r="X156" s="195"/>
      <c r="Y156" s="195"/>
      <c r="Z156" s="195"/>
      <c r="AA156" s="195"/>
      <c r="AB156" s="195"/>
      <c r="AC156" s="195"/>
      <c r="AD156" s="195"/>
      <c r="AE156" s="195"/>
      <c r="AF156" s="195"/>
    </row>
    <row r="157" spans="1:32" ht="17.100000000000001" customHeight="1">
      <c r="A157" s="170" t="s">
        <v>638</v>
      </c>
      <c r="B157" s="1"/>
      <c r="C157" s="1"/>
      <c r="D157" s="1"/>
      <c r="E157" s="1"/>
      <c r="F157" s="1"/>
      <c r="G157" s="1"/>
      <c r="H157" s="194"/>
      <c r="I157" s="203"/>
      <c r="J157" s="203"/>
      <c r="K157" s="203"/>
      <c r="L157" s="203"/>
      <c r="M157" s="203"/>
      <c r="N157" s="203"/>
      <c r="O157" s="199"/>
      <c r="P157" s="199"/>
      <c r="Q157" s="195"/>
      <c r="R157" s="195"/>
      <c r="S157" s="195"/>
      <c r="T157" s="195"/>
      <c r="U157" s="195"/>
      <c r="V157" s="195"/>
      <c r="W157" s="195"/>
      <c r="X157" s="195"/>
      <c r="Y157" s="195"/>
      <c r="Z157" s="195"/>
      <c r="AA157" s="195"/>
      <c r="AB157" s="195"/>
      <c r="AC157" s="195"/>
      <c r="AD157" s="195"/>
      <c r="AE157" s="195"/>
      <c r="AF157" s="195"/>
    </row>
    <row r="158" spans="1:32" ht="17.100000000000001" customHeight="1" thickBot="1">
      <c r="A158" s="3"/>
      <c r="B158" s="3"/>
      <c r="C158" s="1"/>
      <c r="D158" s="30"/>
      <c r="E158" s="30"/>
      <c r="F158" s="30"/>
      <c r="G158" s="1"/>
      <c r="H158" s="194"/>
      <c r="I158" s="203"/>
      <c r="J158" s="203"/>
      <c r="K158" s="203"/>
      <c r="L158" s="203"/>
      <c r="M158" s="203"/>
      <c r="N158" s="203"/>
      <c r="O158" s="199"/>
      <c r="P158" s="199"/>
      <c r="Q158" s="195"/>
      <c r="R158" s="195"/>
      <c r="S158" s="195"/>
      <c r="T158" s="195"/>
      <c r="U158" s="195"/>
      <c r="V158" s="195"/>
      <c r="W158" s="195"/>
      <c r="X158" s="195"/>
      <c r="Y158" s="195"/>
      <c r="Z158" s="195"/>
      <c r="AA158" s="195"/>
      <c r="AB158" s="195"/>
      <c r="AC158" s="195"/>
      <c r="AD158" s="195"/>
      <c r="AE158" s="195"/>
      <c r="AF158" s="195"/>
    </row>
    <row r="159" spans="1:32" ht="17.100000000000001" customHeight="1" thickBot="1">
      <c r="A159" s="26" t="s">
        <v>635</v>
      </c>
      <c r="B159" s="31" t="s">
        <v>636</v>
      </c>
      <c r="C159" s="32" t="s">
        <v>639</v>
      </c>
      <c r="D159" s="1130" t="s">
        <v>640</v>
      </c>
      <c r="E159" s="1131"/>
      <c r="F159" s="1131"/>
      <c r="G159" s="1132"/>
      <c r="H159" s="194"/>
      <c r="I159" s="203"/>
      <c r="J159" s="203"/>
      <c r="K159" s="203"/>
      <c r="L159" s="203"/>
      <c r="M159" s="203"/>
      <c r="N159" s="203"/>
      <c r="O159" s="199"/>
      <c r="P159" s="199"/>
      <c r="Q159" s="195"/>
      <c r="R159" s="195"/>
      <c r="S159" s="195"/>
      <c r="T159" s="195"/>
      <c r="U159" s="195"/>
      <c r="V159" s="195"/>
      <c r="W159" s="195"/>
      <c r="X159" s="195"/>
      <c r="Y159" s="195"/>
      <c r="Z159" s="195"/>
      <c r="AA159" s="195"/>
      <c r="AB159" s="195"/>
      <c r="AC159" s="195"/>
      <c r="AD159" s="195"/>
      <c r="AE159" s="195"/>
      <c r="AF159" s="195"/>
    </row>
    <row r="160" spans="1:32" ht="17.100000000000001" customHeight="1">
      <c r="A160" s="28"/>
      <c r="B160" s="33"/>
      <c r="C160" s="34" t="s">
        <v>641</v>
      </c>
      <c r="D160" s="34" t="s">
        <v>642</v>
      </c>
      <c r="E160" s="35" t="s">
        <v>643</v>
      </c>
      <c r="F160" s="35" t="s">
        <v>644</v>
      </c>
      <c r="G160" s="35" t="s">
        <v>645</v>
      </c>
      <c r="H160" s="194"/>
      <c r="I160" s="203"/>
      <c r="J160" s="203"/>
      <c r="K160" s="203"/>
      <c r="L160" s="203"/>
      <c r="M160" s="203"/>
      <c r="N160" s="203"/>
      <c r="O160" s="199"/>
      <c r="P160" s="199"/>
      <c r="Q160" s="195"/>
      <c r="R160" s="195"/>
      <c r="S160" s="195"/>
      <c r="T160" s="195"/>
      <c r="U160" s="195"/>
      <c r="V160" s="195"/>
      <c r="W160" s="195"/>
      <c r="X160" s="195"/>
      <c r="Y160" s="195"/>
      <c r="Z160" s="195"/>
      <c r="AA160" s="195"/>
      <c r="AB160" s="195"/>
      <c r="AC160" s="195"/>
      <c r="AD160" s="195"/>
      <c r="AE160" s="195"/>
      <c r="AF160" s="195"/>
    </row>
    <row r="161" spans="1:32" ht="17.100000000000001" customHeight="1">
      <c r="A161" s="21" t="s">
        <v>623</v>
      </c>
      <c r="B161" s="183">
        <f ca="1">+'inversion af'!K106</f>
        <v>0</v>
      </c>
      <c r="C161" s="184">
        <v>1000000</v>
      </c>
      <c r="D161" s="23">
        <v>0</v>
      </c>
      <c r="E161" s="187">
        <v>0</v>
      </c>
      <c r="F161" s="23">
        <v>0</v>
      </c>
      <c r="G161" s="23">
        <v>0</v>
      </c>
      <c r="H161" s="194"/>
      <c r="I161" s="203"/>
      <c r="J161" s="203"/>
      <c r="K161" s="203"/>
      <c r="L161" s="203"/>
      <c r="M161" s="203"/>
      <c r="N161" s="203"/>
      <c r="O161" s="199"/>
      <c r="P161" s="199"/>
      <c r="Q161" s="195"/>
      <c r="R161" s="195"/>
      <c r="S161" s="195"/>
      <c r="T161" s="195"/>
      <c r="U161" s="195"/>
      <c r="V161" s="195"/>
      <c r="W161" s="195"/>
      <c r="X161" s="195"/>
      <c r="Y161" s="195"/>
      <c r="Z161" s="195"/>
      <c r="AA161" s="195"/>
      <c r="AB161" s="195"/>
      <c r="AC161" s="195"/>
      <c r="AD161" s="195"/>
      <c r="AE161" s="195"/>
      <c r="AF161" s="195"/>
    </row>
    <row r="162" spans="1:32" ht="17.100000000000001" customHeight="1">
      <c r="A162" s="21" t="s">
        <v>624</v>
      </c>
      <c r="B162" s="183">
        <f ca="1">+'inversion af'!K107</f>
        <v>0</v>
      </c>
      <c r="C162" s="23">
        <v>20</v>
      </c>
      <c r="D162" s="23">
        <v>0</v>
      </c>
      <c r="E162" s="187">
        <v>0</v>
      </c>
      <c r="F162" s="23">
        <v>0</v>
      </c>
      <c r="G162" s="23">
        <v>0</v>
      </c>
      <c r="H162" s="194"/>
      <c r="I162" s="203"/>
      <c r="J162" s="203"/>
      <c r="K162" s="203"/>
      <c r="L162" s="203"/>
      <c r="M162" s="203"/>
      <c r="N162" s="203"/>
      <c r="O162" s="199"/>
      <c r="P162" s="199"/>
      <c r="Q162" s="195"/>
      <c r="R162" s="195"/>
      <c r="S162" s="195"/>
      <c r="T162" s="195"/>
      <c r="U162" s="195"/>
      <c r="V162" s="195"/>
      <c r="W162" s="195"/>
      <c r="X162" s="195"/>
      <c r="Y162" s="195"/>
      <c r="Z162" s="195"/>
      <c r="AA162" s="195"/>
      <c r="AB162" s="195"/>
      <c r="AC162" s="195"/>
      <c r="AD162" s="195"/>
      <c r="AE162" s="195"/>
      <c r="AF162" s="195"/>
    </row>
    <row r="163" spans="1:32" ht="17.100000000000001" customHeight="1">
      <c r="A163" s="21" t="s">
        <v>625</v>
      </c>
      <c r="B163" s="183">
        <f ca="1">+'inversion af'!K108</f>
        <v>0</v>
      </c>
      <c r="C163" s="23">
        <v>10</v>
      </c>
      <c r="D163" s="23">
        <v>0</v>
      </c>
      <c r="E163" s="187">
        <v>0</v>
      </c>
      <c r="F163" s="23">
        <v>0</v>
      </c>
      <c r="G163" s="23">
        <v>0</v>
      </c>
      <c r="H163" s="260"/>
      <c r="I163" s="203"/>
      <c r="J163" s="203"/>
      <c r="K163" s="203"/>
      <c r="L163" s="203"/>
      <c r="M163" s="203"/>
      <c r="N163" s="203"/>
      <c r="O163" s="199"/>
      <c r="P163" s="199"/>
      <c r="Q163" s="195"/>
      <c r="R163" s="195"/>
      <c r="S163" s="195"/>
      <c r="T163" s="195"/>
      <c r="U163" s="195"/>
      <c r="V163" s="195"/>
      <c r="W163" s="195"/>
      <c r="X163" s="195"/>
      <c r="Y163" s="195"/>
      <c r="Z163" s="195"/>
      <c r="AA163" s="195"/>
      <c r="AB163" s="195"/>
      <c r="AC163" s="195"/>
      <c r="AD163" s="195"/>
      <c r="AE163" s="195"/>
      <c r="AF163" s="195"/>
    </row>
    <row r="164" spans="1:32" ht="17.100000000000001" customHeight="1">
      <c r="A164" s="21" t="s">
        <v>626</v>
      </c>
      <c r="B164" s="183">
        <f ca="1">+'inversion af'!K109</f>
        <v>0</v>
      </c>
      <c r="C164" s="23">
        <v>5</v>
      </c>
      <c r="D164" s="23">
        <v>0</v>
      </c>
      <c r="E164" s="187">
        <v>0</v>
      </c>
      <c r="F164" s="23">
        <v>0</v>
      </c>
      <c r="G164" s="23">
        <v>0</v>
      </c>
      <c r="H164" s="194"/>
      <c r="I164" s="203"/>
      <c r="J164" s="203"/>
      <c r="K164" s="203"/>
      <c r="L164" s="203"/>
      <c r="M164" s="203"/>
      <c r="N164" s="203"/>
      <c r="O164" s="199"/>
      <c r="P164" s="199"/>
      <c r="Q164" s="195"/>
      <c r="R164" s="195"/>
      <c r="S164" s="195"/>
      <c r="T164" s="195"/>
      <c r="U164" s="195"/>
      <c r="V164" s="195"/>
      <c r="W164" s="195"/>
      <c r="X164" s="195"/>
      <c r="Y164" s="195"/>
      <c r="Z164" s="195"/>
      <c r="AA164" s="195"/>
      <c r="AB164" s="195"/>
      <c r="AC164" s="195"/>
      <c r="AD164" s="195"/>
      <c r="AE164" s="195"/>
      <c r="AF164" s="195"/>
    </row>
    <row r="165" spans="1:32" ht="17.100000000000001" customHeight="1">
      <c r="A165" s="21" t="s">
        <v>627</v>
      </c>
      <c r="B165" s="183">
        <f ca="1">+'inversion af'!K110</f>
        <v>0</v>
      </c>
      <c r="C165" s="23">
        <v>5</v>
      </c>
      <c r="D165" s="23">
        <v>0</v>
      </c>
      <c r="E165" s="187">
        <v>0</v>
      </c>
      <c r="F165" s="23">
        <v>0</v>
      </c>
      <c r="G165" s="23">
        <v>0</v>
      </c>
      <c r="H165" s="194"/>
      <c r="I165" s="203"/>
      <c r="J165" s="203"/>
      <c r="K165" s="203"/>
      <c r="L165" s="203"/>
      <c r="M165" s="203"/>
      <c r="N165" s="203"/>
      <c r="O165" s="199"/>
      <c r="P165" s="199"/>
      <c r="Q165" s="195"/>
      <c r="R165" s="195"/>
      <c r="S165" s="195"/>
      <c r="T165" s="195"/>
      <c r="U165" s="195"/>
      <c r="V165" s="195"/>
      <c r="W165" s="195"/>
      <c r="X165" s="195"/>
      <c r="Y165" s="195"/>
      <c r="Z165" s="195"/>
      <c r="AA165" s="195"/>
      <c r="AB165" s="195"/>
      <c r="AC165" s="195"/>
      <c r="AD165" s="195"/>
      <c r="AE165" s="195"/>
      <c r="AF165" s="195"/>
    </row>
    <row r="166" spans="1:32" ht="17.100000000000001" customHeight="1">
      <c r="A166" s="21" t="s">
        <v>628</v>
      </c>
      <c r="B166" s="183">
        <f ca="1">+'inversion af'!K111</f>
        <v>0</v>
      </c>
      <c r="C166" s="23">
        <v>10</v>
      </c>
      <c r="D166" s="23">
        <v>0</v>
      </c>
      <c r="E166" s="187">
        <v>0</v>
      </c>
      <c r="F166" s="23">
        <v>0</v>
      </c>
      <c r="G166" s="23">
        <v>0</v>
      </c>
      <c r="H166" s="194"/>
      <c r="I166" s="203"/>
      <c r="J166" s="203"/>
      <c r="K166" s="203"/>
      <c r="L166" s="203"/>
      <c r="M166" s="203"/>
      <c r="N166" s="203"/>
      <c r="O166" s="199"/>
      <c r="P166" s="199"/>
      <c r="Q166" s="195"/>
      <c r="R166" s="195"/>
      <c r="S166" s="195"/>
      <c r="T166" s="195"/>
      <c r="U166" s="195"/>
      <c r="V166" s="195"/>
      <c r="W166" s="195"/>
      <c r="X166" s="195"/>
      <c r="Y166" s="195"/>
      <c r="Z166" s="195"/>
      <c r="AA166" s="195"/>
      <c r="AB166" s="195"/>
      <c r="AC166" s="195"/>
      <c r="AD166" s="195"/>
      <c r="AE166" s="195"/>
      <c r="AF166" s="195"/>
    </row>
    <row r="167" spans="1:32" ht="17.100000000000001" customHeight="1">
      <c r="A167" s="21" t="s">
        <v>629</v>
      </c>
      <c r="B167" s="183">
        <f ca="1">+'inversion af'!K112</f>
        <v>0</v>
      </c>
      <c r="C167" s="23">
        <v>1</v>
      </c>
      <c r="D167" s="23">
        <v>0</v>
      </c>
      <c r="E167" s="187">
        <v>0</v>
      </c>
      <c r="F167" s="23">
        <v>0</v>
      </c>
      <c r="G167" s="23">
        <v>0</v>
      </c>
      <c r="H167" s="194"/>
      <c r="I167" s="203"/>
      <c r="J167" s="203"/>
      <c r="K167" s="203"/>
      <c r="L167" s="203"/>
      <c r="M167" s="203"/>
      <c r="N167" s="203"/>
      <c r="O167" s="199"/>
      <c r="P167" s="199"/>
      <c r="Q167" s="195"/>
      <c r="R167" s="195"/>
      <c r="S167" s="195"/>
      <c r="T167" s="195"/>
      <c r="U167" s="195"/>
      <c r="V167" s="195"/>
      <c r="W167" s="195"/>
      <c r="X167" s="195"/>
      <c r="Y167" s="195"/>
      <c r="Z167" s="195"/>
      <c r="AA167" s="195"/>
      <c r="AB167" s="195"/>
      <c r="AC167" s="195"/>
      <c r="AD167" s="195"/>
      <c r="AE167" s="195"/>
      <c r="AF167" s="195"/>
    </row>
    <row r="168" spans="1:32" ht="17.100000000000001" customHeight="1">
      <c r="A168" s="21" t="s">
        <v>630</v>
      </c>
      <c r="B168" s="183">
        <f ca="1">+'inversion af'!K113</f>
        <v>0</v>
      </c>
      <c r="C168" s="23">
        <v>3</v>
      </c>
      <c r="D168" s="23">
        <v>0</v>
      </c>
      <c r="E168" s="187">
        <v>0</v>
      </c>
      <c r="F168" s="23">
        <v>1</v>
      </c>
      <c r="G168" s="23">
        <v>0</v>
      </c>
      <c r="H168" s="194"/>
      <c r="I168" s="203"/>
      <c r="J168" s="203"/>
      <c r="K168" s="203"/>
      <c r="L168" s="203"/>
      <c r="M168" s="203"/>
      <c r="N168" s="203"/>
      <c r="O168" s="199"/>
      <c r="P168" s="199"/>
      <c r="Q168" s="195"/>
      <c r="R168" s="195"/>
      <c r="S168" s="195"/>
      <c r="T168" s="195"/>
      <c r="U168" s="195"/>
      <c r="V168" s="195"/>
      <c r="W168" s="195"/>
      <c r="X168" s="195"/>
      <c r="Y168" s="195"/>
      <c r="Z168" s="195"/>
      <c r="AA168" s="195"/>
      <c r="AB168" s="195"/>
      <c r="AC168" s="195"/>
      <c r="AD168" s="195"/>
      <c r="AE168" s="195"/>
      <c r="AF168" s="195"/>
    </row>
    <row r="169" spans="1:32" ht="17.100000000000001" customHeight="1">
      <c r="A169" s="21" t="s">
        <v>631</v>
      </c>
      <c r="B169" s="183">
        <f ca="1">+'inversion af'!K114</f>
        <v>0</v>
      </c>
      <c r="C169" s="23">
        <v>3</v>
      </c>
      <c r="D169" s="23">
        <v>0</v>
      </c>
      <c r="E169" s="187">
        <v>0</v>
      </c>
      <c r="F169" s="23">
        <v>1</v>
      </c>
      <c r="G169" s="23">
        <v>0</v>
      </c>
      <c r="H169" s="194"/>
      <c r="I169" s="203"/>
      <c r="J169" s="203"/>
      <c r="K169" s="203"/>
      <c r="L169" s="203"/>
      <c r="M169" s="203"/>
      <c r="N169" s="203"/>
      <c r="O169" s="199"/>
      <c r="P169" s="199"/>
      <c r="Q169" s="195"/>
      <c r="R169" s="195"/>
      <c r="S169" s="195"/>
      <c r="T169" s="195"/>
      <c r="U169" s="195"/>
      <c r="V169" s="195"/>
      <c r="W169" s="195"/>
      <c r="X169" s="195"/>
      <c r="Y169" s="195"/>
      <c r="Z169" s="195"/>
      <c r="AA169" s="195"/>
      <c r="AB169" s="195"/>
      <c r="AC169" s="195"/>
      <c r="AD169" s="195"/>
      <c r="AE169" s="195"/>
      <c r="AF169" s="195"/>
    </row>
    <row r="170" spans="1:32" ht="17.100000000000001" hidden="1" customHeight="1">
      <c r="A170" s="257"/>
      <c r="B170" s="258"/>
      <c r="C170" s="257"/>
      <c r="D170" s="257">
        <v>0</v>
      </c>
      <c r="E170" s="259">
        <v>0</v>
      </c>
      <c r="F170" s="257">
        <v>1</v>
      </c>
      <c r="G170" s="257">
        <v>0</v>
      </c>
      <c r="H170" s="210"/>
      <c r="I170" s="203"/>
      <c r="J170" s="203"/>
      <c r="K170" s="203"/>
      <c r="L170" s="203"/>
      <c r="M170" s="203"/>
      <c r="N170" s="203"/>
      <c r="O170" s="199"/>
      <c r="P170" s="199"/>
      <c r="Q170" s="195"/>
      <c r="R170" s="195"/>
      <c r="S170" s="195"/>
      <c r="T170" s="195"/>
      <c r="U170" s="195"/>
      <c r="V170" s="195"/>
      <c r="W170" s="195"/>
      <c r="X170" s="195"/>
      <c r="Y170" s="195"/>
      <c r="Z170" s="195"/>
      <c r="AA170" s="195"/>
      <c r="AB170" s="195"/>
      <c r="AC170" s="195"/>
      <c r="AD170" s="195"/>
      <c r="AE170" s="195"/>
      <c r="AF170" s="195"/>
    </row>
    <row r="171" spans="1:32" ht="17.100000000000001" hidden="1" customHeight="1">
      <c r="A171" s="254"/>
      <c r="B171" s="255"/>
      <c r="C171" s="254"/>
      <c r="D171" s="254">
        <v>0</v>
      </c>
      <c r="E171" s="256">
        <v>0</v>
      </c>
      <c r="F171" s="254">
        <v>1</v>
      </c>
      <c r="G171" s="254">
        <v>0</v>
      </c>
      <c r="H171" s="210"/>
      <c r="I171" s="203"/>
      <c r="J171" s="203"/>
      <c r="K171" s="203"/>
      <c r="L171" s="203"/>
      <c r="M171" s="203"/>
      <c r="N171" s="203"/>
      <c r="O171" s="199"/>
      <c r="P171" s="199"/>
      <c r="Q171" s="195"/>
      <c r="R171" s="195"/>
      <c r="S171" s="195"/>
      <c r="T171" s="195"/>
      <c r="U171" s="195"/>
      <c r="V171" s="195"/>
      <c r="W171" s="195"/>
      <c r="X171" s="195"/>
      <c r="Y171" s="195"/>
      <c r="Z171" s="195"/>
      <c r="AA171" s="195"/>
      <c r="AB171" s="195"/>
      <c r="AC171" s="195"/>
      <c r="AD171" s="195"/>
      <c r="AE171" s="195"/>
      <c r="AF171" s="195"/>
    </row>
    <row r="172" spans="1:32" ht="17.100000000000001" hidden="1" customHeight="1">
      <c r="A172" s="212"/>
      <c r="B172" s="212"/>
      <c r="C172" s="210"/>
      <c r="D172" s="210"/>
      <c r="E172" s="210"/>
      <c r="F172" s="210"/>
      <c r="G172" s="210"/>
      <c r="H172" s="210"/>
      <c r="I172" s="203"/>
      <c r="J172" s="203"/>
      <c r="K172" s="203"/>
      <c r="L172" s="203"/>
      <c r="M172" s="203"/>
      <c r="N172" s="203"/>
      <c r="O172" s="199"/>
      <c r="P172" s="199"/>
      <c r="Q172" s="195"/>
      <c r="R172" s="195"/>
      <c r="S172" s="195"/>
      <c r="T172" s="195"/>
      <c r="U172" s="195"/>
      <c r="V172" s="195"/>
      <c r="W172" s="195"/>
      <c r="X172" s="195"/>
      <c r="Y172" s="195"/>
      <c r="Z172" s="195"/>
      <c r="AA172" s="195"/>
      <c r="AB172" s="195"/>
      <c r="AC172" s="195"/>
      <c r="AD172" s="195"/>
      <c r="AE172" s="195"/>
      <c r="AF172" s="195"/>
    </row>
    <row r="173" spans="1:32" ht="17.100000000000001" customHeight="1">
      <c r="A173" s="1"/>
      <c r="B173" s="1"/>
      <c r="C173" s="1"/>
      <c r="D173" s="194"/>
      <c r="E173" s="194"/>
      <c r="F173" s="194"/>
      <c r="G173" s="194"/>
      <c r="H173" s="194"/>
      <c r="I173" s="203"/>
      <c r="J173" s="203"/>
      <c r="K173" s="203"/>
      <c r="L173" s="203"/>
      <c r="M173" s="203"/>
      <c r="N173" s="203"/>
      <c r="O173" s="199"/>
      <c r="P173" s="199"/>
      <c r="Q173" s="195"/>
      <c r="R173" s="195"/>
      <c r="S173" s="195"/>
      <c r="T173" s="195"/>
      <c r="U173" s="195"/>
      <c r="V173" s="195"/>
      <c r="W173" s="195"/>
      <c r="X173" s="195"/>
      <c r="Y173" s="195"/>
      <c r="Z173" s="195"/>
      <c r="AA173" s="195"/>
      <c r="AB173" s="195"/>
      <c r="AC173" s="195"/>
      <c r="AD173" s="195"/>
      <c r="AE173" s="195"/>
      <c r="AF173" s="195"/>
    </row>
    <row r="174" spans="1:32" ht="17.100000000000001" customHeight="1">
      <c r="A174" s="170" t="s">
        <v>646</v>
      </c>
      <c r="B174" s="1"/>
      <c r="C174" s="1"/>
      <c r="D174" s="194"/>
      <c r="E174" s="194"/>
      <c r="F174" s="194"/>
      <c r="G174" s="194"/>
      <c r="H174" s="194"/>
      <c r="I174" s="194"/>
      <c r="J174" s="194"/>
      <c r="K174" s="194"/>
      <c r="L174" s="194"/>
      <c r="M174" s="194"/>
      <c r="N174" s="194"/>
      <c r="O174" s="195"/>
      <c r="P174" s="195"/>
      <c r="Q174" s="195"/>
      <c r="R174" s="195"/>
      <c r="S174" s="195"/>
      <c r="T174" s="195"/>
      <c r="U174" s="195"/>
      <c r="V174" s="195"/>
      <c r="W174" s="195"/>
      <c r="X174" s="195"/>
      <c r="Y174" s="195"/>
      <c r="Z174" s="195"/>
      <c r="AA174" s="195"/>
      <c r="AB174" s="195"/>
      <c r="AC174" s="195"/>
      <c r="AD174" s="195"/>
      <c r="AE174" s="195"/>
      <c r="AF174" s="195"/>
    </row>
    <row r="175" spans="1:32" ht="17.100000000000001" customHeight="1">
      <c r="A175" s="3"/>
      <c r="B175" s="3"/>
      <c r="C175" s="1"/>
      <c r="D175" s="194"/>
      <c r="E175" s="194"/>
      <c r="F175" s="194"/>
      <c r="G175" s="194"/>
      <c r="H175" s="194"/>
      <c r="I175" s="194"/>
      <c r="J175" s="194"/>
      <c r="K175" s="194"/>
      <c r="L175" s="194"/>
      <c r="M175" s="194"/>
      <c r="N175" s="194"/>
      <c r="O175" s="195"/>
      <c r="P175" s="195"/>
      <c r="Q175" s="195"/>
      <c r="R175" s="195"/>
      <c r="S175" s="195"/>
      <c r="T175" s="195"/>
      <c r="U175" s="195"/>
      <c r="V175" s="195"/>
      <c r="W175" s="195"/>
      <c r="X175" s="195"/>
      <c r="Y175" s="195"/>
      <c r="Z175" s="195"/>
      <c r="AA175" s="195"/>
      <c r="AB175" s="195"/>
      <c r="AC175" s="195"/>
      <c r="AD175" s="195"/>
      <c r="AE175" s="195"/>
      <c r="AF175" s="195"/>
    </row>
    <row r="176" spans="1:32" ht="17.100000000000001" customHeight="1">
      <c r="A176" s="26" t="s">
        <v>635</v>
      </c>
      <c r="B176" s="31" t="s">
        <v>636</v>
      </c>
      <c r="C176" s="36" t="s">
        <v>639</v>
      </c>
      <c r="D176" s="194"/>
      <c r="E176" s="194"/>
      <c r="F176" s="194"/>
      <c r="G176" s="194"/>
      <c r="H176" s="194"/>
      <c r="I176" s="194"/>
      <c r="J176" s="194"/>
      <c r="K176" s="194"/>
      <c r="L176" s="194"/>
      <c r="M176" s="194"/>
      <c r="N176" s="194"/>
      <c r="O176" s="195"/>
      <c r="P176" s="195"/>
      <c r="Q176" s="195"/>
      <c r="R176" s="195"/>
      <c r="S176" s="195"/>
      <c r="T176" s="195"/>
      <c r="U176" s="195"/>
      <c r="V176" s="195"/>
      <c r="W176" s="195"/>
      <c r="X176" s="195"/>
      <c r="Y176" s="195"/>
      <c r="Z176" s="195"/>
      <c r="AA176" s="195"/>
      <c r="AB176" s="195"/>
      <c r="AC176" s="195"/>
      <c r="AD176" s="195"/>
      <c r="AE176" s="195"/>
      <c r="AF176" s="195"/>
    </row>
    <row r="177" spans="1:32" ht="17.100000000000001" customHeight="1">
      <c r="A177" s="28"/>
      <c r="B177" s="33"/>
      <c r="C177" s="37" t="s">
        <v>641</v>
      </c>
      <c r="D177" s="194"/>
      <c r="E177" s="194"/>
      <c r="F177" s="194"/>
      <c r="G177" s="194"/>
      <c r="H177" s="194"/>
      <c r="I177" s="194"/>
      <c r="J177" s="194"/>
      <c r="K177" s="194"/>
      <c r="L177" s="194"/>
      <c r="M177" s="194"/>
      <c r="N177" s="194"/>
      <c r="O177" s="195"/>
      <c r="P177" s="195"/>
      <c r="Q177" s="195"/>
      <c r="R177" s="195"/>
      <c r="S177" s="195"/>
      <c r="T177" s="195"/>
      <c r="U177" s="195"/>
      <c r="V177" s="195"/>
      <c r="W177" s="195"/>
      <c r="X177" s="195"/>
      <c r="Y177" s="195"/>
      <c r="Z177" s="195"/>
      <c r="AA177" s="195"/>
      <c r="AB177" s="195"/>
      <c r="AC177" s="195"/>
      <c r="AD177" s="195"/>
      <c r="AE177" s="195"/>
      <c r="AF177" s="195"/>
    </row>
    <row r="178" spans="1:32" ht="17.100000000000001" customHeight="1">
      <c r="A178" s="21" t="s">
        <v>623</v>
      </c>
      <c r="B178" s="183">
        <f ca="1">+'inversion af'!K117</f>
        <v>0</v>
      </c>
      <c r="C178" s="184">
        <v>1000000</v>
      </c>
      <c r="D178" s="194"/>
      <c r="E178" s="194"/>
      <c r="F178" s="194"/>
      <c r="G178" s="194"/>
      <c r="H178" s="194"/>
      <c r="I178" s="194"/>
      <c r="J178" s="194"/>
      <c r="K178" s="194"/>
      <c r="L178" s="194"/>
      <c r="M178" s="194"/>
      <c r="N178" s="194"/>
      <c r="O178" s="195"/>
      <c r="P178" s="195"/>
      <c r="Q178" s="195"/>
      <c r="R178" s="195"/>
      <c r="S178" s="195"/>
      <c r="T178" s="195"/>
      <c r="U178" s="195"/>
      <c r="V178" s="195"/>
      <c r="W178" s="195"/>
      <c r="X178" s="195"/>
      <c r="Y178" s="195"/>
      <c r="Z178" s="195"/>
      <c r="AA178" s="195"/>
      <c r="AB178" s="195"/>
      <c r="AC178" s="195"/>
      <c r="AD178" s="195"/>
      <c r="AE178" s="195"/>
      <c r="AF178" s="195"/>
    </row>
    <row r="179" spans="1:32" ht="17.100000000000001" customHeight="1">
      <c r="A179" s="21" t="s">
        <v>624</v>
      </c>
      <c r="B179" s="183">
        <f ca="1">+'inversion af'!K118</f>
        <v>0</v>
      </c>
      <c r="C179" s="23">
        <v>20</v>
      </c>
      <c r="D179" s="194"/>
      <c r="E179" s="194"/>
      <c r="F179" s="194"/>
      <c r="G179" s="194"/>
      <c r="H179" s="194"/>
      <c r="I179" s="194"/>
      <c r="J179" s="194"/>
      <c r="K179" s="194"/>
      <c r="L179" s="194"/>
      <c r="M179" s="194"/>
      <c r="N179" s="194"/>
      <c r="O179" s="195"/>
      <c r="P179" s="195"/>
      <c r="Q179" s="195"/>
      <c r="R179" s="195"/>
      <c r="S179" s="195"/>
      <c r="T179" s="195"/>
      <c r="U179" s="195"/>
      <c r="V179" s="195"/>
      <c r="W179" s="195"/>
      <c r="X179" s="195"/>
      <c r="Y179" s="195"/>
      <c r="Z179" s="195"/>
      <c r="AA179" s="195"/>
      <c r="AB179" s="195"/>
      <c r="AC179" s="195"/>
      <c r="AD179" s="195"/>
      <c r="AE179" s="195"/>
      <c r="AF179" s="195"/>
    </row>
    <row r="180" spans="1:32" ht="17.100000000000001" customHeight="1">
      <c r="A180" s="21" t="s">
        <v>625</v>
      </c>
      <c r="B180" s="183">
        <f ca="1">+'inversion af'!K119</f>
        <v>0</v>
      </c>
      <c r="C180" s="23">
        <v>10</v>
      </c>
      <c r="D180" s="194"/>
      <c r="E180" s="194"/>
      <c r="F180" s="194"/>
      <c r="G180" s="194"/>
      <c r="H180" s="194"/>
      <c r="I180" s="194"/>
      <c r="J180" s="194"/>
      <c r="K180" s="194"/>
      <c r="L180" s="194"/>
      <c r="M180" s="194"/>
      <c r="N180" s="194"/>
      <c r="O180" s="195"/>
      <c r="P180" s="195"/>
      <c r="Q180" s="195"/>
      <c r="R180" s="195"/>
      <c r="S180" s="195"/>
      <c r="T180" s="195"/>
      <c r="U180" s="195"/>
      <c r="V180" s="195"/>
      <c r="W180" s="195"/>
      <c r="X180" s="195"/>
      <c r="Y180" s="195"/>
      <c r="Z180" s="195"/>
      <c r="AA180" s="195"/>
      <c r="AB180" s="195"/>
      <c r="AC180" s="195"/>
      <c r="AD180" s="195"/>
      <c r="AE180" s="195"/>
      <c r="AF180" s="195"/>
    </row>
    <row r="181" spans="1:32" ht="17.100000000000001" customHeight="1">
      <c r="A181" s="21" t="s">
        <v>626</v>
      </c>
      <c r="B181" s="183">
        <f ca="1">+'inversion af'!K120</f>
        <v>0</v>
      </c>
      <c r="C181" s="23">
        <v>5</v>
      </c>
      <c r="D181" s="194"/>
      <c r="E181" s="194"/>
      <c r="F181" s="194"/>
      <c r="G181" s="194"/>
      <c r="H181" s="194"/>
      <c r="I181" s="194"/>
      <c r="J181" s="194"/>
      <c r="K181" s="194"/>
      <c r="L181" s="194"/>
      <c r="M181" s="194"/>
      <c r="N181" s="194"/>
      <c r="O181" s="195"/>
      <c r="P181" s="195"/>
      <c r="Q181" s="195"/>
      <c r="R181" s="195"/>
      <c r="S181" s="195"/>
      <c r="T181" s="195"/>
      <c r="U181" s="195"/>
      <c r="V181" s="195"/>
      <c r="W181" s="195"/>
      <c r="X181" s="195"/>
      <c r="Y181" s="195"/>
      <c r="Z181" s="195"/>
      <c r="AA181" s="195"/>
      <c r="AB181" s="195"/>
      <c r="AC181" s="195"/>
      <c r="AD181" s="195"/>
      <c r="AE181" s="195"/>
      <c r="AF181" s="195"/>
    </row>
    <row r="182" spans="1:32" ht="17.100000000000001" customHeight="1">
      <c r="A182" s="21" t="s">
        <v>627</v>
      </c>
      <c r="B182" s="183">
        <f ca="1">+'inversion af'!K121</f>
        <v>0</v>
      </c>
      <c r="C182" s="23">
        <v>5</v>
      </c>
      <c r="D182" s="194"/>
      <c r="E182" s="194"/>
      <c r="F182" s="194"/>
      <c r="G182" s="194"/>
      <c r="H182" s="194"/>
      <c r="I182" s="194"/>
      <c r="J182" s="194"/>
      <c r="K182" s="194"/>
      <c r="L182" s="194"/>
      <c r="M182" s="194"/>
      <c r="N182" s="194"/>
      <c r="O182" s="195"/>
      <c r="P182" s="195"/>
      <c r="Q182" s="195"/>
      <c r="R182" s="195"/>
      <c r="S182" s="195"/>
      <c r="T182" s="195"/>
      <c r="U182" s="195"/>
      <c r="V182" s="195"/>
      <c r="W182" s="195"/>
      <c r="X182" s="195"/>
      <c r="Y182" s="195"/>
      <c r="Z182" s="195"/>
      <c r="AA182" s="195"/>
      <c r="AB182" s="195"/>
      <c r="AC182" s="195"/>
      <c r="AD182" s="195"/>
      <c r="AE182" s="195"/>
      <c r="AF182" s="195"/>
    </row>
    <row r="183" spans="1:32" ht="17.100000000000001" customHeight="1">
      <c r="A183" s="21" t="s">
        <v>628</v>
      </c>
      <c r="B183" s="183">
        <f ca="1">+'inversion af'!K122</f>
        <v>0</v>
      </c>
      <c r="C183" s="23">
        <v>10</v>
      </c>
      <c r="D183" s="194"/>
      <c r="E183" s="194"/>
      <c r="F183" s="194"/>
      <c r="G183" s="194"/>
      <c r="H183" s="194"/>
      <c r="I183" s="194"/>
      <c r="J183" s="194"/>
      <c r="K183" s="194"/>
      <c r="L183" s="194"/>
      <c r="M183" s="194"/>
      <c r="N183" s="194"/>
      <c r="O183" s="195"/>
      <c r="P183" s="195"/>
      <c r="Q183" s="195"/>
      <c r="R183" s="195"/>
      <c r="S183" s="195"/>
      <c r="T183" s="195"/>
      <c r="U183" s="195"/>
      <c r="V183" s="195"/>
      <c r="W183" s="195"/>
      <c r="X183" s="195"/>
      <c r="Y183" s="195"/>
      <c r="Z183" s="195"/>
      <c r="AA183" s="195"/>
      <c r="AB183" s="195"/>
      <c r="AC183" s="195"/>
      <c r="AD183" s="195"/>
      <c r="AE183" s="195"/>
      <c r="AF183" s="195"/>
    </row>
    <row r="184" spans="1:32" ht="17.100000000000001" customHeight="1">
      <c r="A184" s="21" t="s">
        <v>629</v>
      </c>
      <c r="B184" s="183">
        <f ca="1">+'inversion af'!K123</f>
        <v>0</v>
      </c>
      <c r="C184" s="23">
        <v>1</v>
      </c>
      <c r="D184" s="194"/>
      <c r="E184" s="194"/>
      <c r="F184" s="194"/>
      <c r="G184" s="194"/>
      <c r="H184" s="194"/>
      <c r="I184" s="194"/>
      <c r="J184" s="194"/>
      <c r="K184" s="194"/>
      <c r="L184" s="194"/>
      <c r="M184" s="194"/>
      <c r="N184" s="194"/>
      <c r="O184" s="195"/>
      <c r="P184" s="195"/>
      <c r="Q184" s="195"/>
      <c r="R184" s="195"/>
      <c r="S184" s="195"/>
      <c r="T184" s="195"/>
      <c r="U184" s="195"/>
      <c r="V184" s="195"/>
      <c r="W184" s="195"/>
      <c r="X184" s="195"/>
      <c r="Y184" s="195"/>
      <c r="Z184" s="195"/>
      <c r="AA184" s="195"/>
      <c r="AB184" s="195"/>
      <c r="AC184" s="195"/>
      <c r="AD184" s="195"/>
      <c r="AE184" s="195"/>
      <c r="AF184" s="195"/>
    </row>
    <row r="185" spans="1:32" ht="17.100000000000001" customHeight="1">
      <c r="A185" s="21" t="s">
        <v>630</v>
      </c>
      <c r="B185" s="183">
        <f ca="1">+'inversion af'!K124</f>
        <v>0</v>
      </c>
      <c r="C185" s="23">
        <v>3</v>
      </c>
      <c r="D185" s="194"/>
      <c r="E185" s="194"/>
      <c r="F185" s="194"/>
      <c r="G185" s="194"/>
      <c r="H185" s="194"/>
      <c r="I185" s="194"/>
      <c r="J185" s="194"/>
      <c r="K185" s="194"/>
      <c r="L185" s="194"/>
      <c r="M185" s="194"/>
      <c r="N185" s="194"/>
      <c r="O185" s="195"/>
      <c r="P185" s="195"/>
      <c r="Q185" s="195"/>
      <c r="R185" s="195"/>
      <c r="S185" s="195"/>
      <c r="T185" s="195"/>
      <c r="U185" s="195"/>
      <c r="V185" s="195"/>
      <c r="W185" s="195"/>
      <c r="X185" s="195"/>
      <c r="Y185" s="195"/>
      <c r="Z185" s="195"/>
      <c r="AA185" s="195"/>
      <c r="AB185" s="195"/>
      <c r="AC185" s="195"/>
      <c r="AD185" s="195"/>
      <c r="AE185" s="195"/>
      <c r="AF185" s="195"/>
    </row>
    <row r="186" spans="1:32" ht="17.100000000000001" customHeight="1">
      <c r="A186" s="21" t="s">
        <v>631</v>
      </c>
      <c r="B186" s="183">
        <f ca="1">+'inversion af'!K125</f>
        <v>0</v>
      </c>
      <c r="C186" s="23">
        <v>3</v>
      </c>
      <c r="D186" s="194"/>
      <c r="E186" s="194"/>
      <c r="F186" s="194"/>
      <c r="G186" s="194"/>
      <c r="H186" s="194"/>
      <c r="I186" s="194"/>
      <c r="J186" s="194"/>
      <c r="K186" s="249"/>
      <c r="L186" s="249"/>
      <c r="M186" s="249"/>
      <c r="N186" s="249"/>
      <c r="O186" s="195"/>
      <c r="P186" s="195"/>
      <c r="Q186" s="195"/>
      <c r="R186" s="195"/>
      <c r="S186" s="195"/>
      <c r="T186" s="195"/>
      <c r="U186" s="195"/>
      <c r="V186" s="195"/>
      <c r="W186" s="195"/>
      <c r="X186" s="195"/>
      <c r="Y186" s="195"/>
      <c r="Z186" s="195"/>
      <c r="AA186" s="195"/>
      <c r="AB186" s="195"/>
      <c r="AC186" s="195"/>
      <c r="AD186" s="195"/>
      <c r="AE186" s="195"/>
      <c r="AF186" s="195"/>
    </row>
    <row r="187" spans="1:32" ht="17.100000000000001" hidden="1" customHeight="1">
      <c r="A187" s="262"/>
      <c r="B187" s="262"/>
      <c r="C187" s="262"/>
      <c r="D187" s="194"/>
      <c r="E187" s="194"/>
      <c r="F187" s="194"/>
      <c r="G187" s="194"/>
      <c r="H187" s="194"/>
      <c r="I187" s="194"/>
      <c r="J187" s="194"/>
      <c r="K187" s="249"/>
      <c r="L187" s="249"/>
      <c r="M187" s="249"/>
      <c r="N187" s="249"/>
      <c r="O187" s="195"/>
      <c r="P187" s="195"/>
      <c r="Q187" s="195"/>
      <c r="R187" s="195"/>
      <c r="S187" s="195"/>
      <c r="T187" s="195"/>
      <c r="U187" s="195"/>
      <c r="V187" s="195"/>
      <c r="W187" s="195"/>
      <c r="X187" s="195"/>
      <c r="Y187" s="195"/>
      <c r="Z187" s="195"/>
      <c r="AA187" s="195"/>
      <c r="AB187" s="195"/>
      <c r="AC187" s="195"/>
      <c r="AD187" s="195"/>
      <c r="AE187" s="195"/>
      <c r="AF187" s="195"/>
    </row>
    <row r="188" spans="1:32" ht="17.100000000000001" hidden="1" customHeight="1">
      <c r="A188" s="203"/>
      <c r="B188" s="203"/>
      <c r="C188" s="203"/>
      <c r="D188" s="194"/>
      <c r="E188" s="194"/>
      <c r="F188" s="194"/>
      <c r="G188" s="194"/>
      <c r="H188" s="194"/>
      <c r="I188" s="194"/>
      <c r="J188" s="194"/>
      <c r="K188" s="249"/>
      <c r="L188" s="249"/>
      <c r="M188" s="195"/>
      <c r="N188" s="250"/>
      <c r="O188" s="251"/>
      <c r="P188" s="195"/>
      <c r="Q188" s="195"/>
      <c r="R188" s="195"/>
      <c r="S188" s="195"/>
      <c r="T188" s="195"/>
      <c r="U188" s="195"/>
      <c r="V188" s="195"/>
      <c r="W188" s="195"/>
      <c r="X188" s="195"/>
      <c r="Y188" s="195"/>
      <c r="Z188" s="195"/>
      <c r="AA188" s="195"/>
      <c r="AB188" s="195"/>
      <c r="AC188" s="195"/>
      <c r="AD188" s="195"/>
      <c r="AE188" s="195"/>
      <c r="AF188" s="195"/>
    </row>
    <row r="189" spans="1:32" ht="17.100000000000001" hidden="1" customHeight="1">
      <c r="A189" s="263"/>
      <c r="B189" s="263"/>
      <c r="C189" s="195"/>
      <c r="D189" s="194"/>
      <c r="E189" s="194"/>
      <c r="F189" s="194"/>
      <c r="G189" s="194"/>
      <c r="H189" s="194"/>
      <c r="I189" s="194"/>
      <c r="J189" s="194"/>
      <c r="K189" s="249"/>
      <c r="L189" s="249"/>
      <c r="M189" s="195"/>
      <c r="N189" s="250"/>
      <c r="O189" s="251"/>
      <c r="P189" s="195"/>
      <c r="Q189" s="195"/>
      <c r="R189" s="195"/>
      <c r="S189" s="195"/>
      <c r="T189" s="195"/>
      <c r="U189" s="195"/>
      <c r="V189" s="195"/>
      <c r="W189" s="195"/>
      <c r="X189" s="195"/>
      <c r="Y189" s="195"/>
      <c r="Z189" s="195"/>
      <c r="AA189" s="195"/>
      <c r="AB189" s="195"/>
      <c r="AC189" s="195"/>
      <c r="AD189" s="195"/>
      <c r="AE189" s="195"/>
      <c r="AF189" s="195"/>
    </row>
    <row r="190" spans="1:32" ht="17.100000000000001" hidden="1" customHeight="1">
      <c r="A190" s="195"/>
      <c r="B190" s="195"/>
      <c r="C190" s="195"/>
      <c r="D190" s="195"/>
      <c r="E190" s="195"/>
      <c r="F190" s="195"/>
      <c r="G190" s="195"/>
      <c r="H190" s="195"/>
      <c r="I190" s="195"/>
      <c r="J190" s="195"/>
      <c r="K190" s="249"/>
      <c r="L190" s="249"/>
      <c r="M190" s="195"/>
      <c r="N190" s="250"/>
      <c r="O190" s="251"/>
      <c r="P190" s="195"/>
      <c r="Q190" s="195"/>
      <c r="R190" s="195"/>
      <c r="S190" s="195"/>
      <c r="T190" s="195"/>
      <c r="U190" s="195"/>
      <c r="V190" s="195"/>
      <c r="W190" s="195"/>
      <c r="X190" s="195"/>
      <c r="Y190" s="195"/>
      <c r="Z190" s="195"/>
      <c r="AA190" s="195"/>
      <c r="AB190" s="195"/>
      <c r="AC190" s="195"/>
      <c r="AD190" s="195"/>
      <c r="AE190" s="195"/>
      <c r="AF190" s="195"/>
    </row>
    <row r="191" spans="1:32" ht="17.100000000000001" customHeight="1">
      <c r="A191" s="1142" t="s">
        <v>650</v>
      </c>
      <c r="B191" s="1144" t="s">
        <v>640</v>
      </c>
      <c r="C191" s="1144"/>
      <c r="D191" s="1144"/>
      <c r="E191" s="1144"/>
      <c r="F191" s="1144"/>
      <c r="G191" s="1146" t="s">
        <v>647</v>
      </c>
      <c r="H191" s="1146" t="s">
        <v>648</v>
      </c>
      <c r="I191" s="1146" t="s">
        <v>649</v>
      </c>
      <c r="J191" s="195"/>
      <c r="K191" s="249"/>
      <c r="L191" s="249"/>
      <c r="M191" s="195"/>
      <c r="N191" s="250"/>
      <c r="O191" s="251"/>
      <c r="P191" s="195"/>
      <c r="Q191" s="195"/>
      <c r="R191" s="195"/>
      <c r="S191" s="195"/>
      <c r="T191" s="195"/>
      <c r="U191" s="195"/>
      <c r="V191" s="195"/>
      <c r="W191" s="195"/>
      <c r="X191" s="195"/>
      <c r="Y191" s="195"/>
      <c r="Z191" s="195"/>
      <c r="AA191" s="195"/>
      <c r="AB191" s="195"/>
      <c r="AC191" s="195"/>
      <c r="AD191" s="195"/>
      <c r="AE191" s="195"/>
      <c r="AF191" s="195"/>
    </row>
    <row r="192" spans="1:32" ht="17.100000000000001" customHeight="1">
      <c r="A192" s="1143"/>
      <c r="B192" s="38" t="s">
        <v>647</v>
      </c>
      <c r="C192" s="38" t="s">
        <v>642</v>
      </c>
      <c r="D192" s="38" t="s">
        <v>651</v>
      </c>
      <c r="E192" s="38" t="s">
        <v>644</v>
      </c>
      <c r="F192" s="38" t="s">
        <v>645</v>
      </c>
      <c r="G192" s="1126"/>
      <c r="H192" s="1126"/>
      <c r="I192" s="1126"/>
      <c r="J192" s="195"/>
      <c r="K192" s="249"/>
      <c r="L192" s="249"/>
      <c r="M192" s="195"/>
      <c r="N192" s="250"/>
      <c r="O192" s="251"/>
      <c r="P192" s="195"/>
      <c r="Q192" s="195"/>
      <c r="R192" s="195"/>
      <c r="S192" s="195"/>
      <c r="T192" s="195"/>
      <c r="U192" s="195"/>
      <c r="V192" s="195"/>
      <c r="W192" s="195"/>
      <c r="X192" s="195"/>
      <c r="Y192" s="195"/>
      <c r="Z192" s="195"/>
      <c r="AA192" s="195"/>
      <c r="AB192" s="195"/>
      <c r="AC192" s="195"/>
      <c r="AD192" s="195"/>
      <c r="AE192" s="195"/>
      <c r="AF192" s="195"/>
    </row>
    <row r="193" spans="1:32" ht="17.100000000000001" customHeight="1">
      <c r="A193" s="1139" t="s">
        <v>652</v>
      </c>
      <c r="B193" s="39">
        <f>SUMIF($H$193:$H$197,"CREDITO",$G$193:$G$197)</f>
        <v>0</v>
      </c>
      <c r="C193" s="40">
        <f>+$B$216</f>
        <v>0</v>
      </c>
      <c r="D193" s="41">
        <f>+$B$218</f>
        <v>0</v>
      </c>
      <c r="E193" s="42">
        <v>0</v>
      </c>
      <c r="F193" s="147">
        <f>+$B$217</f>
        <v>0</v>
      </c>
      <c r="G193" s="877">
        <v>70000000</v>
      </c>
      <c r="H193" s="878" t="s">
        <v>653</v>
      </c>
      <c r="I193" s="878" t="s">
        <v>892</v>
      </c>
      <c r="J193" s="261"/>
      <c r="K193" s="261"/>
      <c r="L193" s="249"/>
      <c r="M193" s="195"/>
      <c r="N193" s="250"/>
      <c r="O193" s="251"/>
      <c r="P193" s="195"/>
      <c r="Q193" s="195"/>
      <c r="R193" s="195"/>
      <c r="S193" s="195"/>
      <c r="T193" s="195"/>
      <c r="U193" s="195"/>
      <c r="V193" s="195"/>
      <c r="W193" s="195"/>
      <c r="X193" s="195"/>
      <c r="Y193" s="195"/>
      <c r="Z193" s="195"/>
      <c r="AA193" s="195"/>
      <c r="AB193" s="195"/>
      <c r="AC193" s="195"/>
      <c r="AD193" s="195"/>
      <c r="AE193" s="195"/>
      <c r="AF193" s="195"/>
    </row>
    <row r="194" spans="1:32" ht="17.100000000000001" customHeight="1">
      <c r="A194" s="1140"/>
      <c r="B194" s="39"/>
      <c r="C194" s="493">
        <f>+$B$216</f>
        <v>0</v>
      </c>
      <c r="D194" s="494">
        <f>+$B$218</f>
        <v>0</v>
      </c>
      <c r="E194" s="495">
        <v>0</v>
      </c>
      <c r="F194" s="496">
        <f>+$B$217</f>
        <v>0</v>
      </c>
      <c r="G194" s="877"/>
      <c r="H194" s="878"/>
      <c r="I194" s="878"/>
      <c r="J194" s="261"/>
      <c r="K194" s="261"/>
      <c r="L194" s="249"/>
      <c r="M194" s="195"/>
      <c r="N194" s="250"/>
      <c r="O194" s="251"/>
      <c r="P194" s="195"/>
      <c r="Q194" s="195"/>
      <c r="R194" s="195"/>
      <c r="S194" s="195"/>
      <c r="T194" s="195"/>
      <c r="U194" s="195"/>
      <c r="V194" s="195"/>
      <c r="W194" s="195"/>
      <c r="X194" s="195"/>
      <c r="Y194" s="195"/>
      <c r="Z194" s="195"/>
      <c r="AA194" s="195"/>
      <c r="AB194" s="195"/>
      <c r="AC194" s="195"/>
      <c r="AD194" s="195"/>
      <c r="AE194" s="195"/>
      <c r="AF194" s="195"/>
    </row>
    <row r="195" spans="1:32" ht="17.100000000000001" customHeight="1">
      <c r="A195" s="1141"/>
      <c r="B195" s="39"/>
      <c r="C195" s="493">
        <f>+$B$216</f>
        <v>0</v>
      </c>
      <c r="D195" s="494">
        <f>+$B$218</f>
        <v>0</v>
      </c>
      <c r="E195" s="495">
        <v>0</v>
      </c>
      <c r="F195" s="496">
        <f>+$B$217</f>
        <v>0</v>
      </c>
      <c r="G195" s="877"/>
      <c r="H195" s="878"/>
      <c r="I195" s="878"/>
      <c r="J195" s="261"/>
      <c r="K195" s="261"/>
      <c r="L195" s="249"/>
      <c r="M195" s="195"/>
      <c r="N195" s="250"/>
      <c r="O195" s="251"/>
      <c r="P195" s="195"/>
      <c r="Q195" s="195"/>
      <c r="R195" s="195"/>
      <c r="S195" s="195"/>
      <c r="T195" s="195"/>
      <c r="U195" s="195"/>
      <c r="V195" s="195"/>
      <c r="W195" s="195"/>
      <c r="X195" s="195"/>
      <c r="Y195" s="195"/>
      <c r="Z195" s="195"/>
      <c r="AA195" s="195"/>
      <c r="AB195" s="195"/>
      <c r="AC195" s="195"/>
      <c r="AD195" s="195"/>
      <c r="AE195" s="195"/>
      <c r="AF195" s="195"/>
    </row>
    <row r="196" spans="1:32" ht="17.100000000000001" customHeight="1">
      <c r="A196" s="172" t="s">
        <v>654</v>
      </c>
      <c r="B196" s="39">
        <f>SUMIF($H$193:$H$197,"aporte de socios",$G$193:$G$197)</f>
        <v>70000000</v>
      </c>
      <c r="C196" s="255"/>
      <c r="D196" s="198"/>
      <c r="E196" s="198"/>
      <c r="F196" s="198"/>
      <c r="G196" s="877"/>
      <c r="H196" s="878"/>
      <c r="I196" s="878"/>
      <c r="J196" s="261"/>
      <c r="K196" s="261"/>
      <c r="L196" s="249"/>
      <c r="M196" s="195"/>
      <c r="N196" s="249"/>
      <c r="O196" s="195"/>
      <c r="P196" s="195"/>
      <c r="Q196" s="195"/>
      <c r="R196" s="195"/>
      <c r="S196" s="195"/>
      <c r="T196" s="195"/>
      <c r="U196" s="195"/>
      <c r="V196" s="195"/>
      <c r="W196" s="195"/>
      <c r="X196" s="195"/>
      <c r="Y196" s="195"/>
      <c r="Z196" s="195"/>
      <c r="AA196" s="195"/>
      <c r="AB196" s="195"/>
      <c r="AC196" s="195"/>
      <c r="AD196" s="195"/>
      <c r="AE196" s="195"/>
      <c r="AF196" s="195"/>
    </row>
    <row r="197" spans="1:32" ht="17.100000000000001" customHeight="1">
      <c r="A197" s="173" t="s">
        <v>655</v>
      </c>
      <c r="B197" s="39">
        <f>SUMIF($H$193:$H$197,"no reembolsables",$G$193:$G$197)+SUMIF($H$193:$H$197,"DONACIONES",$G$193:$G$197)</f>
        <v>0</v>
      </c>
      <c r="C197" s="255"/>
      <c r="D197" s="198"/>
      <c r="E197" s="198"/>
      <c r="F197" s="198"/>
      <c r="G197" s="877"/>
      <c r="H197" s="878"/>
      <c r="I197" s="878"/>
      <c r="J197" s="261"/>
      <c r="K197" s="261"/>
      <c r="L197" s="249"/>
      <c r="M197" s="195"/>
      <c r="N197" s="249"/>
      <c r="O197" s="195"/>
      <c r="P197" s="195"/>
      <c r="Q197" s="195"/>
      <c r="R197" s="195"/>
      <c r="S197" s="195"/>
      <c r="T197" s="195"/>
      <c r="U197" s="195"/>
      <c r="V197" s="195"/>
      <c r="W197" s="195"/>
      <c r="X197" s="195"/>
      <c r="Y197" s="195"/>
      <c r="Z197" s="195"/>
      <c r="AA197" s="195"/>
      <c r="AB197" s="195"/>
      <c r="AC197" s="195"/>
      <c r="AD197" s="195"/>
      <c r="AE197" s="195"/>
      <c r="AF197" s="195"/>
    </row>
    <row r="198" spans="1:32" ht="17.100000000000001" hidden="1" customHeight="1">
      <c r="A198" s="193"/>
      <c r="B198" s="193"/>
      <c r="C198" s="195"/>
      <c r="D198" s="195"/>
      <c r="E198" s="195"/>
      <c r="F198" s="195"/>
      <c r="G198" s="195"/>
      <c r="H198" s="195"/>
      <c r="I198" s="195"/>
      <c r="J198" s="195"/>
      <c r="K198" s="249"/>
      <c r="L198" s="249"/>
      <c r="M198" s="249"/>
      <c r="N198" s="249"/>
      <c r="O198" s="195"/>
      <c r="P198" s="195"/>
      <c r="Q198" s="195"/>
      <c r="R198" s="195"/>
      <c r="S198" s="195"/>
      <c r="T198" s="195"/>
      <c r="U198" s="195"/>
      <c r="V198" s="195"/>
      <c r="W198" s="195"/>
      <c r="X198" s="195"/>
      <c r="Y198" s="195"/>
      <c r="Z198" s="195"/>
      <c r="AA198" s="195"/>
      <c r="AB198" s="195"/>
      <c r="AC198" s="195"/>
      <c r="AD198" s="195"/>
      <c r="AE198" s="195"/>
      <c r="AF198" s="195"/>
    </row>
    <row r="199" spans="1:32" ht="17.100000000000001" customHeight="1">
      <c r="C199" s="195"/>
      <c r="D199" s="195"/>
      <c r="E199" s="195"/>
      <c r="F199" s="195"/>
      <c r="G199" s="195"/>
      <c r="H199" s="195"/>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195"/>
    </row>
    <row r="200" spans="1:32" s="43" customFormat="1" ht="17.100000000000001" customHeight="1">
      <c r="A200" s="278" t="s">
        <v>656</v>
      </c>
      <c r="B200" s="7"/>
      <c r="C200" s="203"/>
      <c r="D200" s="199"/>
      <c r="E200" s="199"/>
      <c r="F200" s="199"/>
      <c r="G200" s="195"/>
      <c r="H200" s="195"/>
      <c r="I200" s="195"/>
      <c r="J200" s="264"/>
      <c r="K200" s="264"/>
      <c r="L200" s="264"/>
      <c r="M200" s="264"/>
      <c r="N200" s="199"/>
      <c r="O200" s="199"/>
      <c r="P200" s="199"/>
      <c r="Q200" s="199"/>
      <c r="R200" s="199"/>
      <c r="S200" s="199"/>
      <c r="T200" s="199"/>
      <c r="U200" s="199"/>
      <c r="V200" s="199"/>
      <c r="W200" s="199"/>
      <c r="X200" s="199"/>
      <c r="Y200" s="199"/>
      <c r="Z200" s="199"/>
      <c r="AA200" s="199"/>
      <c r="AB200" s="264"/>
      <c r="AC200" s="264"/>
      <c r="AD200" s="264"/>
      <c r="AE200" s="264"/>
      <c r="AF200" s="264"/>
    </row>
    <row r="201" spans="1:32" s="43" customFormat="1" ht="17.100000000000001" customHeight="1">
      <c r="A201" s="279"/>
      <c r="B201" s="7"/>
      <c r="C201" s="203"/>
      <c r="D201" s="199"/>
      <c r="E201" s="199"/>
      <c r="F201" s="199"/>
      <c r="G201" s="195"/>
      <c r="H201" s="195"/>
      <c r="I201" s="195"/>
      <c r="J201" s="264"/>
      <c r="K201" s="264"/>
      <c r="L201" s="264"/>
      <c r="M201" s="264"/>
      <c r="N201" s="199"/>
      <c r="O201" s="199"/>
      <c r="P201" s="199"/>
      <c r="Q201" s="199"/>
      <c r="R201" s="199"/>
      <c r="S201" s="199"/>
      <c r="T201" s="199"/>
      <c r="U201" s="199"/>
      <c r="V201" s="199"/>
      <c r="W201" s="199"/>
      <c r="X201" s="199"/>
      <c r="Y201" s="199"/>
      <c r="Z201" s="199"/>
      <c r="AA201" s="199"/>
      <c r="AB201" s="264"/>
      <c r="AC201" s="264"/>
      <c r="AD201" s="264"/>
      <c r="AE201" s="264"/>
      <c r="AF201" s="264"/>
    </row>
    <row r="202" spans="1:32" s="43" customFormat="1" ht="17.100000000000001" customHeight="1">
      <c r="A202" s="278" t="s">
        <v>657</v>
      </c>
      <c r="B202" s="7"/>
      <c r="C202" s="203"/>
      <c r="D202" s="199"/>
      <c r="E202" s="199"/>
      <c r="F202" s="199"/>
      <c r="G202" s="195"/>
      <c r="H202" s="195"/>
      <c r="I202" s="195"/>
      <c r="J202" s="264"/>
      <c r="K202" s="264"/>
      <c r="L202" s="264"/>
      <c r="M202" s="264"/>
      <c r="N202" s="199"/>
      <c r="O202" s="199"/>
      <c r="P202" s="199"/>
      <c r="Q202" s="199"/>
      <c r="R202" s="199"/>
      <c r="S202" s="199"/>
      <c r="T202" s="199"/>
      <c r="U202" s="199"/>
      <c r="V202" s="199"/>
      <c r="W202" s="199"/>
      <c r="X202" s="199"/>
      <c r="Y202" s="199"/>
      <c r="Z202" s="199"/>
      <c r="AA202" s="199"/>
      <c r="AB202" s="264"/>
      <c r="AC202" s="264"/>
      <c r="AD202" s="264"/>
      <c r="AE202" s="264"/>
      <c r="AF202" s="264"/>
    </row>
    <row r="203" spans="1:32" s="43" customFormat="1" ht="17.100000000000001" customHeight="1">
      <c r="A203" s="17"/>
      <c r="B203" s="17"/>
      <c r="C203" s="203"/>
      <c r="D203" s="199"/>
      <c r="E203" s="857"/>
      <c r="F203" s="199"/>
      <c r="G203" s="195"/>
      <c r="H203" s="195"/>
      <c r="I203" s="195"/>
      <c r="J203" s="199"/>
      <c r="K203" s="264"/>
      <c r="L203" s="264"/>
      <c r="M203" s="264"/>
      <c r="N203" s="199"/>
      <c r="O203" s="199"/>
      <c r="P203" s="199"/>
      <c r="Q203" s="199"/>
      <c r="R203" s="199"/>
      <c r="S203" s="199"/>
      <c r="T203" s="199"/>
      <c r="U203" s="199"/>
      <c r="V203" s="199"/>
      <c r="W203" s="199"/>
      <c r="X203" s="199"/>
      <c r="Y203" s="199"/>
      <c r="Z203" s="199"/>
      <c r="AA203" s="199"/>
      <c r="AB203" s="264"/>
      <c r="AC203" s="264"/>
      <c r="AD203" s="264"/>
      <c r="AE203" s="264"/>
      <c r="AF203" s="264"/>
    </row>
    <row r="204" spans="1:32" s="43" customFormat="1" ht="17.100000000000001" customHeight="1">
      <c r="A204" s="44"/>
      <c r="B204" s="7"/>
      <c r="C204" s="203"/>
      <c r="D204" s="199"/>
      <c r="E204" s="857"/>
      <c r="F204" s="199"/>
      <c r="G204" s="195"/>
      <c r="H204" s="195"/>
      <c r="I204" s="195"/>
      <c r="J204" s="264"/>
      <c r="K204" s="264"/>
      <c r="L204" s="264"/>
      <c r="M204" s="264"/>
      <c r="N204" s="199"/>
      <c r="O204" s="199"/>
      <c r="P204" s="199"/>
      <c r="Q204" s="199"/>
      <c r="R204" s="199"/>
      <c r="S204" s="199"/>
      <c r="T204" s="199"/>
      <c r="U204" s="199"/>
      <c r="V204" s="199"/>
      <c r="W204" s="199"/>
      <c r="X204" s="199"/>
      <c r="Y204" s="199"/>
      <c r="Z204" s="199"/>
      <c r="AA204" s="199"/>
      <c r="AB204" s="264"/>
      <c r="AC204" s="264"/>
      <c r="AD204" s="264"/>
      <c r="AE204" s="264"/>
      <c r="AF204" s="264"/>
    </row>
    <row r="205" spans="1:32" s="43" customFormat="1" ht="17.100000000000001" customHeight="1">
      <c r="A205" s="44"/>
      <c r="B205" s="7"/>
      <c r="C205" s="203"/>
      <c r="D205" s="199"/>
      <c r="E205" s="857"/>
      <c r="F205" s="199"/>
      <c r="G205" s="199"/>
      <c r="H205" s="264"/>
      <c r="I205" s="264"/>
      <c r="J205" s="264"/>
      <c r="K205" s="264"/>
      <c r="L205" s="264"/>
      <c r="M205" s="264"/>
      <c r="N205" s="199"/>
      <c r="O205" s="199"/>
      <c r="P205" s="199"/>
      <c r="Q205" s="199"/>
      <c r="R205" s="199"/>
      <c r="S205" s="199"/>
      <c r="T205" s="199"/>
      <c r="U205" s="199"/>
      <c r="V205" s="199"/>
      <c r="W205" s="199"/>
      <c r="X205" s="199"/>
      <c r="Y205" s="199"/>
      <c r="Z205" s="199"/>
      <c r="AA205" s="199"/>
      <c r="AB205" s="264"/>
      <c r="AC205" s="264"/>
      <c r="AD205" s="264"/>
      <c r="AE205" s="264"/>
      <c r="AF205" s="264"/>
    </row>
    <row r="206" spans="1:32" s="43" customFormat="1" ht="17.100000000000001" customHeight="1">
      <c r="A206" s="497" t="s">
        <v>658</v>
      </c>
      <c r="B206" s="325">
        <v>0</v>
      </c>
      <c r="C206" s="203"/>
      <c r="D206" s="199"/>
      <c r="E206" s="858"/>
      <c r="F206" s="199"/>
      <c r="G206" s="199"/>
      <c r="H206" s="264"/>
      <c r="I206" s="264"/>
      <c r="J206" s="264"/>
      <c r="K206" s="264"/>
      <c r="L206" s="264"/>
      <c r="M206" s="264"/>
      <c r="N206" s="199"/>
      <c r="O206" s="199"/>
      <c r="P206" s="199"/>
      <c r="Q206" s="199"/>
      <c r="R206" s="199"/>
      <c r="S206" s="199"/>
      <c r="T206" s="199"/>
      <c r="U206" s="199"/>
      <c r="V206" s="199"/>
      <c r="W206" s="199"/>
      <c r="X206" s="199"/>
      <c r="Y206" s="199"/>
      <c r="Z206" s="199"/>
      <c r="AA206" s="199"/>
      <c r="AB206" s="264"/>
      <c r="AC206" s="264"/>
      <c r="AD206" s="264"/>
      <c r="AE206" s="264"/>
      <c r="AF206" s="264"/>
    </row>
    <row r="207" spans="1:32" s="43" customFormat="1" ht="17.100000000000001" customHeight="1">
      <c r="A207" s="497" t="s">
        <v>659</v>
      </c>
      <c r="B207" s="325">
        <v>0</v>
      </c>
      <c r="C207" s="203"/>
      <c r="D207" s="199"/>
      <c r="E207" s="199"/>
      <c r="F207" s="199"/>
      <c r="G207" s="199"/>
      <c r="H207" s="264"/>
      <c r="I207" s="264"/>
      <c r="J207" s="264"/>
      <c r="K207" s="264"/>
      <c r="L207" s="264"/>
      <c r="M207" s="264"/>
      <c r="N207" s="199"/>
      <c r="O207" s="199"/>
      <c r="P207" s="199"/>
      <c r="Q207" s="199"/>
      <c r="R207" s="199"/>
      <c r="S207" s="199"/>
      <c r="T207" s="199"/>
      <c r="U207" s="199"/>
      <c r="V207" s="199"/>
      <c r="W207" s="199"/>
      <c r="X207" s="199"/>
      <c r="Y207" s="199"/>
      <c r="Z207" s="199"/>
      <c r="AA207" s="199"/>
      <c r="AB207" s="264"/>
      <c r="AC207" s="264"/>
      <c r="AD207" s="264"/>
      <c r="AE207" s="264"/>
      <c r="AF207" s="264"/>
    </row>
    <row r="208" spans="1:32" s="43" customFormat="1" ht="17.100000000000001" customHeight="1">
      <c r="A208" s="497" t="s">
        <v>660</v>
      </c>
      <c r="B208" s="879">
        <v>0</v>
      </c>
      <c r="C208" s="203"/>
      <c r="D208" s="199"/>
      <c r="E208" s="199"/>
      <c r="F208" s="199"/>
      <c r="G208" s="199"/>
      <c r="H208" s="264"/>
      <c r="I208" s="264"/>
      <c r="J208" s="264"/>
      <c r="K208" s="264"/>
      <c r="L208" s="264"/>
      <c r="M208" s="264"/>
      <c r="N208" s="199"/>
      <c r="O208" s="199"/>
      <c r="P208" s="199"/>
      <c r="Q208" s="199"/>
      <c r="R208" s="199"/>
      <c r="S208" s="199"/>
      <c r="T208" s="199"/>
      <c r="U208" s="199"/>
      <c r="V208" s="199"/>
      <c r="W208" s="199"/>
      <c r="X208" s="199"/>
      <c r="Y208" s="199"/>
      <c r="Z208" s="199"/>
      <c r="AA208" s="199"/>
      <c r="AB208" s="264"/>
      <c r="AC208" s="264"/>
      <c r="AD208" s="264"/>
      <c r="AE208" s="264"/>
      <c r="AF208" s="264"/>
    </row>
    <row r="209" spans="1:32" s="43" customFormat="1" ht="17.100000000000001" customHeight="1">
      <c r="A209" s="45"/>
      <c r="B209" s="355">
        <v>0</v>
      </c>
      <c r="C209" s="203"/>
      <c r="D209" s="199"/>
      <c r="E209" s="199"/>
      <c r="F209" s="199"/>
      <c r="G209" s="199"/>
      <c r="H209" s="264"/>
      <c r="I209" s="264"/>
      <c r="J209" s="264"/>
      <c r="K209" s="264"/>
      <c r="L209" s="264"/>
      <c r="M209" s="264"/>
      <c r="N209" s="199"/>
      <c r="O209" s="199"/>
      <c r="P209" s="199"/>
      <c r="Q209" s="199"/>
      <c r="R209" s="199"/>
      <c r="S209" s="199"/>
      <c r="T209" s="199"/>
      <c r="U209" s="199"/>
      <c r="V209" s="199"/>
      <c r="W209" s="199"/>
      <c r="X209" s="199"/>
      <c r="Y209" s="199"/>
      <c r="Z209" s="199"/>
      <c r="AA209" s="199"/>
      <c r="AB209" s="264"/>
      <c r="AC209" s="264"/>
      <c r="AD209" s="264"/>
      <c r="AE209" s="264"/>
      <c r="AF209" s="264"/>
    </row>
    <row r="210" spans="1:32" s="43" customFormat="1" ht="17.100000000000001" customHeight="1">
      <c r="A210" s="46"/>
      <c r="B210" s="7"/>
      <c r="C210" s="203"/>
      <c r="D210" s="199"/>
      <c r="E210" s="199"/>
      <c r="F210" s="199"/>
      <c r="G210" s="199"/>
      <c r="H210" s="264"/>
      <c r="I210" s="264"/>
      <c r="J210" s="264"/>
      <c r="K210" s="264"/>
      <c r="L210" s="264"/>
      <c r="M210" s="264"/>
      <c r="N210" s="199"/>
      <c r="O210" s="199"/>
      <c r="P210" s="199"/>
      <c r="Q210" s="199"/>
      <c r="R210" s="199"/>
      <c r="S210" s="199"/>
      <c r="T210" s="199"/>
      <c r="U210" s="199"/>
      <c r="V210" s="199"/>
      <c r="W210" s="199"/>
      <c r="X210" s="199"/>
      <c r="Y210" s="199"/>
      <c r="Z210" s="199"/>
      <c r="AA210" s="199"/>
      <c r="AB210" s="264"/>
      <c r="AC210" s="264"/>
      <c r="AD210" s="264"/>
      <c r="AE210" s="264"/>
      <c r="AF210" s="264"/>
    </row>
    <row r="211" spans="1:32" s="43" customFormat="1" ht="17.100000000000001" customHeight="1">
      <c r="A211" s="7"/>
      <c r="B211" s="7"/>
      <c r="C211" s="199"/>
      <c r="D211" s="203"/>
      <c r="E211" s="203"/>
      <c r="F211" s="203"/>
      <c r="G211" s="203"/>
      <c r="H211" s="253"/>
      <c r="I211" s="253"/>
      <c r="J211" s="253"/>
      <c r="K211" s="253"/>
      <c r="L211" s="253"/>
      <c r="M211" s="253"/>
      <c r="N211" s="203"/>
      <c r="O211" s="199"/>
      <c r="P211" s="199"/>
      <c r="Q211" s="199"/>
      <c r="R211" s="199"/>
      <c r="S211" s="199"/>
      <c r="T211" s="199"/>
      <c r="U211" s="199"/>
      <c r="V211" s="199"/>
      <c r="W211" s="199"/>
      <c r="X211" s="199"/>
      <c r="Y211" s="199"/>
      <c r="Z211" s="199"/>
      <c r="AA211" s="199"/>
      <c r="AB211" s="264"/>
      <c r="AC211" s="264"/>
      <c r="AD211" s="264"/>
      <c r="AE211" s="264"/>
      <c r="AF211" s="264"/>
    </row>
    <row r="212" spans="1:32" s="43" customFormat="1" ht="17.100000000000001" customHeight="1">
      <c r="A212" s="278" t="s">
        <v>661</v>
      </c>
      <c r="B212" s="7"/>
      <c r="C212" s="203"/>
      <c r="D212" s="203"/>
      <c r="E212" s="203"/>
      <c r="F212" s="203"/>
      <c r="G212" s="203"/>
      <c r="H212" s="253"/>
      <c r="I212" s="253"/>
      <c r="J212" s="253"/>
      <c r="K212" s="253"/>
      <c r="L212" s="253"/>
      <c r="M212" s="253"/>
      <c r="N212" s="203"/>
      <c r="O212" s="199"/>
      <c r="P212" s="199"/>
      <c r="Q212" s="199"/>
      <c r="R212" s="199"/>
      <c r="S212" s="199"/>
      <c r="T212" s="199"/>
      <c r="U212" s="199"/>
      <c r="V212" s="199"/>
      <c r="W212" s="199"/>
      <c r="X212" s="199"/>
      <c r="Y212" s="199"/>
      <c r="Z212" s="199"/>
      <c r="AA212" s="199"/>
      <c r="AB212" s="264"/>
      <c r="AC212" s="264"/>
      <c r="AD212" s="264"/>
      <c r="AE212" s="264"/>
      <c r="AF212" s="264"/>
    </row>
    <row r="213" spans="1:32" s="43" customFormat="1" ht="17.100000000000001" customHeight="1">
      <c r="A213" s="17"/>
      <c r="B213" s="17"/>
      <c r="C213" s="203"/>
      <c r="D213" s="203"/>
      <c r="E213" s="203"/>
      <c r="F213" s="203"/>
      <c r="G213" s="203"/>
      <c r="H213" s="253"/>
      <c r="I213" s="253"/>
      <c r="J213" s="253"/>
      <c r="K213" s="253"/>
      <c r="L213" s="253"/>
      <c r="M213" s="253"/>
      <c r="N213" s="203"/>
      <c r="O213" s="199"/>
      <c r="P213" s="199"/>
      <c r="Q213" s="199"/>
      <c r="R213" s="199"/>
      <c r="S213" s="199"/>
      <c r="T213" s="199"/>
      <c r="U213" s="199"/>
      <c r="V213" s="199"/>
      <c r="W213" s="199"/>
      <c r="X213" s="199"/>
      <c r="Y213" s="199"/>
      <c r="Z213" s="199"/>
      <c r="AA213" s="199"/>
      <c r="AB213" s="264"/>
      <c r="AC213" s="264"/>
      <c r="AD213" s="264"/>
      <c r="AE213" s="264"/>
      <c r="AF213" s="264"/>
    </row>
    <row r="214" spans="1:32" s="43" customFormat="1" ht="17.100000000000001" customHeight="1">
      <c r="A214" s="44"/>
      <c r="B214" s="7"/>
      <c r="C214" s="203"/>
      <c r="D214" s="203"/>
      <c r="E214" s="203"/>
      <c r="F214" s="203"/>
      <c r="G214" s="203"/>
      <c r="H214" s="253"/>
      <c r="I214" s="253"/>
      <c r="J214" s="253"/>
      <c r="K214" s="253"/>
      <c r="L214" s="253"/>
      <c r="M214" s="253"/>
      <c r="N214" s="203"/>
      <c r="O214" s="199"/>
      <c r="P214" s="199"/>
      <c r="Q214" s="199"/>
      <c r="R214" s="199"/>
      <c r="S214" s="199"/>
      <c r="T214" s="199"/>
      <c r="U214" s="199"/>
      <c r="V214" s="199"/>
      <c r="W214" s="199"/>
      <c r="X214" s="199"/>
      <c r="Y214" s="199"/>
      <c r="Z214" s="199"/>
      <c r="AA214" s="199"/>
      <c r="AB214" s="264"/>
      <c r="AC214" s="264"/>
      <c r="AD214" s="264"/>
      <c r="AE214" s="264"/>
      <c r="AF214" s="264"/>
    </row>
    <row r="215" spans="1:32" s="43" customFormat="1" ht="17.100000000000001" customHeight="1">
      <c r="A215" s="44"/>
      <c r="B215" s="7"/>
      <c r="C215" s="203"/>
      <c r="D215" s="203"/>
      <c r="E215" s="203"/>
      <c r="F215" s="203"/>
      <c r="G215" s="203"/>
      <c r="H215" s="253"/>
      <c r="I215" s="253"/>
      <c r="J215" s="253"/>
      <c r="K215" s="253"/>
      <c r="L215" s="253"/>
      <c r="M215" s="253"/>
      <c r="N215" s="203"/>
      <c r="O215" s="199"/>
      <c r="P215" s="199"/>
      <c r="Q215" s="199"/>
      <c r="R215" s="199"/>
      <c r="S215" s="199"/>
      <c r="T215" s="199"/>
      <c r="U215" s="199"/>
      <c r="V215" s="199"/>
      <c r="W215" s="199"/>
      <c r="X215" s="199"/>
      <c r="Y215" s="199"/>
      <c r="Z215" s="199"/>
      <c r="AA215" s="199"/>
      <c r="AB215" s="264"/>
      <c r="AC215" s="264"/>
      <c r="AD215" s="264"/>
      <c r="AE215" s="264"/>
      <c r="AF215" s="264"/>
    </row>
    <row r="216" spans="1:32" s="43" customFormat="1" ht="17.100000000000001" customHeight="1">
      <c r="A216" s="497" t="s">
        <v>658</v>
      </c>
      <c r="B216" s="325">
        <v>0</v>
      </c>
      <c r="C216" s="203"/>
      <c r="D216" s="203"/>
      <c r="E216" s="203"/>
      <c r="F216" s="203"/>
      <c r="G216" s="203"/>
      <c r="H216" s="253"/>
      <c r="I216" s="253"/>
      <c r="J216" s="253"/>
      <c r="K216" s="253"/>
      <c r="L216" s="253"/>
      <c r="M216" s="253"/>
      <c r="N216" s="203"/>
      <c r="O216" s="199"/>
      <c r="P216" s="199"/>
      <c r="Q216" s="199"/>
      <c r="R216" s="199"/>
      <c r="S216" s="199"/>
      <c r="T216" s="199"/>
      <c r="U216" s="199"/>
      <c r="V216" s="199"/>
      <c r="W216" s="199"/>
      <c r="X216" s="199"/>
      <c r="Y216" s="199"/>
      <c r="Z216" s="199"/>
      <c r="AA216" s="199"/>
      <c r="AB216" s="264"/>
      <c r="AC216" s="264"/>
      <c r="AD216" s="264"/>
      <c r="AE216" s="264"/>
      <c r="AF216" s="264"/>
    </row>
    <row r="217" spans="1:32" s="43" customFormat="1" ht="17.100000000000001" customHeight="1">
      <c r="A217" s="497" t="s">
        <v>659</v>
      </c>
      <c r="B217" s="325">
        <v>0</v>
      </c>
      <c r="C217" s="203"/>
      <c r="D217" s="203"/>
      <c r="E217" s="203"/>
      <c r="F217" s="203"/>
      <c r="G217" s="203"/>
      <c r="H217" s="253"/>
      <c r="I217" s="253"/>
      <c r="J217" s="253"/>
      <c r="K217" s="253"/>
      <c r="L217" s="253"/>
      <c r="M217" s="253"/>
      <c r="N217" s="203"/>
      <c r="O217" s="199"/>
      <c r="P217" s="199"/>
      <c r="Q217" s="199"/>
      <c r="R217" s="199"/>
      <c r="S217" s="199"/>
      <c r="T217" s="199"/>
      <c r="U217" s="199"/>
      <c r="V217" s="199"/>
      <c r="W217" s="199"/>
      <c r="X217" s="199"/>
      <c r="Y217" s="199"/>
      <c r="Z217" s="199"/>
      <c r="AA217" s="199"/>
      <c r="AB217" s="264"/>
      <c r="AC217" s="264"/>
      <c r="AD217" s="264"/>
      <c r="AE217" s="264"/>
      <c r="AF217" s="264"/>
    </row>
    <row r="218" spans="1:32" s="43" customFormat="1" ht="17.100000000000001" customHeight="1">
      <c r="A218" s="497" t="s">
        <v>660</v>
      </c>
      <c r="B218" s="325">
        <v>0</v>
      </c>
      <c r="C218" s="203"/>
      <c r="D218" s="203"/>
      <c r="E218" s="203"/>
      <c r="F218" s="203"/>
      <c r="G218" s="203"/>
      <c r="H218" s="253"/>
      <c r="I218" s="253"/>
      <c r="J218" s="253"/>
      <c r="K218" s="253"/>
      <c r="L218" s="253"/>
      <c r="M218" s="253"/>
      <c r="N218" s="203"/>
      <c r="O218" s="199"/>
      <c r="P218" s="199"/>
      <c r="Q218" s="199"/>
      <c r="R218" s="199"/>
      <c r="S218" s="199"/>
      <c r="T218" s="199"/>
      <c r="U218" s="199"/>
      <c r="V218" s="199"/>
      <c r="W218" s="199"/>
      <c r="X218" s="199"/>
      <c r="Y218" s="199"/>
      <c r="Z218" s="199"/>
      <c r="AA218" s="199"/>
      <c r="AB218" s="264"/>
      <c r="AC218" s="264"/>
      <c r="AD218" s="264"/>
      <c r="AE218" s="264"/>
      <c r="AF218" s="264"/>
    </row>
    <row r="219" spans="1:32" s="43" customFormat="1" ht="17.100000000000001" hidden="1" customHeight="1">
      <c r="A219" s="271"/>
      <c r="B219" s="277">
        <v>0</v>
      </c>
      <c r="C219" s="203"/>
      <c r="D219" s="203"/>
      <c r="E219" s="203"/>
      <c r="F219" s="203"/>
      <c r="G219" s="203"/>
      <c r="H219" s="253"/>
      <c r="I219" s="253"/>
      <c r="J219" s="253"/>
      <c r="K219" s="253"/>
      <c r="L219" s="253"/>
      <c r="M219" s="253"/>
      <c r="N219" s="203"/>
      <c r="O219" s="199"/>
      <c r="P219" s="199"/>
      <c r="Q219" s="199"/>
      <c r="R219" s="199"/>
      <c r="S219" s="199"/>
      <c r="T219" s="199"/>
      <c r="U219" s="199"/>
      <c r="V219" s="199"/>
      <c r="W219" s="199"/>
      <c r="X219" s="199"/>
      <c r="Y219" s="199"/>
      <c r="Z219" s="199"/>
      <c r="AA219" s="199"/>
      <c r="AB219" s="264"/>
      <c r="AC219" s="264"/>
      <c r="AD219" s="264"/>
      <c r="AE219" s="264"/>
      <c r="AF219" s="264"/>
    </row>
    <row r="220" spans="1:32" s="43" customFormat="1" ht="17.100000000000001" hidden="1" customHeight="1">
      <c r="A220" s="276"/>
      <c r="B220" s="203"/>
      <c r="C220" s="203"/>
      <c r="D220" s="203"/>
      <c r="E220" s="203"/>
      <c r="F220" s="203"/>
      <c r="G220" s="203"/>
      <c r="H220" s="253"/>
      <c r="I220" s="253"/>
      <c r="J220" s="253"/>
      <c r="K220" s="253"/>
      <c r="L220" s="253"/>
      <c r="M220" s="253"/>
      <c r="N220" s="203"/>
      <c r="O220" s="199"/>
      <c r="P220" s="199"/>
      <c r="Q220" s="199"/>
      <c r="R220" s="199"/>
      <c r="S220" s="199"/>
      <c r="T220" s="199"/>
      <c r="U220" s="199"/>
      <c r="V220" s="199"/>
      <c r="W220" s="199"/>
      <c r="X220" s="199"/>
      <c r="Y220" s="199"/>
      <c r="Z220" s="199"/>
      <c r="AA220" s="199"/>
      <c r="AB220" s="264"/>
      <c r="AC220" s="264"/>
      <c r="AD220" s="264"/>
      <c r="AE220" s="264"/>
      <c r="AF220" s="264"/>
    </row>
    <row r="221" spans="1:32" s="43" customFormat="1" ht="17.100000000000001" hidden="1" customHeight="1">
      <c r="A221" s="282"/>
      <c r="B221" s="224"/>
      <c r="C221" s="199"/>
      <c r="D221" s="203"/>
      <c r="E221" s="203"/>
      <c r="F221" s="203"/>
      <c r="G221" s="203"/>
      <c r="H221" s="253"/>
      <c r="I221" s="253"/>
      <c r="J221" s="253"/>
      <c r="K221" s="253"/>
      <c r="L221" s="253"/>
      <c r="M221" s="253"/>
      <c r="N221" s="203"/>
      <c r="O221" s="199"/>
      <c r="P221" s="199"/>
      <c r="Q221" s="199"/>
      <c r="R221" s="199"/>
      <c r="S221" s="199"/>
      <c r="T221" s="199"/>
      <c r="U221" s="199"/>
      <c r="V221" s="199"/>
      <c r="W221" s="199"/>
      <c r="X221" s="199"/>
      <c r="Y221" s="199"/>
      <c r="Z221" s="199"/>
      <c r="AA221" s="199"/>
      <c r="AB221" s="264"/>
      <c r="AC221" s="264"/>
      <c r="AD221" s="264"/>
      <c r="AE221" s="264"/>
      <c r="AF221" s="264"/>
    </row>
    <row r="222" spans="1:32" ht="17.100000000000001" hidden="1" customHeight="1">
      <c r="A222" s="3"/>
      <c r="B222" s="3"/>
      <c r="C222" s="193"/>
      <c r="D222" s="193"/>
      <c r="E222" s="193"/>
      <c r="F222" s="193"/>
      <c r="G222" s="193"/>
      <c r="H222" s="193"/>
      <c r="I222" s="193"/>
      <c r="J222" s="193"/>
      <c r="K222" s="194"/>
      <c r="L222" s="194"/>
      <c r="M222" s="194"/>
      <c r="N222" s="194"/>
      <c r="O222" s="195"/>
      <c r="P222" s="195"/>
      <c r="Q222" s="195"/>
      <c r="R222" s="195"/>
      <c r="S222" s="195"/>
      <c r="T222" s="195"/>
      <c r="U222" s="195"/>
      <c r="V222" s="195"/>
      <c r="W222" s="195"/>
      <c r="X222" s="195"/>
      <c r="Y222" s="195"/>
      <c r="Z222" s="195"/>
      <c r="AA222" s="195"/>
      <c r="AB222" s="195"/>
      <c r="AC222" s="195"/>
      <c r="AD222" s="195"/>
      <c r="AE222" s="195"/>
      <c r="AF222" s="195"/>
    </row>
    <row r="223" spans="1:32" ht="17.100000000000001" hidden="1" customHeight="1">
      <c r="A223" s="1"/>
      <c r="B223" s="1"/>
      <c r="C223" s="194"/>
      <c r="D223" s="194"/>
      <c r="E223" s="194"/>
      <c r="F223" s="194"/>
      <c r="G223" s="194"/>
      <c r="H223" s="194"/>
      <c r="I223" s="194"/>
      <c r="J223" s="194"/>
      <c r="K223" s="194"/>
      <c r="L223" s="194"/>
      <c r="M223" s="194"/>
      <c r="N223" s="194"/>
      <c r="O223" s="195"/>
      <c r="P223" s="195"/>
      <c r="Q223" s="195"/>
      <c r="R223" s="195"/>
      <c r="S223" s="195"/>
      <c r="T223" s="195"/>
      <c r="U223" s="195"/>
      <c r="V223" s="195"/>
      <c r="W223" s="195"/>
      <c r="X223" s="195"/>
      <c r="Y223" s="195"/>
      <c r="Z223" s="195"/>
      <c r="AA223" s="195"/>
      <c r="AB223" s="195"/>
      <c r="AC223" s="195"/>
      <c r="AD223" s="195"/>
      <c r="AE223" s="195"/>
      <c r="AF223" s="195"/>
    </row>
    <row r="224" spans="1:32" ht="17.100000000000001" hidden="1" customHeight="1">
      <c r="C224" s="195"/>
      <c r="D224" s="195"/>
      <c r="E224" s="195"/>
      <c r="F224" s="195"/>
      <c r="G224" s="195"/>
      <c r="H224" s="195"/>
      <c r="I224" s="195"/>
      <c r="J224" s="194"/>
      <c r="K224" s="194"/>
      <c r="L224" s="194"/>
      <c r="M224" s="194"/>
      <c r="N224" s="194"/>
      <c r="O224" s="195"/>
      <c r="P224" s="195"/>
      <c r="Q224" s="195"/>
      <c r="R224" s="195"/>
      <c r="S224" s="195"/>
      <c r="T224" s="195"/>
      <c r="U224" s="195"/>
      <c r="V224" s="195"/>
      <c r="W224" s="195"/>
      <c r="X224" s="195"/>
      <c r="Y224" s="195"/>
      <c r="Z224" s="195"/>
      <c r="AA224" s="195"/>
      <c r="AB224" s="195"/>
      <c r="AC224" s="195"/>
      <c r="AD224" s="195"/>
      <c r="AE224" s="195"/>
      <c r="AF224" s="195"/>
    </row>
    <row r="225" spans="1:32" ht="17.100000000000001" hidden="1" customHeight="1">
      <c r="C225" s="195"/>
      <c r="D225" s="195"/>
      <c r="E225" s="195"/>
      <c r="F225" s="195"/>
      <c r="G225" s="195"/>
      <c r="H225" s="195"/>
      <c r="I225" s="195"/>
      <c r="J225" s="194"/>
      <c r="K225" s="194"/>
      <c r="L225" s="194"/>
      <c r="M225" s="194"/>
      <c r="N225" s="194"/>
      <c r="O225" s="195"/>
      <c r="P225" s="195"/>
      <c r="Q225" s="195"/>
      <c r="R225" s="195"/>
      <c r="S225" s="195"/>
      <c r="T225" s="195"/>
      <c r="U225" s="195"/>
      <c r="V225" s="195"/>
      <c r="W225" s="195"/>
      <c r="X225" s="195"/>
      <c r="Y225" s="195"/>
      <c r="Z225" s="195"/>
      <c r="AA225" s="195"/>
      <c r="AB225" s="195"/>
      <c r="AC225" s="195"/>
      <c r="AD225" s="195"/>
      <c r="AE225" s="195"/>
      <c r="AF225" s="195"/>
    </row>
    <row r="226" spans="1:32" ht="17.100000000000001" hidden="1" customHeight="1">
      <c r="C226" s="195"/>
      <c r="D226" s="195"/>
      <c r="E226" s="195"/>
      <c r="F226" s="195"/>
      <c r="G226" s="195"/>
      <c r="H226" s="195"/>
      <c r="I226" s="195"/>
      <c r="J226" s="194"/>
      <c r="K226" s="194"/>
      <c r="L226" s="194"/>
      <c r="M226" s="194"/>
      <c r="N226" s="194"/>
      <c r="O226" s="195"/>
      <c r="P226" s="195"/>
      <c r="Q226" s="195"/>
      <c r="R226" s="195"/>
      <c r="S226" s="195"/>
      <c r="T226" s="195"/>
      <c r="U226" s="195"/>
      <c r="V226" s="195"/>
      <c r="W226" s="195"/>
      <c r="X226" s="195"/>
      <c r="Y226" s="195"/>
      <c r="Z226" s="195"/>
      <c r="AA226" s="195"/>
      <c r="AB226" s="195"/>
      <c r="AC226" s="195"/>
      <c r="AD226" s="195"/>
      <c r="AE226" s="195"/>
      <c r="AF226" s="195"/>
    </row>
    <row r="227" spans="1:32" ht="17.100000000000001" hidden="1" customHeight="1">
      <c r="C227" s="195"/>
      <c r="D227" s="195"/>
      <c r="E227" s="195"/>
      <c r="F227" s="195"/>
      <c r="G227" s="195"/>
      <c r="H227" s="195"/>
      <c r="I227" s="195"/>
      <c r="J227" s="194"/>
      <c r="K227" s="194"/>
      <c r="L227" s="194"/>
      <c r="M227" s="194"/>
      <c r="N227" s="194"/>
      <c r="O227" s="195"/>
      <c r="P227" s="195"/>
      <c r="Q227" s="195"/>
      <c r="R227" s="195"/>
      <c r="S227" s="195"/>
      <c r="T227" s="195"/>
      <c r="U227" s="195"/>
      <c r="V227" s="195"/>
      <c r="W227" s="195"/>
      <c r="X227" s="195"/>
      <c r="Y227" s="195"/>
      <c r="Z227" s="195"/>
      <c r="AA227" s="195"/>
      <c r="AB227" s="195"/>
      <c r="AC227" s="195"/>
      <c r="AD227" s="195"/>
      <c r="AE227" s="195"/>
      <c r="AF227" s="195"/>
    </row>
    <row r="228" spans="1:32" ht="17.100000000000001" hidden="1" customHeight="1">
      <c r="C228" s="195"/>
      <c r="D228" s="195"/>
      <c r="E228" s="195"/>
      <c r="F228" s="195"/>
      <c r="G228" s="195"/>
      <c r="H228" s="195"/>
      <c r="I228" s="195"/>
      <c r="J228" s="194"/>
      <c r="K228" s="194"/>
      <c r="L228" s="194"/>
      <c r="M228" s="194"/>
      <c r="N228" s="194"/>
      <c r="O228" s="195"/>
      <c r="P228" s="195"/>
      <c r="Q228" s="195"/>
      <c r="R228" s="195"/>
      <c r="S228" s="195"/>
      <c r="T228" s="195"/>
      <c r="U228" s="195"/>
      <c r="V228" s="195"/>
      <c r="W228" s="195"/>
      <c r="X228" s="195"/>
      <c r="Y228" s="195"/>
      <c r="Z228" s="195"/>
      <c r="AA228" s="195"/>
      <c r="AB228" s="195"/>
      <c r="AC228" s="195"/>
      <c r="AD228" s="195"/>
      <c r="AE228" s="195"/>
      <c r="AF228" s="195"/>
    </row>
    <row r="229" spans="1:32" ht="17.100000000000001" hidden="1" customHeight="1">
      <c r="C229" s="195"/>
      <c r="D229" s="195"/>
      <c r="E229" s="195"/>
      <c r="F229" s="195"/>
      <c r="G229" s="195"/>
      <c r="H229" s="195"/>
      <c r="I229" s="195"/>
      <c r="J229" s="194"/>
      <c r="K229" s="194"/>
      <c r="L229" s="194"/>
      <c r="M229" s="194"/>
      <c r="N229" s="194"/>
      <c r="O229" s="195"/>
      <c r="P229" s="195"/>
      <c r="Q229" s="195"/>
      <c r="R229" s="195"/>
      <c r="S229" s="195"/>
      <c r="T229" s="195"/>
      <c r="U229" s="195"/>
      <c r="V229" s="195"/>
      <c r="W229" s="195"/>
      <c r="X229" s="195"/>
      <c r="Y229" s="195"/>
      <c r="Z229" s="195"/>
      <c r="AA229" s="195"/>
      <c r="AB229" s="195"/>
      <c r="AC229" s="195"/>
      <c r="AD229" s="195"/>
      <c r="AE229" s="195"/>
      <c r="AF229" s="195"/>
    </row>
    <row r="230" spans="1:32" ht="17.100000000000001" hidden="1" customHeight="1">
      <c r="C230" s="195"/>
      <c r="D230" s="195"/>
      <c r="E230" s="195"/>
      <c r="F230" s="195"/>
      <c r="G230" s="195"/>
      <c r="H230" s="195"/>
      <c r="I230" s="195"/>
      <c r="J230" s="194"/>
      <c r="K230" s="194"/>
      <c r="L230" s="194"/>
      <c r="M230" s="194"/>
      <c r="N230" s="194"/>
      <c r="O230" s="195"/>
      <c r="P230" s="195"/>
      <c r="Q230" s="195"/>
      <c r="R230" s="195"/>
      <c r="S230" s="195"/>
      <c r="T230" s="195"/>
      <c r="U230" s="195"/>
      <c r="V230" s="195"/>
      <c r="W230" s="195"/>
      <c r="X230" s="195"/>
      <c r="Y230" s="195"/>
      <c r="Z230" s="195"/>
      <c r="AA230" s="195"/>
      <c r="AB230" s="195"/>
      <c r="AC230" s="195"/>
      <c r="AD230" s="195"/>
      <c r="AE230" s="195"/>
      <c r="AF230" s="195"/>
    </row>
    <row r="231" spans="1:32" ht="17.100000000000001" hidden="1" customHeight="1">
      <c r="C231" s="195"/>
      <c r="D231" s="195"/>
      <c r="E231" s="195"/>
      <c r="F231" s="195"/>
      <c r="G231" s="195"/>
      <c r="H231" s="195"/>
      <c r="I231" s="195"/>
      <c r="J231" s="194"/>
      <c r="K231" s="194"/>
      <c r="L231" s="194"/>
      <c r="M231" s="194"/>
      <c r="N231" s="194"/>
      <c r="O231" s="195"/>
      <c r="P231" s="195"/>
      <c r="Q231" s="195"/>
      <c r="R231" s="195"/>
      <c r="S231" s="195"/>
      <c r="T231" s="195"/>
      <c r="U231" s="195"/>
      <c r="V231" s="195"/>
      <c r="W231" s="195"/>
      <c r="X231" s="195"/>
      <c r="Y231" s="195"/>
      <c r="Z231" s="195"/>
      <c r="AA231" s="195"/>
      <c r="AB231" s="195"/>
      <c r="AC231" s="195"/>
      <c r="AD231" s="195"/>
      <c r="AE231" s="195"/>
      <c r="AF231" s="195"/>
    </row>
    <row r="232" spans="1:32" ht="17.100000000000001" hidden="1" customHeight="1">
      <c r="C232" s="195"/>
      <c r="D232" s="195"/>
      <c r="E232" s="195"/>
      <c r="F232" s="195"/>
      <c r="G232" s="195"/>
      <c r="H232" s="195"/>
      <c r="I232" s="195"/>
      <c r="J232" s="194"/>
      <c r="K232" s="194"/>
      <c r="L232" s="194"/>
      <c r="M232" s="194"/>
      <c r="N232" s="194"/>
      <c r="O232" s="195"/>
      <c r="P232" s="195"/>
      <c r="Q232" s="195"/>
      <c r="R232" s="195"/>
      <c r="S232" s="195"/>
      <c r="T232" s="195"/>
      <c r="U232" s="195"/>
      <c r="V232" s="195"/>
      <c r="W232" s="195"/>
      <c r="X232" s="195"/>
      <c r="Y232" s="195"/>
      <c r="Z232" s="195"/>
      <c r="AA232" s="195"/>
      <c r="AB232" s="195"/>
      <c r="AC232" s="195"/>
      <c r="AD232" s="195"/>
      <c r="AE232" s="195"/>
      <c r="AF232" s="195"/>
    </row>
    <row r="233" spans="1:32" ht="17.100000000000001" hidden="1" customHeight="1">
      <c r="C233" s="195"/>
      <c r="D233" s="195"/>
      <c r="E233" s="195"/>
      <c r="F233" s="195"/>
      <c r="G233" s="195"/>
      <c r="H233" s="195"/>
      <c r="I233" s="195"/>
      <c r="J233" s="194"/>
      <c r="K233" s="194"/>
      <c r="L233" s="194"/>
      <c r="M233" s="194"/>
      <c r="N233" s="194"/>
      <c r="O233" s="195"/>
      <c r="P233" s="195"/>
      <c r="Q233" s="195"/>
      <c r="R233" s="195"/>
      <c r="S233" s="195"/>
      <c r="T233" s="195"/>
      <c r="U233" s="195"/>
      <c r="V233" s="195"/>
      <c r="W233" s="195"/>
      <c r="X233" s="195"/>
      <c r="Y233" s="195"/>
      <c r="Z233" s="195"/>
      <c r="AA233" s="195"/>
      <c r="AB233" s="195"/>
      <c r="AC233" s="195"/>
      <c r="AD233" s="195"/>
      <c r="AE233" s="195"/>
      <c r="AF233" s="195"/>
    </row>
    <row r="234" spans="1:32" ht="17.100000000000001" hidden="1" customHeight="1">
      <c r="C234" s="195"/>
      <c r="D234" s="195"/>
      <c r="E234" s="195"/>
      <c r="F234" s="195"/>
      <c r="G234" s="195"/>
      <c r="H234" s="195"/>
      <c r="I234" s="195"/>
      <c r="J234" s="194"/>
      <c r="K234" s="194"/>
      <c r="L234" s="194"/>
      <c r="M234" s="194"/>
      <c r="N234" s="194"/>
      <c r="O234" s="195"/>
      <c r="P234" s="195"/>
      <c r="Q234" s="195"/>
      <c r="R234" s="195"/>
      <c r="S234" s="195"/>
      <c r="T234" s="195"/>
      <c r="U234" s="195"/>
      <c r="V234" s="195"/>
      <c r="W234" s="195"/>
      <c r="X234" s="195"/>
      <c r="Y234" s="195"/>
      <c r="Z234" s="195"/>
      <c r="AA234" s="195"/>
      <c r="AB234" s="195"/>
      <c r="AC234" s="195"/>
      <c r="AD234" s="195"/>
      <c r="AE234" s="195"/>
      <c r="AF234" s="195"/>
    </row>
    <row r="235" spans="1:32" ht="17.100000000000001" hidden="1" customHeight="1">
      <c r="C235" s="195"/>
      <c r="D235" s="195"/>
      <c r="E235" s="195"/>
      <c r="F235" s="195"/>
      <c r="G235" s="195"/>
      <c r="H235" s="195"/>
      <c r="I235" s="195"/>
      <c r="J235" s="194"/>
      <c r="K235" s="194"/>
      <c r="L235" s="194"/>
      <c r="M235" s="194"/>
      <c r="N235" s="194"/>
      <c r="O235" s="195"/>
      <c r="P235" s="195"/>
      <c r="Q235" s="195"/>
      <c r="R235" s="195"/>
      <c r="S235" s="195"/>
      <c r="T235" s="195"/>
      <c r="U235" s="195"/>
      <c r="V235" s="195"/>
      <c r="W235" s="195"/>
      <c r="X235" s="195"/>
      <c r="Y235" s="195"/>
      <c r="Z235" s="195"/>
      <c r="AA235" s="195"/>
      <c r="AB235" s="195"/>
      <c r="AC235" s="195"/>
      <c r="AD235" s="195"/>
      <c r="AE235" s="195"/>
      <c r="AF235" s="195"/>
    </row>
    <row r="236" spans="1:32" ht="17.100000000000001" hidden="1" customHeight="1">
      <c r="C236" s="195"/>
      <c r="D236" s="195"/>
      <c r="E236" s="195"/>
      <c r="F236" s="195"/>
      <c r="G236" s="195"/>
      <c r="H236" s="195"/>
      <c r="I236" s="195"/>
      <c r="J236" s="194"/>
      <c r="K236" s="194"/>
      <c r="L236" s="194"/>
      <c r="M236" s="194"/>
      <c r="N236" s="194"/>
      <c r="O236" s="195"/>
      <c r="P236" s="195"/>
      <c r="Q236" s="195"/>
      <c r="R236" s="195"/>
      <c r="S236" s="195"/>
      <c r="T236" s="195"/>
      <c r="U236" s="195"/>
      <c r="V236" s="195"/>
      <c r="W236" s="195"/>
      <c r="X236" s="195"/>
      <c r="Y236" s="195"/>
      <c r="Z236" s="195"/>
      <c r="AA236" s="195"/>
      <c r="AB236" s="195"/>
      <c r="AC236" s="195"/>
      <c r="AD236" s="195"/>
      <c r="AE236" s="195"/>
      <c r="AF236" s="195"/>
    </row>
    <row r="237" spans="1:32" ht="17.100000000000001" hidden="1" customHeight="1">
      <c r="C237" s="195"/>
      <c r="D237" s="195"/>
      <c r="E237" s="195"/>
      <c r="F237" s="195"/>
      <c r="G237" s="195"/>
      <c r="H237" s="195"/>
      <c r="I237" s="195"/>
      <c r="J237" s="194"/>
      <c r="K237" s="194"/>
      <c r="L237" s="194"/>
      <c r="M237" s="194"/>
      <c r="N237" s="194"/>
      <c r="O237" s="195"/>
      <c r="P237" s="195"/>
      <c r="Q237" s="195"/>
      <c r="R237" s="195"/>
      <c r="S237" s="195"/>
      <c r="T237" s="195"/>
      <c r="U237" s="195"/>
      <c r="V237" s="195"/>
      <c r="W237" s="195"/>
      <c r="X237" s="195"/>
      <c r="Y237" s="195"/>
      <c r="Z237" s="195"/>
      <c r="AA237" s="195"/>
      <c r="AB237" s="195"/>
      <c r="AC237" s="195"/>
      <c r="AD237" s="195"/>
      <c r="AE237" s="195"/>
      <c r="AF237" s="195"/>
    </row>
    <row r="238" spans="1:32" ht="17.100000000000001" hidden="1" customHeight="1">
      <c r="C238" s="195"/>
      <c r="D238" s="195"/>
      <c r="E238" s="195"/>
      <c r="F238" s="195"/>
      <c r="G238" s="195"/>
      <c r="H238" s="195"/>
      <c r="I238" s="195"/>
      <c r="J238" s="194"/>
      <c r="K238" s="194"/>
      <c r="L238" s="194"/>
      <c r="M238" s="194"/>
      <c r="N238" s="194"/>
      <c r="O238" s="195"/>
      <c r="P238" s="195"/>
      <c r="Q238" s="195"/>
      <c r="R238" s="195"/>
      <c r="S238" s="195"/>
      <c r="T238" s="195"/>
      <c r="U238" s="195"/>
      <c r="V238" s="195"/>
      <c r="W238" s="195"/>
      <c r="X238" s="195"/>
      <c r="Y238" s="195"/>
      <c r="Z238" s="195"/>
      <c r="AA238" s="195"/>
      <c r="AB238" s="195"/>
      <c r="AC238" s="195"/>
      <c r="AD238" s="195"/>
      <c r="AE238" s="195"/>
      <c r="AF238" s="195"/>
    </row>
    <row r="239" spans="1:32" ht="17.100000000000001" hidden="1" customHeight="1">
      <c r="C239" s="195"/>
      <c r="D239" s="195"/>
      <c r="E239" s="195"/>
      <c r="F239" s="195"/>
      <c r="G239" s="195"/>
      <c r="H239" s="195"/>
      <c r="I239" s="195"/>
      <c r="J239" s="194"/>
      <c r="K239" s="194"/>
      <c r="L239" s="194"/>
      <c r="M239" s="194"/>
      <c r="N239" s="194"/>
      <c r="O239" s="195"/>
      <c r="P239" s="195"/>
      <c r="Q239" s="195"/>
      <c r="R239" s="195"/>
      <c r="S239" s="195"/>
      <c r="T239" s="195"/>
      <c r="U239" s="195"/>
      <c r="V239" s="195"/>
      <c r="W239" s="195"/>
      <c r="X239" s="195"/>
      <c r="Y239" s="195"/>
      <c r="Z239" s="195"/>
      <c r="AA239" s="195"/>
      <c r="AB239" s="195"/>
      <c r="AC239" s="195"/>
      <c r="AD239" s="195"/>
      <c r="AE239" s="195"/>
      <c r="AF239" s="195"/>
    </row>
    <row r="240" spans="1:32" ht="17.100000000000001" hidden="1" customHeight="1">
      <c r="A240" s="3"/>
      <c r="B240" s="3"/>
      <c r="C240" s="193"/>
      <c r="D240" s="193"/>
      <c r="E240" s="193"/>
      <c r="F240" s="194"/>
      <c r="G240" s="194"/>
      <c r="H240" s="194"/>
      <c r="I240" s="194"/>
      <c r="J240" s="194"/>
      <c r="K240" s="194"/>
      <c r="L240" s="194"/>
      <c r="M240" s="194"/>
      <c r="N240" s="194"/>
      <c r="O240" s="195"/>
      <c r="P240" s="195"/>
      <c r="Q240" s="195"/>
      <c r="R240" s="195"/>
      <c r="S240" s="195"/>
      <c r="T240" s="195"/>
      <c r="U240" s="195"/>
      <c r="V240" s="195"/>
      <c r="W240" s="195"/>
      <c r="X240" s="195"/>
      <c r="Y240" s="195"/>
      <c r="Z240" s="195"/>
      <c r="AA240" s="195"/>
      <c r="AB240" s="195"/>
      <c r="AC240" s="195"/>
      <c r="AD240" s="195"/>
      <c r="AE240" s="195"/>
      <c r="AF240" s="195"/>
    </row>
    <row r="241" spans="1:32" ht="17.100000000000001" hidden="1" customHeight="1">
      <c r="C241" s="195"/>
      <c r="D241" s="195"/>
      <c r="E241" s="195"/>
      <c r="F241" s="195"/>
      <c r="G241" s="195"/>
      <c r="H241" s="195"/>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195"/>
    </row>
    <row r="242" spans="1:32" ht="17.100000000000001" customHeight="1">
      <c r="A242" s="170" t="s">
        <v>662</v>
      </c>
      <c r="B242" s="1001">
        <v>0</v>
      </c>
      <c r="C242" s="194"/>
      <c r="D242" s="194"/>
      <c r="E242" s="194"/>
      <c r="F242" s="194"/>
      <c r="G242" s="194"/>
      <c r="H242" s="19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195"/>
    </row>
    <row r="243" spans="1:32" ht="17.100000000000001" customHeight="1">
      <c r="A243" s="1"/>
      <c r="B243" s="1"/>
      <c r="C243" s="194"/>
      <c r="D243" s="194"/>
      <c r="E243" s="194"/>
      <c r="F243" s="194"/>
      <c r="G243" s="194"/>
      <c r="H243" s="19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195"/>
    </row>
    <row r="244" spans="1:32" ht="17.100000000000001" customHeight="1">
      <c r="A244" s="10" t="s">
        <v>663</v>
      </c>
      <c r="B244" s="1"/>
      <c r="C244" s="1"/>
      <c r="D244" s="1"/>
      <c r="E244" s="1"/>
      <c r="F244" s="1"/>
      <c r="G244" s="1"/>
      <c r="H244" s="1"/>
      <c r="I244" s="10" t="s">
        <v>237</v>
      </c>
      <c r="J244" s="1"/>
      <c r="K244" s="1"/>
      <c r="L244" s="1"/>
      <c r="M244" s="1"/>
      <c r="N244" s="1"/>
      <c r="O244" s="1"/>
      <c r="P244" s="289"/>
      <c r="Q244" s="195"/>
      <c r="R244" s="195"/>
      <c r="S244" s="195"/>
      <c r="T244" s="195"/>
      <c r="U244" s="195"/>
      <c r="V244" s="195"/>
      <c r="W244" s="195"/>
      <c r="AF244" s="195"/>
    </row>
    <row r="245" spans="1:32" ht="17.100000000000001" customHeight="1" thickBot="1">
      <c r="A245" s="3"/>
      <c r="B245" s="3"/>
      <c r="C245" s="3"/>
      <c r="D245" s="3"/>
      <c r="E245" s="3"/>
      <c r="F245" s="3"/>
      <c r="G245" s="3"/>
      <c r="H245" s="1"/>
      <c r="I245" s="3"/>
      <c r="J245" s="3"/>
      <c r="K245" s="3"/>
      <c r="L245" s="3"/>
      <c r="M245" s="3"/>
      <c r="N245" s="3"/>
      <c r="O245" s="3"/>
      <c r="P245" s="289"/>
      <c r="Q245" s="195"/>
      <c r="R245" s="195"/>
      <c r="S245" s="195"/>
      <c r="T245" s="195"/>
      <c r="U245" s="195"/>
      <c r="V245" s="195"/>
      <c r="W245" s="195"/>
      <c r="AF245" s="195"/>
    </row>
    <row r="246" spans="1:32" ht="17.100000000000001" customHeight="1" thickBot="1">
      <c r="A246" s="333"/>
      <c r="B246" s="47"/>
      <c r="C246" s="15" t="s">
        <v>636</v>
      </c>
      <c r="D246" s="48" t="s">
        <v>664</v>
      </c>
      <c r="E246" s="49"/>
      <c r="F246" s="49"/>
      <c r="G246" s="50"/>
      <c r="H246" s="1"/>
      <c r="I246" s="880"/>
      <c r="J246" s="880"/>
      <c r="K246" s="52" t="s">
        <v>636</v>
      </c>
      <c r="L246" s="53" t="s">
        <v>664</v>
      </c>
      <c r="M246" s="54"/>
      <c r="N246" s="54"/>
      <c r="O246" s="51"/>
      <c r="P246" s="289"/>
      <c r="Q246" s="195"/>
      <c r="R246" s="195"/>
      <c r="S246" s="195"/>
      <c r="T246" s="195"/>
      <c r="U246" s="195"/>
      <c r="V246" s="195"/>
      <c r="W246" s="195"/>
      <c r="AF246" s="195"/>
    </row>
    <row r="247" spans="1:32" ht="17.100000000000001" customHeight="1">
      <c r="A247" s="15" t="s">
        <v>665</v>
      </c>
      <c r="B247" s="55" t="s">
        <v>666</v>
      </c>
      <c r="C247" s="55" t="s">
        <v>667</v>
      </c>
      <c r="D247" s="26" t="s">
        <v>580</v>
      </c>
      <c r="E247" s="31" t="s">
        <v>668</v>
      </c>
      <c r="F247" s="31" t="s">
        <v>669</v>
      </c>
      <c r="G247" s="31" t="s">
        <v>670</v>
      </c>
      <c r="H247" s="1063" t="s">
        <v>832</v>
      </c>
      <c r="I247" s="52" t="s">
        <v>665</v>
      </c>
      <c r="J247" s="52" t="s">
        <v>666</v>
      </c>
      <c r="K247" s="56" t="s">
        <v>667</v>
      </c>
      <c r="L247" s="52" t="s">
        <v>580</v>
      </c>
      <c r="M247" s="57" t="s">
        <v>668</v>
      </c>
      <c r="N247" s="57" t="s">
        <v>669</v>
      </c>
      <c r="O247" s="57" t="s">
        <v>670</v>
      </c>
      <c r="P247" s="1063" t="s">
        <v>832</v>
      </c>
      <c r="Q247" s="195"/>
      <c r="R247" s="195"/>
      <c r="S247" s="195"/>
      <c r="T247" s="195"/>
      <c r="U247" s="195"/>
      <c r="V247" s="195"/>
      <c r="W247" s="195"/>
      <c r="AF247" s="195"/>
    </row>
    <row r="248" spans="1:32" ht="17.100000000000001" customHeight="1">
      <c r="A248" s="58"/>
      <c r="B248" s="58"/>
      <c r="C248" s="58"/>
      <c r="D248" s="58"/>
      <c r="E248" s="59"/>
      <c r="F248" s="59"/>
      <c r="G248" s="59"/>
      <c r="H248" s="1064"/>
      <c r="I248" s="60"/>
      <c r="J248" s="60"/>
      <c r="K248" s="60"/>
      <c r="L248" s="60"/>
      <c r="M248" s="61"/>
      <c r="N248" s="61"/>
      <c r="O248" s="61"/>
      <c r="P248" s="1064"/>
      <c r="Q248" s="195"/>
      <c r="R248" s="195"/>
      <c r="S248" s="195"/>
      <c r="T248" s="195"/>
      <c r="U248" s="195"/>
      <c r="V248" s="195"/>
      <c r="W248" s="195"/>
      <c r="AF248" s="195"/>
    </row>
    <row r="249" spans="1:32" ht="17.100000000000001" customHeight="1">
      <c r="A249" s="881" t="s">
        <v>596</v>
      </c>
      <c r="B249" s="882">
        <v>1</v>
      </c>
      <c r="C249" s="883">
        <v>12000</v>
      </c>
      <c r="D249" s="865">
        <v>1</v>
      </c>
      <c r="E249" s="884">
        <v>0</v>
      </c>
      <c r="F249" s="884">
        <v>0</v>
      </c>
      <c r="G249" s="884">
        <v>0</v>
      </c>
      <c r="H249" s="325">
        <v>728</v>
      </c>
      <c r="I249" s="885"/>
      <c r="J249" s="886"/>
      <c r="K249" s="887"/>
      <c r="L249" s="888"/>
      <c r="M249" s="884"/>
      <c r="N249" s="884"/>
      <c r="O249" s="884"/>
      <c r="P249" s="878"/>
      <c r="Q249" s="195"/>
      <c r="R249" s="195"/>
      <c r="S249" s="195"/>
      <c r="T249" s="195"/>
      <c r="U249" s="195"/>
      <c r="V249" s="195"/>
      <c r="W249" s="195"/>
      <c r="AF249" s="195"/>
    </row>
    <row r="250" spans="1:32" ht="17.100000000000001" customHeight="1">
      <c r="A250" s="867" t="s">
        <v>596</v>
      </c>
      <c r="B250" s="882">
        <v>1</v>
      </c>
      <c r="C250" s="889">
        <v>0</v>
      </c>
      <c r="D250" s="869">
        <v>0</v>
      </c>
      <c r="E250" s="884">
        <v>1</v>
      </c>
      <c r="F250" s="884">
        <v>0</v>
      </c>
      <c r="G250" s="884">
        <v>0</v>
      </c>
      <c r="H250" s="325">
        <v>0</v>
      </c>
      <c r="I250" s="890"/>
      <c r="J250" s="891"/>
      <c r="K250" s="891"/>
      <c r="L250" s="892"/>
      <c r="M250" s="884"/>
      <c r="N250" s="884"/>
      <c r="O250" s="884"/>
      <c r="P250" s="878"/>
      <c r="Q250" s="195"/>
      <c r="R250" s="195"/>
      <c r="S250" s="195"/>
      <c r="T250" s="195"/>
      <c r="U250" s="195"/>
      <c r="V250" s="195"/>
      <c r="W250" s="195"/>
      <c r="AF250" s="195"/>
    </row>
    <row r="251" spans="1:32" ht="17.100000000000001" customHeight="1">
      <c r="A251" s="867" t="s">
        <v>596</v>
      </c>
      <c r="B251" s="882">
        <v>1</v>
      </c>
      <c r="C251" s="889">
        <v>0</v>
      </c>
      <c r="D251" s="869">
        <v>0</v>
      </c>
      <c r="E251" s="884">
        <v>0</v>
      </c>
      <c r="F251" s="884">
        <v>1</v>
      </c>
      <c r="G251" s="884">
        <v>0</v>
      </c>
      <c r="H251" s="325">
        <v>0</v>
      </c>
      <c r="I251" s="890"/>
      <c r="J251" s="891"/>
      <c r="K251" s="891"/>
      <c r="L251" s="892"/>
      <c r="M251" s="884"/>
      <c r="N251" s="884"/>
      <c r="O251" s="884"/>
      <c r="P251" s="878"/>
      <c r="Q251" s="195"/>
      <c r="R251" s="195"/>
      <c r="S251" s="195"/>
      <c r="T251" s="195"/>
      <c r="U251" s="195"/>
      <c r="V251" s="195"/>
      <c r="W251" s="195"/>
      <c r="AF251" s="195"/>
    </row>
    <row r="252" spans="1:32" ht="17.100000000000001" customHeight="1">
      <c r="A252" s="325" t="s">
        <v>596</v>
      </c>
      <c r="B252" s="893">
        <v>1</v>
      </c>
      <c r="C252" s="889">
        <v>0</v>
      </c>
      <c r="D252" s="884">
        <v>0</v>
      </c>
      <c r="E252" s="884">
        <v>0</v>
      </c>
      <c r="F252" s="884">
        <v>0</v>
      </c>
      <c r="G252" s="884">
        <v>1</v>
      </c>
      <c r="H252" s="325">
        <v>0</v>
      </c>
      <c r="I252" s="890"/>
      <c r="J252" s="891"/>
      <c r="K252" s="891"/>
      <c r="L252" s="892"/>
      <c r="M252" s="884"/>
      <c r="N252" s="884"/>
      <c r="O252" s="884"/>
      <c r="P252" s="878"/>
      <c r="Q252" s="195"/>
      <c r="R252" s="195"/>
      <c r="S252" s="195"/>
      <c r="T252" s="195"/>
      <c r="U252" s="195"/>
      <c r="V252" s="195"/>
      <c r="W252" s="195"/>
      <c r="AF252" s="195"/>
    </row>
    <row r="253" spans="1:32" ht="17.100000000000001" customHeight="1">
      <c r="A253" s="325"/>
      <c r="B253" s="893">
        <v>1</v>
      </c>
      <c r="C253" s="866"/>
      <c r="D253" s="894">
        <v>0</v>
      </c>
      <c r="E253" s="894">
        <v>0</v>
      </c>
      <c r="F253" s="894">
        <v>0</v>
      </c>
      <c r="G253" s="894">
        <v>0</v>
      </c>
      <c r="H253" s="325"/>
      <c r="I253" s="895"/>
      <c r="J253" s="891"/>
      <c r="K253" s="891"/>
      <c r="L253" s="892"/>
      <c r="M253" s="884"/>
      <c r="N253" s="884"/>
      <c r="O253" s="884"/>
      <c r="P253" s="878"/>
      <c r="Q253" s="195"/>
      <c r="R253" s="195"/>
      <c r="S253" s="195"/>
      <c r="T253" s="195"/>
      <c r="U253" s="195"/>
      <c r="V253" s="195"/>
      <c r="W253" s="195"/>
      <c r="AF253" s="195"/>
    </row>
    <row r="254" spans="1:32" ht="17.100000000000001" customHeight="1">
      <c r="A254" s="1"/>
      <c r="B254" s="62"/>
      <c r="C254" s="62">
        <f>SUM(C249:C252)+SUM(D255:G255)</f>
        <v>12000</v>
      </c>
      <c r="D254" s="26" t="s">
        <v>596</v>
      </c>
      <c r="E254" s="26" t="s">
        <v>596</v>
      </c>
      <c r="F254" s="26" t="s">
        <v>596</v>
      </c>
      <c r="G254" s="26" t="s">
        <v>596</v>
      </c>
      <c r="H254" s="1">
        <f>+H249*C249+C250*H250+C251*H251+C252*H252+C253*H253</f>
        <v>8736000</v>
      </c>
      <c r="I254" s="1"/>
      <c r="J254" s="62"/>
      <c r="K254" s="62">
        <f>SUM(K249:K252)+SUM(L255:O255)</f>
        <v>0</v>
      </c>
      <c r="L254" s="26"/>
      <c r="M254" s="26"/>
      <c r="N254" s="26"/>
      <c r="O254" s="26"/>
      <c r="P254" s="1">
        <f>+P249*K249+K250*P250+K251*P251+K252*P252+K253*P253</f>
        <v>0</v>
      </c>
      <c r="Q254" s="195"/>
      <c r="R254" s="195"/>
      <c r="S254" s="195"/>
      <c r="T254" s="195"/>
      <c r="U254" s="195"/>
      <c r="V254" s="195"/>
      <c r="W254" s="195"/>
      <c r="AF254" s="195"/>
    </row>
    <row r="255" spans="1:32" ht="17.100000000000001" customHeight="1" thickBot="1">
      <c r="A255" s="3"/>
      <c r="B255" s="14"/>
      <c r="C255" s="14"/>
      <c r="D255" s="939">
        <v>0</v>
      </c>
      <c r="E255" s="939">
        <v>0</v>
      </c>
      <c r="F255" s="939">
        <v>0</v>
      </c>
      <c r="G255" s="939">
        <v>0</v>
      </c>
      <c r="H255" s="1"/>
      <c r="I255" s="3"/>
      <c r="J255" s="14"/>
      <c r="K255" s="14"/>
      <c r="L255" s="939"/>
      <c r="M255" s="939"/>
      <c r="N255" s="939"/>
      <c r="O255" s="939"/>
      <c r="P255" s="289"/>
      <c r="Q255" s="195"/>
      <c r="R255" s="195"/>
      <c r="S255" s="195"/>
      <c r="T255" s="195"/>
      <c r="U255" s="195"/>
      <c r="V255" s="195"/>
      <c r="W255" s="195"/>
      <c r="AF255" s="195"/>
    </row>
    <row r="256" spans="1:32" ht="17.100000000000001" customHeight="1" thickBot="1">
      <c r="A256" s="333"/>
      <c r="B256" s="64"/>
      <c r="C256" s="65" t="s">
        <v>636</v>
      </c>
      <c r="D256" s="66" t="s">
        <v>664</v>
      </c>
      <c r="E256" s="66"/>
      <c r="F256" s="66"/>
      <c r="G256" s="67"/>
      <c r="H256" s="1"/>
      <c r="I256" s="880"/>
      <c r="J256" s="51"/>
      <c r="K256" s="52" t="s">
        <v>636</v>
      </c>
      <c r="L256" s="53" t="s">
        <v>664</v>
      </c>
      <c r="M256" s="54"/>
      <c r="N256" s="54"/>
      <c r="O256" s="51"/>
      <c r="P256" s="289"/>
      <c r="Q256" s="195"/>
      <c r="R256" s="195"/>
      <c r="S256" s="195"/>
      <c r="T256" s="195"/>
      <c r="U256" s="195"/>
      <c r="V256" s="195"/>
      <c r="W256" s="195"/>
      <c r="AF256" s="195"/>
    </row>
    <row r="257" spans="1:32" ht="17.100000000000001" customHeight="1">
      <c r="A257" s="15" t="s">
        <v>665</v>
      </c>
      <c r="B257" s="68" t="s">
        <v>666</v>
      </c>
      <c r="C257" s="69" t="s">
        <v>667</v>
      </c>
      <c r="D257" s="70" t="s">
        <v>580</v>
      </c>
      <c r="E257" s="71" t="s">
        <v>668</v>
      </c>
      <c r="F257" s="71" t="s">
        <v>669</v>
      </c>
      <c r="G257" s="71" t="s">
        <v>670</v>
      </c>
      <c r="H257" s="1063" t="s">
        <v>832</v>
      </c>
      <c r="I257" s="52" t="s">
        <v>665</v>
      </c>
      <c r="J257" s="52" t="s">
        <v>666</v>
      </c>
      <c r="K257" s="56" t="s">
        <v>667</v>
      </c>
      <c r="L257" s="52" t="s">
        <v>580</v>
      </c>
      <c r="M257" s="57" t="s">
        <v>668</v>
      </c>
      <c r="N257" s="57" t="s">
        <v>669</v>
      </c>
      <c r="O257" s="57" t="s">
        <v>670</v>
      </c>
      <c r="P257" s="1063" t="s">
        <v>832</v>
      </c>
      <c r="Q257" s="195"/>
      <c r="R257" s="195"/>
      <c r="S257" s="195"/>
      <c r="T257" s="195"/>
      <c r="U257" s="195"/>
      <c r="V257" s="195"/>
      <c r="W257" s="195"/>
      <c r="AF257" s="195"/>
    </row>
    <row r="258" spans="1:32" ht="17.100000000000001" customHeight="1">
      <c r="A258" s="58"/>
      <c r="B258" s="72"/>
      <c r="C258" s="72"/>
      <c r="D258" s="73"/>
      <c r="E258" s="74"/>
      <c r="F258" s="74"/>
      <c r="G258" s="74"/>
      <c r="H258" s="1064"/>
      <c r="I258" s="60"/>
      <c r="J258" s="60"/>
      <c r="K258" s="60"/>
      <c r="L258" s="60"/>
      <c r="M258" s="61"/>
      <c r="N258" s="61"/>
      <c r="O258" s="61"/>
      <c r="P258" s="1064"/>
      <c r="Q258" s="195"/>
      <c r="R258" s="195"/>
      <c r="S258" s="195"/>
      <c r="T258" s="195"/>
      <c r="U258" s="195"/>
      <c r="V258" s="195"/>
      <c r="W258" s="195"/>
      <c r="AF258" s="195"/>
    </row>
    <row r="259" spans="1:32" ht="17.100000000000001" customHeight="1">
      <c r="A259" s="881"/>
      <c r="B259" s="886"/>
      <c r="C259" s="940"/>
      <c r="D259" s="865"/>
      <c r="E259" s="884"/>
      <c r="F259" s="884"/>
      <c r="G259" s="884"/>
      <c r="H259" s="325"/>
      <c r="I259" s="885"/>
      <c r="J259" s="886"/>
      <c r="K259" s="887"/>
      <c r="L259" s="888"/>
      <c r="M259" s="884"/>
      <c r="N259" s="884"/>
      <c r="O259" s="884"/>
      <c r="P259" s="878"/>
      <c r="Q259" s="195"/>
      <c r="R259" s="195"/>
      <c r="S259" s="195"/>
      <c r="T259" s="195"/>
      <c r="U259" s="195"/>
      <c r="V259" s="195"/>
      <c r="W259" s="195"/>
      <c r="AF259" s="195"/>
    </row>
    <row r="260" spans="1:32" ht="17.100000000000001" customHeight="1">
      <c r="A260" s="867"/>
      <c r="B260" s="886"/>
      <c r="C260" s="941"/>
      <c r="D260" s="869"/>
      <c r="E260" s="884"/>
      <c r="F260" s="884"/>
      <c r="G260" s="884"/>
      <c r="H260" s="325"/>
      <c r="I260" s="890"/>
      <c r="J260" s="891"/>
      <c r="K260" s="891"/>
      <c r="L260" s="892"/>
      <c r="M260" s="884"/>
      <c r="N260" s="884"/>
      <c r="O260" s="884"/>
      <c r="P260" s="878"/>
      <c r="Q260" s="195"/>
      <c r="R260" s="195"/>
      <c r="S260" s="195"/>
      <c r="T260" s="195"/>
      <c r="U260" s="195"/>
      <c r="V260" s="195"/>
      <c r="W260" s="195"/>
      <c r="AF260" s="195"/>
    </row>
    <row r="261" spans="1:32" ht="17.100000000000001" customHeight="1">
      <c r="A261" s="867"/>
      <c r="B261" s="886"/>
      <c r="C261" s="941"/>
      <c r="D261" s="869"/>
      <c r="E261" s="884"/>
      <c r="F261" s="884"/>
      <c r="G261" s="884"/>
      <c r="H261" s="325"/>
      <c r="I261" s="890"/>
      <c r="J261" s="891"/>
      <c r="K261" s="891"/>
      <c r="L261" s="892"/>
      <c r="M261" s="884"/>
      <c r="N261" s="884"/>
      <c r="O261" s="884"/>
      <c r="P261" s="878"/>
      <c r="Q261" s="195"/>
      <c r="R261" s="195"/>
      <c r="S261" s="195"/>
      <c r="T261" s="195"/>
      <c r="U261" s="195"/>
      <c r="V261" s="195"/>
      <c r="W261" s="195"/>
      <c r="AF261" s="195"/>
    </row>
    <row r="262" spans="1:32" ht="17.100000000000001" customHeight="1">
      <c r="A262" s="325"/>
      <c r="B262" s="896"/>
      <c r="C262" s="942"/>
      <c r="D262" s="884"/>
      <c r="E262" s="884"/>
      <c r="F262" s="884"/>
      <c r="G262" s="884"/>
      <c r="H262" s="325"/>
      <c r="I262" s="325"/>
      <c r="J262" s="893"/>
      <c r="K262" s="893"/>
      <c r="L262" s="884"/>
      <c r="M262" s="884"/>
      <c r="N262" s="884"/>
      <c r="O262" s="884"/>
      <c r="P262" s="878"/>
      <c r="Q262" s="195"/>
      <c r="R262" s="195"/>
      <c r="S262" s="195"/>
      <c r="T262" s="195"/>
      <c r="U262" s="195"/>
      <c r="V262" s="195"/>
      <c r="W262" s="195"/>
      <c r="AF262" s="195"/>
    </row>
    <row r="263" spans="1:32" ht="17.100000000000001" customHeight="1">
      <c r="A263" s="325"/>
      <c r="B263" s="896"/>
      <c r="C263" s="893"/>
      <c r="D263" s="884"/>
      <c r="E263" s="884"/>
      <c r="F263" s="884"/>
      <c r="G263" s="884"/>
      <c r="H263" s="325"/>
      <c r="I263" s="878"/>
      <c r="J263" s="893"/>
      <c r="K263" s="893"/>
      <c r="L263" s="884"/>
      <c r="M263" s="884"/>
      <c r="N263" s="884"/>
      <c r="O263" s="884"/>
      <c r="P263" s="878"/>
      <c r="Q263" s="195"/>
      <c r="R263" s="195"/>
      <c r="S263" s="195"/>
      <c r="T263" s="195"/>
      <c r="U263" s="195"/>
      <c r="V263" s="195"/>
      <c r="W263" s="195"/>
      <c r="AF263" s="195"/>
    </row>
    <row r="264" spans="1:32" ht="17.100000000000001" customHeight="1">
      <c r="A264" s="3"/>
      <c r="B264" s="14"/>
      <c r="C264" s="62">
        <f>SUM(C259:C262)+SUM(D265:G265)</f>
        <v>0</v>
      </c>
      <c r="D264" s="26"/>
      <c r="E264" s="26"/>
      <c r="F264" s="26"/>
      <c r="G264" s="26"/>
      <c r="H264" s="1">
        <f>+H259*C259+C260*H260+C261*H261+C262*H262+C263*H263</f>
        <v>0</v>
      </c>
      <c r="I264" s="17"/>
      <c r="J264" s="75"/>
      <c r="K264" s="62">
        <f>SUM(K259:K262)+SUM(L265:O265)</f>
        <v>0</v>
      </c>
      <c r="L264" s="26"/>
      <c r="M264" s="26"/>
      <c r="N264" s="26"/>
      <c r="O264" s="26"/>
      <c r="P264" s="1">
        <f>+P259*K259+K260*P260+K261*P261+K262*P262+K263*P263</f>
        <v>0</v>
      </c>
      <c r="Q264" s="195"/>
      <c r="R264" s="195"/>
      <c r="S264" s="195"/>
      <c r="T264" s="195"/>
      <c r="U264" s="195"/>
      <c r="V264" s="195"/>
      <c r="W264" s="195"/>
      <c r="AF264" s="195"/>
    </row>
    <row r="265" spans="1:32" ht="17.100000000000001" customHeight="1">
      <c r="A265" s="1"/>
      <c r="B265" s="62"/>
      <c r="C265" s="62"/>
      <c r="D265" s="939"/>
      <c r="E265" s="939"/>
      <c r="F265" s="939"/>
      <c r="G265" s="939"/>
      <c r="H265" s="1"/>
      <c r="I265" s="1"/>
      <c r="J265" s="62"/>
      <c r="K265" s="62"/>
      <c r="L265" s="939"/>
      <c r="M265" s="939"/>
      <c r="N265" s="939"/>
      <c r="O265" s="939"/>
      <c r="P265" s="289"/>
      <c r="Q265" s="195"/>
      <c r="R265" s="195"/>
      <c r="S265" s="195"/>
      <c r="T265" s="195"/>
      <c r="U265" s="195"/>
      <c r="V265" s="195"/>
      <c r="W265" s="195"/>
      <c r="AF265" s="195"/>
    </row>
    <row r="266" spans="1:32" ht="17.100000000000001" customHeight="1" thickBot="1">
      <c r="A266" s="3"/>
      <c r="B266" s="14"/>
      <c r="C266" s="14"/>
      <c r="D266" s="25"/>
      <c r="E266" s="25"/>
      <c r="F266" s="25"/>
      <c r="G266" s="25"/>
      <c r="H266" s="1"/>
      <c r="I266" s="3"/>
      <c r="J266" s="14"/>
      <c r="K266" s="14"/>
      <c r="L266" s="25"/>
      <c r="M266" s="25"/>
      <c r="N266" s="25"/>
      <c r="O266" s="25"/>
      <c r="P266" s="289"/>
      <c r="Q266" s="195"/>
      <c r="R266" s="195"/>
      <c r="S266" s="195"/>
      <c r="T266" s="195"/>
      <c r="U266" s="195"/>
      <c r="V266" s="195"/>
      <c r="W266" s="195"/>
      <c r="AF266" s="195"/>
    </row>
    <row r="267" spans="1:32" ht="17.100000000000001" customHeight="1" thickBot="1">
      <c r="A267" s="897"/>
      <c r="B267" s="65"/>
      <c r="C267" s="65" t="s">
        <v>636</v>
      </c>
      <c r="D267" s="66" t="s">
        <v>664</v>
      </c>
      <c r="E267" s="66"/>
      <c r="F267" s="66"/>
      <c r="G267" s="67"/>
      <c r="H267" s="1"/>
      <c r="I267" s="880"/>
      <c r="J267" s="51"/>
      <c r="K267" s="52" t="s">
        <v>636</v>
      </c>
      <c r="L267" s="53" t="s">
        <v>664</v>
      </c>
      <c r="M267" s="54"/>
      <c r="N267" s="54"/>
      <c r="O267" s="51"/>
      <c r="P267" s="289"/>
      <c r="Q267" s="195"/>
      <c r="R267" s="195"/>
      <c r="S267" s="195"/>
      <c r="T267" s="195"/>
      <c r="U267" s="195"/>
      <c r="V267" s="195"/>
      <c r="W267" s="195"/>
      <c r="AF267" s="195"/>
    </row>
    <row r="268" spans="1:32" ht="17.100000000000001" customHeight="1">
      <c r="A268" s="15" t="s">
        <v>665</v>
      </c>
      <c r="B268" s="68" t="s">
        <v>666</v>
      </c>
      <c r="C268" s="69" t="s">
        <v>667</v>
      </c>
      <c r="D268" s="70" t="s">
        <v>580</v>
      </c>
      <c r="E268" s="71" t="s">
        <v>668</v>
      </c>
      <c r="F268" s="71" t="s">
        <v>669</v>
      </c>
      <c r="G268" s="71" t="s">
        <v>670</v>
      </c>
      <c r="H268" s="1063" t="s">
        <v>832</v>
      </c>
      <c r="I268" s="52" t="s">
        <v>665</v>
      </c>
      <c r="J268" s="52" t="s">
        <v>666</v>
      </c>
      <c r="K268" s="56" t="s">
        <v>667</v>
      </c>
      <c r="L268" s="52" t="s">
        <v>580</v>
      </c>
      <c r="M268" s="57" t="s">
        <v>668</v>
      </c>
      <c r="N268" s="57" t="s">
        <v>669</v>
      </c>
      <c r="O268" s="57" t="s">
        <v>670</v>
      </c>
      <c r="P268" s="1063" t="s">
        <v>832</v>
      </c>
      <c r="Q268" s="195"/>
      <c r="R268" s="195"/>
      <c r="S268" s="195"/>
      <c r="T268" s="195"/>
      <c r="U268" s="195"/>
      <c r="V268" s="195"/>
      <c r="W268" s="195"/>
      <c r="AF268" s="195"/>
    </row>
    <row r="269" spans="1:32" ht="17.100000000000001" customHeight="1">
      <c r="A269" s="58"/>
      <c r="B269" s="72"/>
      <c r="C269" s="72"/>
      <c r="D269" s="73"/>
      <c r="E269" s="74"/>
      <c r="F269" s="74"/>
      <c r="G269" s="74"/>
      <c r="H269" s="1064"/>
      <c r="I269" s="60"/>
      <c r="J269" s="60"/>
      <c r="K269" s="60"/>
      <c r="L269" s="60"/>
      <c r="M269" s="61"/>
      <c r="N269" s="61"/>
      <c r="O269" s="61"/>
      <c r="P269" s="1064"/>
      <c r="Q269" s="195"/>
      <c r="R269" s="195"/>
      <c r="S269" s="195"/>
      <c r="T269" s="195"/>
      <c r="U269" s="195"/>
      <c r="V269" s="195"/>
      <c r="W269" s="195"/>
      <c r="AF269" s="195"/>
    </row>
    <row r="270" spans="1:32" ht="17.100000000000001" customHeight="1">
      <c r="A270" s="881"/>
      <c r="B270" s="886"/>
      <c r="C270" s="898"/>
      <c r="D270" s="865"/>
      <c r="E270" s="884"/>
      <c r="F270" s="884"/>
      <c r="G270" s="884"/>
      <c r="H270" s="325"/>
      <c r="I270" s="885"/>
      <c r="J270" s="886"/>
      <c r="K270" s="887"/>
      <c r="L270" s="888"/>
      <c r="M270" s="884"/>
      <c r="N270" s="884"/>
      <c r="O270" s="884"/>
      <c r="P270" s="878"/>
      <c r="Q270" s="195"/>
      <c r="R270" s="195"/>
      <c r="S270" s="195"/>
      <c r="T270" s="195"/>
      <c r="U270" s="195"/>
      <c r="V270" s="195"/>
      <c r="W270" s="195"/>
      <c r="AF270" s="195"/>
    </row>
    <row r="271" spans="1:32" ht="17.100000000000001" customHeight="1">
      <c r="A271" s="867"/>
      <c r="B271" s="882"/>
      <c r="C271" s="882"/>
      <c r="D271" s="869"/>
      <c r="E271" s="884"/>
      <c r="F271" s="884"/>
      <c r="G271" s="884"/>
      <c r="H271" s="325"/>
      <c r="I271" s="890"/>
      <c r="J271" s="891"/>
      <c r="K271" s="891"/>
      <c r="L271" s="892"/>
      <c r="M271" s="884"/>
      <c r="N271" s="884"/>
      <c r="O271" s="884"/>
      <c r="P271" s="878"/>
      <c r="Q271" s="195"/>
      <c r="R271" s="195"/>
      <c r="S271" s="195"/>
      <c r="T271" s="195"/>
      <c r="U271" s="195"/>
      <c r="V271" s="195"/>
      <c r="W271" s="195"/>
      <c r="AF271" s="195"/>
    </row>
    <row r="272" spans="1:32" ht="17.100000000000001" customHeight="1">
      <c r="A272" s="867"/>
      <c r="B272" s="882"/>
      <c r="C272" s="882"/>
      <c r="D272" s="869"/>
      <c r="E272" s="884"/>
      <c r="F272" s="884"/>
      <c r="G272" s="884"/>
      <c r="H272" s="325"/>
      <c r="I272" s="890"/>
      <c r="J272" s="891"/>
      <c r="K272" s="891"/>
      <c r="L272" s="892"/>
      <c r="M272" s="884"/>
      <c r="N272" s="884"/>
      <c r="O272" s="884"/>
      <c r="P272" s="878"/>
      <c r="Q272" s="195"/>
      <c r="R272" s="195"/>
      <c r="S272" s="195"/>
      <c r="T272" s="195"/>
      <c r="U272" s="195"/>
      <c r="V272" s="195"/>
      <c r="W272" s="195"/>
      <c r="AF272" s="195"/>
    </row>
    <row r="273" spans="1:32" ht="17.100000000000001" customHeight="1">
      <c r="A273" s="325"/>
      <c r="B273" s="893"/>
      <c r="C273" s="893"/>
      <c r="D273" s="884"/>
      <c r="E273" s="884"/>
      <c r="F273" s="884"/>
      <c r="G273" s="884"/>
      <c r="H273" s="325"/>
      <c r="I273" s="890"/>
      <c r="J273" s="891"/>
      <c r="K273" s="891"/>
      <c r="L273" s="892"/>
      <c r="M273" s="884"/>
      <c r="N273" s="884"/>
      <c r="O273" s="884"/>
      <c r="P273" s="878"/>
      <c r="Q273" s="195"/>
      <c r="R273" s="195"/>
      <c r="S273" s="195"/>
      <c r="T273" s="195"/>
      <c r="U273" s="195"/>
      <c r="V273" s="195"/>
      <c r="W273" s="195"/>
      <c r="AF273" s="195"/>
    </row>
    <row r="274" spans="1:32" ht="17.100000000000001" customHeight="1">
      <c r="A274" s="878"/>
      <c r="B274" s="893"/>
      <c r="C274" s="893"/>
      <c r="D274" s="884"/>
      <c r="E274" s="884"/>
      <c r="F274" s="884"/>
      <c r="G274" s="884"/>
      <c r="H274" s="325"/>
      <c r="I274" s="895"/>
      <c r="J274" s="891"/>
      <c r="K274" s="891"/>
      <c r="L274" s="892"/>
      <c r="M274" s="884"/>
      <c r="N274" s="884"/>
      <c r="O274" s="884"/>
      <c r="P274" s="878"/>
      <c r="Q274" s="195"/>
      <c r="R274" s="195"/>
      <c r="S274" s="195"/>
      <c r="T274" s="195"/>
      <c r="U274" s="195"/>
      <c r="V274" s="195"/>
      <c r="W274" s="195"/>
      <c r="AF274" s="195"/>
    </row>
    <row r="275" spans="1:32" ht="17.100000000000001" customHeight="1">
      <c r="A275" s="1"/>
      <c r="B275" s="62"/>
      <c r="C275" s="62">
        <f>SUM(C270:C273)+SUM(D276:G276)</f>
        <v>0</v>
      </c>
      <c r="D275" s="26"/>
      <c r="E275" s="26"/>
      <c r="F275" s="26"/>
      <c r="G275" s="26"/>
      <c r="H275" s="1">
        <f>+H270*C270+C271*H271+C272*H272+C273*H273+C274*H274</f>
        <v>0</v>
      </c>
      <c r="I275" s="1"/>
      <c r="J275" s="62"/>
      <c r="K275" s="62">
        <f>SUM(K270:K273)+SUM(L276:O276)</f>
        <v>0</v>
      </c>
      <c r="L275" s="26"/>
      <c r="M275" s="26"/>
      <c r="N275" s="26"/>
      <c r="O275" s="26"/>
      <c r="P275" s="1">
        <f>+P270*K270+K271*P271+K272*P272+K273*P273+K274*P274</f>
        <v>0</v>
      </c>
      <c r="Q275" s="195"/>
      <c r="R275" s="195"/>
      <c r="S275" s="195"/>
      <c r="T275" s="195"/>
      <c r="U275" s="195"/>
      <c r="V275" s="195"/>
      <c r="W275" s="195"/>
      <c r="AF275" s="195"/>
    </row>
    <row r="276" spans="1:32" ht="17.100000000000001" customHeight="1" thickBot="1">
      <c r="A276" s="3"/>
      <c r="B276" s="14"/>
      <c r="C276" s="14"/>
      <c r="D276" s="939"/>
      <c r="E276" s="939"/>
      <c r="F276" s="939"/>
      <c r="G276" s="939"/>
      <c r="H276" s="1"/>
      <c r="I276" s="3"/>
      <c r="J276" s="14"/>
      <c r="K276" s="14"/>
      <c r="L276" s="939"/>
      <c r="M276" s="939"/>
      <c r="N276" s="939"/>
      <c r="O276" s="939"/>
      <c r="P276" s="289"/>
      <c r="Q276" s="195"/>
      <c r="R276" s="195"/>
      <c r="S276" s="195"/>
      <c r="T276" s="195"/>
      <c r="U276" s="195"/>
      <c r="V276" s="195"/>
      <c r="W276" s="195"/>
      <c r="AF276" s="195"/>
    </row>
    <row r="277" spans="1:32" ht="17.100000000000001" customHeight="1" thickBot="1">
      <c r="A277" s="897"/>
      <c r="B277" s="65"/>
      <c r="C277" s="65" t="s">
        <v>636</v>
      </c>
      <c r="D277" s="66" t="s">
        <v>664</v>
      </c>
      <c r="E277" s="66"/>
      <c r="F277" s="66"/>
      <c r="G277" s="67"/>
      <c r="H277" s="1"/>
      <c r="I277" s="880"/>
      <c r="J277" s="51"/>
      <c r="K277" s="52" t="s">
        <v>636</v>
      </c>
      <c r="L277" s="53" t="s">
        <v>664</v>
      </c>
      <c r="M277" s="54"/>
      <c r="N277" s="54"/>
      <c r="O277" s="51"/>
      <c r="P277" s="289"/>
      <c r="Q277" s="195"/>
      <c r="R277" s="195"/>
      <c r="S277" s="195"/>
      <c r="T277" s="195"/>
      <c r="U277" s="195"/>
      <c r="V277" s="195"/>
      <c r="W277" s="195"/>
      <c r="AF277" s="195"/>
    </row>
    <row r="278" spans="1:32" ht="17.100000000000001" customHeight="1">
      <c r="A278" s="15" t="s">
        <v>665</v>
      </c>
      <c r="B278" s="68" t="s">
        <v>666</v>
      </c>
      <c r="C278" s="69" t="s">
        <v>667</v>
      </c>
      <c r="D278" s="70" t="s">
        <v>580</v>
      </c>
      <c r="E278" s="71" t="s">
        <v>668</v>
      </c>
      <c r="F278" s="71" t="s">
        <v>669</v>
      </c>
      <c r="G278" s="71" t="s">
        <v>670</v>
      </c>
      <c r="H278" s="1063" t="s">
        <v>832</v>
      </c>
      <c r="I278" s="52" t="s">
        <v>665</v>
      </c>
      <c r="J278" s="52" t="s">
        <v>666</v>
      </c>
      <c r="K278" s="56" t="s">
        <v>667</v>
      </c>
      <c r="L278" s="52" t="s">
        <v>580</v>
      </c>
      <c r="M278" s="57" t="s">
        <v>668</v>
      </c>
      <c r="N278" s="57" t="s">
        <v>669</v>
      </c>
      <c r="O278" s="57" t="s">
        <v>670</v>
      </c>
      <c r="P278" s="1063" t="s">
        <v>832</v>
      </c>
      <c r="Q278" s="195"/>
      <c r="R278" s="195"/>
      <c r="S278" s="195"/>
      <c r="T278" s="195"/>
      <c r="U278" s="195"/>
      <c r="V278" s="195"/>
      <c r="W278" s="195"/>
      <c r="AF278" s="195"/>
    </row>
    <row r="279" spans="1:32" ht="17.100000000000001" customHeight="1">
      <c r="A279" s="58"/>
      <c r="B279" s="72"/>
      <c r="C279" s="72"/>
      <c r="D279" s="73"/>
      <c r="E279" s="74"/>
      <c r="F279" s="74"/>
      <c r="G279" s="74"/>
      <c r="H279" s="1064"/>
      <c r="I279" s="60"/>
      <c r="J279" s="60"/>
      <c r="K279" s="60"/>
      <c r="L279" s="60"/>
      <c r="M279" s="61"/>
      <c r="N279" s="61"/>
      <c r="O279" s="61"/>
      <c r="P279" s="1064"/>
      <c r="Q279" s="195"/>
      <c r="R279" s="195"/>
      <c r="S279" s="195"/>
      <c r="T279" s="195"/>
      <c r="U279" s="195"/>
      <c r="V279" s="195"/>
      <c r="W279" s="195"/>
      <c r="AF279" s="195"/>
    </row>
    <row r="280" spans="1:32" ht="17.100000000000001" customHeight="1">
      <c r="A280" s="881"/>
      <c r="B280" s="886"/>
      <c r="C280" s="898"/>
      <c r="D280" s="865"/>
      <c r="E280" s="884"/>
      <c r="F280" s="884"/>
      <c r="G280" s="884"/>
      <c r="H280" s="325"/>
      <c r="I280" s="885"/>
      <c r="J280" s="886"/>
      <c r="K280" s="887"/>
      <c r="L280" s="888"/>
      <c r="M280" s="884"/>
      <c r="N280" s="884"/>
      <c r="O280" s="884"/>
      <c r="P280" s="878"/>
      <c r="Q280" s="195"/>
      <c r="R280" s="195"/>
      <c r="S280" s="195"/>
      <c r="T280" s="195"/>
      <c r="U280" s="195"/>
      <c r="V280" s="195"/>
      <c r="W280" s="195"/>
      <c r="AF280" s="195"/>
    </row>
    <row r="281" spans="1:32" ht="17.100000000000001" customHeight="1">
      <c r="A281" s="867"/>
      <c r="B281" s="882"/>
      <c r="C281" s="882"/>
      <c r="D281" s="869"/>
      <c r="E281" s="884"/>
      <c r="F281" s="884"/>
      <c r="G281" s="884"/>
      <c r="H281" s="325"/>
      <c r="I281" s="890"/>
      <c r="J281" s="891"/>
      <c r="K281" s="891"/>
      <c r="L281" s="892"/>
      <c r="M281" s="884"/>
      <c r="N281" s="884"/>
      <c r="O281" s="884"/>
      <c r="P281" s="878"/>
      <c r="Q281" s="195"/>
      <c r="R281" s="195"/>
      <c r="S281" s="195"/>
      <c r="T281" s="195"/>
      <c r="U281" s="195"/>
      <c r="V281" s="195"/>
      <c r="W281" s="195"/>
      <c r="AF281" s="195"/>
    </row>
    <row r="282" spans="1:32" ht="17.100000000000001" customHeight="1">
      <c r="A282" s="867"/>
      <c r="B282" s="882"/>
      <c r="C282" s="882"/>
      <c r="D282" s="869"/>
      <c r="E282" s="884"/>
      <c r="F282" s="884"/>
      <c r="G282" s="884"/>
      <c r="H282" s="325"/>
      <c r="I282" s="890"/>
      <c r="J282" s="891"/>
      <c r="K282" s="891"/>
      <c r="L282" s="892"/>
      <c r="M282" s="884"/>
      <c r="N282" s="884"/>
      <c r="O282" s="884"/>
      <c r="P282" s="878"/>
      <c r="Q282" s="195"/>
      <c r="R282" s="195"/>
      <c r="S282" s="195"/>
      <c r="T282" s="195"/>
      <c r="U282" s="195"/>
      <c r="V282" s="195"/>
      <c r="W282" s="195"/>
      <c r="AF282" s="195"/>
    </row>
    <row r="283" spans="1:32" ht="17.100000000000001" customHeight="1">
      <c r="A283" s="890"/>
      <c r="B283" s="891"/>
      <c r="C283" s="891"/>
      <c r="D283" s="892"/>
      <c r="E283" s="884"/>
      <c r="F283" s="884"/>
      <c r="G283" s="884"/>
      <c r="H283" s="325"/>
      <c r="I283" s="325"/>
      <c r="J283" s="893"/>
      <c r="K283" s="893"/>
      <c r="L283" s="884"/>
      <c r="M283" s="884"/>
      <c r="N283" s="884"/>
      <c r="O283" s="884"/>
      <c r="P283" s="878"/>
      <c r="Q283" s="195"/>
      <c r="R283" s="195"/>
      <c r="S283" s="195"/>
      <c r="T283" s="195"/>
      <c r="U283" s="195"/>
      <c r="V283" s="195"/>
      <c r="W283" s="195"/>
      <c r="AF283" s="195"/>
    </row>
    <row r="284" spans="1:32" ht="17.100000000000001" customHeight="1">
      <c r="A284" s="895"/>
      <c r="B284" s="891"/>
      <c r="C284" s="891"/>
      <c r="D284" s="892"/>
      <c r="E284" s="884"/>
      <c r="F284" s="884"/>
      <c r="G284" s="884"/>
      <c r="H284" s="325"/>
      <c r="I284" s="878"/>
      <c r="J284" s="893"/>
      <c r="K284" s="893"/>
      <c r="L284" s="884"/>
      <c r="M284" s="884"/>
      <c r="N284" s="884"/>
      <c r="O284" s="884"/>
      <c r="P284" s="878"/>
      <c r="Q284" s="195"/>
      <c r="R284" s="195"/>
      <c r="S284" s="195"/>
      <c r="T284" s="195"/>
      <c r="U284" s="195"/>
      <c r="V284" s="195"/>
      <c r="W284" s="195"/>
      <c r="AF284" s="195"/>
    </row>
    <row r="285" spans="1:32" ht="17.100000000000001" customHeight="1">
      <c r="A285" s="1"/>
      <c r="B285" s="62"/>
      <c r="C285" s="62">
        <f>SUM(C280:C283)+SUM(D286:G286)</f>
        <v>0</v>
      </c>
      <c r="D285" s="26"/>
      <c r="E285" s="26"/>
      <c r="F285" s="26"/>
      <c r="G285" s="26"/>
      <c r="H285" s="1">
        <f>+H280*C280+C281*H281+C282*H282+C283*H283+C284*H284</f>
        <v>0</v>
      </c>
      <c r="I285" s="1"/>
      <c r="J285" s="62"/>
      <c r="K285" s="62">
        <f>SUM(K280:K283)+SUM(L286:O286)</f>
        <v>0</v>
      </c>
      <c r="L285" s="26"/>
      <c r="M285" s="26"/>
      <c r="N285" s="26"/>
      <c r="O285" s="26"/>
      <c r="P285" s="1">
        <f>+P280*K280+K281*P281+K282*P282+K283*P283+K284*P284</f>
        <v>0</v>
      </c>
      <c r="Q285" s="195"/>
      <c r="R285" s="195"/>
      <c r="S285" s="195"/>
      <c r="T285" s="195"/>
      <c r="U285" s="195"/>
      <c r="V285" s="195"/>
      <c r="W285" s="195"/>
      <c r="AF285" s="195"/>
    </row>
    <row r="286" spans="1:32" ht="17.100000000000001" customHeight="1" thickBot="1">
      <c r="A286" s="3"/>
      <c r="B286" s="14"/>
      <c r="C286" s="14"/>
      <c r="D286" s="939"/>
      <c r="E286" s="939"/>
      <c r="F286" s="939"/>
      <c r="G286" s="939"/>
      <c r="H286" s="1"/>
      <c r="I286" s="3"/>
      <c r="J286" s="14"/>
      <c r="K286" s="14"/>
      <c r="L286" s="939"/>
      <c r="M286" s="939"/>
      <c r="N286" s="939"/>
      <c r="O286" s="939"/>
      <c r="P286" s="289"/>
      <c r="Q286" s="195"/>
      <c r="R286" s="195"/>
      <c r="S286" s="195"/>
      <c r="T286" s="195"/>
      <c r="U286" s="195"/>
      <c r="V286" s="195"/>
      <c r="W286" s="195"/>
      <c r="AF286" s="195"/>
    </row>
    <row r="287" spans="1:32" ht="17.100000000000001" customHeight="1" thickBot="1">
      <c r="A287" s="897"/>
      <c r="B287" s="65"/>
      <c r="C287" s="65" t="s">
        <v>636</v>
      </c>
      <c r="D287" s="66" t="s">
        <v>664</v>
      </c>
      <c r="E287" s="66"/>
      <c r="F287" s="66"/>
      <c r="G287" s="67"/>
      <c r="H287" s="1"/>
      <c r="I287" s="880"/>
      <c r="J287" s="51"/>
      <c r="K287" s="52" t="s">
        <v>636</v>
      </c>
      <c r="L287" s="53" t="s">
        <v>664</v>
      </c>
      <c r="M287" s="54"/>
      <c r="N287" s="54"/>
      <c r="O287" s="51"/>
      <c r="P287" s="289"/>
      <c r="Q287" s="195"/>
      <c r="R287" s="195"/>
      <c r="S287" s="195"/>
      <c r="T287" s="195"/>
      <c r="U287" s="195"/>
      <c r="V287" s="195"/>
      <c r="W287" s="195"/>
      <c r="AF287" s="195"/>
    </row>
    <row r="288" spans="1:32" ht="17.100000000000001" customHeight="1">
      <c r="A288" s="15" t="s">
        <v>665</v>
      </c>
      <c r="B288" s="68" t="s">
        <v>666</v>
      </c>
      <c r="C288" s="69" t="s">
        <v>667</v>
      </c>
      <c r="D288" s="70" t="s">
        <v>580</v>
      </c>
      <c r="E288" s="71" t="s">
        <v>668</v>
      </c>
      <c r="F288" s="71" t="s">
        <v>669</v>
      </c>
      <c r="G288" s="71" t="s">
        <v>670</v>
      </c>
      <c r="H288" s="1063" t="s">
        <v>832</v>
      </c>
      <c r="I288" s="52" t="s">
        <v>665</v>
      </c>
      <c r="J288" s="52" t="s">
        <v>666</v>
      </c>
      <c r="K288" s="56" t="s">
        <v>667</v>
      </c>
      <c r="L288" s="52" t="s">
        <v>580</v>
      </c>
      <c r="M288" s="57" t="s">
        <v>668</v>
      </c>
      <c r="N288" s="57" t="s">
        <v>669</v>
      </c>
      <c r="O288" s="57" t="s">
        <v>670</v>
      </c>
      <c r="P288" s="1063" t="s">
        <v>832</v>
      </c>
      <c r="Q288" s="195"/>
      <c r="R288" s="195"/>
      <c r="S288" s="195"/>
      <c r="T288" s="195"/>
      <c r="U288" s="195"/>
      <c r="V288" s="195"/>
      <c r="W288" s="195"/>
      <c r="AF288" s="195"/>
    </row>
    <row r="289" spans="1:32" ht="17.100000000000001" customHeight="1">
      <c r="A289" s="58"/>
      <c r="B289" s="72"/>
      <c r="C289" s="72"/>
      <c r="D289" s="73"/>
      <c r="E289" s="74"/>
      <c r="F289" s="74"/>
      <c r="G289" s="74"/>
      <c r="H289" s="1064"/>
      <c r="I289" s="60"/>
      <c r="J289" s="60"/>
      <c r="K289" s="60"/>
      <c r="L289" s="60"/>
      <c r="M289" s="61"/>
      <c r="N289" s="61"/>
      <c r="O289" s="61"/>
      <c r="P289" s="1064"/>
      <c r="Q289" s="195"/>
      <c r="R289" s="195"/>
      <c r="S289" s="195"/>
      <c r="T289" s="195"/>
      <c r="U289" s="195"/>
      <c r="V289" s="195"/>
      <c r="W289" s="195"/>
      <c r="AF289" s="195"/>
    </row>
    <row r="290" spans="1:32" ht="17.100000000000001" customHeight="1">
      <c r="A290" s="885"/>
      <c r="B290" s="886"/>
      <c r="C290" s="887"/>
      <c r="D290" s="884"/>
      <c r="E290" s="884"/>
      <c r="F290" s="884"/>
      <c r="G290" s="884"/>
      <c r="H290" s="325"/>
      <c r="I290" s="885"/>
      <c r="J290" s="886"/>
      <c r="K290" s="887"/>
      <c r="L290" s="888"/>
      <c r="M290" s="884"/>
      <c r="N290" s="884"/>
      <c r="O290" s="884"/>
      <c r="P290" s="878"/>
      <c r="Q290" s="195"/>
      <c r="R290" s="195"/>
      <c r="S290" s="195"/>
      <c r="T290" s="195"/>
      <c r="U290" s="195"/>
      <c r="V290" s="195"/>
      <c r="W290" s="195"/>
      <c r="AF290" s="195"/>
    </row>
    <row r="291" spans="1:32" ht="17.100000000000001" customHeight="1">
      <c r="A291" s="325"/>
      <c r="B291" s="893"/>
      <c r="C291" s="893"/>
      <c r="D291" s="884"/>
      <c r="E291" s="884"/>
      <c r="F291" s="884"/>
      <c r="G291" s="884"/>
      <c r="H291" s="325"/>
      <c r="I291" s="890"/>
      <c r="J291" s="891"/>
      <c r="K291" s="891"/>
      <c r="L291" s="892"/>
      <c r="M291" s="884"/>
      <c r="N291" s="884"/>
      <c r="O291" s="884"/>
      <c r="P291" s="878"/>
      <c r="Q291" s="195"/>
      <c r="R291" s="195"/>
      <c r="S291" s="195"/>
      <c r="T291" s="195"/>
      <c r="U291" s="195"/>
      <c r="V291" s="195"/>
      <c r="W291" s="195"/>
      <c r="AF291" s="195"/>
    </row>
    <row r="292" spans="1:32" ht="17.100000000000001" customHeight="1">
      <c r="A292" s="325"/>
      <c r="B292" s="893"/>
      <c r="C292" s="893"/>
      <c r="D292" s="884"/>
      <c r="E292" s="884"/>
      <c r="F292" s="884"/>
      <c r="G292" s="884"/>
      <c r="H292" s="325"/>
      <c r="I292" s="890"/>
      <c r="J292" s="891"/>
      <c r="K292" s="891"/>
      <c r="L292" s="892"/>
      <c r="M292" s="884"/>
      <c r="N292" s="884"/>
      <c r="O292" s="884"/>
      <c r="P292" s="878"/>
      <c r="Q292" s="195"/>
      <c r="R292" s="195"/>
      <c r="S292" s="195"/>
      <c r="T292" s="195"/>
      <c r="U292" s="195"/>
      <c r="V292" s="195"/>
      <c r="W292" s="195"/>
      <c r="AF292" s="195"/>
    </row>
    <row r="293" spans="1:32" ht="17.100000000000001" customHeight="1">
      <c r="A293" s="325"/>
      <c r="B293" s="893"/>
      <c r="C293" s="893"/>
      <c r="D293" s="884"/>
      <c r="E293" s="884"/>
      <c r="F293" s="884"/>
      <c r="G293" s="884"/>
      <c r="H293" s="325"/>
      <c r="I293" s="890"/>
      <c r="J293" s="891"/>
      <c r="K293" s="891"/>
      <c r="L293" s="892"/>
      <c r="M293" s="884"/>
      <c r="N293" s="884"/>
      <c r="O293" s="884"/>
      <c r="P293" s="878"/>
      <c r="Q293" s="195"/>
      <c r="R293" s="195"/>
      <c r="S293" s="195"/>
      <c r="T293" s="195"/>
      <c r="U293" s="195"/>
      <c r="V293" s="195"/>
      <c r="W293" s="195"/>
      <c r="AF293" s="195"/>
    </row>
    <row r="294" spans="1:32" ht="17.100000000000001" customHeight="1">
      <c r="A294" s="878"/>
      <c r="B294" s="893"/>
      <c r="C294" s="893"/>
      <c r="D294" s="884"/>
      <c r="E294" s="884"/>
      <c r="F294" s="884"/>
      <c r="G294" s="884"/>
      <c r="H294" s="325"/>
      <c r="I294" s="895"/>
      <c r="J294" s="891"/>
      <c r="K294" s="891"/>
      <c r="L294" s="892"/>
      <c r="M294" s="884"/>
      <c r="N294" s="884"/>
      <c r="O294" s="884"/>
      <c r="P294" s="878"/>
      <c r="Q294" s="195"/>
      <c r="R294" s="195"/>
      <c r="S294" s="195"/>
      <c r="T294" s="195"/>
      <c r="U294" s="195"/>
      <c r="V294" s="195"/>
      <c r="W294" s="195"/>
      <c r="AF294" s="195"/>
    </row>
    <row r="295" spans="1:32" ht="17.100000000000001" customHeight="1">
      <c r="A295" s="1"/>
      <c r="B295" s="62"/>
      <c r="C295" s="62">
        <f>SUM(C290:C293)+SUM(D296:G296)</f>
        <v>0</v>
      </c>
      <c r="D295" s="26"/>
      <c r="E295" s="26"/>
      <c r="F295" s="26"/>
      <c r="G295" s="26"/>
      <c r="H295" s="1">
        <f>+H290*C290+C291*H291+C292*H292+C293*H293+C294*H294</f>
        <v>0</v>
      </c>
      <c r="I295" s="1"/>
      <c r="J295" s="62"/>
      <c r="K295" s="62">
        <f>SUM(K290:K293)+SUM(L296:O296)</f>
        <v>0</v>
      </c>
      <c r="L295" s="26"/>
      <c r="M295" s="26"/>
      <c r="N295" s="26"/>
      <c r="O295" s="26"/>
      <c r="P295" s="1">
        <f>+P290*K290+K291*P291+K292*P292+K293*P293+K294*P294</f>
        <v>0</v>
      </c>
      <c r="Q295" s="195"/>
      <c r="R295" s="195"/>
      <c r="S295" s="195"/>
      <c r="T295" s="195"/>
      <c r="U295" s="195"/>
      <c r="V295" s="195"/>
      <c r="W295" s="195"/>
      <c r="AF295" s="195"/>
    </row>
    <row r="296" spans="1:32" ht="17.100000000000001" customHeight="1" thickBot="1">
      <c r="A296" s="3"/>
      <c r="B296" s="14"/>
      <c r="C296" s="14"/>
      <c r="D296" s="939"/>
      <c r="E296" s="939"/>
      <c r="F296" s="939"/>
      <c r="G296" s="939"/>
      <c r="H296" s="1"/>
      <c r="I296" s="3"/>
      <c r="J296" s="14"/>
      <c r="K296" s="14"/>
      <c r="L296" s="939"/>
      <c r="M296" s="939"/>
      <c r="N296" s="939"/>
      <c r="O296" s="939"/>
      <c r="P296" s="289"/>
      <c r="Q296" s="195"/>
      <c r="R296" s="195"/>
      <c r="S296" s="195"/>
      <c r="T296" s="195"/>
      <c r="U296" s="195"/>
      <c r="V296" s="195"/>
      <c r="W296" s="195"/>
      <c r="AF296" s="195"/>
    </row>
    <row r="297" spans="1:32" ht="17.100000000000001" customHeight="1" thickBot="1">
      <c r="A297" s="897"/>
      <c r="B297" s="65"/>
      <c r="C297" s="65" t="s">
        <v>636</v>
      </c>
      <c r="D297" s="66" t="s">
        <v>664</v>
      </c>
      <c r="E297" s="66"/>
      <c r="F297" s="66"/>
      <c r="G297" s="67"/>
      <c r="H297" s="1"/>
      <c r="I297" s="880"/>
      <c r="J297" s="51"/>
      <c r="K297" s="52" t="s">
        <v>636</v>
      </c>
      <c r="L297" s="53" t="s">
        <v>664</v>
      </c>
      <c r="M297" s="54"/>
      <c r="N297" s="54"/>
      <c r="O297" s="51"/>
      <c r="P297" s="289"/>
      <c r="Q297" s="195"/>
      <c r="R297" s="195"/>
      <c r="S297" s="195"/>
      <c r="T297" s="195"/>
      <c r="U297" s="195"/>
      <c r="V297" s="195"/>
      <c r="W297" s="195"/>
      <c r="AF297" s="195"/>
    </row>
    <row r="298" spans="1:32" ht="17.100000000000001" customHeight="1">
      <c r="A298" s="15" t="s">
        <v>665</v>
      </c>
      <c r="B298" s="68" t="s">
        <v>666</v>
      </c>
      <c r="C298" s="69" t="s">
        <v>667</v>
      </c>
      <c r="D298" s="70" t="s">
        <v>580</v>
      </c>
      <c r="E298" s="71" t="s">
        <v>668</v>
      </c>
      <c r="F298" s="71" t="s">
        <v>669</v>
      </c>
      <c r="G298" s="71" t="s">
        <v>670</v>
      </c>
      <c r="H298" s="1063" t="s">
        <v>832</v>
      </c>
      <c r="I298" s="52" t="s">
        <v>665</v>
      </c>
      <c r="J298" s="52" t="s">
        <v>666</v>
      </c>
      <c r="K298" s="56" t="s">
        <v>667</v>
      </c>
      <c r="L298" s="52" t="s">
        <v>580</v>
      </c>
      <c r="M298" s="57" t="s">
        <v>668</v>
      </c>
      <c r="N298" s="57" t="s">
        <v>669</v>
      </c>
      <c r="O298" s="57" t="s">
        <v>670</v>
      </c>
      <c r="P298" s="1063" t="s">
        <v>832</v>
      </c>
      <c r="Q298" s="195"/>
      <c r="R298" s="195"/>
      <c r="S298" s="195"/>
      <c r="T298" s="195"/>
      <c r="U298" s="195"/>
      <c r="V298" s="195"/>
      <c r="W298" s="195"/>
      <c r="AF298" s="195"/>
    </row>
    <row r="299" spans="1:32" ht="17.100000000000001" customHeight="1">
      <c r="A299" s="58"/>
      <c r="B299" s="72"/>
      <c r="C299" s="72"/>
      <c r="D299" s="73"/>
      <c r="E299" s="74"/>
      <c r="F299" s="74"/>
      <c r="G299" s="74"/>
      <c r="H299" s="1064"/>
      <c r="I299" s="60"/>
      <c r="J299" s="60"/>
      <c r="K299" s="60"/>
      <c r="L299" s="60"/>
      <c r="M299" s="61"/>
      <c r="N299" s="61"/>
      <c r="O299" s="61"/>
      <c r="P299" s="1064"/>
      <c r="Q299" s="195"/>
      <c r="R299" s="195"/>
      <c r="S299" s="195"/>
      <c r="T299" s="195"/>
      <c r="U299" s="195"/>
      <c r="V299" s="195"/>
      <c r="W299" s="195"/>
      <c r="AF299" s="195"/>
    </row>
    <row r="300" spans="1:32" ht="17.100000000000001" customHeight="1">
      <c r="A300" s="885"/>
      <c r="B300" s="886"/>
      <c r="C300" s="887"/>
      <c r="D300" s="884"/>
      <c r="E300" s="884"/>
      <c r="F300" s="884"/>
      <c r="G300" s="884"/>
      <c r="H300" s="325"/>
      <c r="I300" s="885"/>
      <c r="J300" s="886"/>
      <c r="K300" s="887"/>
      <c r="L300" s="888"/>
      <c r="M300" s="884"/>
      <c r="N300" s="884"/>
      <c r="O300" s="884"/>
      <c r="P300" s="878"/>
      <c r="Q300" s="195"/>
      <c r="R300" s="195"/>
      <c r="S300" s="195"/>
      <c r="T300" s="195"/>
      <c r="U300" s="195"/>
      <c r="V300" s="195"/>
      <c r="W300" s="195"/>
      <c r="AF300" s="195"/>
    </row>
    <row r="301" spans="1:32" ht="17.100000000000001" customHeight="1">
      <c r="A301" s="325"/>
      <c r="B301" s="893"/>
      <c r="C301" s="893"/>
      <c r="D301" s="884"/>
      <c r="E301" s="884"/>
      <c r="F301" s="884"/>
      <c r="G301" s="884"/>
      <c r="H301" s="325"/>
      <c r="I301" s="890"/>
      <c r="J301" s="891"/>
      <c r="K301" s="891"/>
      <c r="L301" s="892"/>
      <c r="M301" s="884"/>
      <c r="N301" s="884"/>
      <c r="O301" s="884"/>
      <c r="P301" s="878"/>
      <c r="Q301" s="195"/>
      <c r="R301" s="195"/>
      <c r="S301" s="195"/>
      <c r="T301" s="195"/>
      <c r="U301" s="195"/>
      <c r="V301" s="195"/>
      <c r="W301" s="195"/>
      <c r="AF301" s="195"/>
    </row>
    <row r="302" spans="1:32" ht="17.100000000000001" customHeight="1">
      <c r="A302" s="325"/>
      <c r="B302" s="893"/>
      <c r="C302" s="893"/>
      <c r="D302" s="884"/>
      <c r="E302" s="884"/>
      <c r="F302" s="884"/>
      <c r="G302" s="884"/>
      <c r="H302" s="325"/>
      <c r="I302" s="890"/>
      <c r="J302" s="891"/>
      <c r="K302" s="891"/>
      <c r="L302" s="892"/>
      <c r="M302" s="884"/>
      <c r="N302" s="884"/>
      <c r="O302" s="884"/>
      <c r="P302" s="878"/>
      <c r="Q302" s="195"/>
      <c r="R302" s="195"/>
      <c r="S302" s="195"/>
      <c r="T302" s="195"/>
      <c r="U302" s="195"/>
      <c r="V302" s="195"/>
      <c r="W302" s="195"/>
      <c r="AF302" s="195"/>
    </row>
    <row r="303" spans="1:32" ht="17.100000000000001" customHeight="1">
      <c r="A303" s="325"/>
      <c r="B303" s="893"/>
      <c r="C303" s="893"/>
      <c r="D303" s="884"/>
      <c r="E303" s="884"/>
      <c r="F303" s="884"/>
      <c r="G303" s="884"/>
      <c r="H303" s="325"/>
      <c r="I303" s="325"/>
      <c r="J303" s="893"/>
      <c r="K303" s="893"/>
      <c r="L303" s="884"/>
      <c r="M303" s="884"/>
      <c r="N303" s="884"/>
      <c r="O303" s="884"/>
      <c r="P303" s="878"/>
      <c r="Q303" s="195"/>
      <c r="R303" s="195"/>
      <c r="S303" s="195"/>
      <c r="T303" s="195"/>
      <c r="U303" s="195"/>
      <c r="V303" s="195"/>
      <c r="W303" s="195"/>
      <c r="AF303" s="195"/>
    </row>
    <row r="304" spans="1:32" ht="17.100000000000001" customHeight="1">
      <c r="A304" s="878"/>
      <c r="B304" s="893"/>
      <c r="C304" s="893"/>
      <c r="D304" s="884"/>
      <c r="E304" s="884"/>
      <c r="F304" s="884"/>
      <c r="G304" s="884"/>
      <c r="H304" s="325"/>
      <c r="I304" s="878"/>
      <c r="J304" s="893"/>
      <c r="K304" s="893"/>
      <c r="L304" s="884"/>
      <c r="M304" s="884"/>
      <c r="N304" s="884"/>
      <c r="O304" s="884"/>
      <c r="P304" s="878"/>
      <c r="Q304" s="195"/>
      <c r="R304" s="195"/>
      <c r="S304" s="195"/>
      <c r="T304" s="195"/>
      <c r="U304" s="195"/>
      <c r="V304" s="195"/>
      <c r="W304" s="195"/>
      <c r="AF304" s="195"/>
    </row>
    <row r="305" spans="1:32" ht="17.100000000000001" customHeight="1">
      <c r="A305" s="1"/>
      <c r="B305" s="62"/>
      <c r="C305" s="62">
        <f>SUM(C300:C303)+SUM(D306:G306)</f>
        <v>0</v>
      </c>
      <c r="D305" s="26"/>
      <c r="E305" s="26"/>
      <c r="F305" s="26"/>
      <c r="G305" s="26"/>
      <c r="H305" s="1">
        <f>+H300*C300+C301*H301+C302*H302+C303*H303+C304*H304</f>
        <v>0</v>
      </c>
      <c r="I305" s="1"/>
      <c r="J305" s="1"/>
      <c r="K305" s="62">
        <f>SUM(K300:K303)+SUM(L306:O306)</f>
        <v>0</v>
      </c>
      <c r="L305" s="26"/>
      <c r="M305" s="26"/>
      <c r="N305" s="26"/>
      <c r="O305" s="26"/>
      <c r="P305" s="1">
        <f>+P300*K300+K301*P301+K302*P302+K303*P303+K304*P304</f>
        <v>0</v>
      </c>
      <c r="Q305" s="195"/>
      <c r="R305" s="195"/>
      <c r="S305" s="195"/>
      <c r="T305" s="195"/>
      <c r="U305" s="195"/>
      <c r="V305" s="195"/>
      <c r="W305" s="195"/>
      <c r="AF305" s="195"/>
    </row>
    <row r="306" spans="1:32" ht="17.100000000000001" customHeight="1">
      <c r="A306" s="1"/>
      <c r="B306" s="62"/>
      <c r="C306" s="62"/>
      <c r="D306" s="939"/>
      <c r="E306" s="939"/>
      <c r="F306" s="939"/>
      <c r="G306" s="939"/>
      <c r="H306" s="1"/>
      <c r="I306" s="1"/>
      <c r="J306" s="1"/>
      <c r="K306" s="1"/>
      <c r="L306" s="939"/>
      <c r="M306" s="939"/>
      <c r="N306" s="939"/>
      <c r="O306" s="939"/>
      <c r="P306" s="195"/>
      <c r="Q306" s="195"/>
      <c r="R306" s="195"/>
      <c r="S306" s="195"/>
      <c r="T306" s="195"/>
      <c r="U306" s="195"/>
      <c r="V306" s="195"/>
      <c r="W306" s="195"/>
      <c r="AF306" s="195"/>
    </row>
    <row r="307" spans="1:32" ht="17.100000000000001" customHeight="1">
      <c r="A307" s="170" t="s">
        <v>246</v>
      </c>
      <c r="B307" s="62"/>
      <c r="C307" s="62"/>
      <c r="D307" s="63"/>
      <c r="E307" s="63"/>
      <c r="F307" s="63"/>
      <c r="G307" s="63"/>
      <c r="H307" s="1"/>
      <c r="I307" s="1"/>
      <c r="J307" s="1"/>
      <c r="K307" s="1"/>
      <c r="L307" s="1"/>
      <c r="M307" s="1"/>
      <c r="N307" s="1"/>
      <c r="O307" s="195"/>
      <c r="P307" s="195"/>
      <c r="Q307" s="195"/>
      <c r="R307" s="195"/>
      <c r="S307" s="195"/>
      <c r="T307" s="195"/>
      <c r="U307" s="195"/>
      <c r="V307" s="195"/>
      <c r="W307" s="195"/>
      <c r="AF307" s="195"/>
    </row>
    <row r="308" spans="1:32" ht="17.100000000000001" customHeight="1">
      <c r="A308" s="3"/>
      <c r="B308" s="14"/>
      <c r="C308" s="62"/>
      <c r="D308" s="63"/>
      <c r="E308" s="63"/>
      <c r="F308" s="63"/>
      <c r="G308" s="63"/>
      <c r="H308" s="1"/>
      <c r="I308" s="1"/>
      <c r="J308" s="1"/>
      <c r="K308" s="1"/>
      <c r="L308" s="1"/>
      <c r="M308" s="1"/>
      <c r="N308" s="1"/>
      <c r="O308" s="195"/>
      <c r="P308" s="195"/>
      <c r="Q308" s="195"/>
      <c r="R308" s="195"/>
      <c r="S308" s="195"/>
      <c r="T308" s="195"/>
      <c r="U308" s="195"/>
      <c r="V308" s="195"/>
      <c r="W308" s="195"/>
      <c r="AF308" s="195"/>
    </row>
    <row r="309" spans="1:32" ht="17.100000000000001" customHeight="1">
      <c r="A309" s="77" t="s">
        <v>671</v>
      </c>
      <c r="B309" s="78" t="s">
        <v>672</v>
      </c>
      <c r="C309" s="79"/>
      <c r="D309" s="80"/>
      <c r="E309" s="80"/>
      <c r="F309" s="80"/>
      <c r="G309" s="80"/>
      <c r="H309" s="81"/>
      <c r="I309" s="81"/>
      <c r="J309" s="81"/>
      <c r="K309" s="1158" t="s">
        <v>673</v>
      </c>
      <c r="L309" s="1"/>
      <c r="M309" s="1"/>
      <c r="N309" s="1"/>
      <c r="O309" s="195"/>
      <c r="P309" s="195"/>
      <c r="Q309" s="195"/>
      <c r="R309" s="195"/>
      <c r="S309" s="195"/>
      <c r="T309" s="195"/>
      <c r="U309" s="195"/>
      <c r="V309" s="195"/>
      <c r="W309" s="195"/>
      <c r="AF309" s="195"/>
    </row>
    <row r="310" spans="1:32" ht="17.100000000000001" customHeight="1">
      <c r="A310" s="18"/>
      <c r="B310" s="82" t="s">
        <v>674</v>
      </c>
      <c r="C310" s="83" t="s">
        <v>675</v>
      </c>
      <c r="D310" s="84" t="s">
        <v>676</v>
      </c>
      <c r="E310" s="83" t="s">
        <v>677</v>
      </c>
      <c r="F310" s="84" t="s">
        <v>676</v>
      </c>
      <c r="G310" s="83" t="s">
        <v>678</v>
      </c>
      <c r="H310" s="84" t="s">
        <v>676</v>
      </c>
      <c r="I310" s="83" t="s">
        <v>679</v>
      </c>
      <c r="J310" s="84" t="s">
        <v>676</v>
      </c>
      <c r="K310" s="1064"/>
      <c r="L310" s="1"/>
      <c r="M310" s="1"/>
      <c r="N310" s="1"/>
      <c r="O310" s="195"/>
      <c r="P310" s="195"/>
      <c r="Q310" s="195"/>
      <c r="R310" s="195"/>
      <c r="S310" s="195"/>
      <c r="T310" s="195"/>
      <c r="U310" s="195"/>
      <c r="V310" s="195"/>
      <c r="W310" s="195"/>
      <c r="AF310" s="195"/>
    </row>
    <row r="311" spans="1:32" ht="17.100000000000001" customHeight="1">
      <c r="A311" s="325"/>
      <c r="B311" s="180">
        <f>D311+F311+H311+J311</f>
        <v>0</v>
      </c>
      <c r="C311" s="985" t="str">
        <f>+D254</f>
        <v/>
      </c>
      <c r="D311" s="986">
        <f>+D255</f>
        <v>0</v>
      </c>
      <c r="E311" s="987" t="str">
        <f>+E254</f>
        <v/>
      </c>
      <c r="F311" s="986">
        <f>+E255</f>
        <v>0</v>
      </c>
      <c r="G311" s="987" t="str">
        <f>+F254</f>
        <v/>
      </c>
      <c r="H311" s="986">
        <f>+F255</f>
        <v>0</v>
      </c>
      <c r="I311" s="988" t="str">
        <f>+G254</f>
        <v/>
      </c>
      <c r="J311" s="989">
        <f>+G255</f>
        <v>0</v>
      </c>
      <c r="K311" s="879">
        <v>0</v>
      </c>
      <c r="L311" s="1"/>
      <c r="M311" s="1"/>
      <c r="N311" s="1"/>
      <c r="O311" s="195"/>
      <c r="P311" s="195"/>
      <c r="Q311" s="195"/>
      <c r="R311" s="195"/>
      <c r="S311" s="195"/>
      <c r="T311" s="195"/>
      <c r="U311" s="195"/>
      <c r="V311" s="195"/>
      <c r="W311" s="195"/>
      <c r="AF311" s="195"/>
    </row>
    <row r="312" spans="1:32" ht="17.100000000000001" customHeight="1">
      <c r="A312" s="325"/>
      <c r="B312" s="180">
        <f t="shared" ref="B312:B322" si="12">D312+F312+H312+J312</f>
        <v>0</v>
      </c>
      <c r="C312" s="985">
        <f>+D264</f>
        <v>0</v>
      </c>
      <c r="D312" s="989">
        <f>+D265</f>
        <v>0</v>
      </c>
      <c r="E312" s="977">
        <f>+E264</f>
        <v>0</v>
      </c>
      <c r="F312" s="989">
        <f>+E265</f>
        <v>0</v>
      </c>
      <c r="G312" s="977">
        <f>+F264</f>
        <v>0</v>
      </c>
      <c r="H312" s="989">
        <f>+F265</f>
        <v>0</v>
      </c>
      <c r="I312" s="183">
        <f>+G264</f>
        <v>0</v>
      </c>
      <c r="J312" s="989">
        <f>+G265</f>
        <v>0</v>
      </c>
      <c r="K312" s="879">
        <v>0</v>
      </c>
      <c r="L312" s="1"/>
      <c r="M312" s="1"/>
      <c r="N312" s="1"/>
      <c r="O312" s="195"/>
      <c r="P312" s="195"/>
      <c r="Q312" s="195"/>
      <c r="R312" s="195"/>
      <c r="S312" s="195"/>
      <c r="T312" s="195"/>
      <c r="U312" s="195"/>
      <c r="V312" s="195"/>
      <c r="W312" s="195"/>
      <c r="AF312" s="195"/>
    </row>
    <row r="313" spans="1:32" ht="17.100000000000001" customHeight="1">
      <c r="A313" s="325"/>
      <c r="B313" s="180">
        <f t="shared" si="12"/>
        <v>0</v>
      </c>
      <c r="C313" s="985">
        <f>+D275</f>
        <v>0</v>
      </c>
      <c r="D313" s="989">
        <f>+D276</f>
        <v>0</v>
      </c>
      <c r="E313" s="977">
        <f>+E275</f>
        <v>0</v>
      </c>
      <c r="F313" s="989">
        <f>+E276</f>
        <v>0</v>
      </c>
      <c r="G313" s="977">
        <f>+F275</f>
        <v>0</v>
      </c>
      <c r="H313" s="989">
        <f>+F276</f>
        <v>0</v>
      </c>
      <c r="I313" s="183">
        <f>+G275</f>
        <v>0</v>
      </c>
      <c r="J313" s="989">
        <f>+G276</f>
        <v>0</v>
      </c>
      <c r="K313" s="879">
        <v>0</v>
      </c>
      <c r="L313" s="1"/>
      <c r="M313" s="1008" t="s">
        <v>600</v>
      </c>
      <c r="N313" s="1008" t="s">
        <v>601</v>
      </c>
      <c r="O313" s="1008" t="s">
        <v>602</v>
      </c>
      <c r="P313" s="195"/>
      <c r="Q313" s="195"/>
      <c r="R313" s="195"/>
      <c r="S313" s="195"/>
      <c r="T313" s="195"/>
      <c r="U313" s="195"/>
      <c r="V313" s="195"/>
      <c r="W313" s="195"/>
      <c r="AF313" s="195"/>
    </row>
    <row r="314" spans="1:32" ht="17.100000000000001" customHeight="1">
      <c r="A314" s="325"/>
      <c r="B314" s="180">
        <f t="shared" si="12"/>
        <v>0</v>
      </c>
      <c r="C314" s="985">
        <f>+D285</f>
        <v>0</v>
      </c>
      <c r="D314" s="989">
        <f>+D286</f>
        <v>0</v>
      </c>
      <c r="E314" s="977">
        <f>+E285</f>
        <v>0</v>
      </c>
      <c r="F314" s="989">
        <f>+E286</f>
        <v>0</v>
      </c>
      <c r="G314" s="977">
        <f>+F285</f>
        <v>0</v>
      </c>
      <c r="H314" s="989">
        <f>+F286</f>
        <v>0</v>
      </c>
      <c r="I314" s="183">
        <f>+G285</f>
        <v>0</v>
      </c>
      <c r="J314" s="989">
        <f>+G286</f>
        <v>0</v>
      </c>
      <c r="K314" s="879">
        <v>0</v>
      </c>
      <c r="L314" s="23" t="s">
        <v>876</v>
      </c>
      <c r="M314" s="187">
        <f>+P314/100</f>
        <v>8.5000000000000006E-2</v>
      </c>
      <c r="N314" s="187">
        <v>8.5000000000000006E-2</v>
      </c>
      <c r="O314" s="187">
        <v>8.5000000000000006E-2</v>
      </c>
      <c r="P314" s="195">
        <v>8.5</v>
      </c>
      <c r="Q314" s="195">
        <v>8.5</v>
      </c>
      <c r="R314" s="195">
        <v>8.5</v>
      </c>
      <c r="S314" s="195"/>
      <c r="T314" s="195"/>
      <c r="U314" s="195"/>
      <c r="V314" s="195"/>
      <c r="W314" s="195"/>
      <c r="AF314" s="195"/>
    </row>
    <row r="315" spans="1:32" ht="17.100000000000001" customHeight="1">
      <c r="A315" s="325"/>
      <c r="B315" s="180">
        <f t="shared" si="12"/>
        <v>0</v>
      </c>
      <c r="C315" s="985">
        <f>+D295</f>
        <v>0</v>
      </c>
      <c r="D315" s="989">
        <f>+D296</f>
        <v>0</v>
      </c>
      <c r="E315" s="977">
        <f>+E295</f>
        <v>0</v>
      </c>
      <c r="F315" s="989">
        <f>+E296</f>
        <v>0</v>
      </c>
      <c r="G315" s="977">
        <f>+F295</f>
        <v>0</v>
      </c>
      <c r="H315" s="989">
        <f>+F296</f>
        <v>0</v>
      </c>
      <c r="I315" s="183">
        <f>+G295</f>
        <v>0</v>
      </c>
      <c r="J315" s="989">
        <f>+G296</f>
        <v>0</v>
      </c>
      <c r="K315" s="879">
        <v>0</v>
      </c>
      <c r="L315" s="23" t="s">
        <v>877</v>
      </c>
      <c r="M315" s="187">
        <f t="shared" ref="M315:M321" si="13">+P315/100</f>
        <v>0.12</v>
      </c>
      <c r="N315" s="187">
        <v>0.12</v>
      </c>
      <c r="O315" s="187">
        <v>0.12</v>
      </c>
      <c r="P315" s="195">
        <v>12</v>
      </c>
      <c r="Q315" s="195">
        <v>12</v>
      </c>
      <c r="R315" s="195">
        <v>12</v>
      </c>
      <c r="S315" s="195"/>
      <c r="T315" s="195"/>
      <c r="U315" s="195"/>
      <c r="V315" s="195"/>
      <c r="W315" s="195"/>
      <c r="AF315" s="195"/>
    </row>
    <row r="316" spans="1:32" ht="17.100000000000001" customHeight="1">
      <c r="A316" s="325"/>
      <c r="B316" s="180">
        <f t="shared" si="12"/>
        <v>0</v>
      </c>
      <c r="C316" s="985">
        <f>+D305</f>
        <v>0</v>
      </c>
      <c r="D316" s="989">
        <f>+D306</f>
        <v>0</v>
      </c>
      <c r="E316" s="977">
        <f>+E305</f>
        <v>0</v>
      </c>
      <c r="F316" s="989">
        <f>+E306</f>
        <v>0</v>
      </c>
      <c r="G316" s="977">
        <f>+F305</f>
        <v>0</v>
      </c>
      <c r="H316" s="989">
        <f>+F306</f>
        <v>0</v>
      </c>
      <c r="I316" s="183">
        <f>+G305</f>
        <v>0</v>
      </c>
      <c r="J316" s="989">
        <f>+G306</f>
        <v>0</v>
      </c>
      <c r="K316" s="879">
        <v>0</v>
      </c>
      <c r="L316" s="23" t="s">
        <v>878</v>
      </c>
      <c r="M316" s="187">
        <f t="shared" si="13"/>
        <v>0.01</v>
      </c>
      <c r="N316" s="187">
        <v>0.01</v>
      </c>
      <c r="O316" s="187">
        <v>0.01</v>
      </c>
      <c r="P316" s="195">
        <v>1</v>
      </c>
      <c r="Q316" s="195">
        <v>1</v>
      </c>
      <c r="R316" s="195">
        <v>1</v>
      </c>
      <c r="S316" s="195"/>
      <c r="T316" s="195"/>
      <c r="U316" s="195"/>
      <c r="V316" s="195"/>
      <c r="W316" s="195"/>
      <c r="AF316" s="195"/>
    </row>
    <row r="317" spans="1:32" ht="17.100000000000001" customHeight="1">
      <c r="A317" s="325"/>
      <c r="B317" s="180">
        <f t="shared" si="12"/>
        <v>0</v>
      </c>
      <c r="C317" s="985">
        <f>+L254</f>
        <v>0</v>
      </c>
      <c r="D317" s="989">
        <f>+L255</f>
        <v>0</v>
      </c>
      <c r="E317" s="977">
        <f>+M254</f>
        <v>0</v>
      </c>
      <c r="F317" s="989">
        <f>+M255</f>
        <v>0</v>
      </c>
      <c r="G317" s="977">
        <f>+N254</f>
        <v>0</v>
      </c>
      <c r="H317" s="989">
        <f>+N255</f>
        <v>0</v>
      </c>
      <c r="I317" s="183">
        <f>+O254</f>
        <v>0</v>
      </c>
      <c r="J317" s="989">
        <f>+O255</f>
        <v>0</v>
      </c>
      <c r="K317" s="879">
        <v>0</v>
      </c>
      <c r="L317" s="23" t="s">
        <v>879</v>
      </c>
      <c r="M317" s="187">
        <f t="shared" si="13"/>
        <v>8.3299999999999999E-2</v>
      </c>
      <c r="N317" s="187">
        <v>8.3299999999999999E-2</v>
      </c>
      <c r="O317" s="187">
        <v>8.3299999999999999E-2</v>
      </c>
      <c r="P317" s="195">
        <v>8.33</v>
      </c>
      <c r="Q317" s="195">
        <v>8.33</v>
      </c>
      <c r="R317" s="195">
        <v>8.33</v>
      </c>
      <c r="S317" s="195"/>
      <c r="T317" s="195"/>
      <c r="U317" s="195"/>
      <c r="V317" s="195"/>
      <c r="W317" s="195"/>
      <c r="AF317" s="195"/>
    </row>
    <row r="318" spans="1:32" ht="17.100000000000001" customHeight="1">
      <c r="A318" s="325"/>
      <c r="B318" s="180">
        <f t="shared" si="12"/>
        <v>0</v>
      </c>
      <c r="C318" s="985">
        <f>+L264</f>
        <v>0</v>
      </c>
      <c r="D318" s="989">
        <f>+L265</f>
        <v>0</v>
      </c>
      <c r="E318" s="977">
        <f>+M264</f>
        <v>0</v>
      </c>
      <c r="F318" s="989">
        <f>+M265</f>
        <v>0</v>
      </c>
      <c r="G318" s="977">
        <f>+N264</f>
        <v>0</v>
      </c>
      <c r="H318" s="989">
        <f>+N265</f>
        <v>0</v>
      </c>
      <c r="I318" s="183">
        <f>+O264</f>
        <v>0</v>
      </c>
      <c r="J318" s="989">
        <f>+O265</f>
        <v>0</v>
      </c>
      <c r="K318" s="879">
        <v>0</v>
      </c>
      <c r="L318" s="23" t="s">
        <v>880</v>
      </c>
      <c r="M318" s="187">
        <f t="shared" si="13"/>
        <v>8.3299999999999999E-2</v>
      </c>
      <c r="N318" s="187">
        <v>8.3299999999999999E-2</v>
      </c>
      <c r="O318" s="187">
        <v>8.3299999999999999E-2</v>
      </c>
      <c r="P318" s="195">
        <v>8.33</v>
      </c>
      <c r="Q318" s="195">
        <v>8.33</v>
      </c>
      <c r="R318" s="195">
        <v>8.33</v>
      </c>
      <c r="S318" s="195"/>
      <c r="T318" s="195"/>
      <c r="U318" s="195"/>
      <c r="V318" s="195"/>
      <c r="W318" s="195"/>
      <c r="AF318" s="195"/>
    </row>
    <row r="319" spans="1:32" ht="17.100000000000001" customHeight="1">
      <c r="A319" s="325"/>
      <c r="B319" s="180">
        <f t="shared" si="12"/>
        <v>0</v>
      </c>
      <c r="C319" s="985">
        <f>+L275</f>
        <v>0</v>
      </c>
      <c r="D319" s="989">
        <f>+L276</f>
        <v>0</v>
      </c>
      <c r="E319" s="977">
        <f>+M275</f>
        <v>0</v>
      </c>
      <c r="F319" s="989">
        <f>+M276</f>
        <v>0</v>
      </c>
      <c r="G319" s="977">
        <f>+N275</f>
        <v>0</v>
      </c>
      <c r="H319" s="989">
        <f>+N276</f>
        <v>0</v>
      </c>
      <c r="I319" s="183">
        <f>+O275</f>
        <v>0</v>
      </c>
      <c r="J319" s="989">
        <f>+O276</f>
        <v>0</v>
      </c>
      <c r="K319" s="879">
        <v>0</v>
      </c>
      <c r="L319" s="23" t="s">
        <v>881</v>
      </c>
      <c r="M319" s="187">
        <f t="shared" si="13"/>
        <v>0.01</v>
      </c>
      <c r="N319" s="187">
        <v>0.01</v>
      </c>
      <c r="O319" s="187">
        <v>0.01</v>
      </c>
      <c r="P319" s="195">
        <v>1</v>
      </c>
      <c r="Q319" s="195">
        <v>1</v>
      </c>
      <c r="R319" s="195">
        <v>1</v>
      </c>
      <c r="S319" s="195"/>
      <c r="T319" s="195"/>
      <c r="U319" s="195"/>
      <c r="V319" s="195"/>
      <c r="W319" s="195"/>
      <c r="AF319" s="195"/>
    </row>
    <row r="320" spans="1:32" ht="17.100000000000001" customHeight="1">
      <c r="A320" s="325"/>
      <c r="B320" s="180">
        <f t="shared" si="12"/>
        <v>0</v>
      </c>
      <c r="C320" s="985">
        <f>+L285</f>
        <v>0</v>
      </c>
      <c r="D320" s="989">
        <f>+L286</f>
        <v>0</v>
      </c>
      <c r="E320" s="977">
        <f>+M285</f>
        <v>0</v>
      </c>
      <c r="F320" s="989">
        <f>+M286</f>
        <v>0</v>
      </c>
      <c r="G320" s="977">
        <f>+N285</f>
        <v>0</v>
      </c>
      <c r="H320" s="989">
        <f>+N286</f>
        <v>0</v>
      </c>
      <c r="I320" s="183">
        <f>+O285</f>
        <v>0</v>
      </c>
      <c r="J320" s="989">
        <f>+O286</f>
        <v>0</v>
      </c>
      <c r="K320" s="879">
        <v>0</v>
      </c>
      <c r="L320" s="23" t="s">
        <v>882</v>
      </c>
      <c r="M320" s="187">
        <f t="shared" si="13"/>
        <v>4.1700000000000001E-2</v>
      </c>
      <c r="N320" s="187">
        <v>4.1700000000000001E-2</v>
      </c>
      <c r="O320" s="187">
        <v>4.1700000000000001E-2</v>
      </c>
      <c r="P320" s="195">
        <v>4.17</v>
      </c>
      <c r="Q320" s="195">
        <v>4.17</v>
      </c>
      <c r="R320" s="195">
        <v>4.17</v>
      </c>
      <c r="S320" s="195"/>
      <c r="T320" s="195"/>
      <c r="U320" s="195"/>
      <c r="V320" s="195"/>
      <c r="W320" s="195"/>
      <c r="AF320" s="195"/>
    </row>
    <row r="321" spans="1:38" ht="17.100000000000001" customHeight="1">
      <c r="A321" s="325"/>
      <c r="B321" s="180">
        <f t="shared" si="12"/>
        <v>0</v>
      </c>
      <c r="C321" s="985">
        <f>+L295</f>
        <v>0</v>
      </c>
      <c r="D321" s="989">
        <f>+L296</f>
        <v>0</v>
      </c>
      <c r="E321" s="977">
        <f>+M295</f>
        <v>0</v>
      </c>
      <c r="F321" s="989">
        <f>+M296</f>
        <v>0</v>
      </c>
      <c r="G321" s="977">
        <f>+N295</f>
        <v>0</v>
      </c>
      <c r="H321" s="989">
        <f>+N296</f>
        <v>0</v>
      </c>
      <c r="I321" s="183">
        <f>+O295</f>
        <v>0</v>
      </c>
      <c r="J321" s="989">
        <f>+O296</f>
        <v>0</v>
      </c>
      <c r="K321" s="879">
        <v>0</v>
      </c>
      <c r="L321" s="23" t="s">
        <v>883</v>
      </c>
      <c r="M321" s="187">
        <f t="shared" si="13"/>
        <v>0</v>
      </c>
      <c r="N321" s="187">
        <v>0</v>
      </c>
      <c r="O321" s="187">
        <v>2.2499999999999999E-2</v>
      </c>
      <c r="P321" s="195">
        <v>0</v>
      </c>
      <c r="Q321" s="195">
        <v>0</v>
      </c>
      <c r="R321" s="195">
        <v>2.25</v>
      </c>
      <c r="S321" s="195"/>
      <c r="T321" s="195"/>
      <c r="U321" s="195"/>
      <c r="V321" s="195"/>
      <c r="W321" s="195"/>
      <c r="AF321" s="195"/>
    </row>
    <row r="322" spans="1:38" ht="17.100000000000001" customHeight="1">
      <c r="A322" s="325"/>
      <c r="B322" s="180">
        <f t="shared" si="12"/>
        <v>0</v>
      </c>
      <c r="C322" s="985">
        <f>+L305</f>
        <v>0</v>
      </c>
      <c r="D322" s="989">
        <f>+L306</f>
        <v>0</v>
      </c>
      <c r="E322" s="977">
        <f>+M305</f>
        <v>0</v>
      </c>
      <c r="F322" s="989">
        <f>+M306</f>
        <v>0</v>
      </c>
      <c r="G322" s="977">
        <f>+N305</f>
        <v>0</v>
      </c>
      <c r="H322" s="989">
        <f>+N306</f>
        <v>0</v>
      </c>
      <c r="I322" s="183">
        <f>+O305</f>
        <v>0</v>
      </c>
      <c r="J322" s="989">
        <f>+O306</f>
        <v>0</v>
      </c>
      <c r="K322" s="879">
        <v>0</v>
      </c>
      <c r="L322" s="1"/>
      <c r="M322" s="1016">
        <f>SUM(M314:M321)</f>
        <v>0.43330000000000002</v>
      </c>
      <c r="N322" s="1016">
        <f>SUM(N314:N321)</f>
        <v>0.43330000000000002</v>
      </c>
      <c r="O322" s="1016">
        <f>SUM(O314:O321)</f>
        <v>0.45580000000000004</v>
      </c>
      <c r="P322" s="195"/>
      <c r="Q322" s="195"/>
      <c r="R322" s="195"/>
      <c r="S322" s="195"/>
      <c r="T322" s="195"/>
      <c r="U322" s="195"/>
      <c r="V322" s="195"/>
      <c r="W322" s="195"/>
      <c r="AF322" s="195"/>
    </row>
    <row r="323" spans="1:38" ht="17.100000000000001" customHeight="1">
      <c r="A323" s="193"/>
      <c r="B323" s="223"/>
      <c r="C323" s="283"/>
      <c r="D323" s="194"/>
      <c r="E323" s="194"/>
      <c r="F323" s="194"/>
      <c r="G323" s="194"/>
      <c r="H323" s="194"/>
      <c r="I323" s="194"/>
      <c r="J323" s="194"/>
      <c r="K323" s="194"/>
      <c r="L323" s="194"/>
      <c r="M323" s="194"/>
      <c r="N323" s="194"/>
      <c r="O323" s="195"/>
      <c r="P323" s="195"/>
      <c r="Q323" s="195"/>
      <c r="R323" s="195"/>
      <c r="S323" s="195"/>
      <c r="T323" s="195"/>
      <c r="U323" s="195"/>
      <c r="V323" s="195"/>
      <c r="W323" s="195"/>
      <c r="AF323" s="195"/>
    </row>
    <row r="324" spans="1:38" ht="17.100000000000001" customHeight="1">
      <c r="A324" s="194"/>
      <c r="B324" s="194"/>
      <c r="C324" s="210" t="s">
        <v>43</v>
      </c>
      <c r="D324" s="210"/>
      <c r="E324" s="210"/>
      <c r="F324" s="210"/>
      <c r="G324" s="210"/>
      <c r="H324" s="210"/>
      <c r="I324" s="210"/>
      <c r="J324" s="210"/>
      <c r="K324" s="210"/>
      <c r="L324" s="210"/>
      <c r="M324" s="210"/>
      <c r="N324" s="210"/>
      <c r="O324" s="198"/>
      <c r="P324" s="198"/>
      <c r="Q324" s="198"/>
      <c r="R324" s="198"/>
      <c r="S324" s="198"/>
      <c r="T324" s="198"/>
      <c r="U324" s="198"/>
      <c r="V324" s="198"/>
      <c r="W324" s="198"/>
      <c r="X324" s="198"/>
      <c r="Y324" s="198"/>
      <c r="Z324" s="198"/>
      <c r="AA324" s="198"/>
      <c r="AB324" s="198"/>
      <c r="AC324" s="198"/>
      <c r="AD324" s="198"/>
      <c r="AE324" s="198"/>
      <c r="AF324" s="198"/>
      <c r="AG324" s="198"/>
      <c r="AH324" s="198"/>
      <c r="AI324" s="198"/>
      <c r="AJ324" s="198"/>
      <c r="AK324" s="198"/>
      <c r="AL324" s="198"/>
    </row>
    <row r="325" spans="1:38" ht="17.100000000000001" customHeight="1">
      <c r="A325" s="171" t="s">
        <v>773</v>
      </c>
      <c r="C325" s="1011">
        <f t="shared" ref="C325:N332" si="14">TRUNC(IF(B447="SI",B439*(1+$M$322)*H353,B439*H353),2)</f>
        <v>1400000</v>
      </c>
      <c r="D325" s="1012">
        <f t="shared" si="14"/>
        <v>1400000</v>
      </c>
      <c r="E325" s="1012">
        <f t="shared" si="14"/>
        <v>1400000</v>
      </c>
      <c r="F325" s="1012">
        <f t="shared" si="14"/>
        <v>1400000</v>
      </c>
      <c r="G325" s="1012">
        <f t="shared" si="14"/>
        <v>1400000</v>
      </c>
      <c r="H325" s="1012">
        <f t="shared" si="14"/>
        <v>1400000</v>
      </c>
      <c r="I325" s="1012">
        <f t="shared" si="14"/>
        <v>1400000</v>
      </c>
      <c r="J325" s="1012">
        <f t="shared" si="14"/>
        <v>1400000</v>
      </c>
      <c r="K325" s="1012">
        <f t="shared" si="14"/>
        <v>1400000</v>
      </c>
      <c r="L325" s="1012">
        <f t="shared" si="14"/>
        <v>1400000</v>
      </c>
      <c r="M325" s="1012">
        <f t="shared" si="14"/>
        <v>1400000</v>
      </c>
      <c r="N325" s="1012">
        <f t="shared" si="14"/>
        <v>1400000</v>
      </c>
      <c r="O325" s="1012">
        <f t="shared" ref="O325:Z332" si="15">TRUNC(IF(N447="SI",N439*(1+$N$322)*T353,N439*T353),2)</f>
        <v>1500000</v>
      </c>
      <c r="P325" s="1012">
        <f t="shared" si="15"/>
        <v>1500000</v>
      </c>
      <c r="Q325" s="1012">
        <f t="shared" si="15"/>
        <v>1500000</v>
      </c>
      <c r="R325" s="1012">
        <f t="shared" si="15"/>
        <v>1500000</v>
      </c>
      <c r="S325" s="1012">
        <f t="shared" si="15"/>
        <v>1500000</v>
      </c>
      <c r="T325" s="1012">
        <f t="shared" si="15"/>
        <v>1500000</v>
      </c>
      <c r="U325" s="1012">
        <f t="shared" si="15"/>
        <v>1500000</v>
      </c>
      <c r="V325" s="1012">
        <f t="shared" si="15"/>
        <v>1500000</v>
      </c>
      <c r="W325" s="1012">
        <f t="shared" si="15"/>
        <v>1500000</v>
      </c>
      <c r="X325" s="1012">
        <f t="shared" si="15"/>
        <v>1500000</v>
      </c>
      <c r="Y325" s="1012">
        <f t="shared" si="15"/>
        <v>1500000</v>
      </c>
      <c r="Z325" s="1012">
        <f t="shared" si="15"/>
        <v>1500000</v>
      </c>
      <c r="AA325" s="1012">
        <f t="shared" ref="AA325:AL332" si="16">TRUNC(IF(Z447="SI",Z439*(1+$O$322)*AF353,Z439*AF353),2)</f>
        <v>1600000</v>
      </c>
      <c r="AB325" s="1012">
        <f t="shared" si="16"/>
        <v>1600000</v>
      </c>
      <c r="AC325" s="1012">
        <f t="shared" si="16"/>
        <v>1600000</v>
      </c>
      <c r="AD325" s="1012">
        <f t="shared" si="16"/>
        <v>1600000</v>
      </c>
      <c r="AE325" s="1012">
        <f t="shared" si="16"/>
        <v>1600000</v>
      </c>
      <c r="AF325" s="1012">
        <f t="shared" si="16"/>
        <v>1600000</v>
      </c>
      <c r="AG325" s="1012">
        <f t="shared" si="16"/>
        <v>1600000</v>
      </c>
      <c r="AH325" s="1012">
        <f t="shared" si="16"/>
        <v>1600000</v>
      </c>
      <c r="AI325" s="1012">
        <f t="shared" si="16"/>
        <v>1600000</v>
      </c>
      <c r="AJ325" s="1012">
        <f t="shared" si="16"/>
        <v>1600000</v>
      </c>
      <c r="AK325" s="1012">
        <f t="shared" si="16"/>
        <v>1600000</v>
      </c>
      <c r="AL325" s="1012">
        <f t="shared" si="16"/>
        <v>1600000</v>
      </c>
    </row>
    <row r="326" spans="1:38" ht="17.100000000000001" customHeight="1">
      <c r="A326" s="24"/>
      <c r="B326" s="24"/>
      <c r="C326" s="1011">
        <f t="shared" si="14"/>
        <v>0</v>
      </c>
      <c r="D326" s="1012">
        <f t="shared" si="14"/>
        <v>0</v>
      </c>
      <c r="E326" s="1012">
        <f t="shared" si="14"/>
        <v>0</v>
      </c>
      <c r="F326" s="1012">
        <f t="shared" si="14"/>
        <v>0</v>
      </c>
      <c r="G326" s="1012">
        <f t="shared" si="14"/>
        <v>0</v>
      </c>
      <c r="H326" s="1012">
        <f t="shared" si="14"/>
        <v>0</v>
      </c>
      <c r="I326" s="1012">
        <f t="shared" si="14"/>
        <v>0</v>
      </c>
      <c r="J326" s="1012">
        <f t="shared" si="14"/>
        <v>0</v>
      </c>
      <c r="K326" s="1012">
        <f t="shared" si="14"/>
        <v>0</v>
      </c>
      <c r="L326" s="1012">
        <f t="shared" si="14"/>
        <v>0</v>
      </c>
      <c r="M326" s="1012">
        <f t="shared" si="14"/>
        <v>0</v>
      </c>
      <c r="N326" s="1012">
        <f t="shared" si="14"/>
        <v>0</v>
      </c>
      <c r="O326" s="1012">
        <f t="shared" si="15"/>
        <v>750000</v>
      </c>
      <c r="P326" s="1012">
        <f t="shared" si="15"/>
        <v>750000</v>
      </c>
      <c r="Q326" s="1012">
        <f t="shared" si="15"/>
        <v>750000</v>
      </c>
      <c r="R326" s="1012">
        <f t="shared" si="15"/>
        <v>750000</v>
      </c>
      <c r="S326" s="1012">
        <f t="shared" si="15"/>
        <v>750000</v>
      </c>
      <c r="T326" s="1012">
        <f t="shared" si="15"/>
        <v>750000</v>
      </c>
      <c r="U326" s="1012">
        <f t="shared" si="15"/>
        <v>750000</v>
      </c>
      <c r="V326" s="1012">
        <f t="shared" si="15"/>
        <v>750000</v>
      </c>
      <c r="W326" s="1012">
        <f t="shared" si="15"/>
        <v>750000</v>
      </c>
      <c r="X326" s="1012">
        <f t="shared" si="15"/>
        <v>750000</v>
      </c>
      <c r="Y326" s="1012">
        <f t="shared" si="15"/>
        <v>750000</v>
      </c>
      <c r="Z326" s="1012">
        <f t="shared" si="15"/>
        <v>750000</v>
      </c>
      <c r="AA326" s="1012">
        <f t="shared" si="16"/>
        <v>800000</v>
      </c>
      <c r="AB326" s="1012">
        <f t="shared" si="16"/>
        <v>800000</v>
      </c>
      <c r="AC326" s="1012">
        <f t="shared" si="16"/>
        <v>800000</v>
      </c>
      <c r="AD326" s="1012">
        <f t="shared" si="16"/>
        <v>800000</v>
      </c>
      <c r="AE326" s="1012">
        <f t="shared" si="16"/>
        <v>800000</v>
      </c>
      <c r="AF326" s="1012">
        <f t="shared" si="16"/>
        <v>800000</v>
      </c>
      <c r="AG326" s="1012">
        <f t="shared" si="16"/>
        <v>800000</v>
      </c>
      <c r="AH326" s="1012">
        <f t="shared" si="16"/>
        <v>800000</v>
      </c>
      <c r="AI326" s="1012">
        <f t="shared" si="16"/>
        <v>800000</v>
      </c>
      <c r="AJ326" s="1012">
        <f t="shared" si="16"/>
        <v>800000</v>
      </c>
      <c r="AK326" s="1012">
        <f t="shared" si="16"/>
        <v>800000</v>
      </c>
      <c r="AL326" s="1012">
        <f t="shared" si="16"/>
        <v>800000</v>
      </c>
    </row>
    <row r="327" spans="1:38" ht="17.100000000000001" customHeight="1">
      <c r="A327" s="85" t="s">
        <v>680</v>
      </c>
      <c r="B327" s="944"/>
      <c r="C327" s="1011">
        <f t="shared" si="14"/>
        <v>700000</v>
      </c>
      <c r="D327" s="1012">
        <f t="shared" si="14"/>
        <v>700000</v>
      </c>
      <c r="E327" s="1012">
        <f t="shared" si="14"/>
        <v>700000</v>
      </c>
      <c r="F327" s="1012">
        <f t="shared" si="14"/>
        <v>700000</v>
      </c>
      <c r="G327" s="1012">
        <f t="shared" si="14"/>
        <v>700000</v>
      </c>
      <c r="H327" s="1012">
        <f t="shared" si="14"/>
        <v>700000</v>
      </c>
      <c r="I327" s="1012">
        <f t="shared" si="14"/>
        <v>700000</v>
      </c>
      <c r="J327" s="1012">
        <f t="shared" si="14"/>
        <v>700000</v>
      </c>
      <c r="K327" s="1012">
        <f t="shared" si="14"/>
        <v>700000</v>
      </c>
      <c r="L327" s="1012">
        <f t="shared" si="14"/>
        <v>700000</v>
      </c>
      <c r="M327" s="1012">
        <f t="shared" si="14"/>
        <v>700000</v>
      </c>
      <c r="N327" s="1012">
        <f t="shared" si="14"/>
        <v>700000</v>
      </c>
      <c r="O327" s="1012">
        <f t="shared" si="15"/>
        <v>750000</v>
      </c>
      <c r="P327" s="1012">
        <f t="shared" si="15"/>
        <v>750000</v>
      </c>
      <c r="Q327" s="1012">
        <f t="shared" si="15"/>
        <v>750000</v>
      </c>
      <c r="R327" s="1012">
        <f t="shared" si="15"/>
        <v>750000</v>
      </c>
      <c r="S327" s="1012">
        <f t="shared" si="15"/>
        <v>750000</v>
      </c>
      <c r="T327" s="1012">
        <f t="shared" si="15"/>
        <v>750000</v>
      </c>
      <c r="U327" s="1012">
        <f t="shared" si="15"/>
        <v>750000</v>
      </c>
      <c r="V327" s="1012">
        <f t="shared" si="15"/>
        <v>750000</v>
      </c>
      <c r="W327" s="1012">
        <f t="shared" si="15"/>
        <v>750000</v>
      </c>
      <c r="X327" s="1012">
        <f t="shared" si="15"/>
        <v>750000</v>
      </c>
      <c r="Y327" s="1012">
        <f t="shared" si="15"/>
        <v>750000</v>
      </c>
      <c r="Z327" s="1012">
        <f t="shared" si="15"/>
        <v>750000</v>
      </c>
      <c r="AA327" s="1012">
        <f t="shared" si="16"/>
        <v>800000</v>
      </c>
      <c r="AB327" s="1012">
        <f t="shared" si="16"/>
        <v>800000</v>
      </c>
      <c r="AC327" s="1012">
        <f t="shared" si="16"/>
        <v>800000</v>
      </c>
      <c r="AD327" s="1012">
        <f t="shared" si="16"/>
        <v>800000</v>
      </c>
      <c r="AE327" s="1012">
        <f t="shared" si="16"/>
        <v>800000</v>
      </c>
      <c r="AF327" s="1012">
        <f t="shared" si="16"/>
        <v>800000</v>
      </c>
      <c r="AG327" s="1012">
        <f t="shared" si="16"/>
        <v>800000</v>
      </c>
      <c r="AH327" s="1012">
        <f t="shared" si="16"/>
        <v>800000</v>
      </c>
      <c r="AI327" s="1012">
        <f t="shared" si="16"/>
        <v>800000</v>
      </c>
      <c r="AJ327" s="1012">
        <f t="shared" si="16"/>
        <v>800000</v>
      </c>
      <c r="AK327" s="1012">
        <f t="shared" si="16"/>
        <v>800000</v>
      </c>
      <c r="AL327" s="1012">
        <f t="shared" si="16"/>
        <v>800000</v>
      </c>
    </row>
    <row r="328" spans="1:38" ht="17.100000000000001" customHeight="1">
      <c r="A328" s="85" t="s">
        <v>681</v>
      </c>
      <c r="B328" s="945">
        <f>+G410+G411</f>
        <v>1.304E-2</v>
      </c>
      <c r="C328" s="1011">
        <f t="shared" si="14"/>
        <v>700000</v>
      </c>
      <c r="D328" s="1012">
        <f t="shared" si="14"/>
        <v>700000</v>
      </c>
      <c r="E328" s="1012">
        <f t="shared" si="14"/>
        <v>700000</v>
      </c>
      <c r="F328" s="1012">
        <f t="shared" si="14"/>
        <v>700000</v>
      </c>
      <c r="G328" s="1012">
        <f t="shared" si="14"/>
        <v>700000</v>
      </c>
      <c r="H328" s="1012">
        <f t="shared" si="14"/>
        <v>700000</v>
      </c>
      <c r="I328" s="1012">
        <f t="shared" si="14"/>
        <v>700000</v>
      </c>
      <c r="J328" s="1012">
        <f t="shared" si="14"/>
        <v>700000</v>
      </c>
      <c r="K328" s="1012">
        <f t="shared" si="14"/>
        <v>700000</v>
      </c>
      <c r="L328" s="1012">
        <f t="shared" si="14"/>
        <v>700000</v>
      </c>
      <c r="M328" s="1012">
        <f t="shared" si="14"/>
        <v>700000</v>
      </c>
      <c r="N328" s="1012">
        <f t="shared" si="14"/>
        <v>700000</v>
      </c>
      <c r="O328" s="1012">
        <f t="shared" si="15"/>
        <v>750000</v>
      </c>
      <c r="P328" s="1012">
        <f t="shared" si="15"/>
        <v>750000</v>
      </c>
      <c r="Q328" s="1012">
        <f t="shared" si="15"/>
        <v>750000</v>
      </c>
      <c r="R328" s="1012">
        <f t="shared" si="15"/>
        <v>750000</v>
      </c>
      <c r="S328" s="1012">
        <f t="shared" si="15"/>
        <v>750000</v>
      </c>
      <c r="T328" s="1012">
        <f t="shared" si="15"/>
        <v>750000</v>
      </c>
      <c r="U328" s="1012">
        <f t="shared" si="15"/>
        <v>750000</v>
      </c>
      <c r="V328" s="1012">
        <f t="shared" si="15"/>
        <v>750000</v>
      </c>
      <c r="W328" s="1012">
        <f t="shared" si="15"/>
        <v>750000</v>
      </c>
      <c r="X328" s="1012">
        <f t="shared" si="15"/>
        <v>750000</v>
      </c>
      <c r="Y328" s="1012">
        <f t="shared" si="15"/>
        <v>750000</v>
      </c>
      <c r="Z328" s="1012">
        <f t="shared" si="15"/>
        <v>750000</v>
      </c>
      <c r="AA328" s="1012">
        <f t="shared" si="16"/>
        <v>1600000</v>
      </c>
      <c r="AB328" s="1012">
        <f t="shared" si="16"/>
        <v>1600000</v>
      </c>
      <c r="AC328" s="1012">
        <f t="shared" si="16"/>
        <v>1600000</v>
      </c>
      <c r="AD328" s="1012">
        <f t="shared" si="16"/>
        <v>1600000</v>
      </c>
      <c r="AE328" s="1012">
        <f t="shared" si="16"/>
        <v>1600000</v>
      </c>
      <c r="AF328" s="1012">
        <f t="shared" si="16"/>
        <v>1600000</v>
      </c>
      <c r="AG328" s="1012">
        <f t="shared" si="16"/>
        <v>1600000</v>
      </c>
      <c r="AH328" s="1012">
        <f t="shared" si="16"/>
        <v>1600000</v>
      </c>
      <c r="AI328" s="1012">
        <f t="shared" si="16"/>
        <v>1600000</v>
      </c>
      <c r="AJ328" s="1012">
        <f t="shared" si="16"/>
        <v>1600000</v>
      </c>
      <c r="AK328" s="1012">
        <f t="shared" si="16"/>
        <v>1600000</v>
      </c>
      <c r="AL328" s="1012">
        <f t="shared" si="16"/>
        <v>1600000</v>
      </c>
    </row>
    <row r="329" spans="1:38" ht="17.100000000000001" customHeight="1">
      <c r="A329" s="263"/>
      <c r="B329" s="263"/>
      <c r="C329" s="1011">
        <f t="shared" si="14"/>
        <v>700000</v>
      </c>
      <c r="D329" s="1012">
        <f t="shared" si="14"/>
        <v>700000</v>
      </c>
      <c r="E329" s="1012">
        <f t="shared" si="14"/>
        <v>700000</v>
      </c>
      <c r="F329" s="1012">
        <f t="shared" si="14"/>
        <v>700000</v>
      </c>
      <c r="G329" s="1012">
        <f t="shared" si="14"/>
        <v>700000</v>
      </c>
      <c r="H329" s="1012">
        <f t="shared" si="14"/>
        <v>700000</v>
      </c>
      <c r="I329" s="1012">
        <f t="shared" si="14"/>
        <v>700000</v>
      </c>
      <c r="J329" s="1012">
        <f t="shared" si="14"/>
        <v>700000</v>
      </c>
      <c r="K329" s="1012">
        <f t="shared" si="14"/>
        <v>700000</v>
      </c>
      <c r="L329" s="1012">
        <f t="shared" si="14"/>
        <v>700000</v>
      </c>
      <c r="M329" s="1012">
        <f t="shared" si="14"/>
        <v>700000</v>
      </c>
      <c r="N329" s="1012">
        <f t="shared" si="14"/>
        <v>700000</v>
      </c>
      <c r="O329" s="1012">
        <f t="shared" si="15"/>
        <v>750000</v>
      </c>
      <c r="P329" s="1012">
        <f t="shared" si="15"/>
        <v>750000</v>
      </c>
      <c r="Q329" s="1012">
        <f t="shared" si="15"/>
        <v>750000</v>
      </c>
      <c r="R329" s="1012">
        <f t="shared" si="15"/>
        <v>750000</v>
      </c>
      <c r="S329" s="1012">
        <f t="shared" si="15"/>
        <v>750000</v>
      </c>
      <c r="T329" s="1012">
        <f t="shared" si="15"/>
        <v>750000</v>
      </c>
      <c r="U329" s="1012">
        <f t="shared" si="15"/>
        <v>750000</v>
      </c>
      <c r="V329" s="1012">
        <f t="shared" si="15"/>
        <v>750000</v>
      </c>
      <c r="W329" s="1012">
        <f t="shared" si="15"/>
        <v>750000</v>
      </c>
      <c r="X329" s="1012">
        <f t="shared" si="15"/>
        <v>750000</v>
      </c>
      <c r="Y329" s="1012">
        <f t="shared" si="15"/>
        <v>750000</v>
      </c>
      <c r="Z329" s="1012">
        <f t="shared" si="15"/>
        <v>750000</v>
      </c>
      <c r="AA329" s="1012">
        <f t="shared" si="16"/>
        <v>800000</v>
      </c>
      <c r="AB329" s="1012">
        <f t="shared" si="16"/>
        <v>800000</v>
      </c>
      <c r="AC329" s="1012">
        <f t="shared" si="16"/>
        <v>800000</v>
      </c>
      <c r="AD329" s="1012">
        <f t="shared" si="16"/>
        <v>800000</v>
      </c>
      <c r="AE329" s="1012">
        <f t="shared" si="16"/>
        <v>800000</v>
      </c>
      <c r="AF329" s="1012">
        <f t="shared" si="16"/>
        <v>800000</v>
      </c>
      <c r="AG329" s="1012">
        <f t="shared" si="16"/>
        <v>800000</v>
      </c>
      <c r="AH329" s="1012">
        <f t="shared" si="16"/>
        <v>800000</v>
      </c>
      <c r="AI329" s="1012">
        <f t="shared" si="16"/>
        <v>800000</v>
      </c>
      <c r="AJ329" s="1012">
        <f t="shared" si="16"/>
        <v>800000</v>
      </c>
      <c r="AK329" s="1012">
        <f t="shared" si="16"/>
        <v>800000</v>
      </c>
      <c r="AL329" s="1012">
        <f t="shared" si="16"/>
        <v>800000</v>
      </c>
    </row>
    <row r="330" spans="1:38" ht="17.100000000000001" customHeight="1">
      <c r="C330" s="1011">
        <f t="shared" si="14"/>
        <v>0</v>
      </c>
      <c r="D330" s="1012">
        <f t="shared" si="14"/>
        <v>0</v>
      </c>
      <c r="E330" s="1012">
        <f t="shared" si="14"/>
        <v>0</v>
      </c>
      <c r="F330" s="1012">
        <f t="shared" si="14"/>
        <v>0</v>
      </c>
      <c r="G330" s="1012">
        <f t="shared" si="14"/>
        <v>0</v>
      </c>
      <c r="H330" s="1012">
        <f t="shared" si="14"/>
        <v>0</v>
      </c>
      <c r="I330" s="1012">
        <f t="shared" si="14"/>
        <v>0</v>
      </c>
      <c r="J330" s="1012">
        <f t="shared" si="14"/>
        <v>0</v>
      </c>
      <c r="K330" s="1012">
        <f t="shared" si="14"/>
        <v>0</v>
      </c>
      <c r="L330" s="1012">
        <f t="shared" si="14"/>
        <v>0</v>
      </c>
      <c r="M330" s="1012">
        <f t="shared" si="14"/>
        <v>0</v>
      </c>
      <c r="N330" s="1012">
        <f t="shared" si="14"/>
        <v>0</v>
      </c>
      <c r="O330" s="1012">
        <f t="shared" si="15"/>
        <v>0</v>
      </c>
      <c r="P330" s="1012">
        <f t="shared" si="15"/>
        <v>0</v>
      </c>
      <c r="Q330" s="1012">
        <f t="shared" si="15"/>
        <v>0</v>
      </c>
      <c r="R330" s="1012">
        <f t="shared" si="15"/>
        <v>0</v>
      </c>
      <c r="S330" s="1012">
        <f t="shared" si="15"/>
        <v>0</v>
      </c>
      <c r="T330" s="1012">
        <f t="shared" si="15"/>
        <v>0</v>
      </c>
      <c r="U330" s="1012">
        <f t="shared" si="15"/>
        <v>0</v>
      </c>
      <c r="V330" s="1012">
        <f t="shared" si="15"/>
        <v>0</v>
      </c>
      <c r="W330" s="1012">
        <f t="shared" si="15"/>
        <v>0</v>
      </c>
      <c r="X330" s="1012">
        <f t="shared" si="15"/>
        <v>0</v>
      </c>
      <c r="Y330" s="1012">
        <f t="shared" si="15"/>
        <v>0</v>
      </c>
      <c r="Z330" s="1012">
        <f t="shared" si="15"/>
        <v>0</v>
      </c>
      <c r="AA330" s="1012">
        <f t="shared" si="16"/>
        <v>0</v>
      </c>
      <c r="AB330" s="1012">
        <f t="shared" si="16"/>
        <v>0</v>
      </c>
      <c r="AC330" s="1012">
        <f t="shared" si="16"/>
        <v>0</v>
      </c>
      <c r="AD330" s="1012">
        <f t="shared" si="16"/>
        <v>0</v>
      </c>
      <c r="AE330" s="1012">
        <f t="shared" si="16"/>
        <v>0</v>
      </c>
      <c r="AF330" s="1012">
        <f t="shared" si="16"/>
        <v>0</v>
      </c>
      <c r="AG330" s="1012">
        <f t="shared" si="16"/>
        <v>0</v>
      </c>
      <c r="AH330" s="1012">
        <f t="shared" si="16"/>
        <v>0</v>
      </c>
      <c r="AI330" s="1012">
        <f t="shared" si="16"/>
        <v>0</v>
      </c>
      <c r="AJ330" s="1012">
        <f t="shared" si="16"/>
        <v>0</v>
      </c>
      <c r="AK330" s="1012">
        <f t="shared" si="16"/>
        <v>0</v>
      </c>
      <c r="AL330" s="1012">
        <f t="shared" si="16"/>
        <v>0</v>
      </c>
    </row>
    <row r="331" spans="1:38" ht="17.100000000000001" customHeight="1">
      <c r="A331" s="168" t="s">
        <v>774</v>
      </c>
      <c r="B331" s="1"/>
      <c r="C331" s="1011">
        <f t="shared" si="14"/>
        <v>0</v>
      </c>
      <c r="D331" s="1012">
        <f t="shared" si="14"/>
        <v>0</v>
      </c>
      <c r="E331" s="1012">
        <f t="shared" si="14"/>
        <v>0</v>
      </c>
      <c r="F331" s="1012">
        <f t="shared" si="14"/>
        <v>0</v>
      </c>
      <c r="G331" s="1012">
        <f t="shared" si="14"/>
        <v>0</v>
      </c>
      <c r="H331" s="1012">
        <f t="shared" si="14"/>
        <v>0</v>
      </c>
      <c r="I331" s="1012">
        <f t="shared" si="14"/>
        <v>0</v>
      </c>
      <c r="J331" s="1012">
        <f t="shared" si="14"/>
        <v>0</v>
      </c>
      <c r="K331" s="1012">
        <f t="shared" si="14"/>
        <v>0</v>
      </c>
      <c r="L331" s="1012">
        <f t="shared" si="14"/>
        <v>0</v>
      </c>
      <c r="M331" s="1012">
        <f t="shared" si="14"/>
        <v>0</v>
      </c>
      <c r="N331" s="1012">
        <f t="shared" si="14"/>
        <v>0</v>
      </c>
      <c r="O331" s="1012">
        <f t="shared" si="15"/>
        <v>0</v>
      </c>
      <c r="P331" s="1012">
        <f t="shared" si="15"/>
        <v>0</v>
      </c>
      <c r="Q331" s="1012">
        <f t="shared" si="15"/>
        <v>0</v>
      </c>
      <c r="R331" s="1012">
        <f t="shared" si="15"/>
        <v>0</v>
      </c>
      <c r="S331" s="1012">
        <f t="shared" si="15"/>
        <v>0</v>
      </c>
      <c r="T331" s="1012">
        <f t="shared" si="15"/>
        <v>0</v>
      </c>
      <c r="U331" s="1012">
        <f t="shared" si="15"/>
        <v>0</v>
      </c>
      <c r="V331" s="1012">
        <f t="shared" si="15"/>
        <v>0</v>
      </c>
      <c r="W331" s="1012">
        <f t="shared" si="15"/>
        <v>0</v>
      </c>
      <c r="X331" s="1012">
        <f t="shared" si="15"/>
        <v>0</v>
      </c>
      <c r="Y331" s="1012">
        <f t="shared" si="15"/>
        <v>0</v>
      </c>
      <c r="Z331" s="1012">
        <f t="shared" si="15"/>
        <v>0</v>
      </c>
      <c r="AA331" s="1012">
        <f t="shared" si="16"/>
        <v>0</v>
      </c>
      <c r="AB331" s="1012">
        <f t="shared" si="16"/>
        <v>0</v>
      </c>
      <c r="AC331" s="1012">
        <f t="shared" si="16"/>
        <v>0</v>
      </c>
      <c r="AD331" s="1012">
        <f t="shared" si="16"/>
        <v>0</v>
      </c>
      <c r="AE331" s="1012">
        <f t="shared" si="16"/>
        <v>0</v>
      </c>
      <c r="AF331" s="1012">
        <f t="shared" si="16"/>
        <v>0</v>
      </c>
      <c r="AG331" s="1012">
        <f t="shared" si="16"/>
        <v>0</v>
      </c>
      <c r="AH331" s="1012">
        <f t="shared" si="16"/>
        <v>0</v>
      </c>
      <c r="AI331" s="1012">
        <f t="shared" si="16"/>
        <v>0</v>
      </c>
      <c r="AJ331" s="1012">
        <f t="shared" si="16"/>
        <v>0</v>
      </c>
      <c r="AK331" s="1012">
        <f t="shared" si="16"/>
        <v>0</v>
      </c>
      <c r="AL331" s="1012">
        <f t="shared" si="16"/>
        <v>0</v>
      </c>
    </row>
    <row r="332" spans="1:38" ht="17.100000000000001" customHeight="1">
      <c r="A332" s="1"/>
      <c r="B332" s="1"/>
      <c r="C332" s="1011">
        <f t="shared" si="14"/>
        <v>0</v>
      </c>
      <c r="D332" s="1012">
        <f t="shared" si="14"/>
        <v>0</v>
      </c>
      <c r="E332" s="1012">
        <f t="shared" si="14"/>
        <v>0</v>
      </c>
      <c r="F332" s="1012">
        <f t="shared" si="14"/>
        <v>0</v>
      </c>
      <c r="G332" s="1012">
        <f t="shared" si="14"/>
        <v>0</v>
      </c>
      <c r="H332" s="1012">
        <f t="shared" si="14"/>
        <v>0</v>
      </c>
      <c r="I332" s="1012">
        <f t="shared" si="14"/>
        <v>0</v>
      </c>
      <c r="J332" s="1012">
        <f t="shared" si="14"/>
        <v>0</v>
      </c>
      <c r="K332" s="1012">
        <f t="shared" si="14"/>
        <v>0</v>
      </c>
      <c r="L332" s="1012">
        <f t="shared" si="14"/>
        <v>0</v>
      </c>
      <c r="M332" s="1012">
        <f t="shared" si="14"/>
        <v>0</v>
      </c>
      <c r="N332" s="1012">
        <f t="shared" si="14"/>
        <v>0</v>
      </c>
      <c r="O332" s="1012">
        <f t="shared" si="15"/>
        <v>0</v>
      </c>
      <c r="P332" s="1012">
        <f t="shared" si="15"/>
        <v>0</v>
      </c>
      <c r="Q332" s="1012">
        <f t="shared" si="15"/>
        <v>0</v>
      </c>
      <c r="R332" s="1012">
        <f t="shared" si="15"/>
        <v>0</v>
      </c>
      <c r="S332" s="1012">
        <f t="shared" si="15"/>
        <v>0</v>
      </c>
      <c r="T332" s="1012">
        <f t="shared" si="15"/>
        <v>0</v>
      </c>
      <c r="U332" s="1012">
        <f t="shared" si="15"/>
        <v>0</v>
      </c>
      <c r="V332" s="1012">
        <f t="shared" si="15"/>
        <v>0</v>
      </c>
      <c r="W332" s="1012">
        <f t="shared" si="15"/>
        <v>0</v>
      </c>
      <c r="X332" s="1012">
        <f t="shared" si="15"/>
        <v>0</v>
      </c>
      <c r="Y332" s="1012">
        <f t="shared" si="15"/>
        <v>0</v>
      </c>
      <c r="Z332" s="1012">
        <f t="shared" si="15"/>
        <v>0</v>
      </c>
      <c r="AA332" s="1012">
        <f t="shared" si="16"/>
        <v>0</v>
      </c>
      <c r="AB332" s="1012">
        <f t="shared" si="16"/>
        <v>0</v>
      </c>
      <c r="AC332" s="1012">
        <f t="shared" si="16"/>
        <v>0</v>
      </c>
      <c r="AD332" s="1012">
        <f t="shared" si="16"/>
        <v>0</v>
      </c>
      <c r="AE332" s="1012">
        <f t="shared" si="16"/>
        <v>0</v>
      </c>
      <c r="AF332" s="1012">
        <f t="shared" si="16"/>
        <v>0</v>
      </c>
      <c r="AG332" s="1012">
        <f t="shared" si="16"/>
        <v>0</v>
      </c>
      <c r="AH332" s="1012">
        <f t="shared" si="16"/>
        <v>0</v>
      </c>
      <c r="AI332" s="1012">
        <f t="shared" si="16"/>
        <v>0</v>
      </c>
      <c r="AJ332" s="1012">
        <f t="shared" si="16"/>
        <v>0</v>
      </c>
      <c r="AK332" s="1012">
        <f t="shared" si="16"/>
        <v>0</v>
      </c>
      <c r="AL332" s="1012">
        <f t="shared" si="16"/>
        <v>0</v>
      </c>
    </row>
    <row r="333" spans="1:38" ht="17.100000000000001" customHeight="1">
      <c r="A333" s="170" t="s">
        <v>148</v>
      </c>
      <c r="B333" s="1"/>
      <c r="C333" s="1013"/>
      <c r="D333" s="1013"/>
      <c r="E333" s="1013"/>
      <c r="F333" s="1013"/>
      <c r="G333" s="1013"/>
      <c r="H333" s="1014"/>
      <c r="I333" s="1014"/>
      <c r="J333" s="1014"/>
      <c r="K333" s="1014"/>
      <c r="L333" s="1014"/>
      <c r="M333" s="1014"/>
      <c r="N333" s="1014"/>
      <c r="O333" s="1015"/>
      <c r="P333" s="1015"/>
      <c r="Q333" s="1015"/>
      <c r="R333" s="1015"/>
      <c r="S333" s="1015"/>
      <c r="T333" s="1015"/>
      <c r="U333" s="1015"/>
      <c r="V333" s="1015"/>
      <c r="W333" s="1015"/>
      <c r="X333" s="1015"/>
      <c r="Y333" s="1015"/>
      <c r="Z333" s="1015"/>
      <c r="AA333" s="1015"/>
      <c r="AB333" s="1015"/>
      <c r="AC333" s="1015"/>
      <c r="AD333" s="1015"/>
      <c r="AE333" s="1015"/>
      <c r="AF333" s="1015"/>
      <c r="AG333" s="1015"/>
      <c r="AH333" s="1015"/>
      <c r="AI333" s="1015"/>
      <c r="AJ333" s="1015"/>
      <c r="AK333" s="1015"/>
      <c r="AL333" s="1015"/>
    </row>
    <row r="334" spans="1:38" ht="17.100000000000001" customHeight="1">
      <c r="A334" s="3"/>
      <c r="B334" s="3"/>
      <c r="C334" s="1013"/>
      <c r="D334" s="1013"/>
      <c r="E334" s="1013"/>
      <c r="F334" s="1013"/>
      <c r="G334" s="1013"/>
      <c r="H334" s="1014"/>
      <c r="I334" s="1014"/>
      <c r="J334" s="1014"/>
      <c r="K334" s="1014"/>
      <c r="L334" s="1014"/>
      <c r="M334" s="1014"/>
      <c r="N334" s="1014"/>
      <c r="O334" s="1015"/>
      <c r="P334" s="1015"/>
      <c r="Q334" s="1015"/>
      <c r="R334" s="1015"/>
      <c r="S334" s="1015"/>
      <c r="T334" s="1015"/>
      <c r="U334" s="1015"/>
      <c r="V334" s="1015"/>
      <c r="W334" s="1015"/>
      <c r="X334" s="1015"/>
      <c r="Y334" s="1015"/>
      <c r="Z334" s="1015"/>
      <c r="AA334" s="1015"/>
      <c r="AB334" s="1015"/>
      <c r="AC334" s="1015"/>
      <c r="AD334" s="1015"/>
      <c r="AE334" s="1015"/>
      <c r="AF334" s="1015"/>
      <c r="AG334" s="1015"/>
      <c r="AH334" s="1015"/>
      <c r="AI334" s="1015"/>
      <c r="AJ334" s="1015"/>
      <c r="AK334" s="1015"/>
      <c r="AL334" s="1015"/>
    </row>
    <row r="335" spans="1:38" ht="17.100000000000001" customHeight="1">
      <c r="A335" s="26" t="s">
        <v>635</v>
      </c>
      <c r="B335" s="31" t="s">
        <v>682</v>
      </c>
      <c r="C335" s="1157" t="s">
        <v>606</v>
      </c>
      <c r="D335" s="1157" t="s">
        <v>607</v>
      </c>
      <c r="E335" s="1157" t="s">
        <v>608</v>
      </c>
      <c r="F335" s="1157" t="s">
        <v>609</v>
      </c>
      <c r="G335" s="1157" t="s">
        <v>610</v>
      </c>
      <c r="H335" s="1157" t="s">
        <v>611</v>
      </c>
      <c r="I335" s="1157" t="s">
        <v>612</v>
      </c>
      <c r="J335" s="1157" t="s">
        <v>613</v>
      </c>
      <c r="K335" s="1157" t="s">
        <v>614</v>
      </c>
      <c r="L335" s="1157" t="s">
        <v>66</v>
      </c>
      <c r="M335" s="1157" t="s">
        <v>616</v>
      </c>
      <c r="N335" s="1157" t="s">
        <v>617</v>
      </c>
      <c r="O335" s="1157" t="s">
        <v>606</v>
      </c>
      <c r="P335" s="1157" t="s">
        <v>607</v>
      </c>
      <c r="Q335" s="1157" t="s">
        <v>608</v>
      </c>
      <c r="R335" s="1157" t="s">
        <v>609</v>
      </c>
      <c r="S335" s="1157" t="s">
        <v>610</v>
      </c>
      <c r="T335" s="1157" t="s">
        <v>611</v>
      </c>
      <c r="U335" s="1157" t="s">
        <v>612</v>
      </c>
      <c r="V335" s="1157" t="s">
        <v>613</v>
      </c>
      <c r="W335" s="1157" t="s">
        <v>614</v>
      </c>
      <c r="X335" s="1157" t="s">
        <v>66</v>
      </c>
      <c r="Y335" s="1157" t="s">
        <v>616</v>
      </c>
      <c r="Z335" s="1157" t="s">
        <v>617</v>
      </c>
      <c r="AA335" s="1157" t="s">
        <v>606</v>
      </c>
      <c r="AB335" s="1157" t="s">
        <v>607</v>
      </c>
      <c r="AC335" s="1157" t="s">
        <v>608</v>
      </c>
      <c r="AD335" s="1157" t="s">
        <v>609</v>
      </c>
      <c r="AE335" s="1157" t="s">
        <v>610</v>
      </c>
      <c r="AF335" s="1157" t="s">
        <v>611</v>
      </c>
      <c r="AG335" s="1157" t="s">
        <v>612</v>
      </c>
      <c r="AH335" s="1157" t="s">
        <v>613</v>
      </c>
      <c r="AI335" s="1157" t="s">
        <v>614</v>
      </c>
      <c r="AJ335" s="1157" t="s">
        <v>66</v>
      </c>
      <c r="AK335" s="1157" t="s">
        <v>616</v>
      </c>
      <c r="AL335" s="1157" t="s">
        <v>617</v>
      </c>
    </row>
    <row r="336" spans="1:38" ht="17.100000000000001" customHeight="1">
      <c r="A336" s="58"/>
      <c r="B336" s="34" t="s">
        <v>60</v>
      </c>
      <c r="C336" s="1068"/>
      <c r="D336" s="1068"/>
      <c r="E336" s="1068"/>
      <c r="F336" s="1068"/>
      <c r="G336" s="1068"/>
      <c r="H336" s="1068"/>
      <c r="I336" s="1068"/>
      <c r="J336" s="1068"/>
      <c r="K336" s="1068"/>
      <c r="L336" s="1068"/>
      <c r="M336" s="1068"/>
      <c r="N336" s="1068"/>
      <c r="O336" s="1068"/>
      <c r="P336" s="1068"/>
      <c r="Q336" s="1068"/>
      <c r="R336" s="1068"/>
      <c r="S336" s="1068"/>
      <c r="T336" s="1068"/>
      <c r="U336" s="1068"/>
      <c r="V336" s="1068"/>
      <c r="W336" s="1068"/>
      <c r="X336" s="1068"/>
      <c r="Y336" s="1068"/>
      <c r="Z336" s="1068"/>
      <c r="AA336" s="1068"/>
      <c r="AB336" s="1068"/>
      <c r="AC336" s="1068"/>
      <c r="AD336" s="1068"/>
      <c r="AE336" s="1068"/>
      <c r="AF336" s="1068"/>
      <c r="AG336" s="1068"/>
      <c r="AH336" s="1068"/>
      <c r="AI336" s="1068"/>
      <c r="AJ336" s="1068"/>
      <c r="AK336" s="1068"/>
      <c r="AL336" s="1068"/>
    </row>
    <row r="337" spans="1:45" ht="17.100000000000001" customHeight="1">
      <c r="A337" s="325" t="s">
        <v>687</v>
      </c>
      <c r="B337" s="183">
        <f t="shared" ref="B337:B344" si="17">SUM(C337:N337)</f>
        <v>180000</v>
      </c>
      <c r="C337" s="899">
        <v>15000</v>
      </c>
      <c r="D337" s="899">
        <v>15000</v>
      </c>
      <c r="E337" s="899">
        <v>15000</v>
      </c>
      <c r="F337" s="899">
        <v>15000</v>
      </c>
      <c r="G337" s="899">
        <v>15000</v>
      </c>
      <c r="H337" s="899">
        <v>15000</v>
      </c>
      <c r="I337" s="899">
        <v>15000</v>
      </c>
      <c r="J337" s="899">
        <v>15000</v>
      </c>
      <c r="K337" s="899">
        <v>15000</v>
      </c>
      <c r="L337" s="899">
        <v>15000</v>
      </c>
      <c r="M337" s="899">
        <v>15000</v>
      </c>
      <c r="N337" s="899">
        <v>15000</v>
      </c>
      <c r="O337" s="899">
        <v>15000</v>
      </c>
      <c r="P337" s="899">
        <v>15000</v>
      </c>
      <c r="Q337" s="899">
        <v>15000</v>
      </c>
      <c r="R337" s="899">
        <v>15000</v>
      </c>
      <c r="S337" s="899">
        <v>15000</v>
      </c>
      <c r="T337" s="899">
        <v>15000</v>
      </c>
      <c r="U337" s="899">
        <v>15000</v>
      </c>
      <c r="V337" s="899">
        <v>15000</v>
      </c>
      <c r="W337" s="899">
        <v>15000</v>
      </c>
      <c r="X337" s="899">
        <v>15000</v>
      </c>
      <c r="Y337" s="899">
        <v>15000</v>
      </c>
      <c r="Z337" s="899">
        <v>15000</v>
      </c>
      <c r="AA337" s="899">
        <v>15000</v>
      </c>
      <c r="AB337" s="899">
        <v>15000</v>
      </c>
      <c r="AC337" s="899">
        <v>15000</v>
      </c>
      <c r="AD337" s="899">
        <v>15000</v>
      </c>
      <c r="AE337" s="899">
        <v>15000</v>
      </c>
      <c r="AF337" s="899">
        <v>15000</v>
      </c>
      <c r="AG337" s="899">
        <v>15000</v>
      </c>
      <c r="AH337" s="899">
        <v>15000</v>
      </c>
      <c r="AI337" s="899">
        <v>15000</v>
      </c>
      <c r="AJ337" s="899">
        <v>15000</v>
      </c>
      <c r="AK337" s="899">
        <v>15000</v>
      </c>
      <c r="AL337" s="899">
        <v>15000</v>
      </c>
    </row>
    <row r="338" spans="1:45" ht="17.100000000000001" customHeight="1">
      <c r="A338" s="325" t="s">
        <v>684</v>
      </c>
      <c r="B338" s="183">
        <f t="shared" si="17"/>
        <v>16800000</v>
      </c>
      <c r="C338" s="899">
        <v>1400000</v>
      </c>
      <c r="D338" s="899">
        <v>1400000</v>
      </c>
      <c r="E338" s="899">
        <v>1400000</v>
      </c>
      <c r="F338" s="899">
        <v>1400000</v>
      </c>
      <c r="G338" s="899">
        <v>1400000</v>
      </c>
      <c r="H338" s="899">
        <v>1400000</v>
      </c>
      <c r="I338" s="899">
        <v>1400000</v>
      </c>
      <c r="J338" s="899">
        <v>1400000</v>
      </c>
      <c r="K338" s="899">
        <v>1400000</v>
      </c>
      <c r="L338" s="899">
        <v>1400000</v>
      </c>
      <c r="M338" s="899">
        <v>1400000</v>
      </c>
      <c r="N338" s="899">
        <v>1400000</v>
      </c>
      <c r="O338" s="899">
        <v>1400000</v>
      </c>
      <c r="P338" s="899">
        <v>1400000</v>
      </c>
      <c r="Q338" s="899">
        <v>1400000</v>
      </c>
      <c r="R338" s="899">
        <v>1400000</v>
      </c>
      <c r="S338" s="899">
        <v>1400000</v>
      </c>
      <c r="T338" s="899">
        <v>1400000</v>
      </c>
      <c r="U338" s="899">
        <v>1400000</v>
      </c>
      <c r="V338" s="899">
        <v>1400000</v>
      </c>
      <c r="W338" s="899">
        <v>1400000</v>
      </c>
      <c r="X338" s="899">
        <v>1400000</v>
      </c>
      <c r="Y338" s="899">
        <v>1400000</v>
      </c>
      <c r="Z338" s="899">
        <v>1400000</v>
      </c>
      <c r="AA338" s="899">
        <v>1400000</v>
      </c>
      <c r="AB338" s="899">
        <v>1400000</v>
      </c>
      <c r="AC338" s="899">
        <v>1400000</v>
      </c>
      <c r="AD338" s="899">
        <v>1400000</v>
      </c>
      <c r="AE338" s="899">
        <v>1400000</v>
      </c>
      <c r="AF338" s="899">
        <v>1400000</v>
      </c>
      <c r="AG338" s="899">
        <v>1400000</v>
      </c>
      <c r="AH338" s="899">
        <v>1400000</v>
      </c>
      <c r="AI338" s="899">
        <v>1400000</v>
      </c>
      <c r="AJ338" s="899">
        <v>1400000</v>
      </c>
      <c r="AK338" s="899">
        <v>1400000</v>
      </c>
      <c r="AL338" s="899">
        <v>1400000</v>
      </c>
    </row>
    <row r="339" spans="1:45" ht="17.100000000000001" customHeight="1">
      <c r="A339" s="325" t="s">
        <v>688</v>
      </c>
      <c r="B339" s="183">
        <f t="shared" si="17"/>
        <v>0</v>
      </c>
      <c r="C339" s="899">
        <v>0</v>
      </c>
      <c r="D339" s="899">
        <v>0</v>
      </c>
      <c r="E339" s="899">
        <v>0</v>
      </c>
      <c r="F339" s="899">
        <v>0</v>
      </c>
      <c r="G339" s="899">
        <v>0</v>
      </c>
      <c r="H339" s="899">
        <v>0</v>
      </c>
      <c r="I339" s="899">
        <v>0</v>
      </c>
      <c r="J339" s="899">
        <v>0</v>
      </c>
      <c r="K339" s="899">
        <v>0</v>
      </c>
      <c r="L339" s="899">
        <v>0</v>
      </c>
      <c r="M339" s="899">
        <v>0</v>
      </c>
      <c r="N339" s="899">
        <v>0</v>
      </c>
      <c r="O339" s="899">
        <v>0</v>
      </c>
      <c r="P339" s="899">
        <v>0</v>
      </c>
      <c r="Q339" s="899">
        <v>0</v>
      </c>
      <c r="R339" s="899">
        <v>0</v>
      </c>
      <c r="S339" s="899">
        <v>0</v>
      </c>
      <c r="T339" s="899">
        <v>0</v>
      </c>
      <c r="U339" s="899">
        <v>0</v>
      </c>
      <c r="V339" s="899">
        <v>0</v>
      </c>
      <c r="W339" s="899">
        <v>0</v>
      </c>
      <c r="X339" s="899">
        <v>0</v>
      </c>
      <c r="Y339" s="899">
        <v>0</v>
      </c>
      <c r="Z339" s="899">
        <v>0</v>
      </c>
      <c r="AA339" s="899">
        <v>0</v>
      </c>
      <c r="AB339" s="899">
        <v>0</v>
      </c>
      <c r="AC339" s="899">
        <v>0</v>
      </c>
      <c r="AD339" s="899">
        <v>0</v>
      </c>
      <c r="AE339" s="899">
        <v>0</v>
      </c>
      <c r="AF339" s="899">
        <v>0</v>
      </c>
      <c r="AG339" s="899">
        <v>0</v>
      </c>
      <c r="AH339" s="899">
        <v>0</v>
      </c>
      <c r="AI339" s="899">
        <v>0</v>
      </c>
      <c r="AJ339" s="899">
        <v>0</v>
      </c>
      <c r="AK339" s="899">
        <v>0</v>
      </c>
      <c r="AL339" s="899">
        <v>0</v>
      </c>
    </row>
    <row r="340" spans="1:45" ht="17.100000000000001" customHeight="1">
      <c r="A340" s="325" t="s">
        <v>735</v>
      </c>
      <c r="B340" s="183">
        <f t="shared" si="17"/>
        <v>600000</v>
      </c>
      <c r="C340" s="899">
        <v>50000</v>
      </c>
      <c r="D340" s="899">
        <v>50000</v>
      </c>
      <c r="E340" s="899">
        <v>50000</v>
      </c>
      <c r="F340" s="899">
        <v>50000</v>
      </c>
      <c r="G340" s="899">
        <v>50000</v>
      </c>
      <c r="H340" s="899">
        <v>50000</v>
      </c>
      <c r="I340" s="899">
        <v>50000</v>
      </c>
      <c r="J340" s="899">
        <v>50000</v>
      </c>
      <c r="K340" s="899">
        <v>50000</v>
      </c>
      <c r="L340" s="899">
        <v>50000</v>
      </c>
      <c r="M340" s="899">
        <v>50000</v>
      </c>
      <c r="N340" s="899">
        <v>50000</v>
      </c>
      <c r="O340" s="899">
        <v>50000</v>
      </c>
      <c r="P340" s="899">
        <v>50000</v>
      </c>
      <c r="Q340" s="899">
        <v>50000</v>
      </c>
      <c r="R340" s="899">
        <v>50000</v>
      </c>
      <c r="S340" s="899">
        <v>50000</v>
      </c>
      <c r="T340" s="899">
        <v>50000</v>
      </c>
      <c r="U340" s="899">
        <v>50000</v>
      </c>
      <c r="V340" s="899">
        <v>50000</v>
      </c>
      <c r="W340" s="899">
        <v>50000</v>
      </c>
      <c r="X340" s="899">
        <v>50000</v>
      </c>
      <c r="Y340" s="899">
        <v>50000</v>
      </c>
      <c r="Z340" s="899">
        <v>50000</v>
      </c>
      <c r="AA340" s="899">
        <v>50000</v>
      </c>
      <c r="AB340" s="899">
        <v>50000</v>
      </c>
      <c r="AC340" s="899">
        <v>50000</v>
      </c>
      <c r="AD340" s="899">
        <v>50000</v>
      </c>
      <c r="AE340" s="899">
        <v>50000</v>
      </c>
      <c r="AF340" s="899">
        <v>50000</v>
      </c>
      <c r="AG340" s="899">
        <v>50000</v>
      </c>
      <c r="AH340" s="899">
        <v>50000</v>
      </c>
      <c r="AI340" s="899">
        <v>50000</v>
      </c>
      <c r="AJ340" s="899">
        <v>50000</v>
      </c>
      <c r="AK340" s="899">
        <v>50000</v>
      </c>
      <c r="AL340" s="899">
        <v>50000</v>
      </c>
    </row>
    <row r="341" spans="1:45" ht="17.100000000000001" customHeight="1">
      <c r="A341" s="325" t="s">
        <v>728</v>
      </c>
      <c r="B341" s="183">
        <f t="shared" si="17"/>
        <v>2400000</v>
      </c>
      <c r="C341" s="899">
        <v>200000</v>
      </c>
      <c r="D341" s="899">
        <v>200000</v>
      </c>
      <c r="E341" s="899">
        <v>200000</v>
      </c>
      <c r="F341" s="899">
        <v>200000</v>
      </c>
      <c r="G341" s="899">
        <v>200000</v>
      </c>
      <c r="H341" s="899">
        <v>200000</v>
      </c>
      <c r="I341" s="899">
        <v>200000</v>
      </c>
      <c r="J341" s="899">
        <v>200000</v>
      </c>
      <c r="K341" s="899">
        <v>200000</v>
      </c>
      <c r="L341" s="899">
        <v>200000</v>
      </c>
      <c r="M341" s="899">
        <v>200000</v>
      </c>
      <c r="N341" s="899">
        <v>200000</v>
      </c>
      <c r="O341" s="899">
        <v>200000</v>
      </c>
      <c r="P341" s="899">
        <v>200000</v>
      </c>
      <c r="Q341" s="899">
        <v>200000</v>
      </c>
      <c r="R341" s="899">
        <v>200000</v>
      </c>
      <c r="S341" s="899">
        <v>200000</v>
      </c>
      <c r="T341" s="899">
        <v>200000</v>
      </c>
      <c r="U341" s="899">
        <v>200000</v>
      </c>
      <c r="V341" s="899">
        <v>200000</v>
      </c>
      <c r="W341" s="899">
        <v>200000</v>
      </c>
      <c r="X341" s="899">
        <v>200000</v>
      </c>
      <c r="Y341" s="899">
        <v>200000</v>
      </c>
      <c r="Z341" s="899">
        <v>200000</v>
      </c>
      <c r="AA341" s="899">
        <v>200000</v>
      </c>
      <c r="AB341" s="899">
        <v>200000</v>
      </c>
      <c r="AC341" s="899">
        <v>200000</v>
      </c>
      <c r="AD341" s="899">
        <v>200000</v>
      </c>
      <c r="AE341" s="899">
        <v>200000</v>
      </c>
      <c r="AF341" s="899">
        <v>200000</v>
      </c>
      <c r="AG341" s="899">
        <v>200000</v>
      </c>
      <c r="AH341" s="899">
        <v>200000</v>
      </c>
      <c r="AI341" s="899">
        <v>200000</v>
      </c>
      <c r="AJ341" s="899">
        <v>200000</v>
      </c>
      <c r="AK341" s="899">
        <v>200000</v>
      </c>
      <c r="AL341" s="899">
        <v>200000</v>
      </c>
    </row>
    <row r="342" spans="1:45" ht="17.100000000000001" customHeight="1">
      <c r="A342" s="325" t="s">
        <v>896</v>
      </c>
      <c r="B342" s="183">
        <f t="shared" si="17"/>
        <v>9120000</v>
      </c>
      <c r="C342" s="899">
        <v>760000</v>
      </c>
      <c r="D342" s="899">
        <v>760000</v>
      </c>
      <c r="E342" s="899">
        <v>760000</v>
      </c>
      <c r="F342" s="899">
        <v>760000</v>
      </c>
      <c r="G342" s="899">
        <v>760000</v>
      </c>
      <c r="H342" s="899">
        <v>760000</v>
      </c>
      <c r="I342" s="899">
        <v>760000</v>
      </c>
      <c r="J342" s="899">
        <v>760000</v>
      </c>
      <c r="K342" s="899">
        <v>760000</v>
      </c>
      <c r="L342" s="899">
        <v>760000</v>
      </c>
      <c r="M342" s="899">
        <v>760000</v>
      </c>
      <c r="N342" s="899">
        <v>760000</v>
      </c>
      <c r="O342" s="899">
        <v>760000</v>
      </c>
      <c r="P342" s="899">
        <v>760000</v>
      </c>
      <c r="Q342" s="899">
        <v>760000</v>
      </c>
      <c r="R342" s="899">
        <v>760000</v>
      </c>
      <c r="S342" s="899">
        <v>760000</v>
      </c>
      <c r="T342" s="899">
        <v>760000</v>
      </c>
      <c r="U342" s="899">
        <v>760000</v>
      </c>
      <c r="V342" s="899">
        <v>760000</v>
      </c>
      <c r="W342" s="899">
        <v>760000</v>
      </c>
      <c r="X342" s="899">
        <v>760000</v>
      </c>
      <c r="Y342" s="899">
        <v>760000</v>
      </c>
      <c r="Z342" s="899">
        <v>760000</v>
      </c>
      <c r="AA342" s="899">
        <v>760000</v>
      </c>
      <c r="AB342" s="899">
        <v>760000</v>
      </c>
      <c r="AC342" s="899">
        <v>760000</v>
      </c>
      <c r="AD342" s="899">
        <v>760000</v>
      </c>
      <c r="AE342" s="899">
        <v>760000</v>
      </c>
      <c r="AF342" s="899">
        <v>760000</v>
      </c>
      <c r="AG342" s="899">
        <v>760000</v>
      </c>
      <c r="AH342" s="899">
        <v>760000</v>
      </c>
      <c r="AI342" s="899">
        <v>760000</v>
      </c>
      <c r="AJ342" s="899">
        <v>760000</v>
      </c>
      <c r="AK342" s="899">
        <v>760000</v>
      </c>
      <c r="AL342" s="899">
        <v>760000</v>
      </c>
    </row>
    <row r="343" spans="1:45" ht="17.100000000000001" customHeight="1">
      <c r="A343" s="325"/>
      <c r="B343" s="183">
        <f t="shared" si="17"/>
        <v>0</v>
      </c>
      <c r="C343" s="899">
        <v>0</v>
      </c>
      <c r="D343" s="899">
        <v>0</v>
      </c>
      <c r="E343" s="899">
        <v>0</v>
      </c>
      <c r="F343" s="899">
        <v>0</v>
      </c>
      <c r="G343" s="899">
        <v>0</v>
      </c>
      <c r="H343" s="899">
        <v>0</v>
      </c>
      <c r="I343" s="899">
        <v>0</v>
      </c>
      <c r="J343" s="899">
        <v>0</v>
      </c>
      <c r="K343" s="899">
        <v>0</v>
      </c>
      <c r="L343" s="899">
        <v>0</v>
      </c>
      <c r="M343" s="899">
        <v>0</v>
      </c>
      <c r="N343" s="899">
        <v>0</v>
      </c>
      <c r="O343" s="899">
        <v>0</v>
      </c>
      <c r="P343" s="899">
        <v>0</v>
      </c>
      <c r="Q343" s="899">
        <v>0</v>
      </c>
      <c r="R343" s="899">
        <v>0</v>
      </c>
      <c r="S343" s="899">
        <v>0</v>
      </c>
      <c r="T343" s="899">
        <v>0</v>
      </c>
      <c r="U343" s="899">
        <v>0</v>
      </c>
      <c r="V343" s="899">
        <v>0</v>
      </c>
      <c r="W343" s="899">
        <v>0</v>
      </c>
      <c r="X343" s="899">
        <v>0</v>
      </c>
      <c r="Y343" s="899">
        <v>0</v>
      </c>
      <c r="Z343" s="899">
        <v>0</v>
      </c>
      <c r="AA343" s="899">
        <v>0</v>
      </c>
      <c r="AB343" s="899">
        <v>0</v>
      </c>
      <c r="AC343" s="899">
        <v>0</v>
      </c>
      <c r="AD343" s="899">
        <v>0</v>
      </c>
      <c r="AE343" s="899">
        <v>0</v>
      </c>
      <c r="AF343" s="899">
        <v>0</v>
      </c>
      <c r="AG343" s="899">
        <v>0</v>
      </c>
      <c r="AH343" s="899">
        <v>0</v>
      </c>
      <c r="AI343" s="899">
        <v>0</v>
      </c>
      <c r="AJ343" s="899">
        <v>0</v>
      </c>
      <c r="AK343" s="899">
        <v>0</v>
      </c>
      <c r="AL343" s="899">
        <v>0</v>
      </c>
    </row>
    <row r="344" spans="1:45" ht="17.100000000000001" customHeight="1">
      <c r="A344" s="325"/>
      <c r="B344" s="183">
        <f t="shared" si="17"/>
        <v>0</v>
      </c>
      <c r="C344" s="899">
        <v>0</v>
      </c>
      <c r="D344" s="899">
        <v>0</v>
      </c>
      <c r="E344" s="899">
        <v>0</v>
      </c>
      <c r="F344" s="899">
        <v>0</v>
      </c>
      <c r="G344" s="899">
        <v>0</v>
      </c>
      <c r="H344" s="899">
        <v>0</v>
      </c>
      <c r="I344" s="899">
        <v>0</v>
      </c>
      <c r="J344" s="899">
        <v>0</v>
      </c>
      <c r="K344" s="899">
        <v>0</v>
      </c>
      <c r="L344" s="899">
        <v>0</v>
      </c>
      <c r="M344" s="899">
        <v>0</v>
      </c>
      <c r="N344" s="899">
        <v>0</v>
      </c>
      <c r="O344" s="899">
        <v>0</v>
      </c>
      <c r="P344" s="899">
        <v>0</v>
      </c>
      <c r="Q344" s="899">
        <v>0</v>
      </c>
      <c r="R344" s="899">
        <v>0</v>
      </c>
      <c r="S344" s="899">
        <v>0</v>
      </c>
      <c r="T344" s="899">
        <v>0</v>
      </c>
      <c r="U344" s="899">
        <v>0</v>
      </c>
      <c r="V344" s="899">
        <v>0</v>
      </c>
      <c r="W344" s="899">
        <v>0</v>
      </c>
      <c r="X344" s="899">
        <v>0</v>
      </c>
      <c r="Y344" s="899">
        <v>0</v>
      </c>
      <c r="Z344" s="899">
        <v>0</v>
      </c>
      <c r="AA344" s="899">
        <v>0</v>
      </c>
      <c r="AB344" s="899">
        <v>0</v>
      </c>
      <c r="AC344" s="899">
        <v>0</v>
      </c>
      <c r="AD344" s="899">
        <v>0</v>
      </c>
      <c r="AE344" s="899">
        <v>0</v>
      </c>
      <c r="AF344" s="899">
        <v>0</v>
      </c>
      <c r="AG344" s="899">
        <v>0</v>
      </c>
      <c r="AH344" s="899">
        <v>0</v>
      </c>
      <c r="AI344" s="899">
        <v>0</v>
      </c>
      <c r="AJ344" s="899">
        <v>0</v>
      </c>
      <c r="AK344" s="899">
        <v>0</v>
      </c>
      <c r="AL344" s="899">
        <v>0</v>
      </c>
    </row>
    <row r="345" spans="1:45" ht="17.100000000000001" customHeight="1">
      <c r="A345" s="3"/>
      <c r="B345" s="3"/>
      <c r="C345" s="210">
        <f>SUM(C337:C344)</f>
        <v>2425000</v>
      </c>
      <c r="D345" s="210">
        <f t="shared" ref="D345:N345" si="18">SUM(D337:D344)</f>
        <v>2425000</v>
      </c>
      <c r="E345" s="210">
        <f t="shared" si="18"/>
        <v>2425000</v>
      </c>
      <c r="F345" s="210">
        <f t="shared" si="18"/>
        <v>2425000</v>
      </c>
      <c r="G345" s="210">
        <f t="shared" si="18"/>
        <v>2425000</v>
      </c>
      <c r="H345" s="210">
        <f t="shared" si="18"/>
        <v>2425000</v>
      </c>
      <c r="I345" s="210">
        <f t="shared" si="18"/>
        <v>2425000</v>
      </c>
      <c r="J345" s="210">
        <f t="shared" si="18"/>
        <v>2425000</v>
      </c>
      <c r="K345" s="210">
        <f t="shared" si="18"/>
        <v>2425000</v>
      </c>
      <c r="L345" s="210">
        <f t="shared" si="18"/>
        <v>2425000</v>
      </c>
      <c r="M345" s="210">
        <f t="shared" si="18"/>
        <v>2425000</v>
      </c>
      <c r="N345" s="210">
        <f t="shared" si="18"/>
        <v>2425000</v>
      </c>
      <c r="O345" s="195"/>
      <c r="P345" s="195"/>
      <c r="Q345" s="195"/>
      <c r="R345" s="195"/>
      <c r="S345" s="195"/>
      <c r="T345" s="195"/>
      <c r="U345" s="195"/>
      <c r="V345" s="195"/>
      <c r="W345" s="195"/>
      <c r="AF345" s="195"/>
    </row>
    <row r="346" spans="1:45" ht="17.100000000000001" customHeight="1">
      <c r="A346" s="289"/>
      <c r="B346" s="289"/>
      <c r="C346" s="194"/>
      <c r="D346" s="194"/>
      <c r="E346" s="194"/>
      <c r="F346" s="194"/>
      <c r="G346" s="194"/>
      <c r="H346" s="194"/>
      <c r="I346" s="194"/>
      <c r="J346" s="194"/>
      <c r="K346" s="194"/>
      <c r="L346" s="194"/>
      <c r="M346" s="194"/>
      <c r="N346" s="194"/>
      <c r="O346" s="195"/>
      <c r="P346" s="195"/>
      <c r="Q346" s="195"/>
      <c r="R346" s="195"/>
      <c r="S346" s="195"/>
      <c r="T346" s="195"/>
      <c r="U346" s="195"/>
      <c r="V346" s="195"/>
      <c r="W346" s="195"/>
      <c r="AF346" s="195"/>
    </row>
    <row r="347" spans="1:45" ht="17.100000000000001" customHeight="1">
      <c r="A347" s="170" t="s">
        <v>775</v>
      </c>
      <c r="B347" s="1"/>
      <c r="C347" s="194"/>
      <c r="D347" s="194"/>
      <c r="E347" s="194"/>
      <c r="F347" s="194"/>
      <c r="G347" s="194"/>
      <c r="H347" s="194"/>
      <c r="I347" s="194"/>
      <c r="J347" s="194"/>
      <c r="K347" s="194"/>
      <c r="L347" s="194"/>
      <c r="M347" s="194"/>
      <c r="N347" s="194"/>
      <c r="O347" s="195"/>
      <c r="P347" s="195"/>
      <c r="Q347" s="195"/>
      <c r="R347" s="195"/>
      <c r="S347" s="195"/>
      <c r="T347" s="195"/>
      <c r="U347" s="195"/>
      <c r="V347" s="195"/>
      <c r="W347" s="195"/>
      <c r="AF347" s="195"/>
    </row>
    <row r="348" spans="1:45" ht="17.100000000000001" customHeight="1">
      <c r="A348" s="1"/>
      <c r="B348" s="1"/>
      <c r="C348" s="194"/>
      <c r="D348" s="194"/>
      <c r="E348" s="194"/>
      <c r="F348" s="194"/>
      <c r="G348" s="194"/>
      <c r="H348" s="194"/>
      <c r="I348" s="194"/>
      <c r="J348" s="194"/>
      <c r="K348" s="194"/>
      <c r="L348" s="194"/>
      <c r="M348" s="194"/>
      <c r="N348" s="194"/>
      <c r="O348" s="195"/>
      <c r="P348" s="195"/>
      <c r="Q348" s="195"/>
      <c r="R348" s="195"/>
      <c r="S348" s="195"/>
      <c r="T348" s="195"/>
      <c r="U348" s="195"/>
      <c r="V348" s="195"/>
      <c r="W348" s="195"/>
      <c r="AF348" s="195"/>
    </row>
    <row r="349" spans="1:45" ht="17.100000000000001" customHeight="1">
      <c r="A349" s="3"/>
      <c r="B349" s="3"/>
      <c r="C349" s="193"/>
      <c r="D349" s="193"/>
      <c r="E349" s="193"/>
      <c r="F349" s="193"/>
      <c r="G349" s="193"/>
      <c r="H349" s="194"/>
      <c r="I349" s="194"/>
      <c r="J349" s="194"/>
      <c r="K349" s="194"/>
      <c r="L349" s="194"/>
      <c r="M349" s="194"/>
      <c r="N349" s="194"/>
      <c r="O349" s="195"/>
      <c r="P349" s="195"/>
      <c r="Q349" s="195"/>
      <c r="R349" s="195"/>
      <c r="S349" s="195"/>
      <c r="T349" s="195"/>
      <c r="U349" s="195"/>
      <c r="V349" s="195"/>
      <c r="W349" s="195"/>
      <c r="AF349" s="195"/>
    </row>
    <row r="350" spans="1:45" s="88" customFormat="1" ht="17.100000000000001" customHeight="1">
      <c r="A350" s="15" t="s">
        <v>689</v>
      </c>
      <c r="B350" s="15" t="s">
        <v>690</v>
      </c>
      <c r="C350" s="1154" t="s">
        <v>691</v>
      </c>
      <c r="D350" s="1155"/>
      <c r="E350" s="1156"/>
      <c r="F350" s="298"/>
      <c r="G350" s="298"/>
      <c r="H350" s="1154" t="s">
        <v>777</v>
      </c>
      <c r="I350" s="1155"/>
      <c r="J350" s="1156"/>
      <c r="K350" s="87"/>
      <c r="L350" s="87"/>
      <c r="M350" s="87"/>
      <c r="N350" s="87"/>
      <c r="V350" s="288"/>
      <c r="W350" s="288"/>
      <c r="AF350" s="288"/>
    </row>
    <row r="351" spans="1:45" s="88" customFormat="1" ht="17.100000000000001" customHeight="1">
      <c r="A351" s="89"/>
      <c r="B351" s="89"/>
      <c r="C351" s="90" t="s">
        <v>692</v>
      </c>
      <c r="D351" s="86" t="s">
        <v>693</v>
      </c>
      <c r="E351" s="86" t="s">
        <v>694</v>
      </c>
      <c r="F351" s="285" t="s">
        <v>778</v>
      </c>
      <c r="G351" s="285" t="s">
        <v>779</v>
      </c>
      <c r="H351" s="47" t="s">
        <v>606</v>
      </c>
      <c r="I351" s="47" t="s">
        <v>607</v>
      </c>
      <c r="J351" s="47" t="s">
        <v>608</v>
      </c>
      <c r="K351" s="47" t="s">
        <v>609</v>
      </c>
      <c r="L351" s="47" t="s">
        <v>610</v>
      </c>
      <c r="M351" s="47" t="s">
        <v>611</v>
      </c>
      <c r="N351" s="47" t="s">
        <v>612</v>
      </c>
      <c r="O351" s="47" t="s">
        <v>613</v>
      </c>
      <c r="P351" s="47" t="s">
        <v>614</v>
      </c>
      <c r="Q351" s="47" t="s">
        <v>66</v>
      </c>
      <c r="R351" s="47" t="s">
        <v>616</v>
      </c>
      <c r="S351" s="47" t="s">
        <v>617</v>
      </c>
      <c r="T351" s="47" t="s">
        <v>805</v>
      </c>
      <c r="U351" s="47" t="s">
        <v>806</v>
      </c>
      <c r="V351" s="47" t="s">
        <v>807</v>
      </c>
      <c r="W351" s="47" t="s">
        <v>808</v>
      </c>
      <c r="X351" s="47" t="s">
        <v>809</v>
      </c>
      <c r="Y351" s="47" t="s">
        <v>810</v>
      </c>
      <c r="Z351" s="47" t="s">
        <v>811</v>
      </c>
      <c r="AA351" s="47" t="s">
        <v>812</v>
      </c>
      <c r="AB351" s="47" t="s">
        <v>813</v>
      </c>
      <c r="AC351" s="47" t="s">
        <v>814</v>
      </c>
      <c r="AD351" s="47" t="s">
        <v>815</v>
      </c>
      <c r="AE351" s="47" t="s">
        <v>816</v>
      </c>
      <c r="AF351" s="47" t="s">
        <v>817</v>
      </c>
      <c r="AG351" s="47" t="s">
        <v>818</v>
      </c>
      <c r="AH351" s="47" t="s">
        <v>819</v>
      </c>
      <c r="AI351" s="47" t="s">
        <v>820</v>
      </c>
      <c r="AJ351" s="47" t="s">
        <v>821</v>
      </c>
      <c r="AK351" s="47" t="s">
        <v>822</v>
      </c>
      <c r="AL351" s="47" t="s">
        <v>823</v>
      </c>
      <c r="AM351" s="47" t="s">
        <v>824</v>
      </c>
      <c r="AN351" s="47" t="s">
        <v>825</v>
      </c>
      <c r="AO351" s="47" t="s">
        <v>826</v>
      </c>
      <c r="AP351" s="47" t="s">
        <v>827</v>
      </c>
      <c r="AQ351" s="950" t="s">
        <v>828</v>
      </c>
      <c r="AR351" s="956"/>
      <c r="AS351" s="954"/>
    </row>
    <row r="352" spans="1:45" ht="17.100000000000001" customHeight="1">
      <c r="A352" s="3"/>
      <c r="B352" s="3"/>
      <c r="C352" s="3"/>
      <c r="D352" s="3"/>
      <c r="E352" s="3"/>
      <c r="F352" s="286"/>
      <c r="G352" s="295"/>
      <c r="H352" s="284"/>
      <c r="I352" s="284"/>
      <c r="J352" s="284"/>
      <c r="K352" s="284"/>
      <c r="L352" s="284"/>
      <c r="M352" s="284"/>
      <c r="N352" s="284"/>
      <c r="O352" s="286"/>
      <c r="P352" s="286"/>
      <c r="Q352" s="286"/>
      <c r="R352" s="286"/>
      <c r="S352" s="286"/>
      <c r="T352" s="286"/>
      <c r="U352" s="286"/>
      <c r="V352" s="286"/>
      <c r="W352" s="286"/>
      <c r="X352" s="286"/>
      <c r="Y352" s="286"/>
      <c r="Z352" s="286"/>
      <c r="AA352" s="286"/>
      <c r="AB352" s="286"/>
      <c r="AC352" s="286"/>
      <c r="AD352" s="286"/>
      <c r="AE352" s="286"/>
      <c r="AF352" s="286"/>
      <c r="AG352" s="286"/>
      <c r="AH352" s="286"/>
      <c r="AI352" s="286"/>
      <c r="AJ352" s="286"/>
      <c r="AK352" s="286"/>
      <c r="AL352" s="286"/>
      <c r="AM352" s="286"/>
      <c r="AN352" s="286"/>
      <c r="AO352" s="286"/>
      <c r="AP352" s="286"/>
      <c r="AQ352" s="951"/>
      <c r="AR352" s="957"/>
      <c r="AS352" s="955"/>
    </row>
    <row r="353" spans="1:45" ht="17.100000000000001" customHeight="1">
      <c r="A353" s="878" t="s">
        <v>897</v>
      </c>
      <c r="B353" s="183">
        <f>+F353</f>
        <v>0</v>
      </c>
      <c r="C353" s="301">
        <f>SUM(H353:S353)/12</f>
        <v>2</v>
      </c>
      <c r="D353" s="301">
        <f>SUM(T353:AE353)/12</f>
        <v>2</v>
      </c>
      <c r="E353" s="301">
        <f>SUM(AF353:AQ353)/12</f>
        <v>2</v>
      </c>
      <c r="F353" s="900"/>
      <c r="G353" s="900"/>
      <c r="H353" s="325">
        <v>2</v>
      </c>
      <c r="I353" s="325">
        <v>2</v>
      </c>
      <c r="J353" s="325">
        <v>2</v>
      </c>
      <c r="K353" s="325">
        <v>2</v>
      </c>
      <c r="L353" s="325">
        <v>2</v>
      </c>
      <c r="M353" s="325">
        <v>2</v>
      </c>
      <c r="N353" s="325">
        <v>2</v>
      </c>
      <c r="O353" s="325">
        <v>2</v>
      </c>
      <c r="P353" s="325">
        <v>2</v>
      </c>
      <c r="Q353" s="325">
        <v>2</v>
      </c>
      <c r="R353" s="325">
        <v>2</v>
      </c>
      <c r="S353" s="325">
        <v>2</v>
      </c>
      <c r="T353" s="325">
        <v>2</v>
      </c>
      <c r="U353" s="325">
        <v>2</v>
      </c>
      <c r="V353" s="325">
        <v>2</v>
      </c>
      <c r="W353" s="325">
        <v>2</v>
      </c>
      <c r="X353" s="325">
        <v>2</v>
      </c>
      <c r="Y353" s="325">
        <v>2</v>
      </c>
      <c r="Z353" s="325">
        <v>2</v>
      </c>
      <c r="AA353" s="325">
        <v>2</v>
      </c>
      <c r="AB353" s="325">
        <v>2</v>
      </c>
      <c r="AC353" s="325">
        <v>2</v>
      </c>
      <c r="AD353" s="325">
        <v>2</v>
      </c>
      <c r="AE353" s="325">
        <v>2</v>
      </c>
      <c r="AF353" s="325">
        <v>2</v>
      </c>
      <c r="AG353" s="325">
        <v>2</v>
      </c>
      <c r="AH353" s="325">
        <v>2</v>
      </c>
      <c r="AI353" s="325">
        <v>2</v>
      </c>
      <c r="AJ353" s="325">
        <v>2</v>
      </c>
      <c r="AK353" s="325">
        <v>2</v>
      </c>
      <c r="AL353" s="325">
        <v>2</v>
      </c>
      <c r="AM353" s="325">
        <v>2</v>
      </c>
      <c r="AN353" s="325">
        <v>2</v>
      </c>
      <c r="AO353" s="325">
        <v>2</v>
      </c>
      <c r="AP353" s="325">
        <v>2</v>
      </c>
      <c r="AQ353" s="325">
        <v>2</v>
      </c>
      <c r="AR353" s="252"/>
      <c r="AS353" s="199"/>
    </row>
    <row r="354" spans="1:45" ht="17.100000000000001" customHeight="1">
      <c r="A354" s="878" t="s">
        <v>902</v>
      </c>
      <c r="B354" s="183">
        <f t="shared" ref="B354:B360" si="19">+F354</f>
        <v>0</v>
      </c>
      <c r="C354" s="301">
        <f t="shared" ref="C354:C360" si="20">SUM(H354:S354)/12</f>
        <v>0</v>
      </c>
      <c r="D354" s="301">
        <f t="shared" ref="D354:D360" si="21">SUM(T354:AE354)/12</f>
        <v>1</v>
      </c>
      <c r="E354" s="301">
        <f t="shared" ref="E354:E360" si="22">SUM(AF354:AQ354)/12</f>
        <v>1</v>
      </c>
      <c r="F354" s="900"/>
      <c r="G354" s="900"/>
      <c r="H354" s="325">
        <v>0</v>
      </c>
      <c r="I354" s="325">
        <v>0</v>
      </c>
      <c r="J354" s="325">
        <v>0</v>
      </c>
      <c r="K354" s="325">
        <v>0</v>
      </c>
      <c r="L354" s="325">
        <v>0</v>
      </c>
      <c r="M354" s="325">
        <v>0</v>
      </c>
      <c r="N354" s="325">
        <v>0</v>
      </c>
      <c r="O354" s="325">
        <v>0</v>
      </c>
      <c r="P354" s="325">
        <v>0</v>
      </c>
      <c r="Q354" s="325">
        <v>0</v>
      </c>
      <c r="R354" s="325">
        <v>0</v>
      </c>
      <c r="S354" s="325">
        <v>0</v>
      </c>
      <c r="T354" s="325">
        <v>1</v>
      </c>
      <c r="U354" s="325">
        <v>1</v>
      </c>
      <c r="V354" s="325">
        <v>1</v>
      </c>
      <c r="W354" s="325">
        <v>1</v>
      </c>
      <c r="X354" s="325">
        <v>1</v>
      </c>
      <c r="Y354" s="325">
        <v>1</v>
      </c>
      <c r="Z354" s="325">
        <v>1</v>
      </c>
      <c r="AA354" s="325">
        <v>1</v>
      </c>
      <c r="AB354" s="325">
        <v>1</v>
      </c>
      <c r="AC354" s="325">
        <v>1</v>
      </c>
      <c r="AD354" s="325">
        <v>1</v>
      </c>
      <c r="AE354" s="325">
        <v>1</v>
      </c>
      <c r="AF354" s="325">
        <v>1</v>
      </c>
      <c r="AG354" s="325">
        <v>1</v>
      </c>
      <c r="AH354" s="325">
        <v>1</v>
      </c>
      <c r="AI354" s="325">
        <v>1</v>
      </c>
      <c r="AJ354" s="325">
        <v>1</v>
      </c>
      <c r="AK354" s="325">
        <v>1</v>
      </c>
      <c r="AL354" s="325">
        <v>1</v>
      </c>
      <c r="AM354" s="325">
        <v>1</v>
      </c>
      <c r="AN354" s="325">
        <v>1</v>
      </c>
      <c r="AO354" s="325">
        <v>1</v>
      </c>
      <c r="AP354" s="325">
        <v>1</v>
      </c>
      <c r="AQ354" s="325">
        <v>1</v>
      </c>
      <c r="AR354" s="252"/>
      <c r="AS354" s="199"/>
    </row>
    <row r="355" spans="1:45" ht="17.100000000000001" customHeight="1">
      <c r="A355" s="325" t="s">
        <v>898</v>
      </c>
      <c r="B355" s="183">
        <f t="shared" si="19"/>
        <v>0</v>
      </c>
      <c r="C355" s="301">
        <f t="shared" si="20"/>
        <v>1</v>
      </c>
      <c r="D355" s="301">
        <f t="shared" si="21"/>
        <v>1</v>
      </c>
      <c r="E355" s="301">
        <f t="shared" si="22"/>
        <v>1</v>
      </c>
      <c r="F355" s="900"/>
      <c r="G355" s="900"/>
      <c r="H355" s="325">
        <v>1</v>
      </c>
      <c r="I355" s="325">
        <v>1</v>
      </c>
      <c r="J355" s="325">
        <v>1</v>
      </c>
      <c r="K355" s="325">
        <v>1</v>
      </c>
      <c r="L355" s="325">
        <v>1</v>
      </c>
      <c r="M355" s="325">
        <v>1</v>
      </c>
      <c r="N355" s="325">
        <v>1</v>
      </c>
      <c r="O355" s="325">
        <v>1</v>
      </c>
      <c r="P355" s="325">
        <v>1</v>
      </c>
      <c r="Q355" s="325">
        <v>1</v>
      </c>
      <c r="R355" s="325">
        <v>1</v>
      </c>
      <c r="S355" s="325">
        <v>1</v>
      </c>
      <c r="T355" s="325">
        <v>1</v>
      </c>
      <c r="U355" s="325">
        <v>1</v>
      </c>
      <c r="V355" s="325">
        <v>1</v>
      </c>
      <c r="W355" s="325">
        <v>1</v>
      </c>
      <c r="X355" s="325">
        <v>1</v>
      </c>
      <c r="Y355" s="325">
        <v>1</v>
      </c>
      <c r="Z355" s="325">
        <v>1</v>
      </c>
      <c r="AA355" s="325">
        <v>1</v>
      </c>
      <c r="AB355" s="325">
        <v>1</v>
      </c>
      <c r="AC355" s="325">
        <v>1</v>
      </c>
      <c r="AD355" s="325">
        <v>1</v>
      </c>
      <c r="AE355" s="325">
        <v>1</v>
      </c>
      <c r="AF355" s="325">
        <v>1</v>
      </c>
      <c r="AG355" s="325">
        <v>1</v>
      </c>
      <c r="AH355" s="325">
        <v>1</v>
      </c>
      <c r="AI355" s="325">
        <v>1</v>
      </c>
      <c r="AJ355" s="325">
        <v>1</v>
      </c>
      <c r="AK355" s="325">
        <v>1</v>
      </c>
      <c r="AL355" s="325">
        <v>1</v>
      </c>
      <c r="AM355" s="325">
        <v>1</v>
      </c>
      <c r="AN355" s="325">
        <v>1</v>
      </c>
      <c r="AO355" s="325">
        <v>1</v>
      </c>
      <c r="AP355" s="325">
        <v>1</v>
      </c>
      <c r="AQ355" s="325">
        <v>1</v>
      </c>
      <c r="AR355" s="252"/>
      <c r="AS355" s="199"/>
    </row>
    <row r="356" spans="1:45" ht="17.100000000000001" customHeight="1">
      <c r="A356" s="325" t="s">
        <v>899</v>
      </c>
      <c r="B356" s="183">
        <f t="shared" si="19"/>
        <v>0</v>
      </c>
      <c r="C356" s="301">
        <f t="shared" si="20"/>
        <v>1</v>
      </c>
      <c r="D356" s="301">
        <f t="shared" si="21"/>
        <v>1</v>
      </c>
      <c r="E356" s="301">
        <f t="shared" si="22"/>
        <v>2</v>
      </c>
      <c r="F356" s="900"/>
      <c r="G356" s="900"/>
      <c r="H356" s="325">
        <v>1</v>
      </c>
      <c r="I356" s="325">
        <v>1</v>
      </c>
      <c r="J356" s="325">
        <v>1</v>
      </c>
      <c r="K356" s="325">
        <v>1</v>
      </c>
      <c r="L356" s="325">
        <v>1</v>
      </c>
      <c r="M356" s="325">
        <v>1</v>
      </c>
      <c r="N356" s="325">
        <v>1</v>
      </c>
      <c r="O356" s="325">
        <v>1</v>
      </c>
      <c r="P356" s="325">
        <v>1</v>
      </c>
      <c r="Q356" s="325">
        <v>1</v>
      </c>
      <c r="R356" s="325">
        <v>1</v>
      </c>
      <c r="S356" s="325">
        <v>1</v>
      </c>
      <c r="T356" s="325">
        <v>1</v>
      </c>
      <c r="U356" s="325">
        <v>1</v>
      </c>
      <c r="V356" s="325">
        <v>1</v>
      </c>
      <c r="W356" s="325">
        <v>1</v>
      </c>
      <c r="X356" s="325">
        <v>1</v>
      </c>
      <c r="Y356" s="325">
        <v>1</v>
      </c>
      <c r="Z356" s="325">
        <v>1</v>
      </c>
      <c r="AA356" s="325">
        <v>1</v>
      </c>
      <c r="AB356" s="325">
        <v>1</v>
      </c>
      <c r="AC356" s="325">
        <v>1</v>
      </c>
      <c r="AD356" s="325">
        <v>1</v>
      </c>
      <c r="AE356" s="325">
        <v>1</v>
      </c>
      <c r="AF356" s="325">
        <v>2</v>
      </c>
      <c r="AG356" s="325">
        <v>2</v>
      </c>
      <c r="AH356" s="325">
        <v>2</v>
      </c>
      <c r="AI356" s="325">
        <v>2</v>
      </c>
      <c r="AJ356" s="325">
        <v>2</v>
      </c>
      <c r="AK356" s="325">
        <v>2</v>
      </c>
      <c r="AL356" s="325">
        <v>2</v>
      </c>
      <c r="AM356" s="325">
        <v>2</v>
      </c>
      <c r="AN356" s="325">
        <v>2</v>
      </c>
      <c r="AO356" s="325">
        <v>2</v>
      </c>
      <c r="AP356" s="325">
        <v>2</v>
      </c>
      <c r="AQ356" s="325">
        <v>2</v>
      </c>
      <c r="AR356" s="252"/>
      <c r="AS356" s="199"/>
    </row>
    <row r="357" spans="1:45" ht="17.100000000000001" customHeight="1">
      <c r="A357" s="325" t="s">
        <v>901</v>
      </c>
      <c r="B357" s="183">
        <f t="shared" si="19"/>
        <v>0</v>
      </c>
      <c r="C357" s="301">
        <f t="shared" si="20"/>
        <v>1</v>
      </c>
      <c r="D357" s="301">
        <f t="shared" si="21"/>
        <v>1</v>
      </c>
      <c r="E357" s="301">
        <f t="shared" si="22"/>
        <v>1</v>
      </c>
      <c r="F357" s="900"/>
      <c r="G357" s="900"/>
      <c r="H357" s="325">
        <v>1</v>
      </c>
      <c r="I357" s="325">
        <v>1</v>
      </c>
      <c r="J357" s="325">
        <v>1</v>
      </c>
      <c r="K357" s="325">
        <v>1</v>
      </c>
      <c r="L357" s="325">
        <v>1</v>
      </c>
      <c r="M357" s="325">
        <v>1</v>
      </c>
      <c r="N357" s="325">
        <v>1</v>
      </c>
      <c r="O357" s="325">
        <v>1</v>
      </c>
      <c r="P357" s="325">
        <v>1</v>
      </c>
      <c r="Q357" s="325">
        <v>1</v>
      </c>
      <c r="R357" s="325">
        <v>1</v>
      </c>
      <c r="S357" s="325">
        <v>1</v>
      </c>
      <c r="T357" s="325">
        <v>1</v>
      </c>
      <c r="U357" s="325">
        <v>1</v>
      </c>
      <c r="V357" s="325">
        <v>1</v>
      </c>
      <c r="W357" s="325">
        <v>1</v>
      </c>
      <c r="X357" s="325">
        <v>1</v>
      </c>
      <c r="Y357" s="325">
        <v>1</v>
      </c>
      <c r="Z357" s="325">
        <v>1</v>
      </c>
      <c r="AA357" s="325">
        <v>1</v>
      </c>
      <c r="AB357" s="325">
        <v>1</v>
      </c>
      <c r="AC357" s="325">
        <v>1</v>
      </c>
      <c r="AD357" s="325">
        <v>1</v>
      </c>
      <c r="AE357" s="325">
        <v>1</v>
      </c>
      <c r="AF357" s="325">
        <v>1</v>
      </c>
      <c r="AG357" s="325">
        <v>1</v>
      </c>
      <c r="AH357" s="325">
        <v>1</v>
      </c>
      <c r="AI357" s="325">
        <v>1</v>
      </c>
      <c r="AJ357" s="325">
        <v>1</v>
      </c>
      <c r="AK357" s="325">
        <v>1</v>
      </c>
      <c r="AL357" s="325">
        <v>1</v>
      </c>
      <c r="AM357" s="325">
        <v>1</v>
      </c>
      <c r="AN357" s="325">
        <v>1</v>
      </c>
      <c r="AO357" s="325">
        <v>1</v>
      </c>
      <c r="AP357" s="325">
        <v>1</v>
      </c>
      <c r="AQ357" s="325">
        <v>1</v>
      </c>
      <c r="AR357" s="252"/>
      <c r="AS357" s="199"/>
    </row>
    <row r="358" spans="1:45" ht="17.100000000000001" customHeight="1">
      <c r="A358" s="325" t="s">
        <v>596</v>
      </c>
      <c r="B358" s="183">
        <f t="shared" si="19"/>
        <v>0</v>
      </c>
      <c r="C358" s="301">
        <f t="shared" si="20"/>
        <v>0</v>
      </c>
      <c r="D358" s="301">
        <f t="shared" si="21"/>
        <v>0</v>
      </c>
      <c r="E358" s="301">
        <f t="shared" si="22"/>
        <v>0</v>
      </c>
      <c r="F358" s="900"/>
      <c r="G358" s="900"/>
      <c r="H358" s="325">
        <v>0</v>
      </c>
      <c r="I358" s="325">
        <v>0</v>
      </c>
      <c r="J358" s="325">
        <v>0</v>
      </c>
      <c r="K358" s="325">
        <v>0</v>
      </c>
      <c r="L358" s="325">
        <v>0</v>
      </c>
      <c r="M358" s="325">
        <v>0</v>
      </c>
      <c r="N358" s="325">
        <v>0</v>
      </c>
      <c r="O358" s="325">
        <v>0</v>
      </c>
      <c r="P358" s="325">
        <v>0</v>
      </c>
      <c r="Q358" s="325">
        <v>0</v>
      </c>
      <c r="R358" s="325">
        <v>0</v>
      </c>
      <c r="S358" s="325">
        <v>0</v>
      </c>
      <c r="T358" s="325">
        <v>0</v>
      </c>
      <c r="U358" s="325">
        <v>0</v>
      </c>
      <c r="V358" s="325">
        <v>0</v>
      </c>
      <c r="W358" s="325">
        <v>0</v>
      </c>
      <c r="X358" s="325">
        <v>0</v>
      </c>
      <c r="Y358" s="325">
        <v>0</v>
      </c>
      <c r="Z358" s="325">
        <v>0</v>
      </c>
      <c r="AA358" s="325">
        <v>0</v>
      </c>
      <c r="AB358" s="325">
        <v>0</v>
      </c>
      <c r="AC358" s="325">
        <v>0</v>
      </c>
      <c r="AD358" s="325">
        <v>0</v>
      </c>
      <c r="AE358" s="325">
        <v>0</v>
      </c>
      <c r="AF358" s="325">
        <v>0</v>
      </c>
      <c r="AG358" s="325">
        <v>0</v>
      </c>
      <c r="AH358" s="325">
        <v>0</v>
      </c>
      <c r="AI358" s="325">
        <v>0</v>
      </c>
      <c r="AJ358" s="325">
        <v>0</v>
      </c>
      <c r="AK358" s="325">
        <v>0</v>
      </c>
      <c r="AL358" s="325">
        <v>0</v>
      </c>
      <c r="AM358" s="325">
        <v>0</v>
      </c>
      <c r="AN358" s="325">
        <v>0</v>
      </c>
      <c r="AO358" s="325">
        <v>0</v>
      </c>
      <c r="AP358" s="325">
        <v>0</v>
      </c>
      <c r="AQ358" s="325">
        <v>0</v>
      </c>
      <c r="AR358" s="252"/>
      <c r="AS358" s="199"/>
    </row>
    <row r="359" spans="1:45" ht="17.100000000000001" customHeight="1">
      <c r="A359" s="325" t="s">
        <v>596</v>
      </c>
      <c r="B359" s="183">
        <f t="shared" si="19"/>
        <v>0</v>
      </c>
      <c r="C359" s="301">
        <f t="shared" si="20"/>
        <v>0</v>
      </c>
      <c r="D359" s="301">
        <f t="shared" si="21"/>
        <v>0</v>
      </c>
      <c r="E359" s="301">
        <f t="shared" si="22"/>
        <v>0</v>
      </c>
      <c r="F359" s="900"/>
      <c r="G359" s="900"/>
      <c r="H359" s="325">
        <v>0</v>
      </c>
      <c r="I359" s="325">
        <v>0</v>
      </c>
      <c r="J359" s="325">
        <v>0</v>
      </c>
      <c r="K359" s="325">
        <v>0</v>
      </c>
      <c r="L359" s="325">
        <v>0</v>
      </c>
      <c r="M359" s="325">
        <v>0</v>
      </c>
      <c r="N359" s="325">
        <v>0</v>
      </c>
      <c r="O359" s="325">
        <v>0</v>
      </c>
      <c r="P359" s="325">
        <v>0</v>
      </c>
      <c r="Q359" s="325">
        <v>0</v>
      </c>
      <c r="R359" s="325">
        <v>0</v>
      </c>
      <c r="S359" s="325">
        <v>0</v>
      </c>
      <c r="T359" s="325">
        <v>0</v>
      </c>
      <c r="U359" s="325">
        <v>0</v>
      </c>
      <c r="V359" s="325">
        <v>0</v>
      </c>
      <c r="W359" s="325">
        <v>0</v>
      </c>
      <c r="X359" s="325">
        <v>0</v>
      </c>
      <c r="Y359" s="325">
        <v>0</v>
      </c>
      <c r="Z359" s="325">
        <v>0</v>
      </c>
      <c r="AA359" s="325">
        <v>0</v>
      </c>
      <c r="AB359" s="325">
        <v>0</v>
      </c>
      <c r="AC359" s="325">
        <v>0</v>
      </c>
      <c r="AD359" s="325">
        <v>0</v>
      </c>
      <c r="AE359" s="325">
        <v>0</v>
      </c>
      <c r="AF359" s="325">
        <v>0</v>
      </c>
      <c r="AG359" s="325">
        <v>0</v>
      </c>
      <c r="AH359" s="325">
        <v>0</v>
      </c>
      <c r="AI359" s="325">
        <v>0</v>
      </c>
      <c r="AJ359" s="325">
        <v>0</v>
      </c>
      <c r="AK359" s="325">
        <v>0</v>
      </c>
      <c r="AL359" s="325">
        <v>0</v>
      </c>
      <c r="AM359" s="325">
        <v>0</v>
      </c>
      <c r="AN359" s="325">
        <v>0</v>
      </c>
      <c r="AO359" s="325">
        <v>0</v>
      </c>
      <c r="AP359" s="325">
        <v>0</v>
      </c>
      <c r="AQ359" s="325">
        <v>0</v>
      </c>
      <c r="AR359" s="252"/>
      <c r="AS359" s="199"/>
    </row>
    <row r="360" spans="1:45" ht="17.100000000000001" customHeight="1">
      <c r="A360" s="902" t="s">
        <v>596</v>
      </c>
      <c r="B360" s="971">
        <f t="shared" si="19"/>
        <v>0</v>
      </c>
      <c r="C360" s="972">
        <f t="shared" si="20"/>
        <v>0</v>
      </c>
      <c r="D360" s="972">
        <f t="shared" si="21"/>
        <v>0</v>
      </c>
      <c r="E360" s="972">
        <f t="shared" si="22"/>
        <v>0</v>
      </c>
      <c r="F360" s="973"/>
      <c r="G360" s="973"/>
      <c r="H360" s="902">
        <v>0</v>
      </c>
      <c r="I360" s="325">
        <v>0</v>
      </c>
      <c r="J360" s="902">
        <v>0</v>
      </c>
      <c r="K360" s="325">
        <v>0</v>
      </c>
      <c r="L360" s="902">
        <v>0</v>
      </c>
      <c r="M360" s="325">
        <v>0</v>
      </c>
      <c r="N360" s="902">
        <v>0</v>
      </c>
      <c r="O360" s="325">
        <v>0</v>
      </c>
      <c r="P360" s="902">
        <v>0</v>
      </c>
      <c r="Q360" s="325">
        <v>0</v>
      </c>
      <c r="R360" s="902">
        <v>0</v>
      </c>
      <c r="S360" s="325">
        <v>0</v>
      </c>
      <c r="T360" s="902">
        <v>0</v>
      </c>
      <c r="U360" s="325">
        <v>0</v>
      </c>
      <c r="V360" s="902">
        <v>0</v>
      </c>
      <c r="W360" s="325">
        <v>0</v>
      </c>
      <c r="X360" s="902">
        <v>0</v>
      </c>
      <c r="Y360" s="325">
        <v>0</v>
      </c>
      <c r="Z360" s="902">
        <v>0</v>
      </c>
      <c r="AA360" s="325">
        <v>0</v>
      </c>
      <c r="AB360" s="902">
        <v>0</v>
      </c>
      <c r="AC360" s="325">
        <v>0</v>
      </c>
      <c r="AD360" s="902">
        <v>0</v>
      </c>
      <c r="AE360" s="325">
        <v>0</v>
      </c>
      <c r="AF360" s="902">
        <v>0</v>
      </c>
      <c r="AG360" s="325">
        <v>0</v>
      </c>
      <c r="AH360" s="902">
        <v>0</v>
      </c>
      <c r="AI360" s="325">
        <v>0</v>
      </c>
      <c r="AJ360" s="902">
        <v>0</v>
      </c>
      <c r="AK360" s="325">
        <v>0</v>
      </c>
      <c r="AL360" s="902">
        <v>0</v>
      </c>
      <c r="AM360" s="325">
        <v>0</v>
      </c>
      <c r="AN360" s="902">
        <v>0</v>
      </c>
      <c r="AO360" s="325">
        <v>0</v>
      </c>
      <c r="AP360" s="902">
        <v>0</v>
      </c>
      <c r="AQ360" s="325">
        <v>0</v>
      </c>
      <c r="AR360" s="252"/>
      <c r="AS360" s="199"/>
    </row>
    <row r="361" spans="1:45" s="199" customFormat="1" ht="17.100000000000001" hidden="1" customHeight="1">
      <c r="A361" s="203"/>
      <c r="B361" s="203"/>
      <c r="C361" s="974"/>
      <c r="D361" s="974"/>
      <c r="E361" s="974"/>
      <c r="F361" s="975"/>
      <c r="G361" s="975"/>
      <c r="H361" s="203"/>
      <c r="I361" s="203"/>
      <c r="J361" s="203"/>
      <c r="K361" s="203"/>
      <c r="L361" s="203"/>
      <c r="M361" s="203"/>
      <c r="N361" s="203"/>
    </row>
    <row r="362" spans="1:45" s="199" customFormat="1" ht="17.100000000000001" hidden="1" customHeight="1">
      <c r="A362" s="203"/>
      <c r="B362" s="203"/>
      <c r="C362" s="974"/>
      <c r="D362" s="974"/>
      <c r="E362" s="974"/>
      <c r="F362" s="975"/>
      <c r="G362" s="975"/>
      <c r="H362" s="203"/>
      <c r="I362" s="203"/>
      <c r="J362" s="203"/>
      <c r="K362" s="203"/>
      <c r="L362" s="203"/>
      <c r="M362" s="203"/>
      <c r="N362" s="203"/>
    </row>
    <row r="363" spans="1:45" ht="17.100000000000001" customHeight="1">
      <c r="A363" s="170" t="s">
        <v>157</v>
      </c>
      <c r="B363" s="194"/>
      <c r="C363" s="195"/>
      <c r="D363" s="195"/>
      <c r="E363" s="195"/>
      <c r="F363" s="195"/>
      <c r="G363" s="195"/>
      <c r="H363" s="195"/>
      <c r="I363" s="194"/>
      <c r="J363" s="194"/>
      <c r="K363" s="194"/>
      <c r="L363" s="194"/>
      <c r="M363" s="194"/>
      <c r="N363" s="194"/>
      <c r="O363" s="195"/>
      <c r="P363" s="195"/>
      <c r="Q363" s="195"/>
      <c r="R363" s="195"/>
      <c r="S363" s="195"/>
      <c r="T363" s="195"/>
      <c r="U363" s="195"/>
      <c r="V363" s="195"/>
      <c r="W363" s="195"/>
      <c r="X363" s="195"/>
      <c r="Y363" s="195"/>
      <c r="Z363" s="195"/>
      <c r="AA363" s="195"/>
      <c r="AB363" s="195"/>
      <c r="AC363" s="195"/>
      <c r="AD363" s="195"/>
      <c r="AE363" s="195"/>
      <c r="AF363" s="195"/>
      <c r="AG363" s="195"/>
      <c r="AH363" s="195"/>
      <c r="AI363" s="195"/>
      <c r="AJ363" s="195"/>
      <c r="AK363" s="195"/>
      <c r="AL363" s="195"/>
      <c r="AM363" s="195"/>
      <c r="AN363" s="195"/>
      <c r="AO363" s="195"/>
      <c r="AP363" s="195"/>
      <c r="AQ363" s="195"/>
      <c r="AR363" s="195"/>
      <c r="AS363" s="195"/>
    </row>
    <row r="364" spans="1:45" ht="17.100000000000001" customHeight="1">
      <c r="A364" s="1"/>
      <c r="B364" s="194"/>
      <c r="C364" s="195"/>
      <c r="D364" s="195"/>
      <c r="E364" s="195"/>
      <c r="F364" s="195"/>
      <c r="G364" s="195"/>
      <c r="H364" s="195"/>
      <c r="I364" s="194"/>
      <c r="J364" s="194"/>
      <c r="K364" s="194"/>
      <c r="L364" s="194"/>
      <c r="M364" s="194"/>
      <c r="N364" s="194"/>
      <c r="O364" s="195"/>
      <c r="P364" s="195"/>
      <c r="Q364" s="195"/>
      <c r="R364" s="195"/>
      <c r="S364" s="195"/>
      <c r="T364" s="195"/>
      <c r="U364" s="195"/>
      <c r="V364" s="195"/>
      <c r="W364" s="195"/>
      <c r="X364" s="195"/>
      <c r="Y364" s="195"/>
      <c r="Z364" s="195"/>
      <c r="AA364" s="195"/>
      <c r="AB364" s="195"/>
      <c r="AC364" s="195"/>
      <c r="AD364" s="195"/>
      <c r="AE364" s="195"/>
      <c r="AF364" s="195"/>
      <c r="AG364" s="195"/>
      <c r="AH364" s="195"/>
      <c r="AI364" s="195"/>
      <c r="AJ364" s="195"/>
      <c r="AK364" s="195"/>
      <c r="AL364" s="195"/>
      <c r="AM364" s="195"/>
      <c r="AN364" s="195"/>
      <c r="AO364" s="195"/>
      <c r="AP364" s="195"/>
      <c r="AQ364" s="195"/>
      <c r="AR364" s="195"/>
      <c r="AS364" s="195"/>
    </row>
    <row r="365" spans="1:45" ht="17.100000000000001" customHeight="1">
      <c r="A365" s="3"/>
      <c r="B365" s="193"/>
      <c r="C365" s="195"/>
      <c r="D365" s="195"/>
      <c r="E365" s="195"/>
      <c r="F365" s="195"/>
      <c r="G365" s="195"/>
      <c r="H365" s="195"/>
      <c r="I365" s="194"/>
      <c r="J365" s="194"/>
      <c r="K365" s="194"/>
      <c r="L365" s="194"/>
      <c r="M365" s="194"/>
      <c r="N365" s="194"/>
      <c r="O365" s="195"/>
      <c r="P365" s="195"/>
      <c r="Q365" s="195"/>
      <c r="R365" s="195"/>
      <c r="S365" s="195"/>
      <c r="T365" s="195"/>
      <c r="U365" s="195"/>
      <c r="V365" s="195"/>
      <c r="W365" s="195"/>
      <c r="X365" s="195"/>
      <c r="Y365" s="195"/>
      <c r="Z365" s="195"/>
      <c r="AA365" s="195"/>
      <c r="AB365" s="195"/>
      <c r="AC365" s="195"/>
      <c r="AD365" s="195"/>
      <c r="AE365" s="195"/>
      <c r="AF365" s="195"/>
      <c r="AG365" s="195"/>
      <c r="AH365" s="195"/>
      <c r="AI365" s="195"/>
      <c r="AJ365" s="195"/>
      <c r="AK365" s="195"/>
      <c r="AL365" s="195"/>
      <c r="AM365" s="195"/>
      <c r="AN365" s="195"/>
      <c r="AO365" s="195"/>
      <c r="AP365" s="195"/>
      <c r="AQ365" s="195"/>
      <c r="AR365" s="195"/>
      <c r="AS365" s="195"/>
    </row>
    <row r="366" spans="1:45" ht="17.100000000000001" customHeight="1">
      <c r="A366" s="26" t="s">
        <v>696</v>
      </c>
      <c r="B366" s="26" t="s">
        <v>697</v>
      </c>
      <c r="C366" s="1129" t="s">
        <v>606</v>
      </c>
      <c r="D366" s="1129" t="s">
        <v>607</v>
      </c>
      <c r="E366" s="1129" t="s">
        <v>608</v>
      </c>
      <c r="F366" s="1129" t="s">
        <v>609</v>
      </c>
      <c r="G366" s="1129" t="s">
        <v>610</v>
      </c>
      <c r="H366" s="1129" t="s">
        <v>611</v>
      </c>
      <c r="I366" s="1129" t="s">
        <v>612</v>
      </c>
      <c r="J366" s="1129" t="s">
        <v>613</v>
      </c>
      <c r="K366" s="1129" t="s">
        <v>614</v>
      </c>
      <c r="L366" s="1129" t="s">
        <v>66</v>
      </c>
      <c r="M366" s="1129" t="s">
        <v>616</v>
      </c>
      <c r="N366" s="1129" t="s">
        <v>617</v>
      </c>
      <c r="O366" s="1129" t="s">
        <v>805</v>
      </c>
      <c r="P366" s="1129" t="s">
        <v>806</v>
      </c>
      <c r="Q366" s="1129" t="s">
        <v>807</v>
      </c>
      <c r="R366" s="1129" t="s">
        <v>808</v>
      </c>
      <c r="S366" s="1129" t="s">
        <v>809</v>
      </c>
      <c r="T366" s="1129" t="s">
        <v>810</v>
      </c>
      <c r="U366" s="1129" t="s">
        <v>811</v>
      </c>
      <c r="V366" s="1129" t="s">
        <v>812</v>
      </c>
      <c r="W366" s="1129" t="s">
        <v>813</v>
      </c>
      <c r="X366" s="1129" t="s">
        <v>814</v>
      </c>
      <c r="Y366" s="1129" t="s">
        <v>815</v>
      </c>
      <c r="Z366" s="1129" t="s">
        <v>816</v>
      </c>
      <c r="AA366" s="1129" t="s">
        <v>817</v>
      </c>
      <c r="AB366" s="1129" t="s">
        <v>818</v>
      </c>
      <c r="AC366" s="1129" t="s">
        <v>819</v>
      </c>
      <c r="AD366" s="1129" t="s">
        <v>820</v>
      </c>
      <c r="AE366" s="1129" t="s">
        <v>821</v>
      </c>
      <c r="AF366" s="1129" t="s">
        <v>822</v>
      </c>
      <c r="AG366" s="1129" t="s">
        <v>823</v>
      </c>
      <c r="AH366" s="1129" t="s">
        <v>824</v>
      </c>
      <c r="AI366" s="1129" t="s">
        <v>825</v>
      </c>
      <c r="AJ366" s="1129" t="s">
        <v>826</v>
      </c>
      <c r="AK366" s="1129" t="s">
        <v>827</v>
      </c>
      <c r="AL366" s="1129" t="s">
        <v>828</v>
      </c>
      <c r="AM366" s="195"/>
      <c r="AN366" s="195"/>
      <c r="AO366" s="195"/>
      <c r="AP366" s="195"/>
      <c r="AQ366" s="195"/>
      <c r="AR366" s="195"/>
      <c r="AS366" s="195"/>
    </row>
    <row r="367" spans="1:45" ht="17.100000000000001" customHeight="1">
      <c r="A367" s="58"/>
      <c r="B367" s="29" t="s">
        <v>683</v>
      </c>
      <c r="C367" s="1068"/>
      <c r="D367" s="1068"/>
      <c r="E367" s="1068"/>
      <c r="F367" s="1068"/>
      <c r="G367" s="1068"/>
      <c r="H367" s="1068"/>
      <c r="I367" s="1068"/>
      <c r="J367" s="1068"/>
      <c r="K367" s="1068"/>
      <c r="L367" s="1068"/>
      <c r="M367" s="1068"/>
      <c r="N367" s="1068"/>
      <c r="O367" s="1068"/>
      <c r="P367" s="1068"/>
      <c r="Q367" s="1068"/>
      <c r="R367" s="1068"/>
      <c r="S367" s="1068"/>
      <c r="T367" s="1068"/>
      <c r="U367" s="1068"/>
      <c r="V367" s="1068"/>
      <c r="W367" s="1068"/>
      <c r="X367" s="1068"/>
      <c r="Y367" s="1068"/>
      <c r="Z367" s="1068"/>
      <c r="AA367" s="1068"/>
      <c r="AB367" s="1068"/>
      <c r="AC367" s="1068"/>
      <c r="AD367" s="1068"/>
      <c r="AE367" s="1068"/>
      <c r="AF367" s="1068"/>
      <c r="AG367" s="1068"/>
      <c r="AH367" s="1068"/>
      <c r="AI367" s="1068"/>
      <c r="AJ367" s="1068"/>
      <c r="AK367" s="1068"/>
      <c r="AL367" s="1068"/>
      <c r="AM367" s="195"/>
      <c r="AN367" s="195"/>
      <c r="AO367" s="195"/>
      <c r="AP367" s="195"/>
      <c r="AQ367" s="195"/>
      <c r="AR367" s="195"/>
      <c r="AS367" s="195"/>
    </row>
    <row r="368" spans="1:45" ht="17.100000000000001" customHeight="1">
      <c r="A368" s="901" t="s">
        <v>7</v>
      </c>
      <c r="B368" s="23">
        <f t="shared" ref="B368:B373" si="23">+O368</f>
        <v>2800000</v>
      </c>
      <c r="C368" s="976">
        <f t="shared" ref="C368:N368" si="24">TRUNC(IF(B467="SI",B455*(1+$M$322)*B461,B455*B461),2)</f>
        <v>2800000</v>
      </c>
      <c r="D368" s="976">
        <f t="shared" si="24"/>
        <v>2800000</v>
      </c>
      <c r="E368" s="976">
        <f t="shared" si="24"/>
        <v>2800000</v>
      </c>
      <c r="F368" s="976">
        <f t="shared" si="24"/>
        <v>2800000</v>
      </c>
      <c r="G368" s="976">
        <f t="shared" si="24"/>
        <v>2800000</v>
      </c>
      <c r="H368" s="976">
        <f t="shared" si="24"/>
        <v>2800000</v>
      </c>
      <c r="I368" s="976">
        <f t="shared" si="24"/>
        <v>2800000</v>
      </c>
      <c r="J368" s="976">
        <f t="shared" si="24"/>
        <v>2800000</v>
      </c>
      <c r="K368" s="976">
        <f t="shared" si="24"/>
        <v>2800000</v>
      </c>
      <c r="L368" s="976">
        <f t="shared" si="24"/>
        <v>2800000</v>
      </c>
      <c r="M368" s="976">
        <f t="shared" si="24"/>
        <v>2800000</v>
      </c>
      <c r="N368" s="976">
        <f t="shared" si="24"/>
        <v>2800000</v>
      </c>
      <c r="O368" s="976">
        <f t="shared" ref="O368:Z368" si="25">TRUNC(IF(N467="SI",N455*(1+$N$322)*N461,N455*N461),2)</f>
        <v>2800000</v>
      </c>
      <c r="P368" s="976">
        <f t="shared" si="25"/>
        <v>2800000</v>
      </c>
      <c r="Q368" s="976">
        <f t="shared" si="25"/>
        <v>2800000</v>
      </c>
      <c r="R368" s="976">
        <f t="shared" si="25"/>
        <v>2800000</v>
      </c>
      <c r="S368" s="976">
        <f t="shared" si="25"/>
        <v>2800000</v>
      </c>
      <c r="T368" s="976">
        <f t="shared" si="25"/>
        <v>2800000</v>
      </c>
      <c r="U368" s="976">
        <f t="shared" si="25"/>
        <v>2800000</v>
      </c>
      <c r="V368" s="976">
        <f t="shared" si="25"/>
        <v>2800000</v>
      </c>
      <c r="W368" s="976">
        <f t="shared" si="25"/>
        <v>2800000</v>
      </c>
      <c r="X368" s="976">
        <f t="shared" si="25"/>
        <v>2800000</v>
      </c>
      <c r="Y368" s="976">
        <f t="shared" si="25"/>
        <v>2800000</v>
      </c>
      <c r="Z368" s="976">
        <f t="shared" si="25"/>
        <v>2800000</v>
      </c>
      <c r="AA368" s="976">
        <f t="shared" ref="AA368:AL368" si="26">TRUNC(IF(Z467="SI",Z455*(1+$O$322)*Z461,Z455*Z461),2)</f>
        <v>2800000</v>
      </c>
      <c r="AB368" s="976">
        <f t="shared" si="26"/>
        <v>2800000</v>
      </c>
      <c r="AC368" s="976">
        <f t="shared" si="26"/>
        <v>2800000</v>
      </c>
      <c r="AD368" s="976">
        <f t="shared" si="26"/>
        <v>2800000</v>
      </c>
      <c r="AE368" s="976">
        <f t="shared" si="26"/>
        <v>2800000</v>
      </c>
      <c r="AF368" s="976">
        <f t="shared" si="26"/>
        <v>2800000</v>
      </c>
      <c r="AG368" s="976">
        <f t="shared" si="26"/>
        <v>2800000</v>
      </c>
      <c r="AH368" s="976">
        <f t="shared" si="26"/>
        <v>2800000</v>
      </c>
      <c r="AI368" s="976">
        <f t="shared" si="26"/>
        <v>2800000</v>
      </c>
      <c r="AJ368" s="976">
        <f t="shared" si="26"/>
        <v>2800000</v>
      </c>
      <c r="AK368" s="976">
        <f t="shared" si="26"/>
        <v>2800000</v>
      </c>
      <c r="AL368" s="976">
        <f t="shared" si="26"/>
        <v>2800000</v>
      </c>
      <c r="AM368" s="195"/>
      <c r="AN368" s="195"/>
      <c r="AO368" s="195"/>
      <c r="AP368" s="195"/>
      <c r="AQ368" s="195"/>
      <c r="AR368" s="195"/>
      <c r="AS368" s="195"/>
    </row>
    <row r="369" spans="1:45" ht="17.100000000000001" customHeight="1">
      <c r="A369" s="325" t="s">
        <v>596</v>
      </c>
      <c r="B369" s="23">
        <f t="shared" si="23"/>
        <v>0</v>
      </c>
      <c r="C369" s="976">
        <f t="shared" ref="C369:N369" si="27">TRUNC(IF(B468="SI",B456*(1+$M$322)*B462,B456*B462),2)</f>
        <v>0</v>
      </c>
      <c r="D369" s="976">
        <f t="shared" si="27"/>
        <v>0</v>
      </c>
      <c r="E369" s="976">
        <f t="shared" si="27"/>
        <v>0</v>
      </c>
      <c r="F369" s="976">
        <f t="shared" si="27"/>
        <v>0</v>
      </c>
      <c r="G369" s="976">
        <f t="shared" si="27"/>
        <v>0</v>
      </c>
      <c r="H369" s="976">
        <f t="shared" si="27"/>
        <v>0</v>
      </c>
      <c r="I369" s="976">
        <f t="shared" si="27"/>
        <v>0</v>
      </c>
      <c r="J369" s="976">
        <f t="shared" si="27"/>
        <v>0</v>
      </c>
      <c r="K369" s="976">
        <f t="shared" si="27"/>
        <v>0</v>
      </c>
      <c r="L369" s="976">
        <f t="shared" si="27"/>
        <v>0</v>
      </c>
      <c r="M369" s="976">
        <f t="shared" si="27"/>
        <v>0</v>
      </c>
      <c r="N369" s="976">
        <f t="shared" si="27"/>
        <v>0</v>
      </c>
      <c r="O369" s="976">
        <f t="shared" ref="O369:Z369" si="28">TRUNC(IF(N468="SI",N456*(1+$N$322)*N462,N456*N462),2)</f>
        <v>0</v>
      </c>
      <c r="P369" s="976">
        <f t="shared" si="28"/>
        <v>0</v>
      </c>
      <c r="Q369" s="976">
        <f t="shared" si="28"/>
        <v>0</v>
      </c>
      <c r="R369" s="976">
        <f t="shared" si="28"/>
        <v>0</v>
      </c>
      <c r="S369" s="976">
        <f t="shared" si="28"/>
        <v>0</v>
      </c>
      <c r="T369" s="976">
        <f t="shared" si="28"/>
        <v>0</v>
      </c>
      <c r="U369" s="976">
        <f t="shared" si="28"/>
        <v>0</v>
      </c>
      <c r="V369" s="976">
        <f t="shared" si="28"/>
        <v>0</v>
      </c>
      <c r="W369" s="976">
        <f t="shared" si="28"/>
        <v>0</v>
      </c>
      <c r="X369" s="976">
        <f t="shared" si="28"/>
        <v>0</v>
      </c>
      <c r="Y369" s="976">
        <f t="shared" si="28"/>
        <v>0</v>
      </c>
      <c r="Z369" s="976">
        <f t="shared" si="28"/>
        <v>0</v>
      </c>
      <c r="AA369" s="976">
        <f t="shared" ref="AA369:AL369" si="29">TRUNC(IF(Z468="SI",Z456*(1+$O$322)*Z462,Z456*Z462),2)</f>
        <v>0</v>
      </c>
      <c r="AB369" s="976">
        <f t="shared" si="29"/>
        <v>0</v>
      </c>
      <c r="AC369" s="976">
        <f t="shared" si="29"/>
        <v>0</v>
      </c>
      <c r="AD369" s="976">
        <f t="shared" si="29"/>
        <v>0</v>
      </c>
      <c r="AE369" s="976">
        <f t="shared" si="29"/>
        <v>0</v>
      </c>
      <c r="AF369" s="976">
        <f t="shared" si="29"/>
        <v>0</v>
      </c>
      <c r="AG369" s="976">
        <f t="shared" si="29"/>
        <v>0</v>
      </c>
      <c r="AH369" s="976">
        <f t="shared" si="29"/>
        <v>0</v>
      </c>
      <c r="AI369" s="976">
        <f t="shared" si="29"/>
        <v>0</v>
      </c>
      <c r="AJ369" s="976">
        <f t="shared" si="29"/>
        <v>0</v>
      </c>
      <c r="AK369" s="976">
        <f t="shared" si="29"/>
        <v>0</v>
      </c>
      <c r="AL369" s="976">
        <f t="shared" si="29"/>
        <v>0</v>
      </c>
      <c r="AM369" s="195"/>
      <c r="AN369" s="195"/>
      <c r="AO369" s="195"/>
      <c r="AP369" s="195"/>
      <c r="AQ369" s="195"/>
      <c r="AR369" s="195"/>
      <c r="AS369" s="195"/>
    </row>
    <row r="370" spans="1:45" ht="17.100000000000001" customHeight="1">
      <c r="A370" s="325" t="s">
        <v>596</v>
      </c>
      <c r="B370" s="23">
        <f t="shared" si="23"/>
        <v>0</v>
      </c>
      <c r="C370" s="976">
        <f t="shared" ref="C370:N370" si="30">TRUNC(IF(B469="SI",B457*(1+$M$322)*B463,B457*B463),2)</f>
        <v>0</v>
      </c>
      <c r="D370" s="976">
        <f t="shared" si="30"/>
        <v>0</v>
      </c>
      <c r="E370" s="976">
        <f t="shared" si="30"/>
        <v>0</v>
      </c>
      <c r="F370" s="976">
        <f t="shared" si="30"/>
        <v>0</v>
      </c>
      <c r="G370" s="976">
        <f t="shared" si="30"/>
        <v>0</v>
      </c>
      <c r="H370" s="976">
        <f t="shared" si="30"/>
        <v>0</v>
      </c>
      <c r="I370" s="976">
        <f t="shared" si="30"/>
        <v>0</v>
      </c>
      <c r="J370" s="976">
        <f t="shared" si="30"/>
        <v>0</v>
      </c>
      <c r="K370" s="976">
        <f t="shared" si="30"/>
        <v>0</v>
      </c>
      <c r="L370" s="976">
        <f t="shared" si="30"/>
        <v>0</v>
      </c>
      <c r="M370" s="976">
        <f t="shared" si="30"/>
        <v>0</v>
      </c>
      <c r="N370" s="976">
        <f t="shared" si="30"/>
        <v>0</v>
      </c>
      <c r="O370" s="976">
        <f t="shared" ref="O370:Z370" si="31">TRUNC(IF(N469="SI",N457*(1+$N$322)*N463,N457*N463),2)</f>
        <v>0</v>
      </c>
      <c r="P370" s="976">
        <f t="shared" si="31"/>
        <v>0</v>
      </c>
      <c r="Q370" s="976">
        <f t="shared" si="31"/>
        <v>0</v>
      </c>
      <c r="R370" s="976">
        <f t="shared" si="31"/>
        <v>0</v>
      </c>
      <c r="S370" s="976">
        <f t="shared" si="31"/>
        <v>0</v>
      </c>
      <c r="T370" s="976">
        <f t="shared" si="31"/>
        <v>0</v>
      </c>
      <c r="U370" s="976">
        <f t="shared" si="31"/>
        <v>0</v>
      </c>
      <c r="V370" s="976">
        <f t="shared" si="31"/>
        <v>0</v>
      </c>
      <c r="W370" s="976">
        <f t="shared" si="31"/>
        <v>0</v>
      </c>
      <c r="X370" s="976">
        <f t="shared" si="31"/>
        <v>0</v>
      </c>
      <c r="Y370" s="976">
        <f t="shared" si="31"/>
        <v>0</v>
      </c>
      <c r="Z370" s="976">
        <f t="shared" si="31"/>
        <v>0</v>
      </c>
      <c r="AA370" s="976">
        <f t="shared" ref="AA370:AL370" si="32">TRUNC(IF(Z469="SI",Z457*(1+$O$322)*Z463,Z457*Z463),2)</f>
        <v>0</v>
      </c>
      <c r="AB370" s="976">
        <f t="shared" si="32"/>
        <v>0</v>
      </c>
      <c r="AC370" s="976">
        <f t="shared" si="32"/>
        <v>0</v>
      </c>
      <c r="AD370" s="976">
        <f t="shared" si="32"/>
        <v>0</v>
      </c>
      <c r="AE370" s="976">
        <f t="shared" si="32"/>
        <v>0</v>
      </c>
      <c r="AF370" s="976">
        <f t="shared" si="32"/>
        <v>0</v>
      </c>
      <c r="AG370" s="976">
        <f t="shared" si="32"/>
        <v>0</v>
      </c>
      <c r="AH370" s="976">
        <f t="shared" si="32"/>
        <v>0</v>
      </c>
      <c r="AI370" s="976">
        <f t="shared" si="32"/>
        <v>0</v>
      </c>
      <c r="AJ370" s="976">
        <f t="shared" si="32"/>
        <v>0</v>
      </c>
      <c r="AK370" s="976">
        <f t="shared" si="32"/>
        <v>0</v>
      </c>
      <c r="AL370" s="976">
        <f t="shared" si="32"/>
        <v>0</v>
      </c>
      <c r="AM370" s="195"/>
      <c r="AN370" s="195"/>
      <c r="AO370" s="195"/>
      <c r="AP370" s="195"/>
      <c r="AQ370" s="195"/>
      <c r="AR370" s="195"/>
      <c r="AS370" s="195"/>
    </row>
    <row r="371" spans="1:45" ht="17.100000000000001" customHeight="1">
      <c r="A371" s="325" t="s">
        <v>596</v>
      </c>
      <c r="B371" s="23">
        <f t="shared" si="23"/>
        <v>0</v>
      </c>
      <c r="C371" s="976">
        <f t="shared" ref="C371:N371" si="33">TRUNC(IF(B470="SI",B458*(1+$M$322)*B464,B458*B464),2)</f>
        <v>0</v>
      </c>
      <c r="D371" s="976">
        <f t="shared" si="33"/>
        <v>0</v>
      </c>
      <c r="E371" s="976">
        <f t="shared" si="33"/>
        <v>0</v>
      </c>
      <c r="F371" s="976">
        <f t="shared" si="33"/>
        <v>0</v>
      </c>
      <c r="G371" s="976">
        <f t="shared" si="33"/>
        <v>0</v>
      </c>
      <c r="H371" s="976">
        <f t="shared" si="33"/>
        <v>0</v>
      </c>
      <c r="I371" s="976">
        <f t="shared" si="33"/>
        <v>0</v>
      </c>
      <c r="J371" s="976">
        <f t="shared" si="33"/>
        <v>0</v>
      </c>
      <c r="K371" s="976">
        <f t="shared" si="33"/>
        <v>0</v>
      </c>
      <c r="L371" s="976">
        <f t="shared" si="33"/>
        <v>0</v>
      </c>
      <c r="M371" s="976">
        <f t="shared" si="33"/>
        <v>0</v>
      </c>
      <c r="N371" s="976">
        <f t="shared" si="33"/>
        <v>0</v>
      </c>
      <c r="O371" s="976">
        <f t="shared" ref="O371:Z371" si="34">TRUNC(IF(N470="SI",N458*(1+$N$322)*N464,N458*N464),2)</f>
        <v>0</v>
      </c>
      <c r="P371" s="976">
        <f t="shared" si="34"/>
        <v>0</v>
      </c>
      <c r="Q371" s="976">
        <f t="shared" si="34"/>
        <v>0</v>
      </c>
      <c r="R371" s="976">
        <f t="shared" si="34"/>
        <v>0</v>
      </c>
      <c r="S371" s="976">
        <f t="shared" si="34"/>
        <v>0</v>
      </c>
      <c r="T371" s="976">
        <f t="shared" si="34"/>
        <v>0</v>
      </c>
      <c r="U371" s="976">
        <f t="shared" si="34"/>
        <v>0</v>
      </c>
      <c r="V371" s="976">
        <f t="shared" si="34"/>
        <v>0</v>
      </c>
      <c r="W371" s="976">
        <f t="shared" si="34"/>
        <v>0</v>
      </c>
      <c r="X371" s="976">
        <f t="shared" si="34"/>
        <v>0</v>
      </c>
      <c r="Y371" s="976">
        <f t="shared" si="34"/>
        <v>0</v>
      </c>
      <c r="Z371" s="976">
        <f t="shared" si="34"/>
        <v>0</v>
      </c>
      <c r="AA371" s="976">
        <f t="shared" ref="AA371:AL371" si="35">TRUNC(IF(Z470="SI",Z458*(1+$O$322)*Z464,Z458*Z464),2)</f>
        <v>0</v>
      </c>
      <c r="AB371" s="976">
        <f t="shared" si="35"/>
        <v>0</v>
      </c>
      <c r="AC371" s="976">
        <f t="shared" si="35"/>
        <v>0</v>
      </c>
      <c r="AD371" s="976">
        <f t="shared" si="35"/>
        <v>0</v>
      </c>
      <c r="AE371" s="976">
        <f t="shared" si="35"/>
        <v>0</v>
      </c>
      <c r="AF371" s="976">
        <f t="shared" si="35"/>
        <v>0</v>
      </c>
      <c r="AG371" s="976">
        <f t="shared" si="35"/>
        <v>0</v>
      </c>
      <c r="AH371" s="976">
        <f t="shared" si="35"/>
        <v>0</v>
      </c>
      <c r="AI371" s="976">
        <f t="shared" si="35"/>
        <v>0</v>
      </c>
      <c r="AJ371" s="976">
        <f t="shared" si="35"/>
        <v>0</v>
      </c>
      <c r="AK371" s="976">
        <f t="shared" si="35"/>
        <v>0</v>
      </c>
      <c r="AL371" s="976">
        <f t="shared" si="35"/>
        <v>0</v>
      </c>
      <c r="AM371" s="195"/>
      <c r="AN371" s="195"/>
      <c r="AO371" s="195"/>
      <c r="AP371" s="195"/>
      <c r="AQ371" s="195"/>
      <c r="AR371" s="195"/>
      <c r="AS371" s="195"/>
    </row>
    <row r="372" spans="1:45" ht="17.100000000000001" customHeight="1">
      <c r="A372" s="325" t="s">
        <v>596</v>
      </c>
      <c r="B372" s="23">
        <f t="shared" si="23"/>
        <v>0</v>
      </c>
      <c r="C372" s="976">
        <f t="shared" ref="C372:N372" si="36">TRUNC(IF(B471="SI",B459*(1+$M$322)*B465,B459*B465),2)</f>
        <v>0</v>
      </c>
      <c r="D372" s="976">
        <f t="shared" si="36"/>
        <v>0</v>
      </c>
      <c r="E372" s="976">
        <f t="shared" si="36"/>
        <v>0</v>
      </c>
      <c r="F372" s="976">
        <f t="shared" si="36"/>
        <v>0</v>
      </c>
      <c r="G372" s="976">
        <f t="shared" si="36"/>
        <v>0</v>
      </c>
      <c r="H372" s="976">
        <f t="shared" si="36"/>
        <v>0</v>
      </c>
      <c r="I372" s="976">
        <f t="shared" si="36"/>
        <v>0</v>
      </c>
      <c r="J372" s="976">
        <f t="shared" si="36"/>
        <v>0</v>
      </c>
      <c r="K372" s="976">
        <f t="shared" si="36"/>
        <v>0</v>
      </c>
      <c r="L372" s="976">
        <f t="shared" si="36"/>
        <v>0</v>
      </c>
      <c r="M372" s="976">
        <f t="shared" si="36"/>
        <v>0</v>
      </c>
      <c r="N372" s="976">
        <f t="shared" si="36"/>
        <v>0</v>
      </c>
      <c r="O372" s="976">
        <f t="shared" ref="O372:Z372" si="37">TRUNC(IF(N471="SI",N459*(1+$N$322)*N465,N459*N465),2)</f>
        <v>0</v>
      </c>
      <c r="P372" s="976">
        <f t="shared" si="37"/>
        <v>0</v>
      </c>
      <c r="Q372" s="976">
        <f t="shared" si="37"/>
        <v>0</v>
      </c>
      <c r="R372" s="976">
        <f t="shared" si="37"/>
        <v>0</v>
      </c>
      <c r="S372" s="976">
        <f t="shared" si="37"/>
        <v>0</v>
      </c>
      <c r="T372" s="976">
        <f t="shared" si="37"/>
        <v>0</v>
      </c>
      <c r="U372" s="976">
        <f t="shared" si="37"/>
        <v>0</v>
      </c>
      <c r="V372" s="976">
        <f t="shared" si="37"/>
        <v>0</v>
      </c>
      <c r="W372" s="976">
        <f t="shared" si="37"/>
        <v>0</v>
      </c>
      <c r="X372" s="976">
        <f t="shared" si="37"/>
        <v>0</v>
      </c>
      <c r="Y372" s="976">
        <f t="shared" si="37"/>
        <v>0</v>
      </c>
      <c r="Z372" s="976">
        <f t="shared" si="37"/>
        <v>0</v>
      </c>
      <c r="AA372" s="976">
        <f t="shared" ref="AA372:AL372" si="38">TRUNC(IF(Z471="SI",Z459*(1+$O$322)*Z465,Z459*Z465),2)</f>
        <v>0</v>
      </c>
      <c r="AB372" s="976">
        <f t="shared" si="38"/>
        <v>0</v>
      </c>
      <c r="AC372" s="976">
        <f t="shared" si="38"/>
        <v>0</v>
      </c>
      <c r="AD372" s="976">
        <f t="shared" si="38"/>
        <v>0</v>
      </c>
      <c r="AE372" s="976">
        <f t="shared" si="38"/>
        <v>0</v>
      </c>
      <c r="AF372" s="976">
        <f t="shared" si="38"/>
        <v>0</v>
      </c>
      <c r="AG372" s="976">
        <f t="shared" si="38"/>
        <v>0</v>
      </c>
      <c r="AH372" s="976">
        <f t="shared" si="38"/>
        <v>0</v>
      </c>
      <c r="AI372" s="976">
        <f t="shared" si="38"/>
        <v>0</v>
      </c>
      <c r="AJ372" s="976">
        <f t="shared" si="38"/>
        <v>0</v>
      </c>
      <c r="AK372" s="976">
        <f t="shared" si="38"/>
        <v>0</v>
      </c>
      <c r="AL372" s="976">
        <f t="shared" si="38"/>
        <v>0</v>
      </c>
      <c r="AM372" s="195"/>
      <c r="AN372" s="195"/>
      <c r="AO372" s="195"/>
      <c r="AP372" s="195"/>
      <c r="AQ372" s="195"/>
      <c r="AR372" s="195"/>
      <c r="AS372" s="195"/>
    </row>
    <row r="373" spans="1:45" ht="17.100000000000001" customHeight="1">
      <c r="A373" s="325" t="s">
        <v>596</v>
      </c>
      <c r="B373" s="23">
        <f t="shared" si="23"/>
        <v>0</v>
      </c>
      <c r="C373" s="976">
        <f t="shared" ref="C373:N373" si="39">TRUNC(IF(B472="SI",B460*(1+$M$322)*B466,B460*B466),2)</f>
        <v>0</v>
      </c>
      <c r="D373" s="976">
        <f t="shared" si="39"/>
        <v>0</v>
      </c>
      <c r="E373" s="976">
        <f t="shared" si="39"/>
        <v>0</v>
      </c>
      <c r="F373" s="976">
        <f t="shared" si="39"/>
        <v>0</v>
      </c>
      <c r="G373" s="976">
        <f t="shared" si="39"/>
        <v>0</v>
      </c>
      <c r="H373" s="976">
        <f t="shared" si="39"/>
        <v>0</v>
      </c>
      <c r="I373" s="976">
        <f t="shared" si="39"/>
        <v>0</v>
      </c>
      <c r="J373" s="976">
        <f t="shared" si="39"/>
        <v>0</v>
      </c>
      <c r="K373" s="976">
        <f t="shared" si="39"/>
        <v>0</v>
      </c>
      <c r="L373" s="976">
        <f t="shared" si="39"/>
        <v>0</v>
      </c>
      <c r="M373" s="976">
        <f t="shared" si="39"/>
        <v>0</v>
      </c>
      <c r="N373" s="976">
        <f t="shared" si="39"/>
        <v>0</v>
      </c>
      <c r="O373" s="976">
        <f t="shared" ref="O373:Z373" si="40">TRUNC(IF(N472="SI",N460*(1+$N$322)*N466,N460*N466),2)</f>
        <v>0</v>
      </c>
      <c r="P373" s="976">
        <f t="shared" si="40"/>
        <v>0</v>
      </c>
      <c r="Q373" s="976">
        <f t="shared" si="40"/>
        <v>0</v>
      </c>
      <c r="R373" s="976">
        <f t="shared" si="40"/>
        <v>0</v>
      </c>
      <c r="S373" s="976">
        <f t="shared" si="40"/>
        <v>0</v>
      </c>
      <c r="T373" s="976">
        <f t="shared" si="40"/>
        <v>0</v>
      </c>
      <c r="U373" s="976">
        <f t="shared" si="40"/>
        <v>0</v>
      </c>
      <c r="V373" s="976">
        <f t="shared" si="40"/>
        <v>0</v>
      </c>
      <c r="W373" s="976">
        <f t="shared" si="40"/>
        <v>0</v>
      </c>
      <c r="X373" s="976">
        <f t="shared" si="40"/>
        <v>0</v>
      </c>
      <c r="Y373" s="976">
        <f t="shared" si="40"/>
        <v>0</v>
      </c>
      <c r="Z373" s="976">
        <f t="shared" si="40"/>
        <v>0</v>
      </c>
      <c r="AA373" s="976">
        <f t="shared" ref="AA373:AL373" si="41">TRUNC(IF(Z472="SI",Z460*(1+$O$322)*Z466,Z460*Z466),2)</f>
        <v>0</v>
      </c>
      <c r="AB373" s="976">
        <f t="shared" si="41"/>
        <v>0</v>
      </c>
      <c r="AC373" s="976">
        <f t="shared" si="41"/>
        <v>0</v>
      </c>
      <c r="AD373" s="976">
        <f t="shared" si="41"/>
        <v>0</v>
      </c>
      <c r="AE373" s="976">
        <f t="shared" si="41"/>
        <v>0</v>
      </c>
      <c r="AF373" s="976">
        <f t="shared" si="41"/>
        <v>0</v>
      </c>
      <c r="AG373" s="976">
        <f t="shared" si="41"/>
        <v>0</v>
      </c>
      <c r="AH373" s="976">
        <f t="shared" si="41"/>
        <v>0</v>
      </c>
      <c r="AI373" s="976">
        <f t="shared" si="41"/>
        <v>0</v>
      </c>
      <c r="AJ373" s="976">
        <f t="shared" si="41"/>
        <v>0</v>
      </c>
      <c r="AK373" s="976">
        <f t="shared" si="41"/>
        <v>0</v>
      </c>
      <c r="AL373" s="976">
        <f t="shared" si="41"/>
        <v>0</v>
      </c>
    </row>
    <row r="374" spans="1:45" ht="17.100000000000001" customHeight="1">
      <c r="A374" s="901" t="s">
        <v>701</v>
      </c>
      <c r="B374" s="23"/>
      <c r="C374" s="325">
        <v>400000</v>
      </c>
      <c r="D374" s="325">
        <v>400000</v>
      </c>
      <c r="E374" s="325">
        <v>400000</v>
      </c>
      <c r="F374" s="325">
        <v>400000</v>
      </c>
      <c r="G374" s="325">
        <v>400000</v>
      </c>
      <c r="H374" s="325">
        <v>400000</v>
      </c>
      <c r="I374" s="325">
        <v>400000</v>
      </c>
      <c r="J374" s="325">
        <v>400000</v>
      </c>
      <c r="K374" s="325">
        <v>400000</v>
      </c>
      <c r="L374" s="325">
        <v>400000</v>
      </c>
      <c r="M374" s="325">
        <v>400000</v>
      </c>
      <c r="N374" s="325">
        <v>400000</v>
      </c>
      <c r="O374" s="325">
        <v>400000</v>
      </c>
      <c r="P374" s="325">
        <v>400000</v>
      </c>
      <c r="Q374" s="325">
        <v>400000</v>
      </c>
      <c r="R374" s="325">
        <v>400000</v>
      </c>
      <c r="S374" s="325">
        <v>400000</v>
      </c>
      <c r="T374" s="325">
        <v>400000</v>
      </c>
      <c r="U374" s="325">
        <v>400000</v>
      </c>
      <c r="V374" s="325">
        <v>400000</v>
      </c>
      <c r="W374" s="325">
        <v>400000</v>
      </c>
      <c r="X374" s="325">
        <v>400000</v>
      </c>
      <c r="Y374" s="325">
        <v>400000</v>
      </c>
      <c r="Z374" s="325">
        <v>400000</v>
      </c>
      <c r="AA374" s="325">
        <v>400000</v>
      </c>
      <c r="AB374" s="325">
        <v>400000</v>
      </c>
      <c r="AC374" s="325">
        <v>400000</v>
      </c>
      <c r="AD374" s="325">
        <v>400000</v>
      </c>
      <c r="AE374" s="325">
        <v>400000</v>
      </c>
      <c r="AF374" s="325">
        <v>400000</v>
      </c>
      <c r="AG374" s="325">
        <v>400000</v>
      </c>
      <c r="AH374" s="325">
        <v>400000</v>
      </c>
      <c r="AI374" s="325">
        <v>400000</v>
      </c>
      <c r="AJ374" s="325">
        <v>400000</v>
      </c>
      <c r="AK374" s="325">
        <v>400000</v>
      </c>
      <c r="AL374" s="325">
        <v>400000</v>
      </c>
    </row>
    <row r="375" spans="1:45" ht="17.100000000000001" customHeight="1">
      <c r="A375" s="901" t="s">
        <v>703</v>
      </c>
      <c r="B375" s="23"/>
      <c r="C375" s="325">
        <v>200000</v>
      </c>
      <c r="D375" s="325">
        <v>200000</v>
      </c>
      <c r="E375" s="325">
        <v>200000</v>
      </c>
      <c r="F375" s="325">
        <v>200000</v>
      </c>
      <c r="G375" s="325">
        <v>200000</v>
      </c>
      <c r="H375" s="325">
        <v>200000</v>
      </c>
      <c r="I375" s="325">
        <v>200000</v>
      </c>
      <c r="J375" s="325">
        <v>200000</v>
      </c>
      <c r="K375" s="325">
        <v>200000</v>
      </c>
      <c r="L375" s="325">
        <v>200000</v>
      </c>
      <c r="M375" s="325">
        <v>200000</v>
      </c>
      <c r="N375" s="325">
        <v>200000</v>
      </c>
      <c r="O375" s="325">
        <v>200000</v>
      </c>
      <c r="P375" s="325">
        <v>200000</v>
      </c>
      <c r="Q375" s="325">
        <v>200000</v>
      </c>
      <c r="R375" s="325">
        <v>200000</v>
      </c>
      <c r="S375" s="325">
        <v>200000</v>
      </c>
      <c r="T375" s="325">
        <v>200000</v>
      </c>
      <c r="U375" s="325">
        <v>200000</v>
      </c>
      <c r="V375" s="325">
        <v>200000</v>
      </c>
      <c r="W375" s="325">
        <v>200000</v>
      </c>
      <c r="X375" s="325">
        <v>200000</v>
      </c>
      <c r="Y375" s="325">
        <v>200000</v>
      </c>
      <c r="Z375" s="325">
        <v>200000</v>
      </c>
      <c r="AA375" s="325">
        <v>200000</v>
      </c>
      <c r="AB375" s="325">
        <v>200000</v>
      </c>
      <c r="AC375" s="325">
        <v>200000</v>
      </c>
      <c r="AD375" s="325">
        <v>200000</v>
      </c>
      <c r="AE375" s="325">
        <v>200000</v>
      </c>
      <c r="AF375" s="325">
        <v>200000</v>
      </c>
      <c r="AG375" s="325">
        <v>200000</v>
      </c>
      <c r="AH375" s="325">
        <v>200000</v>
      </c>
      <c r="AI375" s="325">
        <v>200000</v>
      </c>
      <c r="AJ375" s="325">
        <v>200000</v>
      </c>
      <c r="AK375" s="325">
        <v>200000</v>
      </c>
      <c r="AL375" s="325">
        <v>200000</v>
      </c>
    </row>
    <row r="376" spans="1:45" ht="17.100000000000001" customHeight="1">
      <c r="A376" s="901" t="s">
        <v>704</v>
      </c>
      <c r="B376" s="23"/>
      <c r="C376" s="325">
        <v>12000</v>
      </c>
      <c r="D376" s="325">
        <v>12000</v>
      </c>
      <c r="E376" s="325">
        <v>12000</v>
      </c>
      <c r="F376" s="325">
        <v>12000</v>
      </c>
      <c r="G376" s="325">
        <v>12000</v>
      </c>
      <c r="H376" s="325">
        <v>12000</v>
      </c>
      <c r="I376" s="325">
        <v>12000</v>
      </c>
      <c r="J376" s="325">
        <v>12000</v>
      </c>
      <c r="K376" s="325">
        <v>12000</v>
      </c>
      <c r="L376" s="325">
        <v>12000</v>
      </c>
      <c r="M376" s="325">
        <v>12000</v>
      </c>
      <c r="N376" s="325">
        <v>12000</v>
      </c>
      <c r="O376" s="325">
        <v>12000</v>
      </c>
      <c r="P376" s="325">
        <v>12000</v>
      </c>
      <c r="Q376" s="325">
        <v>12000</v>
      </c>
      <c r="R376" s="325">
        <v>12000</v>
      </c>
      <c r="S376" s="325">
        <v>12000</v>
      </c>
      <c r="T376" s="325">
        <v>12000</v>
      </c>
      <c r="U376" s="325">
        <v>12000</v>
      </c>
      <c r="V376" s="325">
        <v>12000</v>
      </c>
      <c r="W376" s="325">
        <v>12000</v>
      </c>
      <c r="X376" s="325">
        <v>12000</v>
      </c>
      <c r="Y376" s="325">
        <v>12000</v>
      </c>
      <c r="Z376" s="325">
        <v>12000</v>
      </c>
      <c r="AA376" s="325">
        <v>12000</v>
      </c>
      <c r="AB376" s="325">
        <v>12000</v>
      </c>
      <c r="AC376" s="325">
        <v>12000</v>
      </c>
      <c r="AD376" s="325">
        <v>12000</v>
      </c>
      <c r="AE376" s="325">
        <v>12000</v>
      </c>
      <c r="AF376" s="325">
        <v>12000</v>
      </c>
      <c r="AG376" s="325">
        <v>12000</v>
      </c>
      <c r="AH376" s="325">
        <v>12000</v>
      </c>
      <c r="AI376" s="325">
        <v>12000</v>
      </c>
      <c r="AJ376" s="325">
        <v>12000</v>
      </c>
      <c r="AK376" s="325">
        <v>12000</v>
      </c>
      <c r="AL376" s="325">
        <v>12000</v>
      </c>
    </row>
    <row r="377" spans="1:45" ht="17.100000000000001" customHeight="1">
      <c r="A377" s="901" t="s">
        <v>707</v>
      </c>
      <c r="B377" s="23"/>
      <c r="C377" s="325">
        <v>50000</v>
      </c>
      <c r="D377" s="325">
        <v>50000</v>
      </c>
      <c r="E377" s="325">
        <v>50000</v>
      </c>
      <c r="F377" s="325">
        <v>50000</v>
      </c>
      <c r="G377" s="325">
        <v>50000</v>
      </c>
      <c r="H377" s="325">
        <v>50000</v>
      </c>
      <c r="I377" s="325">
        <v>50000</v>
      </c>
      <c r="J377" s="325">
        <v>50000</v>
      </c>
      <c r="K377" s="325">
        <v>50000</v>
      </c>
      <c r="L377" s="325">
        <v>50000</v>
      </c>
      <c r="M377" s="325">
        <v>50000</v>
      </c>
      <c r="N377" s="325">
        <v>50000</v>
      </c>
      <c r="O377" s="325">
        <v>50000</v>
      </c>
      <c r="P377" s="325">
        <v>50000</v>
      </c>
      <c r="Q377" s="325">
        <v>50000</v>
      </c>
      <c r="R377" s="325">
        <v>50000</v>
      </c>
      <c r="S377" s="325">
        <v>50000</v>
      </c>
      <c r="T377" s="325">
        <v>50000</v>
      </c>
      <c r="U377" s="325">
        <v>50000</v>
      </c>
      <c r="V377" s="325">
        <v>50000</v>
      </c>
      <c r="W377" s="325">
        <v>50000</v>
      </c>
      <c r="X377" s="325">
        <v>50000</v>
      </c>
      <c r="Y377" s="325">
        <v>50000</v>
      </c>
      <c r="Z377" s="325">
        <v>50000</v>
      </c>
      <c r="AA377" s="325">
        <v>50000</v>
      </c>
      <c r="AB377" s="325">
        <v>50000</v>
      </c>
      <c r="AC377" s="325">
        <v>50000</v>
      </c>
      <c r="AD377" s="325">
        <v>50000</v>
      </c>
      <c r="AE377" s="325">
        <v>50000</v>
      </c>
      <c r="AF377" s="325">
        <v>50000</v>
      </c>
      <c r="AG377" s="325">
        <v>50000</v>
      </c>
      <c r="AH377" s="325">
        <v>50000</v>
      </c>
      <c r="AI377" s="325">
        <v>50000</v>
      </c>
      <c r="AJ377" s="325">
        <v>50000</v>
      </c>
      <c r="AK377" s="325">
        <v>50000</v>
      </c>
      <c r="AL377" s="325">
        <v>50000</v>
      </c>
    </row>
    <row r="378" spans="1:45" ht="17.100000000000001" customHeight="1">
      <c r="A378" s="901" t="s">
        <v>596</v>
      </c>
      <c r="B378" s="23"/>
      <c r="C378" s="325">
        <v>0</v>
      </c>
      <c r="D378" s="325">
        <v>0</v>
      </c>
      <c r="E378" s="325">
        <v>0</v>
      </c>
      <c r="F378" s="325">
        <v>0</v>
      </c>
      <c r="G378" s="325">
        <v>0</v>
      </c>
      <c r="H378" s="325">
        <v>0</v>
      </c>
      <c r="I378" s="325">
        <v>0</v>
      </c>
      <c r="J378" s="325">
        <v>0</v>
      </c>
      <c r="K378" s="325">
        <v>0</v>
      </c>
      <c r="L378" s="325">
        <v>0</v>
      </c>
      <c r="M378" s="325">
        <v>0</v>
      </c>
      <c r="N378" s="325">
        <v>0</v>
      </c>
      <c r="O378" s="325">
        <v>0</v>
      </c>
      <c r="P378" s="325">
        <v>0</v>
      </c>
      <c r="Q378" s="325">
        <v>0</v>
      </c>
      <c r="R378" s="325">
        <v>0</v>
      </c>
      <c r="S378" s="325">
        <v>0</v>
      </c>
      <c r="T378" s="325">
        <v>0</v>
      </c>
      <c r="U378" s="325">
        <v>0</v>
      </c>
      <c r="V378" s="325">
        <v>0</v>
      </c>
      <c r="W378" s="325">
        <v>0</v>
      </c>
      <c r="X378" s="325">
        <v>0</v>
      </c>
      <c r="Y378" s="325">
        <v>0</v>
      </c>
      <c r="Z378" s="325">
        <v>0</v>
      </c>
      <c r="AA378" s="325">
        <v>0</v>
      </c>
      <c r="AB378" s="325">
        <v>0</v>
      </c>
      <c r="AC378" s="325">
        <v>0</v>
      </c>
      <c r="AD378" s="325">
        <v>0</v>
      </c>
      <c r="AE378" s="325">
        <v>0</v>
      </c>
      <c r="AF378" s="325">
        <v>0</v>
      </c>
      <c r="AG378" s="325">
        <v>0</v>
      </c>
      <c r="AH378" s="325">
        <v>0</v>
      </c>
      <c r="AI378" s="325">
        <v>0</v>
      </c>
      <c r="AJ378" s="325">
        <v>0</v>
      </c>
      <c r="AK378" s="325">
        <v>0</v>
      </c>
      <c r="AL378" s="325">
        <v>0</v>
      </c>
    </row>
    <row r="379" spans="1:45" ht="17.100000000000001" customHeight="1">
      <c r="A379" s="901" t="s">
        <v>596</v>
      </c>
      <c r="B379" s="23"/>
      <c r="C379" s="325">
        <v>0</v>
      </c>
      <c r="D379" s="325">
        <v>0</v>
      </c>
      <c r="E379" s="325">
        <v>0</v>
      </c>
      <c r="F379" s="325">
        <v>0</v>
      </c>
      <c r="G379" s="325">
        <v>0</v>
      </c>
      <c r="H379" s="325">
        <v>0</v>
      </c>
      <c r="I379" s="325">
        <v>0</v>
      </c>
      <c r="J379" s="325">
        <v>0</v>
      </c>
      <c r="K379" s="325">
        <v>0</v>
      </c>
      <c r="L379" s="325">
        <v>0</v>
      </c>
      <c r="M379" s="325">
        <v>0</v>
      </c>
      <c r="N379" s="325">
        <v>0</v>
      </c>
      <c r="O379" s="325">
        <v>0</v>
      </c>
      <c r="P379" s="325">
        <v>0</v>
      </c>
      <c r="Q379" s="325">
        <v>0</v>
      </c>
      <c r="R379" s="325">
        <v>0</v>
      </c>
      <c r="S379" s="325">
        <v>0</v>
      </c>
      <c r="T379" s="325">
        <v>0</v>
      </c>
      <c r="U379" s="325">
        <v>0</v>
      </c>
      <c r="V379" s="325">
        <v>0</v>
      </c>
      <c r="W379" s="325">
        <v>0</v>
      </c>
      <c r="X379" s="325">
        <v>0</v>
      </c>
      <c r="Y379" s="325">
        <v>0</v>
      </c>
      <c r="Z379" s="325">
        <v>0</v>
      </c>
      <c r="AA379" s="325">
        <v>0</v>
      </c>
      <c r="AB379" s="325">
        <v>0</v>
      </c>
      <c r="AC379" s="325">
        <v>0</v>
      </c>
      <c r="AD379" s="325">
        <v>0</v>
      </c>
      <c r="AE379" s="325">
        <v>0</v>
      </c>
      <c r="AF379" s="325">
        <v>0</v>
      </c>
      <c r="AG379" s="325">
        <v>0</v>
      </c>
      <c r="AH379" s="325">
        <v>0</v>
      </c>
      <c r="AI379" s="325">
        <v>0</v>
      </c>
      <c r="AJ379" s="325">
        <v>0</v>
      </c>
      <c r="AK379" s="325">
        <v>0</v>
      </c>
      <c r="AL379" s="325">
        <v>0</v>
      </c>
    </row>
    <row r="380" spans="1:45" ht="17.100000000000001" customHeight="1">
      <c r="A380" s="901" t="s">
        <v>596</v>
      </c>
      <c r="B380" s="23"/>
      <c r="C380" s="325">
        <v>0</v>
      </c>
      <c r="D380" s="325">
        <v>0</v>
      </c>
      <c r="E380" s="325">
        <v>0</v>
      </c>
      <c r="F380" s="325">
        <v>0</v>
      </c>
      <c r="G380" s="325">
        <v>0</v>
      </c>
      <c r="H380" s="325">
        <v>0</v>
      </c>
      <c r="I380" s="325">
        <v>0</v>
      </c>
      <c r="J380" s="325">
        <v>0</v>
      </c>
      <c r="K380" s="325">
        <v>0</v>
      </c>
      <c r="L380" s="325">
        <v>0</v>
      </c>
      <c r="M380" s="325">
        <v>0</v>
      </c>
      <c r="N380" s="325">
        <v>0</v>
      </c>
      <c r="O380" s="325">
        <v>0</v>
      </c>
      <c r="P380" s="325">
        <v>0</v>
      </c>
      <c r="Q380" s="325">
        <v>0</v>
      </c>
      <c r="R380" s="325">
        <v>0</v>
      </c>
      <c r="S380" s="325">
        <v>0</v>
      </c>
      <c r="T380" s="325">
        <v>0</v>
      </c>
      <c r="U380" s="325">
        <v>0</v>
      </c>
      <c r="V380" s="325">
        <v>0</v>
      </c>
      <c r="W380" s="325">
        <v>0</v>
      </c>
      <c r="X380" s="325">
        <v>0</v>
      </c>
      <c r="Y380" s="325">
        <v>0</v>
      </c>
      <c r="Z380" s="325">
        <v>0</v>
      </c>
      <c r="AA380" s="325">
        <v>0</v>
      </c>
      <c r="AB380" s="325">
        <v>0</v>
      </c>
      <c r="AC380" s="325">
        <v>0</v>
      </c>
      <c r="AD380" s="325">
        <v>0</v>
      </c>
      <c r="AE380" s="325">
        <v>0</v>
      </c>
      <c r="AF380" s="325">
        <v>0</v>
      </c>
      <c r="AG380" s="325">
        <v>0</v>
      </c>
      <c r="AH380" s="325">
        <v>0</v>
      </c>
      <c r="AI380" s="325">
        <v>0</v>
      </c>
      <c r="AJ380" s="325">
        <v>0</v>
      </c>
      <c r="AK380" s="325">
        <v>0</v>
      </c>
      <c r="AL380" s="325">
        <v>0</v>
      </c>
    </row>
    <row r="381" spans="1:45" ht="17.100000000000001" customHeight="1">
      <c r="A381" s="901" t="s">
        <v>596</v>
      </c>
      <c r="B381" s="23"/>
      <c r="C381" s="325">
        <v>0</v>
      </c>
      <c r="D381" s="325">
        <v>0</v>
      </c>
      <c r="E381" s="325">
        <v>0</v>
      </c>
      <c r="F381" s="325">
        <v>0</v>
      </c>
      <c r="G381" s="325">
        <v>0</v>
      </c>
      <c r="H381" s="325">
        <v>0</v>
      </c>
      <c r="I381" s="325">
        <v>0</v>
      </c>
      <c r="J381" s="325">
        <v>0</v>
      </c>
      <c r="K381" s="325">
        <v>0</v>
      </c>
      <c r="L381" s="325">
        <v>0</v>
      </c>
      <c r="M381" s="325">
        <v>0</v>
      </c>
      <c r="N381" s="325">
        <v>0</v>
      </c>
      <c r="O381" s="325">
        <v>0</v>
      </c>
      <c r="P381" s="325">
        <v>0</v>
      </c>
      <c r="Q381" s="325">
        <v>0</v>
      </c>
      <c r="R381" s="325">
        <v>0</v>
      </c>
      <c r="S381" s="325">
        <v>0</v>
      </c>
      <c r="T381" s="325">
        <v>0</v>
      </c>
      <c r="U381" s="325">
        <v>0</v>
      </c>
      <c r="V381" s="325">
        <v>0</v>
      </c>
      <c r="W381" s="325">
        <v>0</v>
      </c>
      <c r="X381" s="325">
        <v>0</v>
      </c>
      <c r="Y381" s="325">
        <v>0</v>
      </c>
      <c r="Z381" s="325">
        <v>0</v>
      </c>
      <c r="AA381" s="325">
        <v>0</v>
      </c>
      <c r="AB381" s="325">
        <v>0</v>
      </c>
      <c r="AC381" s="325">
        <v>0</v>
      </c>
      <c r="AD381" s="325">
        <v>0</v>
      </c>
      <c r="AE381" s="325">
        <v>0</v>
      </c>
      <c r="AF381" s="325">
        <v>0</v>
      </c>
      <c r="AG381" s="325">
        <v>0</v>
      </c>
      <c r="AH381" s="325">
        <v>0</v>
      </c>
      <c r="AI381" s="325">
        <v>0</v>
      </c>
      <c r="AJ381" s="325">
        <v>0</v>
      </c>
      <c r="AK381" s="325">
        <v>0</v>
      </c>
      <c r="AL381" s="325">
        <v>0</v>
      </c>
    </row>
    <row r="382" spans="1:45" ht="17.100000000000001" customHeight="1">
      <c r="A382" s="901" t="s">
        <v>596</v>
      </c>
      <c r="B382" s="23"/>
      <c r="C382" s="325">
        <v>0</v>
      </c>
      <c r="D382" s="325">
        <v>0</v>
      </c>
      <c r="E382" s="325">
        <v>0</v>
      </c>
      <c r="F382" s="325">
        <v>0</v>
      </c>
      <c r="G382" s="325">
        <v>0</v>
      </c>
      <c r="H382" s="325">
        <v>0</v>
      </c>
      <c r="I382" s="325">
        <v>0</v>
      </c>
      <c r="J382" s="325">
        <v>0</v>
      </c>
      <c r="K382" s="325">
        <v>0</v>
      </c>
      <c r="L382" s="325">
        <v>0</v>
      </c>
      <c r="M382" s="325">
        <v>0</v>
      </c>
      <c r="N382" s="325">
        <v>0</v>
      </c>
      <c r="O382" s="325">
        <v>0</v>
      </c>
      <c r="P382" s="325">
        <v>0</v>
      </c>
      <c r="Q382" s="325">
        <v>0</v>
      </c>
      <c r="R382" s="325">
        <v>0</v>
      </c>
      <c r="S382" s="325">
        <v>0</v>
      </c>
      <c r="T382" s="325">
        <v>0</v>
      </c>
      <c r="U382" s="325">
        <v>0</v>
      </c>
      <c r="V382" s="325">
        <v>0</v>
      </c>
      <c r="W382" s="325">
        <v>0</v>
      </c>
      <c r="X382" s="325">
        <v>0</v>
      </c>
      <c r="Y382" s="325">
        <v>0</v>
      </c>
      <c r="Z382" s="325">
        <v>0</v>
      </c>
      <c r="AA382" s="325">
        <v>0</v>
      </c>
      <c r="AB382" s="325">
        <v>0</v>
      </c>
      <c r="AC382" s="325">
        <v>0</v>
      </c>
      <c r="AD382" s="325">
        <v>0</v>
      </c>
      <c r="AE382" s="325">
        <v>0</v>
      </c>
      <c r="AF382" s="325">
        <v>0</v>
      </c>
      <c r="AG382" s="325">
        <v>0</v>
      </c>
      <c r="AH382" s="325">
        <v>0</v>
      </c>
      <c r="AI382" s="325">
        <v>0</v>
      </c>
      <c r="AJ382" s="325">
        <v>0</v>
      </c>
      <c r="AK382" s="325">
        <v>0</v>
      </c>
      <c r="AL382" s="325">
        <v>0</v>
      </c>
    </row>
    <row r="383" spans="1:45" ht="17.100000000000001" customHeight="1">
      <c r="A383" s="901" t="s">
        <v>596</v>
      </c>
      <c r="B383" s="23"/>
      <c r="C383" s="325">
        <v>0</v>
      </c>
      <c r="D383" s="325">
        <v>0</v>
      </c>
      <c r="E383" s="325">
        <v>0</v>
      </c>
      <c r="F383" s="325">
        <v>0</v>
      </c>
      <c r="G383" s="325">
        <v>0</v>
      </c>
      <c r="H383" s="325">
        <v>0</v>
      </c>
      <c r="I383" s="325">
        <v>0</v>
      </c>
      <c r="J383" s="325">
        <v>0</v>
      </c>
      <c r="K383" s="325">
        <v>0</v>
      </c>
      <c r="L383" s="325">
        <v>0</v>
      </c>
      <c r="M383" s="325">
        <v>0</v>
      </c>
      <c r="N383" s="325">
        <v>0</v>
      </c>
      <c r="O383" s="325">
        <v>0</v>
      </c>
      <c r="P383" s="325">
        <v>0</v>
      </c>
      <c r="Q383" s="325">
        <v>0</v>
      </c>
      <c r="R383" s="325">
        <v>0</v>
      </c>
      <c r="S383" s="325">
        <v>0</v>
      </c>
      <c r="T383" s="325">
        <v>0</v>
      </c>
      <c r="U383" s="325">
        <v>0</v>
      </c>
      <c r="V383" s="325">
        <v>0</v>
      </c>
      <c r="W383" s="325">
        <v>0</v>
      </c>
      <c r="X383" s="325">
        <v>0</v>
      </c>
      <c r="Y383" s="325">
        <v>0</v>
      </c>
      <c r="Z383" s="325">
        <v>0</v>
      </c>
      <c r="AA383" s="325">
        <v>0</v>
      </c>
      <c r="AB383" s="325">
        <v>0</v>
      </c>
      <c r="AC383" s="325">
        <v>0</v>
      </c>
      <c r="AD383" s="325">
        <v>0</v>
      </c>
      <c r="AE383" s="325">
        <v>0</v>
      </c>
      <c r="AF383" s="325">
        <v>0</v>
      </c>
      <c r="AG383" s="325">
        <v>0</v>
      </c>
      <c r="AH383" s="325">
        <v>0</v>
      </c>
      <c r="AI383" s="325">
        <v>0</v>
      </c>
      <c r="AJ383" s="325">
        <v>0</v>
      </c>
      <c r="AK383" s="325">
        <v>0</v>
      </c>
      <c r="AL383" s="325">
        <v>0</v>
      </c>
    </row>
    <row r="384" spans="1:45" ht="17.100000000000001" customHeight="1">
      <c r="A384" s="901" t="s">
        <v>596</v>
      </c>
      <c r="B384" s="23"/>
      <c r="C384" s="325">
        <v>0</v>
      </c>
      <c r="D384" s="325">
        <v>0</v>
      </c>
      <c r="E384" s="325">
        <v>0</v>
      </c>
      <c r="F384" s="325">
        <v>0</v>
      </c>
      <c r="G384" s="325">
        <v>0</v>
      </c>
      <c r="H384" s="325">
        <v>0</v>
      </c>
      <c r="I384" s="325">
        <v>0</v>
      </c>
      <c r="J384" s="325">
        <v>0</v>
      </c>
      <c r="K384" s="325">
        <v>0</v>
      </c>
      <c r="L384" s="325">
        <v>0</v>
      </c>
      <c r="M384" s="325">
        <v>0</v>
      </c>
      <c r="N384" s="325">
        <v>0</v>
      </c>
      <c r="O384" s="325">
        <v>0</v>
      </c>
      <c r="P384" s="325">
        <v>0</v>
      </c>
      <c r="Q384" s="325">
        <v>0</v>
      </c>
      <c r="R384" s="325">
        <v>0</v>
      </c>
      <c r="S384" s="325">
        <v>0</v>
      </c>
      <c r="T384" s="325">
        <v>0</v>
      </c>
      <c r="U384" s="325">
        <v>0</v>
      </c>
      <c r="V384" s="325">
        <v>0</v>
      </c>
      <c r="W384" s="325">
        <v>0</v>
      </c>
      <c r="X384" s="325">
        <v>0</v>
      </c>
      <c r="Y384" s="325">
        <v>0</v>
      </c>
      <c r="Z384" s="325">
        <v>0</v>
      </c>
      <c r="AA384" s="325">
        <v>0</v>
      </c>
      <c r="AB384" s="325">
        <v>0</v>
      </c>
      <c r="AC384" s="325">
        <v>0</v>
      </c>
      <c r="AD384" s="325">
        <v>0</v>
      </c>
      <c r="AE384" s="325">
        <v>0</v>
      </c>
      <c r="AF384" s="325">
        <v>0</v>
      </c>
      <c r="AG384" s="325">
        <v>0</v>
      </c>
      <c r="AH384" s="325">
        <v>0</v>
      </c>
      <c r="AI384" s="325">
        <v>0</v>
      </c>
      <c r="AJ384" s="325">
        <v>0</v>
      </c>
      <c r="AK384" s="325">
        <v>0</v>
      </c>
      <c r="AL384" s="325">
        <v>0</v>
      </c>
    </row>
    <row r="385" spans="1:38" ht="17.100000000000001" customHeight="1">
      <c r="A385" s="901" t="s">
        <v>596</v>
      </c>
      <c r="B385" s="23"/>
      <c r="C385" s="325">
        <v>0</v>
      </c>
      <c r="D385" s="325">
        <v>0</v>
      </c>
      <c r="E385" s="325">
        <v>0</v>
      </c>
      <c r="F385" s="325">
        <v>0</v>
      </c>
      <c r="G385" s="325">
        <v>0</v>
      </c>
      <c r="H385" s="325">
        <v>0</v>
      </c>
      <c r="I385" s="325">
        <v>0</v>
      </c>
      <c r="J385" s="325">
        <v>0</v>
      </c>
      <c r="K385" s="325">
        <v>0</v>
      </c>
      <c r="L385" s="325">
        <v>0</v>
      </c>
      <c r="M385" s="325">
        <v>0</v>
      </c>
      <c r="N385" s="325">
        <v>0</v>
      </c>
      <c r="O385" s="325">
        <v>0</v>
      </c>
      <c r="P385" s="325">
        <v>0</v>
      </c>
      <c r="Q385" s="325">
        <v>0</v>
      </c>
      <c r="R385" s="325">
        <v>0</v>
      </c>
      <c r="S385" s="325">
        <v>0</v>
      </c>
      <c r="T385" s="325">
        <v>0</v>
      </c>
      <c r="U385" s="325">
        <v>0</v>
      </c>
      <c r="V385" s="325">
        <v>0</v>
      </c>
      <c r="W385" s="325">
        <v>0</v>
      </c>
      <c r="X385" s="325">
        <v>0</v>
      </c>
      <c r="Y385" s="325">
        <v>0</v>
      </c>
      <c r="Z385" s="325">
        <v>0</v>
      </c>
      <c r="AA385" s="325">
        <v>0</v>
      </c>
      <c r="AB385" s="325">
        <v>0</v>
      </c>
      <c r="AC385" s="325">
        <v>0</v>
      </c>
      <c r="AD385" s="325">
        <v>0</v>
      </c>
      <c r="AE385" s="325">
        <v>0</v>
      </c>
      <c r="AF385" s="325">
        <v>0</v>
      </c>
      <c r="AG385" s="325">
        <v>0</v>
      </c>
      <c r="AH385" s="325">
        <v>0</v>
      </c>
      <c r="AI385" s="325">
        <v>0</v>
      </c>
      <c r="AJ385" s="325">
        <v>0</v>
      </c>
      <c r="AK385" s="325">
        <v>0</v>
      </c>
      <c r="AL385" s="325">
        <v>0</v>
      </c>
    </row>
    <row r="386" spans="1:38" ht="17.100000000000001" customHeight="1">
      <c r="A386" s="901" t="s">
        <v>596</v>
      </c>
      <c r="B386" s="23"/>
      <c r="C386" s="325">
        <v>0</v>
      </c>
      <c r="D386" s="325">
        <v>0</v>
      </c>
      <c r="E386" s="325">
        <v>0</v>
      </c>
      <c r="F386" s="325">
        <v>0</v>
      </c>
      <c r="G386" s="325">
        <v>0</v>
      </c>
      <c r="H386" s="325">
        <v>0</v>
      </c>
      <c r="I386" s="325">
        <v>0</v>
      </c>
      <c r="J386" s="325">
        <v>0</v>
      </c>
      <c r="K386" s="325">
        <v>0</v>
      </c>
      <c r="L386" s="325">
        <v>0</v>
      </c>
      <c r="M386" s="325">
        <v>0</v>
      </c>
      <c r="N386" s="325">
        <v>0</v>
      </c>
      <c r="O386" s="325">
        <v>0</v>
      </c>
      <c r="P386" s="325">
        <v>0</v>
      </c>
      <c r="Q386" s="325">
        <v>0</v>
      </c>
      <c r="R386" s="325">
        <v>0</v>
      </c>
      <c r="S386" s="325">
        <v>0</v>
      </c>
      <c r="T386" s="325">
        <v>0</v>
      </c>
      <c r="U386" s="325">
        <v>0</v>
      </c>
      <c r="V386" s="325">
        <v>0</v>
      </c>
      <c r="W386" s="325">
        <v>0</v>
      </c>
      <c r="X386" s="325">
        <v>0</v>
      </c>
      <c r="Y386" s="325">
        <v>0</v>
      </c>
      <c r="Z386" s="325">
        <v>0</v>
      </c>
      <c r="AA386" s="325">
        <v>0</v>
      </c>
      <c r="AB386" s="325">
        <v>0</v>
      </c>
      <c r="AC386" s="325">
        <v>0</v>
      </c>
      <c r="AD386" s="325">
        <v>0</v>
      </c>
      <c r="AE386" s="325">
        <v>0</v>
      </c>
      <c r="AF386" s="325">
        <v>0</v>
      </c>
      <c r="AG386" s="325">
        <v>0</v>
      </c>
      <c r="AH386" s="325">
        <v>0</v>
      </c>
      <c r="AI386" s="325">
        <v>0</v>
      </c>
      <c r="AJ386" s="325">
        <v>0</v>
      </c>
      <c r="AK386" s="325">
        <v>0</v>
      </c>
      <c r="AL386" s="325">
        <v>0</v>
      </c>
    </row>
    <row r="387" spans="1:38" ht="17.100000000000001" customHeight="1">
      <c r="A387" s="901"/>
      <c r="B387" s="23"/>
      <c r="C387" s="325">
        <v>0</v>
      </c>
      <c r="D387" s="325">
        <v>0</v>
      </c>
      <c r="E387" s="325">
        <v>0</v>
      </c>
      <c r="F387" s="325">
        <v>0</v>
      </c>
      <c r="G387" s="325">
        <v>0</v>
      </c>
      <c r="H387" s="325">
        <v>0</v>
      </c>
      <c r="I387" s="325">
        <v>0</v>
      </c>
      <c r="J387" s="325">
        <v>0</v>
      </c>
      <c r="K387" s="325">
        <v>0</v>
      </c>
      <c r="L387" s="325">
        <v>0</v>
      </c>
      <c r="M387" s="325">
        <v>0</v>
      </c>
      <c r="N387" s="325">
        <v>0</v>
      </c>
      <c r="O387" s="325">
        <v>0</v>
      </c>
      <c r="P387" s="325">
        <v>0</v>
      </c>
      <c r="Q387" s="325">
        <v>0</v>
      </c>
      <c r="R387" s="325">
        <v>0</v>
      </c>
      <c r="S387" s="325">
        <v>0</v>
      </c>
      <c r="T387" s="325">
        <v>0</v>
      </c>
      <c r="U387" s="325">
        <v>0</v>
      </c>
      <c r="V387" s="325">
        <v>0</v>
      </c>
      <c r="W387" s="325">
        <v>0</v>
      </c>
      <c r="X387" s="325">
        <v>0</v>
      </c>
      <c r="Y387" s="325">
        <v>0</v>
      </c>
      <c r="Z387" s="325">
        <v>0</v>
      </c>
      <c r="AA387" s="325">
        <v>0</v>
      </c>
      <c r="AB387" s="325">
        <v>0</v>
      </c>
      <c r="AC387" s="325">
        <v>0</v>
      </c>
      <c r="AD387" s="325">
        <v>0</v>
      </c>
      <c r="AE387" s="325">
        <v>0</v>
      </c>
      <c r="AF387" s="325">
        <v>0</v>
      </c>
      <c r="AG387" s="325">
        <v>0</v>
      </c>
      <c r="AH387" s="325">
        <v>0</v>
      </c>
      <c r="AI387" s="325">
        <v>0</v>
      </c>
      <c r="AJ387" s="325">
        <v>0</v>
      </c>
      <c r="AK387" s="325">
        <v>0</v>
      </c>
      <c r="AL387" s="325">
        <v>0</v>
      </c>
    </row>
    <row r="388" spans="1:38" ht="17.100000000000001" customHeight="1">
      <c r="A388" s="901" t="s">
        <v>596</v>
      </c>
      <c r="B388" s="23"/>
      <c r="C388" s="325">
        <v>0</v>
      </c>
      <c r="D388" s="325">
        <v>0</v>
      </c>
      <c r="E388" s="325">
        <v>0</v>
      </c>
      <c r="F388" s="325">
        <v>0</v>
      </c>
      <c r="G388" s="325">
        <v>0</v>
      </c>
      <c r="H388" s="325">
        <v>0</v>
      </c>
      <c r="I388" s="325">
        <v>0</v>
      </c>
      <c r="J388" s="325">
        <v>0</v>
      </c>
      <c r="K388" s="325">
        <v>0</v>
      </c>
      <c r="L388" s="325">
        <v>0</v>
      </c>
      <c r="M388" s="325">
        <v>0</v>
      </c>
      <c r="N388" s="325">
        <v>0</v>
      </c>
      <c r="O388" s="325">
        <v>0</v>
      </c>
      <c r="P388" s="325">
        <v>0</v>
      </c>
      <c r="Q388" s="325">
        <v>0</v>
      </c>
      <c r="R388" s="325">
        <v>0</v>
      </c>
      <c r="S388" s="325">
        <v>0</v>
      </c>
      <c r="T388" s="325">
        <v>0</v>
      </c>
      <c r="U388" s="325">
        <v>0</v>
      </c>
      <c r="V388" s="325">
        <v>0</v>
      </c>
      <c r="W388" s="325">
        <v>0</v>
      </c>
      <c r="X388" s="325">
        <v>0</v>
      </c>
      <c r="Y388" s="325">
        <v>0</v>
      </c>
      <c r="Z388" s="325">
        <v>0</v>
      </c>
      <c r="AA388" s="325">
        <v>0</v>
      </c>
      <c r="AB388" s="325">
        <v>0</v>
      </c>
      <c r="AC388" s="325">
        <v>0</v>
      </c>
      <c r="AD388" s="325">
        <v>0</v>
      </c>
      <c r="AE388" s="325">
        <v>0</v>
      </c>
      <c r="AF388" s="325">
        <v>0</v>
      </c>
      <c r="AG388" s="325">
        <v>0</v>
      </c>
      <c r="AH388" s="325">
        <v>0</v>
      </c>
      <c r="AI388" s="325">
        <v>0</v>
      </c>
      <c r="AJ388" s="325">
        <v>0</v>
      </c>
      <c r="AK388" s="325">
        <v>0</v>
      </c>
      <c r="AL388" s="325">
        <v>0</v>
      </c>
    </row>
    <row r="389" spans="1:38" ht="17.100000000000001" customHeight="1">
      <c r="A389" s="901" t="s">
        <v>596</v>
      </c>
      <c r="B389" s="23"/>
      <c r="C389" s="325">
        <v>0</v>
      </c>
      <c r="D389" s="325">
        <v>0</v>
      </c>
      <c r="E389" s="325">
        <v>0</v>
      </c>
      <c r="F389" s="325">
        <v>0</v>
      </c>
      <c r="G389" s="325">
        <v>0</v>
      </c>
      <c r="H389" s="325">
        <v>0</v>
      </c>
      <c r="I389" s="325">
        <v>0</v>
      </c>
      <c r="J389" s="325">
        <v>0</v>
      </c>
      <c r="K389" s="325">
        <v>0</v>
      </c>
      <c r="L389" s="325">
        <v>0</v>
      </c>
      <c r="M389" s="325">
        <v>0</v>
      </c>
      <c r="N389" s="325">
        <v>0</v>
      </c>
      <c r="O389" s="325">
        <v>0</v>
      </c>
      <c r="P389" s="325">
        <v>0</v>
      </c>
      <c r="Q389" s="325">
        <v>0</v>
      </c>
      <c r="R389" s="325">
        <v>0</v>
      </c>
      <c r="S389" s="325">
        <v>0</v>
      </c>
      <c r="T389" s="325">
        <v>0</v>
      </c>
      <c r="U389" s="325">
        <v>0</v>
      </c>
      <c r="V389" s="325">
        <v>0</v>
      </c>
      <c r="W389" s="325">
        <v>0</v>
      </c>
      <c r="X389" s="325">
        <v>0</v>
      </c>
      <c r="Y389" s="325">
        <v>0</v>
      </c>
      <c r="Z389" s="325">
        <v>0</v>
      </c>
      <c r="AA389" s="325">
        <v>0</v>
      </c>
      <c r="AB389" s="325">
        <v>0</v>
      </c>
      <c r="AC389" s="325">
        <v>0</v>
      </c>
      <c r="AD389" s="325">
        <v>0</v>
      </c>
      <c r="AE389" s="325">
        <v>0</v>
      </c>
      <c r="AF389" s="325">
        <v>0</v>
      </c>
      <c r="AG389" s="325">
        <v>0</v>
      </c>
      <c r="AH389" s="325">
        <v>0</v>
      </c>
      <c r="AI389" s="325">
        <v>0</v>
      </c>
      <c r="AJ389" s="325">
        <v>0</v>
      </c>
      <c r="AK389" s="325">
        <v>0</v>
      </c>
      <c r="AL389" s="325">
        <v>0</v>
      </c>
    </row>
    <row r="390" spans="1:38" ht="17.100000000000001" customHeight="1">
      <c r="A390" s="901" t="s">
        <v>596</v>
      </c>
      <c r="B390" s="23"/>
      <c r="C390" s="325">
        <v>0</v>
      </c>
      <c r="D390" s="325">
        <v>0</v>
      </c>
      <c r="E390" s="325">
        <v>0</v>
      </c>
      <c r="F390" s="325">
        <v>0</v>
      </c>
      <c r="G390" s="325">
        <v>0</v>
      </c>
      <c r="H390" s="325">
        <v>0</v>
      </c>
      <c r="I390" s="325">
        <v>0</v>
      </c>
      <c r="J390" s="325">
        <v>0</v>
      </c>
      <c r="K390" s="325">
        <v>0</v>
      </c>
      <c r="L390" s="325">
        <v>0</v>
      </c>
      <c r="M390" s="325">
        <v>0</v>
      </c>
      <c r="N390" s="325">
        <v>0</v>
      </c>
      <c r="O390" s="325">
        <v>0</v>
      </c>
      <c r="P390" s="325">
        <v>0</v>
      </c>
      <c r="Q390" s="325">
        <v>0</v>
      </c>
      <c r="R390" s="325">
        <v>0</v>
      </c>
      <c r="S390" s="325">
        <v>0</v>
      </c>
      <c r="T390" s="325">
        <v>0</v>
      </c>
      <c r="U390" s="325">
        <v>0</v>
      </c>
      <c r="V390" s="325">
        <v>0</v>
      </c>
      <c r="W390" s="325">
        <v>0</v>
      </c>
      <c r="X390" s="325">
        <v>0</v>
      </c>
      <c r="Y390" s="325">
        <v>0</v>
      </c>
      <c r="Z390" s="325">
        <v>0</v>
      </c>
      <c r="AA390" s="325">
        <v>0</v>
      </c>
      <c r="AB390" s="325">
        <v>0</v>
      </c>
      <c r="AC390" s="325">
        <v>0</v>
      </c>
      <c r="AD390" s="325">
        <v>0</v>
      </c>
      <c r="AE390" s="325">
        <v>0</v>
      </c>
      <c r="AF390" s="325">
        <v>0</v>
      </c>
      <c r="AG390" s="325">
        <v>0</v>
      </c>
      <c r="AH390" s="325">
        <v>0</v>
      </c>
      <c r="AI390" s="325">
        <v>0</v>
      </c>
      <c r="AJ390" s="325">
        <v>0</v>
      </c>
      <c r="AK390" s="325">
        <v>0</v>
      </c>
      <c r="AL390" s="325">
        <v>0</v>
      </c>
    </row>
    <row r="391" spans="1:38" ht="15.75" hidden="1" customHeight="1">
      <c r="A391" s="193"/>
      <c r="B391" s="193"/>
      <c r="C391" s="210">
        <f t="shared" ref="C391:N391" si="42">SUM(C368:C390)</f>
        <v>3462000</v>
      </c>
      <c r="D391" s="210">
        <f t="shared" si="42"/>
        <v>3462000</v>
      </c>
      <c r="E391" s="210">
        <f t="shared" si="42"/>
        <v>3462000</v>
      </c>
      <c r="F391" s="210">
        <f t="shared" si="42"/>
        <v>3462000</v>
      </c>
      <c r="G391" s="210">
        <f t="shared" si="42"/>
        <v>3462000</v>
      </c>
      <c r="H391" s="210">
        <f t="shared" si="42"/>
        <v>3462000</v>
      </c>
      <c r="I391" s="210">
        <f t="shared" si="42"/>
        <v>3462000</v>
      </c>
      <c r="J391" s="210">
        <f t="shared" si="42"/>
        <v>3462000</v>
      </c>
      <c r="K391" s="210">
        <f t="shared" si="42"/>
        <v>3462000</v>
      </c>
      <c r="L391" s="210">
        <f t="shared" si="42"/>
        <v>3462000</v>
      </c>
      <c r="M391" s="210">
        <f t="shared" si="42"/>
        <v>3462000</v>
      </c>
      <c r="N391" s="210">
        <f t="shared" si="42"/>
        <v>3462000</v>
      </c>
      <c r="O391" s="198"/>
      <c r="P391" s="198"/>
      <c r="Q391" s="198"/>
      <c r="R391" s="195"/>
      <c r="S391" s="195"/>
      <c r="T391" s="195"/>
      <c r="U391" s="195"/>
      <c r="AF391" s="195"/>
    </row>
    <row r="392" spans="1:38" ht="17.100000000000001" customHeight="1">
      <c r="C392" s="194"/>
      <c r="D392" s="194"/>
      <c r="E392" s="194"/>
      <c r="F392" s="194"/>
      <c r="G392" s="194"/>
      <c r="H392" s="194"/>
      <c r="I392" s="194"/>
      <c r="J392" s="194"/>
      <c r="K392" s="194"/>
      <c r="L392" s="194"/>
      <c r="M392" s="194"/>
      <c r="N392" s="194"/>
      <c r="O392" s="195"/>
      <c r="P392" s="195"/>
      <c r="Q392" s="195"/>
      <c r="R392" s="195"/>
      <c r="S392" s="195"/>
      <c r="T392" s="195"/>
      <c r="U392" s="195"/>
      <c r="AF392" s="195"/>
    </row>
    <row r="393" spans="1:38" ht="17.100000000000001" customHeight="1">
      <c r="A393" s="171" t="s">
        <v>150</v>
      </c>
      <c r="B393" s="1"/>
      <c r="C393" s="194"/>
      <c r="D393" s="194"/>
      <c r="E393" s="194"/>
      <c r="F393" s="194"/>
      <c r="G393" s="194"/>
      <c r="H393" s="194"/>
      <c r="I393" s="194"/>
      <c r="J393" s="194"/>
      <c r="K393" s="194"/>
      <c r="L393" s="194"/>
      <c r="M393" s="194"/>
      <c r="N393" s="194"/>
      <c r="O393" s="195"/>
      <c r="P393" s="195"/>
      <c r="Q393" s="195"/>
      <c r="R393" s="195"/>
      <c r="S393" s="195"/>
      <c r="T393" s="195"/>
      <c r="U393" s="195"/>
      <c r="AF393" s="195"/>
    </row>
    <row r="394" spans="1:38" ht="17.100000000000001" customHeight="1">
      <c r="B394" s="1"/>
      <c r="C394" s="194"/>
      <c r="D394" s="194"/>
      <c r="E394" s="194"/>
      <c r="F394" s="194"/>
      <c r="G394" s="194"/>
      <c r="H394" s="194"/>
      <c r="I394" s="194"/>
      <c r="J394" s="194"/>
      <c r="K394" s="194"/>
      <c r="L394" s="194"/>
      <c r="M394" s="194"/>
      <c r="N394" s="194"/>
      <c r="O394" s="195"/>
      <c r="P394" s="195"/>
      <c r="Q394" s="195"/>
      <c r="R394" s="195"/>
      <c r="S394" s="195"/>
      <c r="T394" s="195"/>
      <c r="U394" s="195"/>
      <c r="AF394" s="195"/>
    </row>
    <row r="395" spans="1:38" ht="17.100000000000001" customHeight="1">
      <c r="A395" s="24"/>
      <c r="B395" s="3"/>
      <c r="C395" s="194"/>
      <c r="D395" s="194"/>
      <c r="E395" s="194"/>
      <c r="F395" s="194"/>
      <c r="G395" s="194"/>
      <c r="H395" s="194"/>
      <c r="I395" s="194"/>
      <c r="J395" s="194"/>
      <c r="K395" s="194"/>
      <c r="L395" s="194"/>
      <c r="M395" s="194"/>
      <c r="N395" s="194"/>
      <c r="O395" s="195"/>
      <c r="P395" s="195"/>
      <c r="Q395" s="195"/>
      <c r="R395" s="195"/>
      <c r="S395" s="195"/>
      <c r="T395" s="195"/>
      <c r="U395" s="195"/>
      <c r="AF395" s="195"/>
    </row>
    <row r="396" spans="1:38" ht="17.100000000000001" customHeight="1">
      <c r="A396" s="91" t="s">
        <v>635</v>
      </c>
      <c r="B396" s="31" t="s">
        <v>713</v>
      </c>
      <c r="C396" s="194"/>
      <c r="D396" s="194"/>
      <c r="E396" s="194"/>
      <c r="F396" s="194"/>
      <c r="G396" s="194"/>
      <c r="H396" s="194"/>
      <c r="I396" s="194"/>
      <c r="J396" s="194"/>
      <c r="K396" s="194"/>
      <c r="L396" s="194"/>
      <c r="M396" s="194"/>
      <c r="N396" s="194"/>
      <c r="O396" s="195"/>
      <c r="P396" s="195"/>
      <c r="Q396" s="195"/>
      <c r="R396" s="195"/>
      <c r="S396" s="195"/>
      <c r="T396" s="195"/>
      <c r="U396" s="195"/>
      <c r="AF396" s="195"/>
    </row>
    <row r="397" spans="1:38" ht="17.100000000000001" customHeight="1">
      <c r="A397" s="92"/>
      <c r="B397" s="34" t="s">
        <v>714</v>
      </c>
      <c r="C397" s="194"/>
      <c r="D397" s="194"/>
      <c r="E397" s="194"/>
      <c r="F397" s="194"/>
      <c r="G397" s="194"/>
      <c r="H397" s="194"/>
      <c r="I397" s="194"/>
      <c r="J397" s="194"/>
      <c r="K397" s="194"/>
      <c r="L397" s="194"/>
      <c r="M397" s="194"/>
      <c r="N397" s="194"/>
      <c r="O397" s="195"/>
      <c r="P397" s="195"/>
      <c r="Q397" s="195"/>
      <c r="R397" s="195"/>
      <c r="S397" s="195"/>
      <c r="T397" s="195"/>
      <c r="U397" s="195"/>
      <c r="AF397" s="195"/>
    </row>
    <row r="398" spans="1:38" ht="17.100000000000001" customHeight="1">
      <c r="A398" s="878" t="s">
        <v>895</v>
      </c>
      <c r="B398" s="877">
        <v>500000</v>
      </c>
      <c r="C398" s="194"/>
      <c r="D398" s="194"/>
      <c r="E398" s="194"/>
      <c r="F398" s="194"/>
      <c r="G398" s="194"/>
      <c r="H398" s="194"/>
      <c r="I398" s="194"/>
      <c r="J398" s="194"/>
      <c r="K398" s="194"/>
      <c r="L398" s="194"/>
      <c r="M398" s="194"/>
      <c r="N398" s="194"/>
      <c r="O398" s="195"/>
      <c r="P398" s="195"/>
      <c r="Q398" s="195"/>
      <c r="R398" s="195"/>
      <c r="S398" s="195"/>
      <c r="T398" s="195"/>
      <c r="U398" s="195"/>
      <c r="AF398" s="195"/>
    </row>
    <row r="399" spans="1:38" ht="17.100000000000001" customHeight="1">
      <c r="A399" s="878" t="s">
        <v>596</v>
      </c>
      <c r="B399" s="877">
        <v>0</v>
      </c>
      <c r="C399" s="194"/>
      <c r="D399" s="194"/>
      <c r="E399" s="194"/>
      <c r="F399" s="194"/>
      <c r="G399" s="194"/>
      <c r="H399" s="194"/>
      <c r="I399" s="194"/>
      <c r="J399" s="194"/>
      <c r="K399" s="194"/>
      <c r="L399" s="194"/>
      <c r="M399" s="194"/>
      <c r="N399" s="194"/>
      <c r="O399" s="195"/>
      <c r="P399" s="195"/>
      <c r="Q399" s="195"/>
      <c r="R399" s="195"/>
      <c r="S399" s="195"/>
      <c r="T399" s="195"/>
      <c r="U399" s="195"/>
      <c r="AF399" s="195"/>
    </row>
    <row r="400" spans="1:38" ht="17.100000000000001" customHeight="1">
      <c r="A400" s="878" t="s">
        <v>596</v>
      </c>
      <c r="B400" s="877">
        <v>0</v>
      </c>
      <c r="C400" s="194"/>
      <c r="D400" s="194"/>
      <c r="E400" s="194"/>
      <c r="F400" s="194"/>
      <c r="G400" s="194"/>
      <c r="H400" s="194"/>
      <c r="I400" s="194"/>
      <c r="J400" s="194"/>
      <c r="K400" s="194"/>
      <c r="L400" s="194"/>
      <c r="M400" s="194"/>
      <c r="N400" s="194"/>
      <c r="O400" s="195"/>
      <c r="P400" s="195"/>
      <c r="Q400" s="195"/>
      <c r="R400" s="195"/>
      <c r="S400" s="195"/>
      <c r="T400" s="195"/>
      <c r="U400" s="195"/>
      <c r="AF400" s="195"/>
    </row>
    <row r="401" spans="1:32" ht="17.100000000000001" customHeight="1">
      <c r="A401" s="878" t="s">
        <v>596</v>
      </c>
      <c r="B401" s="877">
        <v>0</v>
      </c>
      <c r="C401" s="194"/>
      <c r="D401" s="194"/>
      <c r="E401" s="194"/>
      <c r="F401" s="194"/>
      <c r="G401" s="194"/>
      <c r="H401" s="194"/>
      <c r="I401" s="194"/>
      <c r="J401" s="194"/>
      <c r="K401" s="194"/>
      <c r="L401" s="194"/>
      <c r="M401" s="194"/>
      <c r="N401" s="194"/>
      <c r="O401" s="195"/>
      <c r="P401" s="195"/>
      <c r="Q401" s="195"/>
      <c r="R401" s="195"/>
      <c r="S401" s="195"/>
      <c r="T401" s="195"/>
      <c r="U401" s="195"/>
      <c r="AF401" s="195"/>
    </row>
    <row r="402" spans="1:32" ht="17.100000000000001" customHeight="1">
      <c r="A402" s="878" t="s">
        <v>596</v>
      </c>
      <c r="B402" s="877">
        <v>0</v>
      </c>
      <c r="C402" s="194"/>
      <c r="D402" s="194"/>
      <c r="E402" s="194"/>
      <c r="F402" s="194"/>
      <c r="G402" s="194"/>
      <c r="H402" s="194"/>
      <c r="I402" s="194"/>
      <c r="J402" s="194"/>
      <c r="K402" s="194"/>
      <c r="L402" s="194"/>
      <c r="M402" s="194"/>
      <c r="N402" s="194"/>
      <c r="O402" s="195"/>
      <c r="P402" s="195"/>
      <c r="Q402" s="195"/>
      <c r="R402" s="195"/>
      <c r="S402" s="195"/>
      <c r="T402" s="195"/>
      <c r="U402" s="195"/>
    </row>
    <row r="403" spans="1:32" ht="17.100000000000001" customHeight="1">
      <c r="A403" s="878" t="s">
        <v>596</v>
      </c>
      <c r="B403" s="877">
        <v>0</v>
      </c>
      <c r="C403" s="194"/>
      <c r="D403" s="194"/>
      <c r="E403" s="194"/>
      <c r="F403" s="194"/>
      <c r="G403" s="194"/>
      <c r="H403" s="194"/>
      <c r="I403" s="194"/>
      <c r="J403" s="194"/>
      <c r="K403" s="194"/>
      <c r="L403" s="194"/>
      <c r="M403" s="194"/>
      <c r="N403" s="194"/>
      <c r="O403" s="195"/>
      <c r="P403" s="195"/>
      <c r="Q403" s="195"/>
      <c r="R403" s="195"/>
      <c r="S403" s="195"/>
      <c r="T403" s="195"/>
      <c r="U403" s="195"/>
    </row>
    <row r="404" spans="1:32" ht="17.100000000000001" customHeight="1">
      <c r="A404" s="878" t="s">
        <v>596</v>
      </c>
      <c r="B404" s="877">
        <v>0</v>
      </c>
      <c r="C404" s="194"/>
      <c r="D404" s="194"/>
      <c r="E404" s="194"/>
      <c r="F404" s="194"/>
      <c r="G404" s="194"/>
      <c r="H404" s="194"/>
      <c r="I404" s="194"/>
      <c r="J404" s="194"/>
      <c r="K404" s="194"/>
      <c r="L404" s="194"/>
      <c r="M404" s="194"/>
      <c r="N404" s="194"/>
      <c r="O404" s="195"/>
      <c r="P404" s="195"/>
      <c r="Q404" s="195"/>
      <c r="R404" s="195"/>
      <c r="S404" s="195"/>
      <c r="T404" s="195"/>
      <c r="U404" s="195"/>
    </row>
    <row r="405" spans="1:32" ht="17.100000000000001" customHeight="1">
      <c r="A405" s="878" t="s">
        <v>596</v>
      </c>
      <c r="B405" s="877">
        <v>0</v>
      </c>
      <c r="C405" s="194"/>
      <c r="D405" s="194"/>
      <c r="E405" s="210"/>
      <c r="F405" s="194"/>
      <c r="G405" s="194"/>
      <c r="H405" s="194"/>
      <c r="I405" s="194"/>
      <c r="J405" s="194"/>
      <c r="K405" s="194"/>
      <c r="L405" s="194"/>
      <c r="M405" s="194"/>
      <c r="N405" s="194"/>
      <c r="O405" s="195"/>
      <c r="P405" s="195"/>
      <c r="Q405" s="195"/>
      <c r="R405" s="195"/>
      <c r="S405" s="195"/>
      <c r="T405" s="195"/>
      <c r="U405" s="195"/>
    </row>
    <row r="406" spans="1:32" ht="17.100000000000001" customHeight="1">
      <c r="A406" s="878" t="s">
        <v>596</v>
      </c>
      <c r="B406" s="877">
        <v>0</v>
      </c>
      <c r="C406" s="325">
        <v>0</v>
      </c>
      <c r="D406" s="194"/>
      <c r="E406" s="194"/>
      <c r="F406" s="194"/>
      <c r="G406" s="194"/>
      <c r="H406" s="194"/>
      <c r="I406" s="194"/>
      <c r="J406" s="194"/>
      <c r="K406" s="194"/>
      <c r="L406" s="194"/>
      <c r="M406" s="194"/>
      <c r="N406" s="194"/>
      <c r="O406" s="195"/>
      <c r="P406" s="195"/>
      <c r="Q406" s="195"/>
      <c r="R406" s="195"/>
      <c r="S406" s="195"/>
      <c r="T406" s="195"/>
      <c r="U406" s="195"/>
    </row>
    <row r="407" spans="1:32" ht="17.100000000000001" customHeight="1">
      <c r="A407" s="281" t="s">
        <v>776</v>
      </c>
      <c r="B407" s="186"/>
      <c r="C407" s="1"/>
      <c r="D407" s="290"/>
      <c r="E407" s="290"/>
      <c r="F407" s="290" t="s">
        <v>871</v>
      </c>
      <c r="G407" s="904">
        <v>0</v>
      </c>
      <c r="H407" s="194">
        <f>+G407*100</f>
        <v>0</v>
      </c>
      <c r="I407" s="194"/>
      <c r="J407" s="194"/>
      <c r="K407" s="194"/>
      <c r="L407" s="194"/>
      <c r="M407" s="194"/>
      <c r="N407" s="194"/>
      <c r="O407" s="195"/>
      <c r="P407" s="195"/>
      <c r="Q407" s="195"/>
      <c r="R407" s="195"/>
      <c r="S407" s="195"/>
      <c r="T407" s="195"/>
      <c r="U407" s="195"/>
    </row>
    <row r="408" spans="1:32" ht="17.100000000000001" customHeight="1">
      <c r="A408" s="498">
        <v>4</v>
      </c>
      <c r="B408" s="188" t="s">
        <v>715</v>
      </c>
      <c r="C408" s="339">
        <v>0.25</v>
      </c>
      <c r="D408" s="291"/>
      <c r="E408" s="290"/>
      <c r="F408" s="290" t="s">
        <v>872</v>
      </c>
      <c r="G408" s="904">
        <v>0.25</v>
      </c>
      <c r="H408" s="194">
        <f>+G408*100</f>
        <v>25</v>
      </c>
      <c r="I408" s="194"/>
      <c r="J408" s="194"/>
      <c r="K408" s="194"/>
      <c r="L408" s="194"/>
      <c r="M408" s="194"/>
      <c r="N408" s="194"/>
      <c r="O408" s="195"/>
      <c r="P408" s="195"/>
      <c r="Q408" s="195"/>
      <c r="R408" s="195"/>
      <c r="S408" s="195"/>
      <c r="T408" s="195"/>
      <c r="U408" s="195"/>
    </row>
    <row r="409" spans="1:32" ht="17.100000000000001" customHeight="1">
      <c r="A409" s="93" t="s">
        <v>716</v>
      </c>
      <c r="B409" s="94"/>
      <c r="C409" s="879">
        <v>0.03</v>
      </c>
      <c r="E409" s="879">
        <v>0</v>
      </c>
      <c r="F409" s="903" t="s">
        <v>903</v>
      </c>
      <c r="G409" s="904">
        <v>0</v>
      </c>
      <c r="H409" s="194">
        <f>+G409*100</f>
        <v>0</v>
      </c>
      <c r="I409" s="194"/>
      <c r="J409" s="194"/>
      <c r="K409" s="194"/>
      <c r="L409" s="194"/>
      <c r="M409" s="194"/>
      <c r="N409" s="194"/>
      <c r="O409" s="195"/>
      <c r="P409" s="195"/>
      <c r="Q409" s="195"/>
      <c r="R409" s="195"/>
      <c r="S409" s="195"/>
      <c r="T409" s="195"/>
      <c r="U409" s="195"/>
    </row>
    <row r="410" spans="1:32" ht="17.100000000000001" customHeight="1">
      <c r="A410" s="93" t="s">
        <v>717</v>
      </c>
      <c r="B410" s="94"/>
      <c r="C410" s="879">
        <v>0.03</v>
      </c>
      <c r="E410" s="879">
        <v>0</v>
      </c>
      <c r="F410" s="1"/>
      <c r="G410" s="905">
        <v>1.1039999999999999E-2</v>
      </c>
      <c r="H410" s="283">
        <f>+G410*1000</f>
        <v>11.04</v>
      </c>
      <c r="I410" s="194"/>
      <c r="J410" s="194"/>
      <c r="K410" s="194"/>
      <c r="L410" s="194"/>
      <c r="M410" s="194"/>
      <c r="N410" s="194"/>
      <c r="O410" s="195"/>
      <c r="P410" s="195"/>
      <c r="Q410" s="195"/>
      <c r="R410" s="195"/>
      <c r="S410" s="195"/>
      <c r="T410" s="195"/>
      <c r="U410" s="195"/>
    </row>
    <row r="411" spans="1:32" ht="15" customHeight="1">
      <c r="A411" s="93" t="s">
        <v>718</v>
      </c>
      <c r="B411" s="94"/>
      <c r="C411" s="879">
        <v>0.03</v>
      </c>
      <c r="D411" s="1"/>
      <c r="E411" s="1"/>
      <c r="F411" s="1"/>
      <c r="G411" s="904">
        <v>2E-3</v>
      </c>
      <c r="H411" s="283">
        <f>+G411*100</f>
        <v>0.2</v>
      </c>
      <c r="I411" s="194"/>
      <c r="J411" s="194"/>
      <c r="K411" s="194"/>
      <c r="L411" s="194"/>
      <c r="M411" s="194"/>
      <c r="N411" s="194"/>
      <c r="O411" s="195"/>
      <c r="P411" s="195"/>
      <c r="Q411" s="195"/>
      <c r="R411" s="195"/>
      <c r="S411" s="195"/>
      <c r="T411" s="195"/>
      <c r="U411" s="195"/>
    </row>
    <row r="412" spans="1:32" s="962" customFormat="1" ht="15" hidden="1" customHeight="1">
      <c r="A412" s="958" t="s">
        <v>685</v>
      </c>
      <c r="B412" s="959" t="s">
        <v>684</v>
      </c>
      <c r="C412" s="959" t="s">
        <v>711</v>
      </c>
      <c r="D412" s="960" t="s">
        <v>719</v>
      </c>
      <c r="E412" s="961">
        <v>1</v>
      </c>
      <c r="F412" s="201"/>
      <c r="G412" s="201"/>
      <c r="H412" s="201"/>
      <c r="I412" s="201"/>
      <c r="J412" s="201"/>
      <c r="K412" s="201"/>
      <c r="L412" s="201"/>
      <c r="M412" s="201"/>
      <c r="N412" s="201"/>
    </row>
    <row r="413" spans="1:32" s="962" customFormat="1" ht="15" hidden="1" customHeight="1">
      <c r="A413" s="958" t="s">
        <v>684</v>
      </c>
      <c r="B413" s="963" t="s">
        <v>720</v>
      </c>
      <c r="C413" s="964" t="s">
        <v>712</v>
      </c>
      <c r="D413" s="960" t="s">
        <v>721</v>
      </c>
      <c r="E413" s="960">
        <f>SUM(E414:E418)</f>
        <v>5</v>
      </c>
      <c r="F413" s="201"/>
      <c r="G413" s="201"/>
      <c r="H413" s="201"/>
      <c r="I413" s="201"/>
      <c r="J413" s="201"/>
      <c r="K413" s="201"/>
      <c r="L413" s="201"/>
      <c r="M413" s="201"/>
      <c r="N413" s="201"/>
    </row>
    <row r="414" spans="1:32" s="962" customFormat="1" ht="15" hidden="1" customHeight="1">
      <c r="A414" s="958" t="s">
        <v>722</v>
      </c>
      <c r="B414" s="959" t="s">
        <v>700</v>
      </c>
      <c r="C414" s="964" t="s">
        <v>723</v>
      </c>
      <c r="D414" s="960" t="s">
        <v>724</v>
      </c>
      <c r="E414" s="961">
        <v>1</v>
      </c>
      <c r="F414" s="201"/>
      <c r="G414" s="201"/>
      <c r="H414" s="201"/>
      <c r="I414" s="201"/>
      <c r="J414" s="201"/>
      <c r="K414" s="201"/>
      <c r="L414" s="201"/>
      <c r="M414" s="201"/>
      <c r="N414" s="201"/>
    </row>
    <row r="415" spans="1:32" s="962" customFormat="1" ht="15" hidden="1" customHeight="1">
      <c r="A415" s="958" t="s">
        <v>687</v>
      </c>
      <c r="B415" s="959" t="s">
        <v>725</v>
      </c>
      <c r="C415" s="963"/>
      <c r="D415" s="960" t="s">
        <v>726</v>
      </c>
      <c r="E415" s="961">
        <v>1</v>
      </c>
      <c r="F415" s="201"/>
      <c r="G415" s="201"/>
      <c r="H415" s="201"/>
      <c r="I415" s="201"/>
      <c r="J415" s="201"/>
      <c r="K415" s="201"/>
      <c r="L415" s="201"/>
      <c r="M415" s="201"/>
      <c r="N415" s="201"/>
    </row>
    <row r="416" spans="1:32" s="962" customFormat="1" ht="15" hidden="1" customHeight="1">
      <c r="A416" s="958" t="s">
        <v>686</v>
      </c>
      <c r="B416" s="959" t="s">
        <v>701</v>
      </c>
      <c r="C416" s="963"/>
      <c r="D416" s="960" t="s">
        <v>727</v>
      </c>
      <c r="E416" s="961">
        <v>1</v>
      </c>
      <c r="F416" s="201"/>
      <c r="G416" s="201"/>
      <c r="H416" s="201"/>
      <c r="I416" s="201"/>
      <c r="J416" s="201"/>
      <c r="K416" s="201"/>
      <c r="L416" s="201"/>
      <c r="M416" s="201"/>
      <c r="N416" s="201"/>
    </row>
    <row r="417" spans="1:14" s="962" customFormat="1" ht="15" hidden="1" customHeight="1">
      <c r="A417" s="958" t="s">
        <v>728</v>
      </c>
      <c r="B417" s="959" t="s">
        <v>702</v>
      </c>
      <c r="C417" s="963"/>
      <c r="D417" s="960" t="s">
        <v>729</v>
      </c>
      <c r="E417" s="961">
        <v>1</v>
      </c>
      <c r="F417" s="201"/>
      <c r="G417" s="201"/>
      <c r="H417" s="201"/>
      <c r="I417" s="201"/>
      <c r="J417" s="201"/>
      <c r="K417" s="201"/>
      <c r="L417" s="201"/>
      <c r="M417" s="201"/>
      <c r="N417" s="201"/>
    </row>
    <row r="418" spans="1:14" s="962" customFormat="1" ht="15" hidden="1" customHeight="1">
      <c r="A418" s="958" t="s">
        <v>730</v>
      </c>
      <c r="B418" s="959" t="s">
        <v>731</v>
      </c>
      <c r="C418" s="963"/>
      <c r="D418" s="960" t="s">
        <v>732</v>
      </c>
      <c r="E418" s="961">
        <v>1</v>
      </c>
      <c r="F418" s="201"/>
      <c r="G418" s="201"/>
      <c r="H418" s="201"/>
      <c r="I418" s="201"/>
      <c r="J418" s="201"/>
      <c r="K418" s="201"/>
      <c r="L418" s="201"/>
      <c r="M418" s="201"/>
      <c r="N418" s="201"/>
    </row>
    <row r="419" spans="1:14" s="962" customFormat="1" ht="15" hidden="1" customHeight="1">
      <c r="A419" s="958" t="s">
        <v>665</v>
      </c>
      <c r="B419" s="959" t="s">
        <v>733</v>
      </c>
      <c r="C419" s="963"/>
      <c r="D419" s="960" t="s">
        <v>734</v>
      </c>
      <c r="E419" s="960">
        <f>SUM(E420:E424)</f>
        <v>5</v>
      </c>
      <c r="F419" s="201"/>
      <c r="G419" s="201"/>
      <c r="H419" s="201"/>
    </row>
    <row r="420" spans="1:14" s="962" customFormat="1" ht="15" hidden="1" customHeight="1">
      <c r="A420" s="958" t="s">
        <v>735</v>
      </c>
      <c r="B420" s="959" t="s">
        <v>703</v>
      </c>
      <c r="C420" s="963"/>
      <c r="D420" s="965" t="s">
        <v>736</v>
      </c>
      <c r="E420" s="965">
        <v>1</v>
      </c>
    </row>
    <row r="421" spans="1:14" s="962" customFormat="1" ht="15" hidden="1" customHeight="1">
      <c r="A421" s="958" t="s">
        <v>688</v>
      </c>
      <c r="B421" s="959" t="s">
        <v>737</v>
      </c>
      <c r="C421" s="963"/>
      <c r="D421" s="965" t="s">
        <v>738</v>
      </c>
      <c r="E421" s="965">
        <v>1</v>
      </c>
    </row>
    <row r="422" spans="1:14" s="962" customFormat="1" ht="15" hidden="1" customHeight="1">
      <c r="A422" s="958" t="s">
        <v>739</v>
      </c>
      <c r="B422" s="959" t="s">
        <v>740</v>
      </c>
      <c r="C422" s="963"/>
      <c r="D422" s="965" t="s">
        <v>741</v>
      </c>
      <c r="E422" s="965">
        <v>1</v>
      </c>
    </row>
    <row r="423" spans="1:14" s="962" customFormat="1" ht="15" hidden="1" customHeight="1">
      <c r="A423" s="958"/>
      <c r="B423" s="959" t="s">
        <v>704</v>
      </c>
      <c r="C423" s="963"/>
      <c r="D423" s="965" t="s">
        <v>742</v>
      </c>
      <c r="E423" s="965">
        <v>1</v>
      </c>
    </row>
    <row r="424" spans="1:14" s="962" customFormat="1" ht="15" hidden="1" customHeight="1">
      <c r="A424" s="958"/>
      <c r="B424" s="966" t="s">
        <v>743</v>
      </c>
      <c r="C424" s="963"/>
      <c r="D424" s="965" t="s">
        <v>744</v>
      </c>
      <c r="E424" s="965">
        <v>1</v>
      </c>
    </row>
    <row r="425" spans="1:14" s="962" customFormat="1" ht="15" hidden="1" customHeight="1">
      <c r="A425" s="958"/>
      <c r="B425" s="966" t="s">
        <v>745</v>
      </c>
      <c r="C425" s="963"/>
      <c r="D425" s="967" t="s">
        <v>836</v>
      </c>
      <c r="E425" s="965">
        <v>1</v>
      </c>
    </row>
    <row r="426" spans="1:14" s="962" customFormat="1" ht="15" hidden="1" customHeight="1">
      <c r="A426" s="958"/>
      <c r="B426" s="966" t="s">
        <v>746</v>
      </c>
      <c r="C426" s="963"/>
      <c r="D426" s="967" t="s">
        <v>747</v>
      </c>
      <c r="E426" s="968">
        <f>SUM(E427:E428)</f>
        <v>2</v>
      </c>
    </row>
    <row r="427" spans="1:14" s="962" customFormat="1" ht="15" hidden="1" customHeight="1">
      <c r="A427" s="958"/>
      <c r="B427" s="959" t="s">
        <v>705</v>
      </c>
      <c r="C427" s="964"/>
      <c r="D427" s="967" t="s">
        <v>748</v>
      </c>
      <c r="E427" s="968">
        <v>1</v>
      </c>
    </row>
    <row r="428" spans="1:14" s="962" customFormat="1" ht="15" hidden="1" customHeight="1">
      <c r="A428" s="958"/>
      <c r="B428" s="959" t="s">
        <v>749</v>
      </c>
      <c r="C428" s="964"/>
      <c r="D428" s="967" t="s">
        <v>750</v>
      </c>
      <c r="E428" s="968">
        <v>1</v>
      </c>
    </row>
    <row r="429" spans="1:14" s="962" customFormat="1" ht="15" hidden="1" customHeight="1">
      <c r="A429" s="958"/>
      <c r="B429" s="959" t="s">
        <v>706</v>
      </c>
      <c r="C429" s="964"/>
      <c r="D429" s="967" t="s">
        <v>751</v>
      </c>
      <c r="E429" s="968">
        <f>SUM(E430:E433)</f>
        <v>4</v>
      </c>
    </row>
    <row r="430" spans="1:14" s="962" customFormat="1" ht="15" hidden="1" customHeight="1">
      <c r="A430" s="958"/>
      <c r="B430" s="959" t="s">
        <v>707</v>
      </c>
      <c r="C430" s="964"/>
      <c r="D430" s="965" t="s">
        <v>752</v>
      </c>
      <c r="E430" s="968">
        <v>1</v>
      </c>
    </row>
    <row r="431" spans="1:14" s="962" customFormat="1" ht="15" hidden="1" customHeight="1">
      <c r="A431" s="958"/>
      <c r="B431" s="959" t="s">
        <v>708</v>
      </c>
      <c r="C431" s="963"/>
      <c r="D431" s="965" t="s">
        <v>753</v>
      </c>
      <c r="E431" s="968">
        <v>1</v>
      </c>
    </row>
    <row r="432" spans="1:14" s="962" customFormat="1" ht="15" hidden="1" customHeight="1">
      <c r="A432" s="958"/>
      <c r="B432" s="959" t="s">
        <v>754</v>
      </c>
      <c r="C432" s="963"/>
      <c r="D432" s="965" t="s">
        <v>755</v>
      </c>
      <c r="E432" s="968">
        <v>1</v>
      </c>
    </row>
    <row r="433" spans="1:43" s="962" customFormat="1" ht="15" hidden="1" customHeight="1">
      <c r="A433" s="958"/>
      <c r="B433" s="959" t="s">
        <v>756</v>
      </c>
      <c r="C433" s="963"/>
      <c r="D433" s="960" t="s">
        <v>757</v>
      </c>
      <c r="E433" s="968">
        <v>1</v>
      </c>
      <c r="F433" s="201"/>
      <c r="G433" s="201"/>
      <c r="H433" s="201"/>
    </row>
    <row r="434" spans="1:43" s="962" customFormat="1" ht="15" hidden="1" customHeight="1">
      <c r="A434" s="958"/>
      <c r="B434" s="959" t="s">
        <v>709</v>
      </c>
      <c r="C434" s="963"/>
      <c r="D434" s="201"/>
      <c r="E434" s="201"/>
      <c r="F434" s="201"/>
      <c r="G434" s="201"/>
      <c r="H434" s="201"/>
    </row>
    <row r="435" spans="1:43" s="969" customFormat="1" ht="15" hidden="1" customHeight="1">
      <c r="A435" s="958"/>
      <c r="B435" s="959" t="s">
        <v>758</v>
      </c>
      <c r="C435" s="963"/>
      <c r="D435" s="201"/>
      <c r="E435" s="201"/>
      <c r="F435" s="201"/>
      <c r="G435" s="201"/>
      <c r="H435" s="201"/>
      <c r="I435" s="962"/>
      <c r="J435" s="962"/>
      <c r="K435" s="962"/>
      <c r="L435" s="962"/>
      <c r="M435" s="962"/>
      <c r="N435" s="962"/>
      <c r="O435" s="962"/>
      <c r="P435" s="962"/>
      <c r="Q435" s="962"/>
      <c r="R435" s="962"/>
      <c r="S435" s="962"/>
      <c r="T435" s="962"/>
      <c r="U435" s="962"/>
      <c r="V435" s="962"/>
      <c r="W435" s="962"/>
      <c r="X435" s="962"/>
      <c r="Y435" s="962"/>
      <c r="Z435" s="962"/>
      <c r="AA435" s="962"/>
      <c r="AB435" s="962"/>
      <c r="AC435" s="962"/>
      <c r="AD435" s="962"/>
      <c r="AE435" s="962"/>
      <c r="AF435" s="962"/>
      <c r="AG435" s="962"/>
      <c r="AH435" s="962"/>
      <c r="AI435" s="962"/>
      <c r="AJ435" s="962"/>
      <c r="AK435" s="962"/>
      <c r="AL435" s="962"/>
      <c r="AM435" s="962"/>
    </row>
    <row r="436" spans="1:43" s="969" customFormat="1" ht="15" hidden="1" customHeight="1">
      <c r="A436" s="958"/>
      <c r="B436" s="959" t="s">
        <v>759</v>
      </c>
      <c r="C436" s="963"/>
      <c r="D436" s="201"/>
      <c r="E436" s="201"/>
      <c r="F436" s="201"/>
      <c r="G436" s="201"/>
      <c r="H436" s="201"/>
      <c r="I436" s="962"/>
      <c r="J436" s="962"/>
      <c r="K436" s="962"/>
      <c r="L436" s="962"/>
      <c r="M436" s="962"/>
      <c r="N436" s="962"/>
      <c r="O436" s="962"/>
      <c r="P436" s="962"/>
      <c r="Q436" s="962"/>
      <c r="R436" s="962"/>
      <c r="S436" s="962"/>
      <c r="T436" s="962"/>
      <c r="U436" s="962"/>
      <c r="V436" s="962"/>
      <c r="W436" s="962"/>
      <c r="X436" s="962"/>
      <c r="Y436" s="962"/>
      <c r="Z436" s="962"/>
      <c r="AA436" s="962"/>
      <c r="AB436" s="962"/>
      <c r="AC436" s="962"/>
      <c r="AD436" s="962"/>
      <c r="AE436" s="962"/>
      <c r="AF436" s="962"/>
      <c r="AG436" s="962"/>
      <c r="AH436" s="962"/>
      <c r="AI436" s="962"/>
      <c r="AJ436" s="962"/>
      <c r="AK436" s="962"/>
      <c r="AL436" s="962"/>
      <c r="AM436" s="962"/>
    </row>
    <row r="437" spans="1:43" s="969" customFormat="1" ht="15" hidden="1" customHeight="1">
      <c r="A437" s="958"/>
      <c r="B437" s="959" t="s">
        <v>710</v>
      </c>
      <c r="C437" s="963"/>
      <c r="D437" s="962"/>
      <c r="E437" s="962"/>
      <c r="F437" s="962"/>
      <c r="G437" s="962"/>
      <c r="H437" s="962"/>
      <c r="I437" s="962"/>
      <c r="J437" s="962"/>
      <c r="K437" s="962"/>
      <c r="L437" s="962"/>
      <c r="M437" s="962"/>
      <c r="N437" s="962"/>
      <c r="O437" s="962"/>
      <c r="P437" s="962"/>
      <c r="Q437" s="962"/>
      <c r="R437" s="962"/>
      <c r="S437" s="962"/>
      <c r="T437" s="962"/>
      <c r="U437" s="962"/>
      <c r="V437" s="962"/>
      <c r="W437" s="962"/>
      <c r="X437" s="962"/>
      <c r="Y437" s="962"/>
      <c r="Z437" s="962"/>
      <c r="AA437" s="962"/>
      <c r="AB437" s="962"/>
      <c r="AC437" s="962"/>
      <c r="AD437" s="962"/>
      <c r="AE437" s="962"/>
      <c r="AF437" s="962"/>
      <c r="AG437" s="962"/>
      <c r="AH437" s="962"/>
      <c r="AI437" s="962"/>
      <c r="AJ437" s="962"/>
      <c r="AK437" s="962"/>
      <c r="AL437" s="962"/>
      <c r="AM437" s="962"/>
    </row>
    <row r="438" spans="1:43" s="969" customFormat="1" ht="15" customHeight="1">
      <c r="A438" s="970"/>
      <c r="B438" s="970">
        <v>1</v>
      </c>
      <c r="C438" s="962">
        <v>2</v>
      </c>
      <c r="D438" s="970">
        <v>3</v>
      </c>
      <c r="E438" s="962">
        <v>4</v>
      </c>
      <c r="F438" s="970">
        <v>5</v>
      </c>
      <c r="G438" s="962">
        <v>6</v>
      </c>
      <c r="H438" s="970">
        <v>7</v>
      </c>
      <c r="I438" s="962">
        <v>8</v>
      </c>
      <c r="J438" s="970">
        <v>9</v>
      </c>
      <c r="K438" s="962">
        <v>10</v>
      </c>
      <c r="L438" s="970">
        <v>11</v>
      </c>
      <c r="M438" s="962">
        <v>12</v>
      </c>
      <c r="N438" s="970">
        <v>13</v>
      </c>
      <c r="O438" s="962">
        <v>14</v>
      </c>
      <c r="P438" s="970">
        <v>15</v>
      </c>
      <c r="Q438" s="962">
        <v>16</v>
      </c>
      <c r="R438" s="970">
        <v>17</v>
      </c>
      <c r="S438" s="962">
        <v>18</v>
      </c>
      <c r="T438" s="970">
        <v>19</v>
      </c>
      <c r="U438" s="962">
        <v>20</v>
      </c>
      <c r="V438" s="970">
        <v>21</v>
      </c>
      <c r="W438" s="962">
        <v>22</v>
      </c>
      <c r="X438" s="970">
        <v>23</v>
      </c>
      <c r="Y438" s="962">
        <v>24</v>
      </c>
      <c r="Z438" s="970">
        <v>25</v>
      </c>
      <c r="AA438" s="962">
        <v>26</v>
      </c>
      <c r="AB438" s="970">
        <v>27</v>
      </c>
      <c r="AC438" s="962">
        <v>28</v>
      </c>
      <c r="AD438" s="970">
        <v>29</v>
      </c>
      <c r="AE438" s="962">
        <v>30</v>
      </c>
      <c r="AF438" s="970">
        <v>31</v>
      </c>
      <c r="AG438" s="962">
        <v>32</v>
      </c>
      <c r="AH438" s="970">
        <v>33</v>
      </c>
      <c r="AI438" s="962">
        <v>34</v>
      </c>
      <c r="AJ438" s="970">
        <v>35</v>
      </c>
      <c r="AK438" s="962">
        <v>36</v>
      </c>
      <c r="AL438" s="962"/>
      <c r="AM438" s="962"/>
    </row>
    <row r="439" spans="1:43" s="969" customFormat="1" ht="15" customHeight="1">
      <c r="A439" s="946" t="str">
        <f>+A353</f>
        <v>VENDEDOR</v>
      </c>
      <c r="B439" s="325">
        <v>700000</v>
      </c>
      <c r="C439" s="983">
        <v>700000</v>
      </c>
      <c r="D439" s="325">
        <v>700000</v>
      </c>
      <c r="E439" s="983">
        <v>700000</v>
      </c>
      <c r="F439" s="325">
        <v>700000</v>
      </c>
      <c r="G439" s="983">
        <v>700000</v>
      </c>
      <c r="H439" s="325">
        <v>700000</v>
      </c>
      <c r="I439" s="983">
        <v>700000</v>
      </c>
      <c r="J439" s="325">
        <v>700000</v>
      </c>
      <c r="K439" s="983">
        <v>700000</v>
      </c>
      <c r="L439" s="325">
        <v>700000</v>
      </c>
      <c r="M439" s="983">
        <v>700000</v>
      </c>
      <c r="N439" s="325">
        <v>750000</v>
      </c>
      <c r="O439" s="983">
        <v>750000</v>
      </c>
      <c r="P439" s="325">
        <v>750000</v>
      </c>
      <c r="Q439" s="983">
        <v>750000</v>
      </c>
      <c r="R439" s="325">
        <v>750000</v>
      </c>
      <c r="S439" s="983">
        <v>750000</v>
      </c>
      <c r="T439" s="325">
        <v>750000</v>
      </c>
      <c r="U439" s="983">
        <v>750000</v>
      </c>
      <c r="V439" s="325">
        <v>750000</v>
      </c>
      <c r="W439" s="983">
        <v>750000</v>
      </c>
      <c r="X439" s="325">
        <v>750000</v>
      </c>
      <c r="Y439" s="983">
        <v>750000</v>
      </c>
      <c r="Z439" s="325">
        <v>800000</v>
      </c>
      <c r="AA439" s="983">
        <v>800000</v>
      </c>
      <c r="AB439" s="325">
        <v>800000</v>
      </c>
      <c r="AC439" s="983">
        <v>800000</v>
      </c>
      <c r="AD439" s="325">
        <v>800000</v>
      </c>
      <c r="AE439" s="983">
        <v>800000</v>
      </c>
      <c r="AF439" s="325">
        <v>800000</v>
      </c>
      <c r="AG439" s="983">
        <v>800000</v>
      </c>
      <c r="AH439" s="325">
        <v>800000</v>
      </c>
      <c r="AI439" s="983">
        <v>800000</v>
      </c>
      <c r="AJ439" s="325">
        <v>800000</v>
      </c>
      <c r="AK439" s="983">
        <v>800000</v>
      </c>
      <c r="AL439" s="947"/>
      <c r="AM439" s="947"/>
      <c r="AN439" s="947"/>
      <c r="AO439" s="947"/>
      <c r="AP439" s="947"/>
      <c r="AQ439" s="952"/>
    </row>
    <row r="440" spans="1:43" s="969" customFormat="1" ht="17.100000000000001" customHeight="1">
      <c r="A440" s="946" t="str">
        <f t="shared" ref="A440:A446" si="43">+A354</f>
        <v>ASISTENTE DE PRODUCCION</v>
      </c>
      <c r="B440" s="325">
        <v>0</v>
      </c>
      <c r="C440" s="983">
        <v>0</v>
      </c>
      <c r="D440" s="325">
        <v>0</v>
      </c>
      <c r="E440" s="983">
        <v>0</v>
      </c>
      <c r="F440" s="325">
        <v>0</v>
      </c>
      <c r="G440" s="983">
        <v>0</v>
      </c>
      <c r="H440" s="325">
        <v>0</v>
      </c>
      <c r="I440" s="983">
        <v>0</v>
      </c>
      <c r="J440" s="325">
        <v>0</v>
      </c>
      <c r="K440" s="983">
        <v>0</v>
      </c>
      <c r="L440" s="325">
        <v>0</v>
      </c>
      <c r="M440" s="983">
        <v>0</v>
      </c>
      <c r="N440" s="325">
        <v>750000</v>
      </c>
      <c r="O440" s="983">
        <v>750000</v>
      </c>
      <c r="P440" s="325">
        <v>750000</v>
      </c>
      <c r="Q440" s="983">
        <v>750000</v>
      </c>
      <c r="R440" s="325">
        <v>750000</v>
      </c>
      <c r="S440" s="983">
        <v>750000</v>
      </c>
      <c r="T440" s="325">
        <v>750000</v>
      </c>
      <c r="U440" s="983">
        <v>750000</v>
      </c>
      <c r="V440" s="325">
        <v>750000</v>
      </c>
      <c r="W440" s="983">
        <v>750000</v>
      </c>
      <c r="X440" s="325">
        <v>750000</v>
      </c>
      <c r="Y440" s="983">
        <v>750000</v>
      </c>
      <c r="Z440" s="325">
        <v>800000</v>
      </c>
      <c r="AA440" s="983">
        <v>800000</v>
      </c>
      <c r="AB440" s="325">
        <v>800000</v>
      </c>
      <c r="AC440" s="983">
        <v>800000</v>
      </c>
      <c r="AD440" s="325">
        <v>800000</v>
      </c>
      <c r="AE440" s="983">
        <v>800000</v>
      </c>
      <c r="AF440" s="325">
        <v>800000</v>
      </c>
      <c r="AG440" s="983">
        <v>800000</v>
      </c>
      <c r="AH440" s="325">
        <v>800000</v>
      </c>
      <c r="AI440" s="983">
        <v>800000</v>
      </c>
      <c r="AJ440" s="325">
        <v>800000</v>
      </c>
      <c r="AK440" s="983">
        <v>800000</v>
      </c>
      <c r="AL440" s="947"/>
      <c r="AM440" s="947"/>
      <c r="AN440" s="947"/>
      <c r="AO440" s="947"/>
      <c r="AP440" s="947"/>
      <c r="AQ440" s="952"/>
    </row>
    <row r="441" spans="1:43" s="969" customFormat="1" ht="17.100000000000001" customHeight="1">
      <c r="A441" s="946" t="str">
        <f t="shared" si="43"/>
        <v>DISEÑADOR</v>
      </c>
      <c r="B441" s="325">
        <v>700000</v>
      </c>
      <c r="C441" s="983">
        <v>700000</v>
      </c>
      <c r="D441" s="325">
        <v>700000</v>
      </c>
      <c r="E441" s="983">
        <v>700000</v>
      </c>
      <c r="F441" s="325">
        <v>700000</v>
      </c>
      <c r="G441" s="983">
        <v>700000</v>
      </c>
      <c r="H441" s="325">
        <v>700000</v>
      </c>
      <c r="I441" s="983">
        <v>700000</v>
      </c>
      <c r="J441" s="325">
        <v>700000</v>
      </c>
      <c r="K441" s="983">
        <v>700000</v>
      </c>
      <c r="L441" s="325">
        <v>700000</v>
      </c>
      <c r="M441" s="983">
        <v>700000</v>
      </c>
      <c r="N441" s="325">
        <v>750000</v>
      </c>
      <c r="O441" s="983">
        <v>750000</v>
      </c>
      <c r="P441" s="325">
        <v>750000</v>
      </c>
      <c r="Q441" s="983">
        <v>750000</v>
      </c>
      <c r="R441" s="325">
        <v>750000</v>
      </c>
      <c r="S441" s="983">
        <v>750000</v>
      </c>
      <c r="T441" s="325">
        <v>750000</v>
      </c>
      <c r="U441" s="983">
        <v>750000</v>
      </c>
      <c r="V441" s="325">
        <v>750000</v>
      </c>
      <c r="W441" s="983">
        <v>750000</v>
      </c>
      <c r="X441" s="325">
        <v>750000</v>
      </c>
      <c r="Y441" s="983">
        <v>750000</v>
      </c>
      <c r="Z441" s="325">
        <v>800000</v>
      </c>
      <c r="AA441" s="983">
        <v>800000</v>
      </c>
      <c r="AB441" s="325">
        <v>800000</v>
      </c>
      <c r="AC441" s="983">
        <v>800000</v>
      </c>
      <c r="AD441" s="325">
        <v>800000</v>
      </c>
      <c r="AE441" s="983">
        <v>800000</v>
      </c>
      <c r="AF441" s="325">
        <v>800000</v>
      </c>
      <c r="AG441" s="983">
        <v>800000</v>
      </c>
      <c r="AH441" s="325">
        <v>800000</v>
      </c>
      <c r="AI441" s="983">
        <v>800000</v>
      </c>
      <c r="AJ441" s="325">
        <v>800000</v>
      </c>
      <c r="AK441" s="983">
        <v>800000</v>
      </c>
      <c r="AL441" s="947"/>
      <c r="AM441" s="947"/>
      <c r="AN441" s="947"/>
      <c r="AO441" s="947"/>
      <c r="AP441" s="947"/>
      <c r="AQ441" s="952"/>
    </row>
    <row r="442" spans="1:43" s="969" customFormat="1" ht="17.100000000000001" customHeight="1">
      <c r="A442" s="946" t="str">
        <f t="shared" si="43"/>
        <v>MENSAJERO</v>
      </c>
      <c r="B442" s="325">
        <v>700000</v>
      </c>
      <c r="C442" s="983">
        <v>700000</v>
      </c>
      <c r="D442" s="325">
        <v>700000</v>
      </c>
      <c r="E442" s="983">
        <v>700000</v>
      </c>
      <c r="F442" s="325">
        <v>700000</v>
      </c>
      <c r="G442" s="983">
        <v>700000</v>
      </c>
      <c r="H442" s="325">
        <v>700000</v>
      </c>
      <c r="I442" s="983">
        <v>700000</v>
      </c>
      <c r="J442" s="325">
        <v>700000</v>
      </c>
      <c r="K442" s="983">
        <v>700000</v>
      </c>
      <c r="L442" s="325">
        <v>700000</v>
      </c>
      <c r="M442" s="983">
        <v>700000</v>
      </c>
      <c r="N442" s="325">
        <v>750000</v>
      </c>
      <c r="O442" s="983">
        <v>750000</v>
      </c>
      <c r="P442" s="325">
        <v>750000</v>
      </c>
      <c r="Q442" s="983">
        <v>750000</v>
      </c>
      <c r="R442" s="325">
        <v>750000</v>
      </c>
      <c r="S442" s="983">
        <v>750000</v>
      </c>
      <c r="T442" s="325">
        <v>750000</v>
      </c>
      <c r="U442" s="983">
        <v>750000</v>
      </c>
      <c r="V442" s="325">
        <v>750000</v>
      </c>
      <c r="W442" s="983">
        <v>750000</v>
      </c>
      <c r="X442" s="325">
        <v>750000</v>
      </c>
      <c r="Y442" s="983">
        <v>750000</v>
      </c>
      <c r="Z442" s="325">
        <v>800000</v>
      </c>
      <c r="AA442" s="983">
        <v>800000</v>
      </c>
      <c r="AB442" s="325">
        <v>800000</v>
      </c>
      <c r="AC442" s="983">
        <v>800000</v>
      </c>
      <c r="AD442" s="325">
        <v>800000</v>
      </c>
      <c r="AE442" s="983">
        <v>800000</v>
      </c>
      <c r="AF442" s="325">
        <v>800000</v>
      </c>
      <c r="AG442" s="983">
        <v>800000</v>
      </c>
      <c r="AH442" s="325">
        <v>800000</v>
      </c>
      <c r="AI442" s="983">
        <v>800000</v>
      </c>
      <c r="AJ442" s="325">
        <v>800000</v>
      </c>
      <c r="AK442" s="983">
        <v>800000</v>
      </c>
      <c r="AL442" s="947"/>
      <c r="AM442" s="947"/>
      <c r="AN442" s="947"/>
      <c r="AO442" s="947"/>
      <c r="AP442" s="947"/>
      <c r="AQ442" s="952"/>
    </row>
    <row r="443" spans="1:43" s="969" customFormat="1" ht="17.100000000000001" customHeight="1">
      <c r="A443" s="946" t="str">
        <f t="shared" si="43"/>
        <v>TECNICO EN ESTAMPADO</v>
      </c>
      <c r="B443" s="325">
        <v>700000</v>
      </c>
      <c r="C443" s="983">
        <v>700000</v>
      </c>
      <c r="D443" s="325">
        <v>700000</v>
      </c>
      <c r="E443" s="983">
        <v>700000</v>
      </c>
      <c r="F443" s="325">
        <v>700000</v>
      </c>
      <c r="G443" s="983">
        <v>700000</v>
      </c>
      <c r="H443" s="325">
        <v>700000</v>
      </c>
      <c r="I443" s="983">
        <v>700000</v>
      </c>
      <c r="J443" s="325">
        <v>700000</v>
      </c>
      <c r="K443" s="983">
        <v>700000</v>
      </c>
      <c r="L443" s="325">
        <v>700000</v>
      </c>
      <c r="M443" s="983">
        <v>700000</v>
      </c>
      <c r="N443" s="325">
        <v>750000</v>
      </c>
      <c r="O443" s="983">
        <v>750000</v>
      </c>
      <c r="P443" s="325">
        <v>750000</v>
      </c>
      <c r="Q443" s="983">
        <v>750000</v>
      </c>
      <c r="R443" s="325">
        <v>750000</v>
      </c>
      <c r="S443" s="983">
        <v>750000</v>
      </c>
      <c r="T443" s="325">
        <v>750000</v>
      </c>
      <c r="U443" s="983">
        <v>750000</v>
      </c>
      <c r="V443" s="325">
        <v>750000</v>
      </c>
      <c r="W443" s="983">
        <v>750000</v>
      </c>
      <c r="X443" s="325">
        <v>750000</v>
      </c>
      <c r="Y443" s="983">
        <v>750000</v>
      </c>
      <c r="Z443" s="325">
        <v>800000</v>
      </c>
      <c r="AA443" s="983">
        <v>800000</v>
      </c>
      <c r="AB443" s="325">
        <v>800000</v>
      </c>
      <c r="AC443" s="983">
        <v>800000</v>
      </c>
      <c r="AD443" s="325">
        <v>800000</v>
      </c>
      <c r="AE443" s="983">
        <v>800000</v>
      </c>
      <c r="AF443" s="325">
        <v>800000</v>
      </c>
      <c r="AG443" s="983">
        <v>800000</v>
      </c>
      <c r="AH443" s="325">
        <v>800000</v>
      </c>
      <c r="AI443" s="983">
        <v>800000</v>
      </c>
      <c r="AJ443" s="325">
        <v>800000</v>
      </c>
      <c r="AK443" s="983">
        <v>800000</v>
      </c>
      <c r="AL443" s="947"/>
      <c r="AM443" s="947"/>
      <c r="AN443" s="947"/>
      <c r="AO443" s="947"/>
      <c r="AP443" s="947"/>
      <c r="AQ443" s="952"/>
    </row>
    <row r="444" spans="1:43" s="969" customFormat="1" ht="17.100000000000001" customHeight="1">
      <c r="A444" s="946" t="str">
        <f t="shared" si="43"/>
        <v/>
      </c>
      <c r="B444" s="325">
        <v>0</v>
      </c>
      <c r="C444" s="983">
        <v>0</v>
      </c>
      <c r="D444" s="325">
        <v>0</v>
      </c>
      <c r="E444" s="983">
        <v>0</v>
      </c>
      <c r="F444" s="325">
        <v>0</v>
      </c>
      <c r="G444" s="983">
        <v>0</v>
      </c>
      <c r="H444" s="325">
        <v>0</v>
      </c>
      <c r="I444" s="983">
        <v>0</v>
      </c>
      <c r="J444" s="325">
        <v>0</v>
      </c>
      <c r="K444" s="983">
        <v>0</v>
      </c>
      <c r="L444" s="325">
        <v>0</v>
      </c>
      <c r="M444" s="983">
        <v>0</v>
      </c>
      <c r="N444" s="325">
        <v>0</v>
      </c>
      <c r="O444" s="983">
        <v>0</v>
      </c>
      <c r="P444" s="325">
        <v>0</v>
      </c>
      <c r="Q444" s="983">
        <v>0</v>
      </c>
      <c r="R444" s="325">
        <v>0</v>
      </c>
      <c r="S444" s="983">
        <v>0</v>
      </c>
      <c r="T444" s="325">
        <v>0</v>
      </c>
      <c r="U444" s="983">
        <v>0</v>
      </c>
      <c r="V444" s="325">
        <v>0</v>
      </c>
      <c r="W444" s="983">
        <v>0</v>
      </c>
      <c r="X444" s="325">
        <v>0</v>
      </c>
      <c r="Y444" s="983">
        <v>0</v>
      </c>
      <c r="Z444" s="325">
        <v>0</v>
      </c>
      <c r="AA444" s="983">
        <v>0</v>
      </c>
      <c r="AB444" s="325">
        <v>0</v>
      </c>
      <c r="AC444" s="983">
        <v>0</v>
      </c>
      <c r="AD444" s="325">
        <v>0</v>
      </c>
      <c r="AE444" s="983">
        <v>0</v>
      </c>
      <c r="AF444" s="325">
        <v>0</v>
      </c>
      <c r="AG444" s="983">
        <v>0</v>
      </c>
      <c r="AH444" s="325">
        <v>0</v>
      </c>
      <c r="AI444" s="983">
        <v>0</v>
      </c>
      <c r="AJ444" s="325">
        <v>0</v>
      </c>
      <c r="AK444" s="983">
        <v>0</v>
      </c>
      <c r="AL444" s="947"/>
      <c r="AM444" s="947"/>
      <c r="AN444" s="947"/>
      <c r="AO444" s="947"/>
      <c r="AP444" s="947"/>
      <c r="AQ444" s="952"/>
    </row>
    <row r="445" spans="1:43" s="969" customFormat="1" ht="17.100000000000001" customHeight="1">
      <c r="A445" s="946" t="str">
        <f t="shared" si="43"/>
        <v/>
      </c>
      <c r="B445" s="325">
        <v>0</v>
      </c>
      <c r="C445" s="983">
        <v>0</v>
      </c>
      <c r="D445" s="325">
        <v>0</v>
      </c>
      <c r="E445" s="983">
        <v>0</v>
      </c>
      <c r="F445" s="325">
        <v>0</v>
      </c>
      <c r="G445" s="983">
        <v>0</v>
      </c>
      <c r="H445" s="325">
        <v>0</v>
      </c>
      <c r="I445" s="983">
        <v>0</v>
      </c>
      <c r="J445" s="325">
        <v>0</v>
      </c>
      <c r="K445" s="983">
        <v>0</v>
      </c>
      <c r="L445" s="325">
        <v>0</v>
      </c>
      <c r="M445" s="983">
        <v>0</v>
      </c>
      <c r="N445" s="325">
        <v>0</v>
      </c>
      <c r="O445" s="983">
        <v>0</v>
      </c>
      <c r="P445" s="325">
        <v>0</v>
      </c>
      <c r="Q445" s="983">
        <v>0</v>
      </c>
      <c r="R445" s="325">
        <v>0</v>
      </c>
      <c r="S445" s="983">
        <v>0</v>
      </c>
      <c r="T445" s="325">
        <v>0</v>
      </c>
      <c r="U445" s="983">
        <v>0</v>
      </c>
      <c r="V445" s="325">
        <v>0</v>
      </c>
      <c r="W445" s="983">
        <v>0</v>
      </c>
      <c r="X445" s="325">
        <v>0</v>
      </c>
      <c r="Y445" s="983">
        <v>0</v>
      </c>
      <c r="Z445" s="325">
        <v>0</v>
      </c>
      <c r="AA445" s="983">
        <v>0</v>
      </c>
      <c r="AB445" s="325">
        <v>0</v>
      </c>
      <c r="AC445" s="983">
        <v>0</v>
      </c>
      <c r="AD445" s="325">
        <v>0</v>
      </c>
      <c r="AE445" s="983">
        <v>0</v>
      </c>
      <c r="AF445" s="325">
        <v>0</v>
      </c>
      <c r="AG445" s="983">
        <v>0</v>
      </c>
      <c r="AH445" s="325">
        <v>0</v>
      </c>
      <c r="AI445" s="983">
        <v>0</v>
      </c>
      <c r="AJ445" s="325">
        <v>0</v>
      </c>
      <c r="AK445" s="983">
        <v>0</v>
      </c>
      <c r="AL445" s="947"/>
      <c r="AM445" s="947"/>
      <c r="AN445" s="947"/>
      <c r="AO445" s="947"/>
      <c r="AP445" s="947"/>
      <c r="AQ445" s="952"/>
    </row>
    <row r="446" spans="1:43" s="969" customFormat="1" ht="17.100000000000001" customHeight="1">
      <c r="A446" s="946" t="str">
        <f t="shared" si="43"/>
        <v/>
      </c>
      <c r="B446" s="325">
        <v>0</v>
      </c>
      <c r="C446" s="983">
        <v>0</v>
      </c>
      <c r="D446" s="325">
        <v>0</v>
      </c>
      <c r="E446" s="983">
        <v>0</v>
      </c>
      <c r="F446" s="325">
        <v>0</v>
      </c>
      <c r="G446" s="983">
        <v>0</v>
      </c>
      <c r="H446" s="325">
        <v>0</v>
      </c>
      <c r="I446" s="983">
        <v>0</v>
      </c>
      <c r="J446" s="325">
        <v>0</v>
      </c>
      <c r="K446" s="983">
        <v>0</v>
      </c>
      <c r="L446" s="325">
        <v>0</v>
      </c>
      <c r="M446" s="983">
        <v>0</v>
      </c>
      <c r="N446" s="325">
        <v>0</v>
      </c>
      <c r="O446" s="983">
        <v>0</v>
      </c>
      <c r="P446" s="325">
        <v>0</v>
      </c>
      <c r="Q446" s="983">
        <v>0</v>
      </c>
      <c r="R446" s="325">
        <v>0</v>
      </c>
      <c r="S446" s="983">
        <v>0</v>
      </c>
      <c r="T446" s="325">
        <v>0</v>
      </c>
      <c r="U446" s="983">
        <v>0</v>
      </c>
      <c r="V446" s="325">
        <v>0</v>
      </c>
      <c r="W446" s="983">
        <v>0</v>
      </c>
      <c r="X446" s="325">
        <v>0</v>
      </c>
      <c r="Y446" s="983">
        <v>0</v>
      </c>
      <c r="Z446" s="325">
        <v>0</v>
      </c>
      <c r="AA446" s="983">
        <v>0</v>
      </c>
      <c r="AB446" s="325">
        <v>0</v>
      </c>
      <c r="AC446" s="983">
        <v>0</v>
      </c>
      <c r="AD446" s="325">
        <v>0</v>
      </c>
      <c r="AE446" s="983">
        <v>0</v>
      </c>
      <c r="AF446" s="325">
        <v>0</v>
      </c>
      <c r="AG446" s="983">
        <v>0</v>
      </c>
      <c r="AH446" s="325">
        <v>0</v>
      </c>
      <c r="AI446" s="983">
        <v>0</v>
      </c>
      <c r="AJ446" s="325">
        <v>0</v>
      </c>
      <c r="AK446" s="983">
        <v>0</v>
      </c>
      <c r="AL446" s="947"/>
      <c r="AM446" s="947"/>
      <c r="AN446" s="947"/>
      <c r="AO446" s="947"/>
      <c r="AP446" s="947"/>
      <c r="AQ446" s="952"/>
    </row>
    <row r="447" spans="1:43" s="969" customFormat="1" ht="17.100000000000001" customHeight="1">
      <c r="A447" s="948" t="str">
        <f>+A353</f>
        <v>VENDEDOR</v>
      </c>
      <c r="B447" s="325" t="s">
        <v>900</v>
      </c>
      <c r="C447" s="983" t="s">
        <v>900</v>
      </c>
      <c r="D447" s="325" t="s">
        <v>900</v>
      </c>
      <c r="E447" s="983" t="s">
        <v>900</v>
      </c>
      <c r="F447" s="325" t="s">
        <v>900</v>
      </c>
      <c r="G447" s="983" t="s">
        <v>900</v>
      </c>
      <c r="H447" s="325" t="s">
        <v>900</v>
      </c>
      <c r="I447" s="983" t="s">
        <v>900</v>
      </c>
      <c r="J447" s="325" t="s">
        <v>900</v>
      </c>
      <c r="K447" s="983" t="s">
        <v>900</v>
      </c>
      <c r="L447" s="325" t="s">
        <v>900</v>
      </c>
      <c r="M447" s="983" t="s">
        <v>900</v>
      </c>
      <c r="N447" s="325" t="s">
        <v>900</v>
      </c>
      <c r="O447" s="983" t="s">
        <v>900</v>
      </c>
      <c r="P447" s="325" t="s">
        <v>900</v>
      </c>
      <c r="Q447" s="983" t="s">
        <v>900</v>
      </c>
      <c r="R447" s="325" t="s">
        <v>900</v>
      </c>
      <c r="S447" s="983" t="s">
        <v>900</v>
      </c>
      <c r="T447" s="325" t="s">
        <v>900</v>
      </c>
      <c r="U447" s="983" t="s">
        <v>900</v>
      </c>
      <c r="V447" s="325" t="s">
        <v>900</v>
      </c>
      <c r="W447" s="983" t="s">
        <v>900</v>
      </c>
      <c r="X447" s="325" t="s">
        <v>900</v>
      </c>
      <c r="Y447" s="983" t="s">
        <v>900</v>
      </c>
      <c r="Z447" s="325" t="s">
        <v>900</v>
      </c>
      <c r="AA447" s="983" t="s">
        <v>900</v>
      </c>
      <c r="AB447" s="325" t="s">
        <v>900</v>
      </c>
      <c r="AC447" s="983" t="s">
        <v>900</v>
      </c>
      <c r="AD447" s="325" t="s">
        <v>900</v>
      </c>
      <c r="AE447" s="983" t="s">
        <v>900</v>
      </c>
      <c r="AF447" s="325" t="s">
        <v>900</v>
      </c>
      <c r="AG447" s="983" t="s">
        <v>900</v>
      </c>
      <c r="AH447" s="325" t="s">
        <v>900</v>
      </c>
      <c r="AI447" s="983" t="s">
        <v>900</v>
      </c>
      <c r="AJ447" s="325" t="s">
        <v>900</v>
      </c>
      <c r="AK447" s="983" t="s">
        <v>900</v>
      </c>
      <c r="AL447" s="949"/>
      <c r="AM447" s="949"/>
      <c r="AN447" s="949"/>
      <c r="AO447" s="949"/>
      <c r="AP447" s="949"/>
      <c r="AQ447" s="953"/>
    </row>
    <row r="448" spans="1:43" s="969" customFormat="1" ht="17.100000000000001" customHeight="1">
      <c r="A448" s="948" t="str">
        <f t="shared" ref="A448:A454" si="44">+A354</f>
        <v>ASISTENTE DE PRODUCCION</v>
      </c>
      <c r="B448" s="325" t="s">
        <v>900</v>
      </c>
      <c r="C448" s="983" t="s">
        <v>900</v>
      </c>
      <c r="D448" s="325" t="s">
        <v>900</v>
      </c>
      <c r="E448" s="983" t="s">
        <v>900</v>
      </c>
      <c r="F448" s="325" t="s">
        <v>900</v>
      </c>
      <c r="G448" s="983" t="s">
        <v>900</v>
      </c>
      <c r="H448" s="325" t="s">
        <v>900</v>
      </c>
      <c r="I448" s="983" t="s">
        <v>900</v>
      </c>
      <c r="J448" s="325" t="s">
        <v>900</v>
      </c>
      <c r="K448" s="983" t="s">
        <v>900</v>
      </c>
      <c r="L448" s="325" t="s">
        <v>900</v>
      </c>
      <c r="M448" s="983" t="s">
        <v>900</v>
      </c>
      <c r="N448" s="325" t="s">
        <v>900</v>
      </c>
      <c r="O448" s="983" t="s">
        <v>900</v>
      </c>
      <c r="P448" s="325" t="s">
        <v>900</v>
      </c>
      <c r="Q448" s="983" t="s">
        <v>900</v>
      </c>
      <c r="R448" s="325" t="s">
        <v>900</v>
      </c>
      <c r="S448" s="983" t="s">
        <v>900</v>
      </c>
      <c r="T448" s="325" t="s">
        <v>900</v>
      </c>
      <c r="U448" s="983" t="s">
        <v>900</v>
      </c>
      <c r="V448" s="325" t="s">
        <v>900</v>
      </c>
      <c r="W448" s="983" t="s">
        <v>900</v>
      </c>
      <c r="X448" s="325" t="s">
        <v>900</v>
      </c>
      <c r="Y448" s="983" t="s">
        <v>900</v>
      </c>
      <c r="Z448" s="325" t="s">
        <v>900</v>
      </c>
      <c r="AA448" s="983" t="s">
        <v>900</v>
      </c>
      <c r="AB448" s="325" t="s">
        <v>900</v>
      </c>
      <c r="AC448" s="983" t="s">
        <v>900</v>
      </c>
      <c r="AD448" s="325" t="s">
        <v>900</v>
      </c>
      <c r="AE448" s="983" t="s">
        <v>900</v>
      </c>
      <c r="AF448" s="325" t="s">
        <v>900</v>
      </c>
      <c r="AG448" s="983" t="s">
        <v>900</v>
      </c>
      <c r="AH448" s="325" t="s">
        <v>900</v>
      </c>
      <c r="AI448" s="983" t="s">
        <v>900</v>
      </c>
      <c r="AJ448" s="325" t="s">
        <v>900</v>
      </c>
      <c r="AK448" s="983" t="s">
        <v>900</v>
      </c>
      <c r="AL448" s="949"/>
      <c r="AM448" s="949"/>
      <c r="AN448" s="949"/>
      <c r="AO448" s="949"/>
      <c r="AP448" s="949"/>
      <c r="AQ448" s="953"/>
    </row>
    <row r="449" spans="1:43" s="969" customFormat="1" ht="17.100000000000001" customHeight="1">
      <c r="A449" s="948" t="str">
        <f t="shared" si="44"/>
        <v>DISEÑADOR</v>
      </c>
      <c r="B449" s="325" t="s">
        <v>900</v>
      </c>
      <c r="C449" s="983" t="s">
        <v>900</v>
      </c>
      <c r="D449" s="325" t="s">
        <v>900</v>
      </c>
      <c r="E449" s="983" t="s">
        <v>900</v>
      </c>
      <c r="F449" s="325" t="s">
        <v>900</v>
      </c>
      <c r="G449" s="983" t="s">
        <v>900</v>
      </c>
      <c r="H449" s="325" t="s">
        <v>900</v>
      </c>
      <c r="I449" s="983" t="s">
        <v>900</v>
      </c>
      <c r="J449" s="325" t="s">
        <v>900</v>
      </c>
      <c r="K449" s="983" t="s">
        <v>900</v>
      </c>
      <c r="L449" s="325" t="s">
        <v>900</v>
      </c>
      <c r="M449" s="983" t="s">
        <v>900</v>
      </c>
      <c r="N449" s="325" t="s">
        <v>900</v>
      </c>
      <c r="O449" s="983" t="s">
        <v>900</v>
      </c>
      <c r="P449" s="325" t="s">
        <v>900</v>
      </c>
      <c r="Q449" s="983" t="s">
        <v>900</v>
      </c>
      <c r="R449" s="325" t="s">
        <v>900</v>
      </c>
      <c r="S449" s="983" t="s">
        <v>900</v>
      </c>
      <c r="T449" s="325" t="s">
        <v>900</v>
      </c>
      <c r="U449" s="983" t="s">
        <v>900</v>
      </c>
      <c r="V449" s="325" t="s">
        <v>900</v>
      </c>
      <c r="W449" s="983" t="s">
        <v>900</v>
      </c>
      <c r="X449" s="325" t="s">
        <v>900</v>
      </c>
      <c r="Y449" s="983" t="s">
        <v>900</v>
      </c>
      <c r="Z449" s="325" t="s">
        <v>900</v>
      </c>
      <c r="AA449" s="983" t="s">
        <v>900</v>
      </c>
      <c r="AB449" s="325" t="s">
        <v>900</v>
      </c>
      <c r="AC449" s="983" t="s">
        <v>900</v>
      </c>
      <c r="AD449" s="325" t="s">
        <v>900</v>
      </c>
      <c r="AE449" s="983" t="s">
        <v>900</v>
      </c>
      <c r="AF449" s="325" t="s">
        <v>900</v>
      </c>
      <c r="AG449" s="983" t="s">
        <v>900</v>
      </c>
      <c r="AH449" s="325" t="s">
        <v>900</v>
      </c>
      <c r="AI449" s="983" t="s">
        <v>900</v>
      </c>
      <c r="AJ449" s="325" t="s">
        <v>900</v>
      </c>
      <c r="AK449" s="983" t="s">
        <v>900</v>
      </c>
      <c r="AL449" s="949"/>
      <c r="AM449" s="949"/>
      <c r="AN449" s="949"/>
      <c r="AO449" s="949"/>
      <c r="AP449" s="949"/>
      <c r="AQ449" s="953"/>
    </row>
    <row r="450" spans="1:43" s="969" customFormat="1" ht="17.100000000000001" customHeight="1">
      <c r="A450" s="948" t="str">
        <f t="shared" si="44"/>
        <v>MENSAJERO</v>
      </c>
      <c r="B450" s="325" t="s">
        <v>900</v>
      </c>
      <c r="C450" s="983" t="s">
        <v>900</v>
      </c>
      <c r="D450" s="325" t="s">
        <v>900</v>
      </c>
      <c r="E450" s="983" t="s">
        <v>900</v>
      </c>
      <c r="F450" s="325" t="s">
        <v>900</v>
      </c>
      <c r="G450" s="983" t="s">
        <v>900</v>
      </c>
      <c r="H450" s="325" t="s">
        <v>900</v>
      </c>
      <c r="I450" s="983" t="s">
        <v>900</v>
      </c>
      <c r="J450" s="325" t="s">
        <v>900</v>
      </c>
      <c r="K450" s="983" t="s">
        <v>900</v>
      </c>
      <c r="L450" s="325" t="s">
        <v>900</v>
      </c>
      <c r="M450" s="983" t="s">
        <v>900</v>
      </c>
      <c r="N450" s="325" t="s">
        <v>900</v>
      </c>
      <c r="O450" s="983" t="s">
        <v>900</v>
      </c>
      <c r="P450" s="325" t="s">
        <v>900</v>
      </c>
      <c r="Q450" s="983" t="s">
        <v>900</v>
      </c>
      <c r="R450" s="325" t="s">
        <v>900</v>
      </c>
      <c r="S450" s="983" t="s">
        <v>900</v>
      </c>
      <c r="T450" s="325" t="s">
        <v>900</v>
      </c>
      <c r="U450" s="983" t="s">
        <v>900</v>
      </c>
      <c r="V450" s="325" t="s">
        <v>900</v>
      </c>
      <c r="W450" s="983" t="s">
        <v>900</v>
      </c>
      <c r="X450" s="325" t="s">
        <v>900</v>
      </c>
      <c r="Y450" s="983" t="s">
        <v>900</v>
      </c>
      <c r="Z450" s="325" t="s">
        <v>900</v>
      </c>
      <c r="AA450" s="983" t="s">
        <v>900</v>
      </c>
      <c r="AB450" s="325" t="s">
        <v>900</v>
      </c>
      <c r="AC450" s="983" t="s">
        <v>900</v>
      </c>
      <c r="AD450" s="325" t="s">
        <v>900</v>
      </c>
      <c r="AE450" s="983" t="s">
        <v>900</v>
      </c>
      <c r="AF450" s="325" t="s">
        <v>900</v>
      </c>
      <c r="AG450" s="983" t="s">
        <v>900</v>
      </c>
      <c r="AH450" s="325" t="s">
        <v>900</v>
      </c>
      <c r="AI450" s="983" t="s">
        <v>900</v>
      </c>
      <c r="AJ450" s="325" t="s">
        <v>900</v>
      </c>
      <c r="AK450" s="983" t="s">
        <v>900</v>
      </c>
      <c r="AL450" s="949"/>
      <c r="AM450" s="949"/>
      <c r="AN450" s="949"/>
      <c r="AO450" s="949"/>
      <c r="AP450" s="949"/>
      <c r="AQ450" s="953"/>
    </row>
    <row r="451" spans="1:43" s="969" customFormat="1" ht="17.100000000000001" customHeight="1">
      <c r="A451" s="948" t="str">
        <f t="shared" si="44"/>
        <v>TECNICO EN ESTAMPADO</v>
      </c>
      <c r="B451" s="325" t="s">
        <v>900</v>
      </c>
      <c r="C451" s="983" t="s">
        <v>900</v>
      </c>
      <c r="D451" s="325" t="s">
        <v>900</v>
      </c>
      <c r="E451" s="983" t="s">
        <v>900</v>
      </c>
      <c r="F451" s="325" t="s">
        <v>900</v>
      </c>
      <c r="G451" s="983" t="s">
        <v>900</v>
      </c>
      <c r="H451" s="325" t="s">
        <v>900</v>
      </c>
      <c r="I451" s="983" t="s">
        <v>900</v>
      </c>
      <c r="J451" s="325" t="s">
        <v>900</v>
      </c>
      <c r="K451" s="983" t="s">
        <v>900</v>
      </c>
      <c r="L451" s="325" t="s">
        <v>900</v>
      </c>
      <c r="M451" s="983" t="s">
        <v>900</v>
      </c>
      <c r="N451" s="325" t="s">
        <v>900</v>
      </c>
      <c r="O451" s="983" t="s">
        <v>900</v>
      </c>
      <c r="P451" s="325" t="s">
        <v>900</v>
      </c>
      <c r="Q451" s="983" t="s">
        <v>900</v>
      </c>
      <c r="R451" s="325" t="s">
        <v>900</v>
      </c>
      <c r="S451" s="983" t="s">
        <v>900</v>
      </c>
      <c r="T451" s="325" t="s">
        <v>900</v>
      </c>
      <c r="U451" s="983" t="s">
        <v>900</v>
      </c>
      <c r="V451" s="325" t="s">
        <v>900</v>
      </c>
      <c r="W451" s="983" t="s">
        <v>900</v>
      </c>
      <c r="X451" s="325" t="s">
        <v>900</v>
      </c>
      <c r="Y451" s="983" t="s">
        <v>900</v>
      </c>
      <c r="Z451" s="325" t="s">
        <v>900</v>
      </c>
      <c r="AA451" s="983" t="s">
        <v>900</v>
      </c>
      <c r="AB451" s="325" t="s">
        <v>900</v>
      </c>
      <c r="AC451" s="983" t="s">
        <v>900</v>
      </c>
      <c r="AD451" s="325" t="s">
        <v>900</v>
      </c>
      <c r="AE451" s="983" t="s">
        <v>900</v>
      </c>
      <c r="AF451" s="325" t="s">
        <v>900</v>
      </c>
      <c r="AG451" s="983" t="s">
        <v>900</v>
      </c>
      <c r="AH451" s="325" t="s">
        <v>900</v>
      </c>
      <c r="AI451" s="983" t="s">
        <v>900</v>
      </c>
      <c r="AJ451" s="325" t="s">
        <v>900</v>
      </c>
      <c r="AK451" s="983" t="s">
        <v>900</v>
      </c>
      <c r="AL451" s="949"/>
      <c r="AM451" s="949"/>
      <c r="AN451" s="949"/>
      <c r="AO451" s="949"/>
      <c r="AP451" s="949"/>
      <c r="AQ451" s="953"/>
    </row>
    <row r="452" spans="1:43" s="969" customFormat="1" ht="17.100000000000001" customHeight="1">
      <c r="A452" s="948" t="str">
        <f t="shared" si="44"/>
        <v/>
      </c>
      <c r="B452" s="325" t="s">
        <v>900</v>
      </c>
      <c r="C452" s="983" t="s">
        <v>900</v>
      </c>
      <c r="D452" s="325" t="s">
        <v>900</v>
      </c>
      <c r="E452" s="983" t="s">
        <v>900</v>
      </c>
      <c r="F452" s="325" t="s">
        <v>900</v>
      </c>
      <c r="G452" s="983" t="s">
        <v>900</v>
      </c>
      <c r="H452" s="325" t="s">
        <v>900</v>
      </c>
      <c r="I452" s="983" t="s">
        <v>900</v>
      </c>
      <c r="J452" s="325" t="s">
        <v>900</v>
      </c>
      <c r="K452" s="983" t="s">
        <v>900</v>
      </c>
      <c r="L452" s="325" t="s">
        <v>900</v>
      </c>
      <c r="M452" s="983" t="s">
        <v>900</v>
      </c>
      <c r="N452" s="325" t="s">
        <v>900</v>
      </c>
      <c r="O452" s="983" t="s">
        <v>900</v>
      </c>
      <c r="P452" s="325" t="s">
        <v>900</v>
      </c>
      <c r="Q452" s="983" t="s">
        <v>900</v>
      </c>
      <c r="R452" s="325" t="s">
        <v>900</v>
      </c>
      <c r="S452" s="983" t="s">
        <v>900</v>
      </c>
      <c r="T452" s="325" t="s">
        <v>900</v>
      </c>
      <c r="U452" s="983" t="s">
        <v>900</v>
      </c>
      <c r="V452" s="325" t="s">
        <v>900</v>
      </c>
      <c r="W452" s="983" t="s">
        <v>900</v>
      </c>
      <c r="X452" s="325" t="s">
        <v>900</v>
      </c>
      <c r="Y452" s="983" t="s">
        <v>900</v>
      </c>
      <c r="Z452" s="325" t="s">
        <v>900</v>
      </c>
      <c r="AA452" s="983" t="s">
        <v>900</v>
      </c>
      <c r="AB452" s="325" t="s">
        <v>900</v>
      </c>
      <c r="AC452" s="983" t="s">
        <v>900</v>
      </c>
      <c r="AD452" s="325" t="s">
        <v>900</v>
      </c>
      <c r="AE452" s="983" t="s">
        <v>900</v>
      </c>
      <c r="AF452" s="325" t="s">
        <v>900</v>
      </c>
      <c r="AG452" s="983" t="s">
        <v>900</v>
      </c>
      <c r="AH452" s="325" t="s">
        <v>900</v>
      </c>
      <c r="AI452" s="983" t="s">
        <v>900</v>
      </c>
      <c r="AJ452" s="325" t="s">
        <v>900</v>
      </c>
      <c r="AK452" s="983" t="s">
        <v>900</v>
      </c>
      <c r="AL452" s="949"/>
      <c r="AM452" s="949"/>
      <c r="AN452" s="949"/>
      <c r="AO452" s="949"/>
      <c r="AP452" s="949"/>
      <c r="AQ452" s="953"/>
    </row>
    <row r="453" spans="1:43" s="969" customFormat="1" ht="17.100000000000001" customHeight="1">
      <c r="A453" s="948" t="str">
        <f t="shared" si="44"/>
        <v/>
      </c>
      <c r="B453" s="325" t="s">
        <v>900</v>
      </c>
      <c r="C453" s="983" t="s">
        <v>900</v>
      </c>
      <c r="D453" s="325" t="s">
        <v>900</v>
      </c>
      <c r="E453" s="983" t="s">
        <v>900</v>
      </c>
      <c r="F453" s="325" t="s">
        <v>900</v>
      </c>
      <c r="G453" s="983" t="s">
        <v>900</v>
      </c>
      <c r="H453" s="325" t="s">
        <v>900</v>
      </c>
      <c r="I453" s="983" t="s">
        <v>900</v>
      </c>
      <c r="J453" s="325" t="s">
        <v>900</v>
      </c>
      <c r="K453" s="983" t="s">
        <v>900</v>
      </c>
      <c r="L453" s="325" t="s">
        <v>900</v>
      </c>
      <c r="M453" s="983" t="s">
        <v>900</v>
      </c>
      <c r="N453" s="325" t="s">
        <v>900</v>
      </c>
      <c r="O453" s="983" t="s">
        <v>900</v>
      </c>
      <c r="P453" s="325" t="s">
        <v>900</v>
      </c>
      <c r="Q453" s="983" t="s">
        <v>900</v>
      </c>
      <c r="R453" s="325" t="s">
        <v>900</v>
      </c>
      <c r="S453" s="983" t="s">
        <v>900</v>
      </c>
      <c r="T453" s="325" t="s">
        <v>900</v>
      </c>
      <c r="U453" s="983" t="s">
        <v>900</v>
      </c>
      <c r="V453" s="325" t="s">
        <v>900</v>
      </c>
      <c r="W453" s="983" t="s">
        <v>900</v>
      </c>
      <c r="X453" s="325" t="s">
        <v>900</v>
      </c>
      <c r="Y453" s="983" t="s">
        <v>900</v>
      </c>
      <c r="Z453" s="325" t="s">
        <v>900</v>
      </c>
      <c r="AA453" s="983" t="s">
        <v>900</v>
      </c>
      <c r="AB453" s="325" t="s">
        <v>900</v>
      </c>
      <c r="AC453" s="983" t="s">
        <v>900</v>
      </c>
      <c r="AD453" s="325" t="s">
        <v>900</v>
      </c>
      <c r="AE453" s="983" t="s">
        <v>900</v>
      </c>
      <c r="AF453" s="325" t="s">
        <v>900</v>
      </c>
      <c r="AG453" s="983" t="s">
        <v>900</v>
      </c>
      <c r="AH453" s="325" t="s">
        <v>900</v>
      </c>
      <c r="AI453" s="983" t="s">
        <v>900</v>
      </c>
      <c r="AJ453" s="325" t="s">
        <v>900</v>
      </c>
      <c r="AK453" s="983" t="s">
        <v>900</v>
      </c>
      <c r="AL453" s="949"/>
      <c r="AM453" s="949"/>
      <c r="AN453" s="949"/>
      <c r="AO453" s="949"/>
      <c r="AP453" s="949"/>
      <c r="AQ453" s="953"/>
    </row>
    <row r="454" spans="1:43" s="969" customFormat="1" ht="17.100000000000001" customHeight="1">
      <c r="A454" s="948" t="str">
        <f t="shared" si="44"/>
        <v/>
      </c>
      <c r="B454" s="325" t="s">
        <v>900</v>
      </c>
      <c r="C454" s="983" t="s">
        <v>900</v>
      </c>
      <c r="D454" s="325" t="s">
        <v>900</v>
      </c>
      <c r="E454" s="983" t="s">
        <v>900</v>
      </c>
      <c r="F454" s="325" t="s">
        <v>900</v>
      </c>
      <c r="G454" s="983" t="s">
        <v>900</v>
      </c>
      <c r="H454" s="325" t="s">
        <v>900</v>
      </c>
      <c r="I454" s="983" t="s">
        <v>900</v>
      </c>
      <c r="J454" s="325" t="s">
        <v>900</v>
      </c>
      <c r="K454" s="983" t="s">
        <v>900</v>
      </c>
      <c r="L454" s="325" t="s">
        <v>900</v>
      </c>
      <c r="M454" s="983" t="s">
        <v>900</v>
      </c>
      <c r="N454" s="325" t="s">
        <v>900</v>
      </c>
      <c r="O454" s="983" t="s">
        <v>900</v>
      </c>
      <c r="P454" s="325" t="s">
        <v>900</v>
      </c>
      <c r="Q454" s="983" t="s">
        <v>900</v>
      </c>
      <c r="R454" s="325" t="s">
        <v>900</v>
      </c>
      <c r="S454" s="983" t="s">
        <v>900</v>
      </c>
      <c r="T454" s="325" t="s">
        <v>900</v>
      </c>
      <c r="U454" s="983" t="s">
        <v>900</v>
      </c>
      <c r="V454" s="325" t="s">
        <v>900</v>
      </c>
      <c r="W454" s="983" t="s">
        <v>900</v>
      </c>
      <c r="X454" s="325" t="s">
        <v>900</v>
      </c>
      <c r="Y454" s="983" t="s">
        <v>900</v>
      </c>
      <c r="Z454" s="325" t="s">
        <v>900</v>
      </c>
      <c r="AA454" s="983" t="s">
        <v>900</v>
      </c>
      <c r="AB454" s="325" t="s">
        <v>900</v>
      </c>
      <c r="AC454" s="983" t="s">
        <v>900</v>
      </c>
      <c r="AD454" s="325" t="s">
        <v>900</v>
      </c>
      <c r="AE454" s="983" t="s">
        <v>900</v>
      </c>
      <c r="AF454" s="325" t="s">
        <v>900</v>
      </c>
      <c r="AG454" s="983" t="s">
        <v>900</v>
      </c>
      <c r="AH454" s="325" t="s">
        <v>900</v>
      </c>
      <c r="AI454" s="983" t="s">
        <v>900</v>
      </c>
      <c r="AJ454" s="325" t="s">
        <v>900</v>
      </c>
      <c r="AK454" s="983" t="s">
        <v>900</v>
      </c>
      <c r="AL454" s="949"/>
      <c r="AM454" s="949"/>
      <c r="AN454" s="949"/>
      <c r="AO454" s="949"/>
      <c r="AP454" s="949"/>
      <c r="AQ454" s="953"/>
    </row>
    <row r="455" spans="1:43" s="969" customFormat="1" ht="17.100000000000001" customHeight="1">
      <c r="A455" s="980" t="str">
        <f t="shared" ref="A455:A460" si="45">+A368</f>
        <v>GERENTE</v>
      </c>
      <c r="B455" s="984">
        <v>1400000</v>
      </c>
      <c r="C455" s="984">
        <v>1400000</v>
      </c>
      <c r="D455" s="984">
        <v>1400000</v>
      </c>
      <c r="E455" s="984">
        <v>1400000</v>
      </c>
      <c r="F455" s="984">
        <v>1400000</v>
      </c>
      <c r="G455" s="984">
        <v>1400000</v>
      </c>
      <c r="H455" s="984">
        <v>1400000</v>
      </c>
      <c r="I455" s="984">
        <v>1400000</v>
      </c>
      <c r="J455" s="984">
        <v>1400000</v>
      </c>
      <c r="K455" s="984">
        <v>1400000</v>
      </c>
      <c r="L455" s="984">
        <v>1400000</v>
      </c>
      <c r="M455" s="984">
        <v>1400000</v>
      </c>
      <c r="N455" s="984">
        <v>1400000</v>
      </c>
      <c r="O455" s="984">
        <v>1400000</v>
      </c>
      <c r="P455" s="984">
        <v>1400000</v>
      </c>
      <c r="Q455" s="984">
        <v>1400000</v>
      </c>
      <c r="R455" s="984">
        <v>1400000</v>
      </c>
      <c r="S455" s="984">
        <v>1400000</v>
      </c>
      <c r="T455" s="984">
        <v>1400000</v>
      </c>
      <c r="U455" s="984">
        <v>1400000</v>
      </c>
      <c r="V455" s="984">
        <v>1400000</v>
      </c>
      <c r="W455" s="984">
        <v>1400000</v>
      </c>
      <c r="X455" s="984">
        <v>1400000</v>
      </c>
      <c r="Y455" s="984">
        <v>1400000</v>
      </c>
      <c r="Z455" s="984">
        <v>1400000</v>
      </c>
      <c r="AA455" s="984">
        <v>1400000</v>
      </c>
      <c r="AB455" s="984">
        <v>1400000</v>
      </c>
      <c r="AC455" s="984">
        <v>1400000</v>
      </c>
      <c r="AD455" s="984">
        <v>1400000</v>
      </c>
      <c r="AE455" s="984">
        <v>1400000</v>
      </c>
      <c r="AF455" s="984">
        <v>1400000</v>
      </c>
      <c r="AG455" s="984">
        <v>1400000</v>
      </c>
      <c r="AH455" s="984">
        <v>1400000</v>
      </c>
      <c r="AI455" s="984">
        <v>1400000</v>
      </c>
      <c r="AJ455" s="984">
        <v>1400000</v>
      </c>
      <c r="AK455" s="984">
        <v>1400000</v>
      </c>
      <c r="AL455" s="978"/>
      <c r="AM455" s="978"/>
      <c r="AN455" s="978"/>
      <c r="AO455" s="978"/>
      <c r="AP455" s="978"/>
      <c r="AQ455" s="978"/>
    </row>
    <row r="456" spans="1:43" s="969" customFormat="1" ht="17.100000000000001" customHeight="1">
      <c r="A456" s="980" t="str">
        <f t="shared" si="45"/>
        <v/>
      </c>
      <c r="B456" s="984">
        <v>0</v>
      </c>
      <c r="C456" s="984">
        <v>0</v>
      </c>
      <c r="D456" s="984">
        <v>0</v>
      </c>
      <c r="E456" s="984">
        <v>0</v>
      </c>
      <c r="F456" s="984">
        <v>0</v>
      </c>
      <c r="G456" s="984">
        <v>0</v>
      </c>
      <c r="H456" s="984">
        <v>0</v>
      </c>
      <c r="I456" s="984">
        <v>0</v>
      </c>
      <c r="J456" s="984">
        <v>0</v>
      </c>
      <c r="K456" s="984">
        <v>0</v>
      </c>
      <c r="L456" s="984">
        <v>0</v>
      </c>
      <c r="M456" s="984">
        <v>0</v>
      </c>
      <c r="N456" s="984">
        <v>0</v>
      </c>
      <c r="O456" s="984">
        <v>0</v>
      </c>
      <c r="P456" s="984">
        <v>0</v>
      </c>
      <c r="Q456" s="984">
        <v>0</v>
      </c>
      <c r="R456" s="984">
        <v>0</v>
      </c>
      <c r="S456" s="984">
        <v>0</v>
      </c>
      <c r="T456" s="984">
        <v>0</v>
      </c>
      <c r="U456" s="984">
        <v>0</v>
      </c>
      <c r="V456" s="984">
        <v>0</v>
      </c>
      <c r="W456" s="984">
        <v>0</v>
      </c>
      <c r="X456" s="984">
        <v>0</v>
      </c>
      <c r="Y456" s="984">
        <v>0</v>
      </c>
      <c r="Z456" s="984">
        <v>0</v>
      </c>
      <c r="AA456" s="984">
        <v>0</v>
      </c>
      <c r="AB456" s="984">
        <v>0</v>
      </c>
      <c r="AC456" s="984">
        <v>0</v>
      </c>
      <c r="AD456" s="984">
        <v>0</v>
      </c>
      <c r="AE456" s="984">
        <v>0</v>
      </c>
      <c r="AF456" s="984">
        <v>0</v>
      </c>
      <c r="AG456" s="984">
        <v>0</v>
      </c>
      <c r="AH456" s="984">
        <v>0</v>
      </c>
      <c r="AI456" s="984">
        <v>0</v>
      </c>
      <c r="AJ456" s="984">
        <v>0</v>
      </c>
      <c r="AK456" s="984">
        <v>0</v>
      </c>
      <c r="AL456" s="978"/>
      <c r="AM456" s="978"/>
      <c r="AN456" s="978"/>
      <c r="AO456" s="978"/>
      <c r="AP456" s="978"/>
      <c r="AQ456" s="978"/>
    </row>
    <row r="457" spans="1:43" ht="17.100000000000001" customHeight="1">
      <c r="A457" s="980" t="str">
        <f t="shared" si="45"/>
        <v/>
      </c>
      <c r="B457" s="984">
        <v>0</v>
      </c>
      <c r="C457" s="984">
        <v>0</v>
      </c>
      <c r="D457" s="984">
        <v>0</v>
      </c>
      <c r="E457" s="984">
        <v>0</v>
      </c>
      <c r="F457" s="984">
        <v>0</v>
      </c>
      <c r="G457" s="984">
        <v>0</v>
      </c>
      <c r="H457" s="984">
        <v>0</v>
      </c>
      <c r="I457" s="984">
        <v>0</v>
      </c>
      <c r="J457" s="984">
        <v>0</v>
      </c>
      <c r="K457" s="984">
        <v>0</v>
      </c>
      <c r="L457" s="984">
        <v>0</v>
      </c>
      <c r="M457" s="984">
        <v>0</v>
      </c>
      <c r="N457" s="984">
        <v>0</v>
      </c>
      <c r="O457" s="984">
        <v>0</v>
      </c>
      <c r="P457" s="984">
        <v>0</v>
      </c>
      <c r="Q457" s="984">
        <v>0</v>
      </c>
      <c r="R457" s="984">
        <v>0</v>
      </c>
      <c r="S457" s="984">
        <v>0</v>
      </c>
      <c r="T457" s="984">
        <v>0</v>
      </c>
      <c r="U457" s="984">
        <v>0</v>
      </c>
      <c r="V457" s="984">
        <v>0</v>
      </c>
      <c r="W457" s="984">
        <v>0</v>
      </c>
      <c r="X457" s="984">
        <v>0</v>
      </c>
      <c r="Y457" s="984">
        <v>0</v>
      </c>
      <c r="Z457" s="984">
        <v>0</v>
      </c>
      <c r="AA457" s="984">
        <v>0</v>
      </c>
      <c r="AB457" s="984">
        <v>0</v>
      </c>
      <c r="AC457" s="984">
        <v>0</v>
      </c>
      <c r="AD457" s="984">
        <v>0</v>
      </c>
      <c r="AE457" s="984">
        <v>0</v>
      </c>
      <c r="AF457" s="984">
        <v>0</v>
      </c>
      <c r="AG457" s="984">
        <v>0</v>
      </c>
      <c r="AH457" s="984">
        <v>0</v>
      </c>
      <c r="AI457" s="984">
        <v>0</v>
      </c>
      <c r="AJ457" s="984">
        <v>0</v>
      </c>
      <c r="AK457" s="984">
        <v>0</v>
      </c>
      <c r="AL457" s="979"/>
      <c r="AM457" s="979"/>
      <c r="AN457" s="979"/>
      <c r="AO457" s="979"/>
      <c r="AP457" s="979"/>
      <c r="AQ457" s="979"/>
    </row>
    <row r="458" spans="1:43" ht="17.100000000000001" customHeight="1">
      <c r="A458" s="980" t="str">
        <f t="shared" si="45"/>
        <v/>
      </c>
      <c r="B458" s="984">
        <v>0</v>
      </c>
      <c r="C458" s="984">
        <v>0</v>
      </c>
      <c r="D458" s="984">
        <v>0</v>
      </c>
      <c r="E458" s="984">
        <v>0</v>
      </c>
      <c r="F458" s="984">
        <v>0</v>
      </c>
      <c r="G458" s="984">
        <v>0</v>
      </c>
      <c r="H458" s="984">
        <v>0</v>
      </c>
      <c r="I458" s="984">
        <v>0</v>
      </c>
      <c r="J458" s="984">
        <v>0</v>
      </c>
      <c r="K458" s="984">
        <v>0</v>
      </c>
      <c r="L458" s="984">
        <v>0</v>
      </c>
      <c r="M458" s="984">
        <v>0</v>
      </c>
      <c r="N458" s="984">
        <v>0</v>
      </c>
      <c r="O458" s="984">
        <v>0</v>
      </c>
      <c r="P458" s="984">
        <v>0</v>
      </c>
      <c r="Q458" s="984">
        <v>0</v>
      </c>
      <c r="R458" s="984">
        <v>0</v>
      </c>
      <c r="S458" s="984">
        <v>0</v>
      </c>
      <c r="T458" s="984">
        <v>0</v>
      </c>
      <c r="U458" s="984">
        <v>0</v>
      </c>
      <c r="V458" s="984">
        <v>0</v>
      </c>
      <c r="W458" s="984">
        <v>0</v>
      </c>
      <c r="X458" s="984">
        <v>0</v>
      </c>
      <c r="Y458" s="984">
        <v>0</v>
      </c>
      <c r="Z458" s="984">
        <v>0</v>
      </c>
      <c r="AA458" s="984">
        <v>0</v>
      </c>
      <c r="AB458" s="984">
        <v>0</v>
      </c>
      <c r="AC458" s="984">
        <v>0</v>
      </c>
      <c r="AD458" s="984">
        <v>0</v>
      </c>
      <c r="AE458" s="984">
        <v>0</v>
      </c>
      <c r="AF458" s="984">
        <v>0</v>
      </c>
      <c r="AG458" s="984">
        <v>0</v>
      </c>
      <c r="AH458" s="984">
        <v>0</v>
      </c>
      <c r="AI458" s="984">
        <v>0</v>
      </c>
      <c r="AJ458" s="984">
        <v>0</v>
      </c>
      <c r="AK458" s="984">
        <v>0</v>
      </c>
      <c r="AL458" s="979"/>
      <c r="AM458" s="979"/>
      <c r="AN458" s="979"/>
      <c r="AO458" s="979"/>
      <c r="AP458" s="979"/>
      <c r="AQ458" s="979"/>
    </row>
    <row r="459" spans="1:43" ht="17.100000000000001" customHeight="1">
      <c r="A459" s="980" t="str">
        <f t="shared" si="45"/>
        <v/>
      </c>
      <c r="B459" s="984">
        <v>0</v>
      </c>
      <c r="C459" s="984">
        <v>0</v>
      </c>
      <c r="D459" s="984">
        <v>0</v>
      </c>
      <c r="E459" s="984">
        <v>0</v>
      </c>
      <c r="F459" s="984">
        <v>0</v>
      </c>
      <c r="G459" s="984">
        <v>0</v>
      </c>
      <c r="H459" s="984">
        <v>0</v>
      </c>
      <c r="I459" s="984">
        <v>0</v>
      </c>
      <c r="J459" s="984">
        <v>0</v>
      </c>
      <c r="K459" s="984">
        <v>0</v>
      </c>
      <c r="L459" s="984">
        <v>0</v>
      </c>
      <c r="M459" s="984">
        <v>0</v>
      </c>
      <c r="N459" s="984">
        <v>0</v>
      </c>
      <c r="O459" s="984">
        <v>0</v>
      </c>
      <c r="P459" s="984">
        <v>0</v>
      </c>
      <c r="Q459" s="984">
        <v>0</v>
      </c>
      <c r="R459" s="984">
        <v>0</v>
      </c>
      <c r="S459" s="984">
        <v>0</v>
      </c>
      <c r="T459" s="984">
        <v>0</v>
      </c>
      <c r="U459" s="984">
        <v>0</v>
      </c>
      <c r="V459" s="984">
        <v>0</v>
      </c>
      <c r="W459" s="984">
        <v>0</v>
      </c>
      <c r="X459" s="984">
        <v>0</v>
      </c>
      <c r="Y459" s="984">
        <v>0</v>
      </c>
      <c r="Z459" s="984">
        <v>0</v>
      </c>
      <c r="AA459" s="984">
        <v>0</v>
      </c>
      <c r="AB459" s="984">
        <v>0</v>
      </c>
      <c r="AC459" s="984">
        <v>0</v>
      </c>
      <c r="AD459" s="984">
        <v>0</v>
      </c>
      <c r="AE459" s="984">
        <v>0</v>
      </c>
      <c r="AF459" s="984">
        <v>0</v>
      </c>
      <c r="AG459" s="984">
        <v>0</v>
      </c>
      <c r="AH459" s="984">
        <v>0</v>
      </c>
      <c r="AI459" s="984">
        <v>0</v>
      </c>
      <c r="AJ459" s="984">
        <v>0</v>
      </c>
      <c r="AK459" s="984">
        <v>0</v>
      </c>
      <c r="AL459" s="979"/>
      <c r="AM459" s="979"/>
      <c r="AN459" s="979"/>
      <c r="AO459" s="979"/>
      <c r="AP459" s="979"/>
      <c r="AQ459" s="979"/>
    </row>
    <row r="460" spans="1:43" ht="17.100000000000001" customHeight="1">
      <c r="A460" s="980" t="str">
        <f t="shared" si="45"/>
        <v/>
      </c>
      <c r="B460" s="984">
        <v>0</v>
      </c>
      <c r="C460" s="984">
        <v>0</v>
      </c>
      <c r="D460" s="984">
        <v>0</v>
      </c>
      <c r="E460" s="984">
        <v>0</v>
      </c>
      <c r="F460" s="984">
        <v>0</v>
      </c>
      <c r="G460" s="984">
        <v>0</v>
      </c>
      <c r="H460" s="984">
        <v>0</v>
      </c>
      <c r="I460" s="984">
        <v>0</v>
      </c>
      <c r="J460" s="984">
        <v>0</v>
      </c>
      <c r="K460" s="984">
        <v>0</v>
      </c>
      <c r="L460" s="984">
        <v>0</v>
      </c>
      <c r="M460" s="984">
        <v>0</v>
      </c>
      <c r="N460" s="984">
        <v>0</v>
      </c>
      <c r="O460" s="984">
        <v>0</v>
      </c>
      <c r="P460" s="984">
        <v>0</v>
      </c>
      <c r="Q460" s="984">
        <v>0</v>
      </c>
      <c r="R460" s="984">
        <v>0</v>
      </c>
      <c r="S460" s="984">
        <v>0</v>
      </c>
      <c r="T460" s="984">
        <v>0</v>
      </c>
      <c r="U460" s="984">
        <v>0</v>
      </c>
      <c r="V460" s="984">
        <v>0</v>
      </c>
      <c r="W460" s="984">
        <v>0</v>
      </c>
      <c r="X460" s="984">
        <v>0</v>
      </c>
      <c r="Y460" s="984">
        <v>0</v>
      </c>
      <c r="Z460" s="984">
        <v>0</v>
      </c>
      <c r="AA460" s="984">
        <v>0</v>
      </c>
      <c r="AB460" s="984">
        <v>0</v>
      </c>
      <c r="AC460" s="984">
        <v>0</v>
      </c>
      <c r="AD460" s="984">
        <v>0</v>
      </c>
      <c r="AE460" s="984">
        <v>0</v>
      </c>
      <c r="AF460" s="984">
        <v>0</v>
      </c>
      <c r="AG460" s="984">
        <v>0</v>
      </c>
      <c r="AH460" s="984">
        <v>0</v>
      </c>
      <c r="AI460" s="984">
        <v>0</v>
      </c>
      <c r="AJ460" s="984">
        <v>0</v>
      </c>
      <c r="AK460" s="984">
        <v>0</v>
      </c>
      <c r="AL460" s="979"/>
      <c r="AM460" s="979"/>
      <c r="AN460" s="979"/>
      <c r="AO460" s="979"/>
      <c r="AP460" s="979"/>
      <c r="AQ460" s="979"/>
    </row>
    <row r="461" spans="1:43" ht="17.100000000000001" customHeight="1">
      <c r="A461" s="981" t="str">
        <f t="shared" ref="A461:A466" si="46">+A368</f>
        <v>GERENTE</v>
      </c>
      <c r="B461" s="878">
        <v>2</v>
      </c>
      <c r="C461" s="878">
        <v>2</v>
      </c>
      <c r="D461" s="878">
        <v>2</v>
      </c>
      <c r="E461" s="878">
        <v>2</v>
      </c>
      <c r="F461" s="878">
        <v>2</v>
      </c>
      <c r="G461" s="878">
        <v>2</v>
      </c>
      <c r="H461" s="878">
        <v>2</v>
      </c>
      <c r="I461" s="878">
        <v>2</v>
      </c>
      <c r="J461" s="878">
        <v>2</v>
      </c>
      <c r="K461" s="878">
        <v>2</v>
      </c>
      <c r="L461" s="878">
        <v>2</v>
      </c>
      <c r="M461" s="878">
        <v>2</v>
      </c>
      <c r="N461" s="878">
        <v>2</v>
      </c>
      <c r="O461" s="878">
        <v>2</v>
      </c>
      <c r="P461" s="878">
        <v>2</v>
      </c>
      <c r="Q461" s="878">
        <v>2</v>
      </c>
      <c r="R461" s="878">
        <v>2</v>
      </c>
      <c r="S461" s="878">
        <v>2</v>
      </c>
      <c r="T461" s="878">
        <v>2</v>
      </c>
      <c r="U461" s="878">
        <v>2</v>
      </c>
      <c r="V461" s="878">
        <v>2</v>
      </c>
      <c r="W461" s="878">
        <v>2</v>
      </c>
      <c r="X461" s="878">
        <v>2</v>
      </c>
      <c r="Y461" s="878">
        <v>2</v>
      </c>
      <c r="Z461" s="878">
        <v>2</v>
      </c>
      <c r="AA461" s="878">
        <v>2</v>
      </c>
      <c r="AB461" s="878">
        <v>2</v>
      </c>
      <c r="AC461" s="878">
        <v>2</v>
      </c>
      <c r="AD461" s="878">
        <v>2</v>
      </c>
      <c r="AE461" s="878">
        <v>2</v>
      </c>
      <c r="AF461" s="878">
        <v>2</v>
      </c>
      <c r="AG461" s="878">
        <v>2</v>
      </c>
      <c r="AH461" s="878">
        <v>2</v>
      </c>
      <c r="AI461" s="878">
        <v>2</v>
      </c>
      <c r="AJ461" s="878">
        <v>2</v>
      </c>
      <c r="AK461" s="878">
        <v>2</v>
      </c>
      <c r="AL461" s="195"/>
      <c r="AM461" s="195"/>
    </row>
    <row r="462" spans="1:43" ht="17.100000000000001" customHeight="1">
      <c r="A462" s="981" t="str">
        <f t="shared" si="46"/>
        <v/>
      </c>
      <c r="B462" s="878">
        <v>0</v>
      </c>
      <c r="C462" s="878">
        <v>0</v>
      </c>
      <c r="D462" s="878">
        <v>0</v>
      </c>
      <c r="E462" s="878">
        <v>0</v>
      </c>
      <c r="F462" s="878">
        <v>0</v>
      </c>
      <c r="G462" s="878">
        <v>0</v>
      </c>
      <c r="H462" s="878">
        <v>0</v>
      </c>
      <c r="I462" s="878">
        <v>0</v>
      </c>
      <c r="J462" s="878">
        <v>0</v>
      </c>
      <c r="K462" s="878">
        <v>0</v>
      </c>
      <c r="L462" s="878">
        <v>0</v>
      </c>
      <c r="M462" s="878">
        <v>0</v>
      </c>
      <c r="N462" s="878">
        <v>0</v>
      </c>
      <c r="O462" s="878">
        <v>0</v>
      </c>
      <c r="P462" s="878">
        <v>0</v>
      </c>
      <c r="Q462" s="878">
        <v>0</v>
      </c>
      <c r="R462" s="878">
        <v>0</v>
      </c>
      <c r="S462" s="878">
        <v>0</v>
      </c>
      <c r="T462" s="878">
        <v>0</v>
      </c>
      <c r="U462" s="878">
        <v>0</v>
      </c>
      <c r="V462" s="878">
        <v>0</v>
      </c>
      <c r="W462" s="878">
        <v>0</v>
      </c>
      <c r="X462" s="878">
        <v>0</v>
      </c>
      <c r="Y462" s="878">
        <v>0</v>
      </c>
      <c r="Z462" s="878">
        <v>0</v>
      </c>
      <c r="AA462" s="878">
        <v>0</v>
      </c>
      <c r="AB462" s="878">
        <v>0</v>
      </c>
      <c r="AC462" s="878">
        <v>0</v>
      </c>
      <c r="AD462" s="878">
        <v>0</v>
      </c>
      <c r="AE462" s="878">
        <v>0</v>
      </c>
      <c r="AF462" s="878">
        <v>0</v>
      </c>
      <c r="AG462" s="878">
        <v>0</v>
      </c>
      <c r="AH462" s="878">
        <v>0</v>
      </c>
      <c r="AI462" s="878">
        <v>0</v>
      </c>
      <c r="AJ462" s="878">
        <v>0</v>
      </c>
      <c r="AK462" s="878">
        <v>0</v>
      </c>
      <c r="AL462" s="195"/>
      <c r="AM462" s="195"/>
    </row>
    <row r="463" spans="1:43" ht="17.100000000000001" customHeight="1">
      <c r="A463" s="981" t="str">
        <f t="shared" si="46"/>
        <v/>
      </c>
      <c r="B463" s="878">
        <v>0</v>
      </c>
      <c r="C463" s="878">
        <v>0</v>
      </c>
      <c r="D463" s="878">
        <v>0</v>
      </c>
      <c r="E463" s="878">
        <v>0</v>
      </c>
      <c r="F463" s="878">
        <v>0</v>
      </c>
      <c r="G463" s="878">
        <v>0</v>
      </c>
      <c r="H463" s="878">
        <v>0</v>
      </c>
      <c r="I463" s="878">
        <v>0</v>
      </c>
      <c r="J463" s="878">
        <v>0</v>
      </c>
      <c r="K463" s="878">
        <v>0</v>
      </c>
      <c r="L463" s="878">
        <v>0</v>
      </c>
      <c r="M463" s="878">
        <v>0</v>
      </c>
      <c r="N463" s="878">
        <v>0</v>
      </c>
      <c r="O463" s="878">
        <v>0</v>
      </c>
      <c r="P463" s="878">
        <v>0</v>
      </c>
      <c r="Q463" s="878">
        <v>0</v>
      </c>
      <c r="R463" s="878">
        <v>0</v>
      </c>
      <c r="S463" s="878">
        <v>0</v>
      </c>
      <c r="T463" s="878">
        <v>0</v>
      </c>
      <c r="U463" s="878">
        <v>0</v>
      </c>
      <c r="V463" s="878">
        <v>0</v>
      </c>
      <c r="W463" s="878">
        <v>0</v>
      </c>
      <c r="X463" s="878">
        <v>0</v>
      </c>
      <c r="Y463" s="878">
        <v>0</v>
      </c>
      <c r="Z463" s="878">
        <v>0</v>
      </c>
      <c r="AA463" s="878">
        <v>0</v>
      </c>
      <c r="AB463" s="878">
        <v>0</v>
      </c>
      <c r="AC463" s="878">
        <v>0</v>
      </c>
      <c r="AD463" s="878">
        <v>0</v>
      </c>
      <c r="AE463" s="878">
        <v>0</v>
      </c>
      <c r="AF463" s="878">
        <v>0</v>
      </c>
      <c r="AG463" s="878">
        <v>0</v>
      </c>
      <c r="AH463" s="878">
        <v>0</v>
      </c>
      <c r="AI463" s="878">
        <v>0</v>
      </c>
      <c r="AJ463" s="878">
        <v>0</v>
      </c>
      <c r="AK463" s="878">
        <v>0</v>
      </c>
      <c r="AL463" s="195"/>
      <c r="AM463" s="195"/>
    </row>
    <row r="464" spans="1:43" ht="17.100000000000001" customHeight="1">
      <c r="A464" s="981" t="str">
        <f t="shared" si="46"/>
        <v/>
      </c>
      <c r="B464" s="878">
        <v>0</v>
      </c>
      <c r="C464" s="878">
        <v>0</v>
      </c>
      <c r="D464" s="878">
        <v>0</v>
      </c>
      <c r="E464" s="878">
        <v>0</v>
      </c>
      <c r="F464" s="878">
        <v>0</v>
      </c>
      <c r="G464" s="878">
        <v>0</v>
      </c>
      <c r="H464" s="878">
        <v>0</v>
      </c>
      <c r="I464" s="878">
        <v>0</v>
      </c>
      <c r="J464" s="878">
        <v>0</v>
      </c>
      <c r="K464" s="878">
        <v>0</v>
      </c>
      <c r="L464" s="878">
        <v>0</v>
      </c>
      <c r="M464" s="878">
        <v>0</v>
      </c>
      <c r="N464" s="878">
        <v>0</v>
      </c>
      <c r="O464" s="878">
        <v>0</v>
      </c>
      <c r="P464" s="878">
        <v>0</v>
      </c>
      <c r="Q464" s="878">
        <v>0</v>
      </c>
      <c r="R464" s="878">
        <v>0</v>
      </c>
      <c r="S464" s="878">
        <v>0</v>
      </c>
      <c r="T464" s="878">
        <v>0</v>
      </c>
      <c r="U464" s="878">
        <v>0</v>
      </c>
      <c r="V464" s="878">
        <v>0</v>
      </c>
      <c r="W464" s="878">
        <v>0</v>
      </c>
      <c r="X464" s="878">
        <v>0</v>
      </c>
      <c r="Y464" s="878">
        <v>0</v>
      </c>
      <c r="Z464" s="878">
        <v>0</v>
      </c>
      <c r="AA464" s="878">
        <v>0</v>
      </c>
      <c r="AB464" s="878">
        <v>0</v>
      </c>
      <c r="AC464" s="878">
        <v>0</v>
      </c>
      <c r="AD464" s="878">
        <v>0</v>
      </c>
      <c r="AE464" s="878">
        <v>0</v>
      </c>
      <c r="AF464" s="878">
        <v>0</v>
      </c>
      <c r="AG464" s="878">
        <v>0</v>
      </c>
      <c r="AH464" s="878">
        <v>0</v>
      </c>
      <c r="AI464" s="878">
        <v>0</v>
      </c>
      <c r="AJ464" s="878">
        <v>0</v>
      </c>
      <c r="AK464" s="878">
        <v>0</v>
      </c>
      <c r="AL464" s="195"/>
      <c r="AM464" s="195"/>
    </row>
    <row r="465" spans="1:39" ht="17.100000000000001" customHeight="1">
      <c r="A465" s="981" t="str">
        <f t="shared" si="46"/>
        <v/>
      </c>
      <c r="B465" s="878">
        <v>0</v>
      </c>
      <c r="C465" s="878">
        <v>0</v>
      </c>
      <c r="D465" s="878">
        <v>0</v>
      </c>
      <c r="E465" s="878">
        <v>0</v>
      </c>
      <c r="F465" s="878">
        <v>0</v>
      </c>
      <c r="G465" s="878">
        <v>0</v>
      </c>
      <c r="H465" s="878">
        <v>0</v>
      </c>
      <c r="I465" s="878">
        <v>0</v>
      </c>
      <c r="J465" s="878">
        <v>0</v>
      </c>
      <c r="K465" s="878">
        <v>0</v>
      </c>
      <c r="L465" s="878">
        <v>0</v>
      </c>
      <c r="M465" s="878">
        <v>0</v>
      </c>
      <c r="N465" s="878">
        <v>0</v>
      </c>
      <c r="O465" s="878">
        <v>0</v>
      </c>
      <c r="P465" s="878">
        <v>0</v>
      </c>
      <c r="Q465" s="878">
        <v>0</v>
      </c>
      <c r="R465" s="878">
        <v>0</v>
      </c>
      <c r="S465" s="878">
        <v>0</v>
      </c>
      <c r="T465" s="878">
        <v>0</v>
      </c>
      <c r="U465" s="878">
        <v>0</v>
      </c>
      <c r="V465" s="878">
        <v>0</v>
      </c>
      <c r="W465" s="878">
        <v>0</v>
      </c>
      <c r="X465" s="878">
        <v>0</v>
      </c>
      <c r="Y465" s="878">
        <v>0</v>
      </c>
      <c r="Z465" s="878">
        <v>0</v>
      </c>
      <c r="AA465" s="878">
        <v>0</v>
      </c>
      <c r="AB465" s="878">
        <v>0</v>
      </c>
      <c r="AC465" s="878">
        <v>0</v>
      </c>
      <c r="AD465" s="878">
        <v>0</v>
      </c>
      <c r="AE465" s="878">
        <v>0</v>
      </c>
      <c r="AF465" s="878">
        <v>0</v>
      </c>
      <c r="AG465" s="878">
        <v>0</v>
      </c>
      <c r="AH465" s="878">
        <v>0</v>
      </c>
      <c r="AI465" s="878">
        <v>0</v>
      </c>
      <c r="AJ465" s="878">
        <v>0</v>
      </c>
      <c r="AK465" s="878">
        <v>0</v>
      </c>
      <c r="AL465" s="195"/>
      <c r="AM465" s="195"/>
    </row>
    <row r="466" spans="1:39" ht="17.100000000000001" customHeight="1">
      <c r="A466" s="981" t="str">
        <f t="shared" si="46"/>
        <v/>
      </c>
      <c r="B466" s="878">
        <v>0</v>
      </c>
      <c r="C466" s="878">
        <v>0</v>
      </c>
      <c r="D466" s="878">
        <v>0</v>
      </c>
      <c r="E466" s="878">
        <v>0</v>
      </c>
      <c r="F466" s="878">
        <v>0</v>
      </c>
      <c r="G466" s="878">
        <v>0</v>
      </c>
      <c r="H466" s="878">
        <v>0</v>
      </c>
      <c r="I466" s="878">
        <v>0</v>
      </c>
      <c r="J466" s="878">
        <v>0</v>
      </c>
      <c r="K466" s="878">
        <v>0</v>
      </c>
      <c r="L466" s="878">
        <v>0</v>
      </c>
      <c r="M466" s="878">
        <v>0</v>
      </c>
      <c r="N466" s="878">
        <v>0</v>
      </c>
      <c r="O466" s="878">
        <v>0</v>
      </c>
      <c r="P466" s="878">
        <v>0</v>
      </c>
      <c r="Q466" s="878">
        <v>0</v>
      </c>
      <c r="R466" s="878">
        <v>0</v>
      </c>
      <c r="S466" s="878">
        <v>0</v>
      </c>
      <c r="T466" s="878">
        <v>0</v>
      </c>
      <c r="U466" s="878">
        <v>0</v>
      </c>
      <c r="V466" s="878">
        <v>0</v>
      </c>
      <c r="W466" s="878">
        <v>0</v>
      </c>
      <c r="X466" s="878">
        <v>0</v>
      </c>
      <c r="Y466" s="878">
        <v>0</v>
      </c>
      <c r="Z466" s="878">
        <v>0</v>
      </c>
      <c r="AA466" s="878">
        <v>0</v>
      </c>
      <c r="AB466" s="878">
        <v>0</v>
      </c>
      <c r="AC466" s="878">
        <v>0</v>
      </c>
      <c r="AD466" s="878">
        <v>0</v>
      </c>
      <c r="AE466" s="878">
        <v>0</v>
      </c>
      <c r="AF466" s="878">
        <v>0</v>
      </c>
      <c r="AG466" s="878">
        <v>0</v>
      </c>
      <c r="AH466" s="878">
        <v>0</v>
      </c>
      <c r="AI466" s="878">
        <v>0</v>
      </c>
      <c r="AJ466" s="878">
        <v>0</v>
      </c>
      <c r="AK466" s="878">
        <v>0</v>
      </c>
      <c r="AL466" s="195"/>
      <c r="AM466" s="195"/>
    </row>
    <row r="467" spans="1:39" ht="17.100000000000001" customHeight="1">
      <c r="A467" s="982" t="str">
        <f t="shared" ref="A467:A472" si="47">+A368</f>
        <v>GERENTE</v>
      </c>
      <c r="B467" s="879" t="s">
        <v>900</v>
      </c>
      <c r="C467" s="879" t="s">
        <v>900</v>
      </c>
      <c r="D467" s="879" t="s">
        <v>900</v>
      </c>
      <c r="E467" s="879" t="s">
        <v>900</v>
      </c>
      <c r="F467" s="879" t="s">
        <v>900</v>
      </c>
      <c r="G467" s="879" t="s">
        <v>900</v>
      </c>
      <c r="H467" s="879" t="s">
        <v>900</v>
      </c>
      <c r="I467" s="879" t="s">
        <v>900</v>
      </c>
      <c r="J467" s="879" t="s">
        <v>900</v>
      </c>
      <c r="K467" s="879" t="s">
        <v>900</v>
      </c>
      <c r="L467" s="879" t="s">
        <v>900</v>
      </c>
      <c r="M467" s="879" t="s">
        <v>900</v>
      </c>
      <c r="N467" s="879" t="s">
        <v>900</v>
      </c>
      <c r="O467" s="879" t="s">
        <v>900</v>
      </c>
      <c r="P467" s="879" t="s">
        <v>900</v>
      </c>
      <c r="Q467" s="879" t="s">
        <v>900</v>
      </c>
      <c r="R467" s="879" t="s">
        <v>900</v>
      </c>
      <c r="S467" s="879" t="s">
        <v>900</v>
      </c>
      <c r="T467" s="879" t="s">
        <v>900</v>
      </c>
      <c r="U467" s="879" t="s">
        <v>900</v>
      </c>
      <c r="V467" s="879" t="s">
        <v>900</v>
      </c>
      <c r="W467" s="879" t="s">
        <v>900</v>
      </c>
      <c r="X467" s="879" t="s">
        <v>900</v>
      </c>
      <c r="Y467" s="879" t="s">
        <v>900</v>
      </c>
      <c r="Z467" s="879" t="s">
        <v>900</v>
      </c>
      <c r="AA467" s="879" t="s">
        <v>900</v>
      </c>
      <c r="AB467" s="879" t="s">
        <v>900</v>
      </c>
      <c r="AC467" s="879" t="s">
        <v>900</v>
      </c>
      <c r="AD467" s="879" t="s">
        <v>900</v>
      </c>
      <c r="AE467" s="879" t="s">
        <v>900</v>
      </c>
      <c r="AF467" s="879" t="s">
        <v>900</v>
      </c>
      <c r="AG467" s="879" t="s">
        <v>900</v>
      </c>
      <c r="AH467" s="879" t="s">
        <v>900</v>
      </c>
      <c r="AI467" s="879" t="s">
        <v>900</v>
      </c>
      <c r="AJ467" s="879" t="s">
        <v>900</v>
      </c>
      <c r="AK467" s="879" t="s">
        <v>900</v>
      </c>
      <c r="AL467" s="195"/>
      <c r="AM467" s="195"/>
    </row>
    <row r="468" spans="1:39" ht="17.100000000000001" customHeight="1">
      <c r="A468" s="982" t="str">
        <f t="shared" si="47"/>
        <v/>
      </c>
      <c r="B468" s="879" t="s">
        <v>900</v>
      </c>
      <c r="C468" s="879" t="s">
        <v>900</v>
      </c>
      <c r="D468" s="879" t="s">
        <v>900</v>
      </c>
      <c r="E468" s="879" t="s">
        <v>900</v>
      </c>
      <c r="F468" s="879" t="s">
        <v>900</v>
      </c>
      <c r="G468" s="879" t="s">
        <v>900</v>
      </c>
      <c r="H468" s="879" t="s">
        <v>900</v>
      </c>
      <c r="I468" s="879" t="s">
        <v>900</v>
      </c>
      <c r="J468" s="879" t="s">
        <v>900</v>
      </c>
      <c r="K468" s="879" t="s">
        <v>900</v>
      </c>
      <c r="L468" s="879" t="s">
        <v>900</v>
      </c>
      <c r="M468" s="879" t="s">
        <v>900</v>
      </c>
      <c r="N468" s="879" t="s">
        <v>900</v>
      </c>
      <c r="O468" s="879" t="s">
        <v>900</v>
      </c>
      <c r="P468" s="879" t="s">
        <v>900</v>
      </c>
      <c r="Q468" s="879" t="s">
        <v>900</v>
      </c>
      <c r="R468" s="879" t="s">
        <v>900</v>
      </c>
      <c r="S468" s="879" t="s">
        <v>900</v>
      </c>
      <c r="T468" s="879" t="s">
        <v>900</v>
      </c>
      <c r="U468" s="879" t="s">
        <v>900</v>
      </c>
      <c r="V468" s="879" t="s">
        <v>900</v>
      </c>
      <c r="W468" s="879" t="s">
        <v>900</v>
      </c>
      <c r="X468" s="879" t="s">
        <v>900</v>
      </c>
      <c r="Y468" s="879" t="s">
        <v>900</v>
      </c>
      <c r="Z468" s="879" t="s">
        <v>900</v>
      </c>
      <c r="AA468" s="879" t="s">
        <v>900</v>
      </c>
      <c r="AB468" s="879" t="s">
        <v>900</v>
      </c>
      <c r="AC468" s="879" t="s">
        <v>900</v>
      </c>
      <c r="AD468" s="879" t="s">
        <v>900</v>
      </c>
      <c r="AE468" s="879" t="s">
        <v>900</v>
      </c>
      <c r="AF468" s="879" t="s">
        <v>900</v>
      </c>
      <c r="AG468" s="879" t="s">
        <v>900</v>
      </c>
      <c r="AH468" s="879" t="s">
        <v>900</v>
      </c>
      <c r="AI468" s="879" t="s">
        <v>900</v>
      </c>
      <c r="AJ468" s="879" t="s">
        <v>900</v>
      </c>
      <c r="AK468" s="879" t="s">
        <v>900</v>
      </c>
      <c r="AL468" s="195"/>
      <c r="AM468" s="195"/>
    </row>
    <row r="469" spans="1:39" ht="17.100000000000001" customHeight="1">
      <c r="A469" s="982" t="str">
        <f t="shared" si="47"/>
        <v/>
      </c>
      <c r="B469" s="879" t="s">
        <v>900</v>
      </c>
      <c r="C469" s="879" t="s">
        <v>900</v>
      </c>
      <c r="D469" s="879" t="s">
        <v>900</v>
      </c>
      <c r="E469" s="879" t="s">
        <v>900</v>
      </c>
      <c r="F469" s="879" t="s">
        <v>900</v>
      </c>
      <c r="G469" s="879" t="s">
        <v>900</v>
      </c>
      <c r="H469" s="879" t="s">
        <v>900</v>
      </c>
      <c r="I469" s="879" t="s">
        <v>900</v>
      </c>
      <c r="J469" s="879" t="s">
        <v>900</v>
      </c>
      <c r="K469" s="879" t="s">
        <v>900</v>
      </c>
      <c r="L469" s="879" t="s">
        <v>900</v>
      </c>
      <c r="M469" s="879" t="s">
        <v>900</v>
      </c>
      <c r="N469" s="879" t="s">
        <v>900</v>
      </c>
      <c r="O469" s="879" t="s">
        <v>900</v>
      </c>
      <c r="P469" s="879" t="s">
        <v>900</v>
      </c>
      <c r="Q469" s="879" t="s">
        <v>900</v>
      </c>
      <c r="R469" s="879" t="s">
        <v>900</v>
      </c>
      <c r="S469" s="879" t="s">
        <v>900</v>
      </c>
      <c r="T469" s="879" t="s">
        <v>900</v>
      </c>
      <c r="U469" s="879" t="s">
        <v>900</v>
      </c>
      <c r="V469" s="879" t="s">
        <v>900</v>
      </c>
      <c r="W469" s="879" t="s">
        <v>900</v>
      </c>
      <c r="X469" s="879" t="s">
        <v>900</v>
      </c>
      <c r="Y469" s="879" t="s">
        <v>900</v>
      </c>
      <c r="Z469" s="879" t="s">
        <v>900</v>
      </c>
      <c r="AA469" s="879" t="s">
        <v>900</v>
      </c>
      <c r="AB469" s="879" t="s">
        <v>900</v>
      </c>
      <c r="AC469" s="879" t="s">
        <v>900</v>
      </c>
      <c r="AD469" s="879" t="s">
        <v>900</v>
      </c>
      <c r="AE469" s="879" t="s">
        <v>900</v>
      </c>
      <c r="AF469" s="879" t="s">
        <v>900</v>
      </c>
      <c r="AG469" s="879" t="s">
        <v>900</v>
      </c>
      <c r="AH469" s="879" t="s">
        <v>900</v>
      </c>
      <c r="AI469" s="879" t="s">
        <v>900</v>
      </c>
      <c r="AJ469" s="879" t="s">
        <v>900</v>
      </c>
      <c r="AK469" s="879" t="s">
        <v>900</v>
      </c>
      <c r="AL469" s="195"/>
      <c r="AM469" s="195"/>
    </row>
    <row r="470" spans="1:39" ht="17.100000000000001" customHeight="1">
      <c r="A470" s="982" t="str">
        <f t="shared" si="47"/>
        <v/>
      </c>
      <c r="B470" s="879" t="s">
        <v>900</v>
      </c>
      <c r="C470" s="879" t="s">
        <v>900</v>
      </c>
      <c r="D470" s="879" t="s">
        <v>900</v>
      </c>
      <c r="E470" s="879" t="s">
        <v>900</v>
      </c>
      <c r="F470" s="879" t="s">
        <v>900</v>
      </c>
      <c r="G470" s="879" t="s">
        <v>900</v>
      </c>
      <c r="H470" s="879" t="s">
        <v>900</v>
      </c>
      <c r="I470" s="879" t="s">
        <v>900</v>
      </c>
      <c r="J470" s="879" t="s">
        <v>900</v>
      </c>
      <c r="K470" s="879" t="s">
        <v>900</v>
      </c>
      <c r="L470" s="879" t="s">
        <v>900</v>
      </c>
      <c r="M470" s="879" t="s">
        <v>900</v>
      </c>
      <c r="N470" s="879" t="s">
        <v>900</v>
      </c>
      <c r="O470" s="879" t="s">
        <v>900</v>
      </c>
      <c r="P470" s="879" t="s">
        <v>900</v>
      </c>
      <c r="Q470" s="879" t="s">
        <v>900</v>
      </c>
      <c r="R470" s="879" t="s">
        <v>900</v>
      </c>
      <c r="S470" s="879" t="s">
        <v>900</v>
      </c>
      <c r="T470" s="879" t="s">
        <v>900</v>
      </c>
      <c r="U470" s="879" t="s">
        <v>900</v>
      </c>
      <c r="V470" s="879" t="s">
        <v>900</v>
      </c>
      <c r="W470" s="879" t="s">
        <v>900</v>
      </c>
      <c r="X470" s="879" t="s">
        <v>900</v>
      </c>
      <c r="Y470" s="879" t="s">
        <v>900</v>
      </c>
      <c r="Z470" s="879" t="s">
        <v>900</v>
      </c>
      <c r="AA470" s="879" t="s">
        <v>900</v>
      </c>
      <c r="AB470" s="879" t="s">
        <v>900</v>
      </c>
      <c r="AC470" s="879" t="s">
        <v>900</v>
      </c>
      <c r="AD470" s="879" t="s">
        <v>900</v>
      </c>
      <c r="AE470" s="879" t="s">
        <v>900</v>
      </c>
      <c r="AF470" s="879" t="s">
        <v>900</v>
      </c>
      <c r="AG470" s="879" t="s">
        <v>900</v>
      </c>
      <c r="AH470" s="879" t="s">
        <v>900</v>
      </c>
      <c r="AI470" s="879" t="s">
        <v>900</v>
      </c>
      <c r="AJ470" s="879" t="s">
        <v>900</v>
      </c>
      <c r="AK470" s="879" t="s">
        <v>900</v>
      </c>
      <c r="AL470" s="195"/>
      <c r="AM470" s="195"/>
    </row>
    <row r="471" spans="1:39" ht="17.100000000000001" customHeight="1">
      <c r="A471" s="982" t="str">
        <f t="shared" si="47"/>
        <v/>
      </c>
      <c r="B471" s="879" t="s">
        <v>900</v>
      </c>
      <c r="C471" s="879" t="s">
        <v>900</v>
      </c>
      <c r="D471" s="879" t="s">
        <v>900</v>
      </c>
      <c r="E471" s="879" t="s">
        <v>900</v>
      </c>
      <c r="F471" s="879" t="s">
        <v>900</v>
      </c>
      <c r="G471" s="879" t="s">
        <v>900</v>
      </c>
      <c r="H471" s="879" t="s">
        <v>900</v>
      </c>
      <c r="I471" s="879" t="s">
        <v>900</v>
      </c>
      <c r="J471" s="879" t="s">
        <v>900</v>
      </c>
      <c r="K471" s="879" t="s">
        <v>900</v>
      </c>
      <c r="L471" s="879" t="s">
        <v>900</v>
      </c>
      <c r="M471" s="879" t="s">
        <v>900</v>
      </c>
      <c r="N471" s="879" t="s">
        <v>900</v>
      </c>
      <c r="O471" s="879" t="s">
        <v>900</v>
      </c>
      <c r="P471" s="879" t="s">
        <v>900</v>
      </c>
      <c r="Q471" s="879" t="s">
        <v>900</v>
      </c>
      <c r="R471" s="879" t="s">
        <v>900</v>
      </c>
      <c r="S471" s="879" t="s">
        <v>900</v>
      </c>
      <c r="T471" s="879" t="s">
        <v>900</v>
      </c>
      <c r="U471" s="879" t="s">
        <v>900</v>
      </c>
      <c r="V471" s="879" t="s">
        <v>900</v>
      </c>
      <c r="W471" s="879" t="s">
        <v>900</v>
      </c>
      <c r="X471" s="879" t="s">
        <v>900</v>
      </c>
      <c r="Y471" s="879" t="s">
        <v>900</v>
      </c>
      <c r="Z471" s="879" t="s">
        <v>900</v>
      </c>
      <c r="AA471" s="879" t="s">
        <v>900</v>
      </c>
      <c r="AB471" s="879" t="s">
        <v>900</v>
      </c>
      <c r="AC471" s="879" t="s">
        <v>900</v>
      </c>
      <c r="AD471" s="879" t="s">
        <v>900</v>
      </c>
      <c r="AE471" s="879" t="s">
        <v>900</v>
      </c>
      <c r="AF471" s="879" t="s">
        <v>900</v>
      </c>
      <c r="AG471" s="879" t="s">
        <v>900</v>
      </c>
      <c r="AH471" s="879" t="s">
        <v>900</v>
      </c>
      <c r="AI471" s="879" t="s">
        <v>900</v>
      </c>
      <c r="AJ471" s="879" t="s">
        <v>900</v>
      </c>
      <c r="AK471" s="879" t="s">
        <v>900</v>
      </c>
      <c r="AL471" s="195"/>
      <c r="AM471" s="195"/>
    </row>
    <row r="472" spans="1:39" ht="17.100000000000001" customHeight="1">
      <c r="A472" s="982" t="str">
        <f t="shared" si="47"/>
        <v/>
      </c>
      <c r="B472" s="879" t="s">
        <v>900</v>
      </c>
      <c r="C472" s="879" t="s">
        <v>900</v>
      </c>
      <c r="D472" s="879" t="s">
        <v>900</v>
      </c>
      <c r="E472" s="879" t="s">
        <v>900</v>
      </c>
      <c r="F472" s="879" t="s">
        <v>900</v>
      </c>
      <c r="G472" s="879" t="s">
        <v>900</v>
      </c>
      <c r="H472" s="879" t="s">
        <v>900</v>
      </c>
      <c r="I472" s="879" t="s">
        <v>900</v>
      </c>
      <c r="J472" s="879" t="s">
        <v>900</v>
      </c>
      <c r="K472" s="879" t="s">
        <v>900</v>
      </c>
      <c r="L472" s="879" t="s">
        <v>900</v>
      </c>
      <c r="M472" s="879" t="s">
        <v>900</v>
      </c>
      <c r="N472" s="879" t="s">
        <v>900</v>
      </c>
      <c r="O472" s="879" t="s">
        <v>900</v>
      </c>
      <c r="P472" s="879" t="s">
        <v>900</v>
      </c>
      <c r="Q472" s="879" t="s">
        <v>900</v>
      </c>
      <c r="R472" s="879" t="s">
        <v>900</v>
      </c>
      <c r="S472" s="879" t="s">
        <v>900</v>
      </c>
      <c r="T472" s="879" t="s">
        <v>900</v>
      </c>
      <c r="U472" s="879" t="s">
        <v>900</v>
      </c>
      <c r="V472" s="879" t="s">
        <v>900</v>
      </c>
      <c r="W472" s="879" t="s">
        <v>900</v>
      </c>
      <c r="X472" s="879" t="s">
        <v>900</v>
      </c>
      <c r="Y472" s="879" t="s">
        <v>900</v>
      </c>
      <c r="Z472" s="879" t="s">
        <v>900</v>
      </c>
      <c r="AA472" s="879" t="s">
        <v>900</v>
      </c>
      <c r="AB472" s="879" t="s">
        <v>900</v>
      </c>
      <c r="AC472" s="879" t="s">
        <v>900</v>
      </c>
      <c r="AD472" s="879" t="s">
        <v>900</v>
      </c>
      <c r="AE472" s="879" t="s">
        <v>900</v>
      </c>
      <c r="AF472" s="879" t="s">
        <v>900</v>
      </c>
      <c r="AG472" s="879" t="s">
        <v>900</v>
      </c>
      <c r="AH472" s="879" t="s">
        <v>900</v>
      </c>
      <c r="AI472" s="879" t="s">
        <v>900</v>
      </c>
      <c r="AJ472" s="879" t="s">
        <v>900</v>
      </c>
      <c r="AK472" s="879" t="s">
        <v>900</v>
      </c>
      <c r="AL472" s="195"/>
      <c r="AM472" s="195"/>
    </row>
    <row r="473" spans="1:39" ht="17.100000000000001" customHeight="1">
      <c r="A473" s="195"/>
      <c r="B473" s="275"/>
      <c r="C473" s="275"/>
      <c r="D473" s="195"/>
      <c r="E473" s="195"/>
      <c r="F473" s="195"/>
      <c r="G473" s="195"/>
      <c r="H473" s="195"/>
      <c r="I473" s="195"/>
      <c r="J473" s="195"/>
      <c r="K473" s="195"/>
      <c r="L473" s="195"/>
      <c r="M473" s="195"/>
      <c r="N473" s="195"/>
      <c r="O473" s="195"/>
      <c r="P473" s="195"/>
      <c r="Q473" s="195"/>
      <c r="R473" s="195"/>
      <c r="S473" s="195"/>
      <c r="T473" s="195"/>
      <c r="U473" s="195"/>
      <c r="V473" s="195"/>
      <c r="W473" s="195"/>
      <c r="X473" s="195"/>
      <c r="Y473" s="195"/>
      <c r="Z473" s="195"/>
      <c r="AA473" s="195"/>
      <c r="AB473" s="195"/>
      <c r="AC473" s="195"/>
      <c r="AD473" s="195"/>
      <c r="AE473" s="195"/>
      <c r="AF473" s="195"/>
      <c r="AG473" s="195"/>
      <c r="AH473" s="195"/>
      <c r="AI473" s="195"/>
      <c r="AJ473" s="195"/>
      <c r="AK473" s="195"/>
      <c r="AL473" s="195"/>
      <c r="AM473" s="195"/>
    </row>
    <row r="474" spans="1:39" ht="17.100000000000001" customHeight="1">
      <c r="A474" s="195"/>
      <c r="B474" s="275"/>
      <c r="C474" s="275"/>
      <c r="D474" s="195"/>
      <c r="E474" s="195"/>
      <c r="F474" s="195"/>
      <c r="G474" s="195"/>
      <c r="H474" s="195"/>
      <c r="I474" s="195"/>
      <c r="J474" s="195"/>
      <c r="K474" s="195"/>
      <c r="L474" s="195"/>
      <c r="M474" s="195"/>
      <c r="N474" s="195"/>
      <c r="O474" s="195"/>
      <c r="P474" s="195"/>
      <c r="Q474" s="195"/>
      <c r="R474" s="195"/>
      <c r="S474" s="195"/>
      <c r="T474" s="195"/>
      <c r="U474" s="195"/>
      <c r="V474" s="195"/>
      <c r="W474" s="195"/>
      <c r="X474" s="195"/>
      <c r="Y474" s="195"/>
      <c r="Z474" s="195"/>
      <c r="AA474" s="195"/>
      <c r="AB474" s="195"/>
      <c r="AC474" s="195"/>
      <c r="AD474" s="195"/>
      <c r="AE474" s="195"/>
      <c r="AF474" s="195"/>
      <c r="AG474" s="195"/>
      <c r="AH474" s="195"/>
      <c r="AI474" s="195"/>
      <c r="AJ474" s="195"/>
      <c r="AK474" s="195"/>
      <c r="AL474" s="195"/>
      <c r="AM474" s="195"/>
    </row>
    <row r="475" spans="1:39" ht="17.100000000000001" customHeight="1">
      <c r="A475" s="195"/>
      <c r="B475" s="275"/>
      <c r="C475" s="275"/>
      <c r="D475" s="195"/>
      <c r="E475" s="195"/>
      <c r="F475" s="195"/>
      <c r="G475" s="195"/>
      <c r="H475" s="195"/>
      <c r="I475" s="195"/>
      <c r="J475" s="195"/>
      <c r="K475" s="195"/>
      <c r="L475" s="195"/>
      <c r="M475" s="195"/>
      <c r="N475" s="195"/>
      <c r="O475" s="195"/>
      <c r="P475" s="195"/>
      <c r="Q475" s="195"/>
      <c r="R475" s="195"/>
      <c r="S475" s="195"/>
      <c r="T475" s="195"/>
      <c r="U475" s="195"/>
      <c r="V475" s="195"/>
      <c r="W475" s="195"/>
      <c r="X475" s="195"/>
      <c r="Y475" s="195"/>
      <c r="Z475" s="195"/>
      <c r="AA475" s="195"/>
      <c r="AB475" s="195"/>
      <c r="AC475" s="195"/>
      <c r="AD475" s="195"/>
      <c r="AE475" s="195"/>
      <c r="AF475" s="195"/>
      <c r="AG475" s="195"/>
      <c r="AH475" s="195"/>
      <c r="AI475" s="195"/>
      <c r="AJ475" s="195"/>
      <c r="AK475" s="195"/>
      <c r="AL475" s="195"/>
      <c r="AM475" s="195"/>
    </row>
    <row r="476" spans="1:39" ht="17.100000000000001" customHeight="1">
      <c r="A476" s="195"/>
      <c r="B476" s="275"/>
      <c r="C476" s="275"/>
      <c r="D476" s="195"/>
      <c r="E476" s="195"/>
      <c r="F476" s="195"/>
      <c r="G476" s="195"/>
      <c r="H476" s="195"/>
      <c r="I476" s="195"/>
      <c r="J476" s="195"/>
      <c r="K476" s="195"/>
      <c r="L476" s="195"/>
      <c r="M476" s="195"/>
      <c r="N476" s="195"/>
      <c r="O476" s="195"/>
      <c r="P476" s="195"/>
      <c r="Q476" s="195"/>
      <c r="R476" s="195"/>
      <c r="S476" s="195"/>
      <c r="T476" s="195"/>
      <c r="U476" s="195"/>
      <c r="V476" s="195"/>
      <c r="W476" s="195"/>
      <c r="X476" s="195"/>
      <c r="Y476" s="195"/>
      <c r="Z476" s="195"/>
      <c r="AA476" s="195"/>
      <c r="AB476" s="195"/>
      <c r="AC476" s="195"/>
      <c r="AD476" s="195"/>
      <c r="AE476" s="195"/>
      <c r="AF476" s="195"/>
      <c r="AG476" s="195"/>
      <c r="AH476" s="195"/>
      <c r="AI476" s="195"/>
      <c r="AJ476" s="195"/>
      <c r="AK476" s="195"/>
      <c r="AL476" s="195"/>
      <c r="AM476" s="195"/>
    </row>
    <row r="477" spans="1:39" ht="17.100000000000001" customHeight="1">
      <c r="A477" s="195"/>
      <c r="B477" s="275"/>
      <c r="C477" s="275"/>
      <c r="D477" s="195"/>
      <c r="E477" s="195"/>
      <c r="F477" s="195"/>
      <c r="G477" s="195"/>
      <c r="H477" s="195"/>
      <c r="I477" s="195"/>
      <c r="J477" s="195"/>
      <c r="K477" s="195"/>
      <c r="L477" s="195"/>
      <c r="M477" s="195"/>
      <c r="N477" s="195"/>
      <c r="O477" s="195"/>
      <c r="P477" s="195"/>
      <c r="Q477" s="195"/>
      <c r="R477" s="195"/>
      <c r="S477" s="195"/>
      <c r="T477" s="195"/>
      <c r="U477" s="195"/>
      <c r="V477" s="195"/>
      <c r="W477" s="195"/>
      <c r="X477" s="195"/>
      <c r="Y477" s="195"/>
      <c r="Z477" s="195"/>
      <c r="AA477" s="195"/>
      <c r="AB477" s="195"/>
      <c r="AC477" s="195"/>
      <c r="AD477" s="195"/>
      <c r="AE477" s="195"/>
      <c r="AF477" s="195"/>
      <c r="AG477" s="195"/>
      <c r="AH477" s="195"/>
      <c r="AI477" s="195"/>
      <c r="AJ477" s="195"/>
      <c r="AK477" s="195"/>
      <c r="AL477" s="195"/>
      <c r="AM477" s="195"/>
    </row>
    <row r="478" spans="1:39" ht="17.100000000000001" customHeight="1">
      <c r="A478" s="195"/>
      <c r="B478" s="195"/>
      <c r="C478" s="195"/>
      <c r="D478" s="195"/>
      <c r="E478" s="195"/>
      <c r="F478" s="195"/>
      <c r="G478" s="195"/>
      <c r="H478" s="195"/>
      <c r="I478" s="195"/>
      <c r="J478" s="195"/>
      <c r="K478" s="195"/>
      <c r="L478" s="195"/>
      <c r="M478" s="195"/>
      <c r="N478" s="195"/>
      <c r="O478" s="195"/>
      <c r="P478" s="195"/>
      <c r="Q478" s="195"/>
      <c r="R478" s="195"/>
      <c r="S478" s="195"/>
      <c r="T478" s="195"/>
      <c r="U478" s="195"/>
      <c r="V478" s="195"/>
      <c r="W478" s="195"/>
      <c r="X478" s="195"/>
      <c r="Y478" s="195"/>
      <c r="Z478" s="195"/>
      <c r="AA478" s="195"/>
      <c r="AB478" s="195"/>
      <c r="AC478" s="195"/>
      <c r="AD478" s="195"/>
      <c r="AE478" s="195"/>
      <c r="AF478" s="195"/>
      <c r="AG478" s="195"/>
      <c r="AH478" s="195"/>
      <c r="AI478" s="195"/>
      <c r="AJ478" s="195"/>
      <c r="AK478" s="195"/>
      <c r="AL478" s="195"/>
      <c r="AM478" s="195"/>
    </row>
    <row r="479" spans="1:39" ht="17.100000000000001" customHeight="1">
      <c r="A479" s="272" t="s">
        <v>760</v>
      </c>
      <c r="B479" s="195"/>
      <c r="C479" s="195"/>
      <c r="D479" s="195"/>
      <c r="E479" s="195"/>
      <c r="F479" s="195"/>
      <c r="G479" s="195"/>
      <c r="H479" s="195"/>
      <c r="I479" s="195"/>
      <c r="J479" s="195"/>
      <c r="K479" s="195"/>
      <c r="L479" s="195"/>
      <c r="M479" s="195"/>
      <c r="N479" s="195"/>
      <c r="O479" s="195"/>
      <c r="P479" s="195"/>
      <c r="Q479" s="195"/>
      <c r="R479" s="195"/>
      <c r="S479" s="195"/>
      <c r="T479" s="195"/>
      <c r="U479" s="195"/>
      <c r="V479" s="195"/>
      <c r="W479" s="195"/>
      <c r="X479" s="195"/>
      <c r="Y479" s="195"/>
      <c r="Z479" s="195"/>
      <c r="AA479" s="195"/>
      <c r="AB479" s="195"/>
      <c r="AC479" s="195"/>
      <c r="AD479" s="195"/>
      <c r="AE479" s="195"/>
      <c r="AF479" s="195"/>
      <c r="AG479" s="195"/>
      <c r="AH479" s="195"/>
      <c r="AI479" s="195"/>
      <c r="AJ479" s="195"/>
      <c r="AK479" s="195"/>
      <c r="AL479" s="195"/>
      <c r="AM479" s="195"/>
    </row>
    <row r="480" spans="1:39" ht="17.100000000000001" customHeight="1">
      <c r="A480" s="272"/>
      <c r="B480" s="195"/>
      <c r="C480" s="195"/>
      <c r="D480" s="195"/>
      <c r="E480" s="195"/>
      <c r="F480" s="195"/>
      <c r="G480" s="195"/>
      <c r="H480" s="195"/>
      <c r="I480" s="195"/>
      <c r="J480" s="195"/>
      <c r="K480" s="195"/>
      <c r="L480" s="195"/>
      <c r="M480" s="195"/>
      <c r="N480" s="195"/>
      <c r="O480" s="195"/>
      <c r="P480" s="195"/>
      <c r="Q480" s="195"/>
      <c r="R480" s="195"/>
      <c r="S480" s="195"/>
      <c r="T480" s="195"/>
      <c r="U480" s="195"/>
      <c r="V480" s="195"/>
      <c r="W480" s="195"/>
      <c r="X480" s="195"/>
      <c r="Y480" s="195"/>
      <c r="Z480" s="195"/>
      <c r="AA480" s="195"/>
      <c r="AB480" s="195"/>
      <c r="AC480" s="195"/>
      <c r="AD480" s="195"/>
      <c r="AE480" s="195"/>
      <c r="AF480" s="195"/>
      <c r="AG480" s="195"/>
      <c r="AH480" s="195"/>
      <c r="AI480" s="195"/>
      <c r="AJ480" s="195"/>
      <c r="AK480" s="195"/>
      <c r="AL480" s="195"/>
      <c r="AM480" s="195"/>
    </row>
    <row r="481" spans="1:39" ht="17.100000000000001" customHeight="1">
      <c r="A481" s="272"/>
      <c r="B481" s="195"/>
      <c r="C481" s="195"/>
      <c r="D481" s="195"/>
      <c r="E481" s="195"/>
      <c r="F481" s="195"/>
      <c r="G481" s="195"/>
      <c r="H481" s="195"/>
      <c r="I481" s="195"/>
      <c r="J481" s="195"/>
      <c r="K481" s="195"/>
      <c r="L481" s="195"/>
      <c r="M481" s="195"/>
      <c r="N481" s="195"/>
      <c r="O481" s="195"/>
      <c r="P481" s="195"/>
      <c r="Q481" s="195"/>
      <c r="R481" s="195"/>
      <c r="S481" s="195"/>
      <c r="T481" s="195"/>
      <c r="U481" s="195"/>
      <c r="V481" s="195"/>
      <c r="W481" s="195"/>
      <c r="X481" s="195"/>
      <c r="Y481" s="195"/>
      <c r="Z481" s="195"/>
      <c r="AA481" s="195"/>
      <c r="AB481" s="195"/>
      <c r="AC481" s="195"/>
      <c r="AD481" s="195"/>
      <c r="AE481" s="195"/>
      <c r="AF481" s="195"/>
      <c r="AG481" s="195"/>
      <c r="AH481" s="195"/>
      <c r="AI481" s="195"/>
      <c r="AJ481" s="195"/>
      <c r="AK481" s="195"/>
      <c r="AL481" s="195"/>
      <c r="AM481" s="195"/>
    </row>
    <row r="482" spans="1:39" ht="17.100000000000001" customHeight="1">
      <c r="A482" s="195"/>
      <c r="B482" s="195"/>
      <c r="C482" s="195"/>
      <c r="D482" s="195"/>
      <c r="E482" s="195"/>
      <c r="F482" s="195"/>
      <c r="G482" s="195"/>
      <c r="H482" s="195"/>
      <c r="I482" s="195"/>
      <c r="J482" s="195"/>
      <c r="K482" s="195"/>
      <c r="L482" s="195"/>
      <c r="M482" s="195"/>
      <c r="N482" s="195"/>
      <c r="O482" s="195"/>
      <c r="P482" s="195"/>
      <c r="Q482" s="195"/>
      <c r="R482" s="195"/>
      <c r="S482" s="195"/>
      <c r="T482" s="195"/>
      <c r="U482" s="195"/>
      <c r="V482" s="195"/>
      <c r="W482" s="195"/>
      <c r="X482" s="195"/>
      <c r="Y482" s="195"/>
      <c r="Z482" s="195"/>
      <c r="AA482" s="195"/>
      <c r="AB482" s="195"/>
      <c r="AC482" s="195"/>
      <c r="AD482" s="195"/>
      <c r="AE482" s="195"/>
      <c r="AF482" s="195"/>
      <c r="AG482" s="195"/>
      <c r="AH482" s="195"/>
      <c r="AI482" s="195"/>
      <c r="AJ482" s="195"/>
      <c r="AK482" s="195"/>
      <c r="AL482" s="195"/>
      <c r="AM482" s="195"/>
    </row>
    <row r="483" spans="1:39" ht="17.100000000000001" customHeight="1">
      <c r="A483" s="272"/>
      <c r="B483" s="195"/>
      <c r="C483" s="195"/>
      <c r="D483" s="195"/>
      <c r="E483" s="195"/>
      <c r="F483" s="195"/>
      <c r="G483" s="195"/>
      <c r="H483" s="195"/>
      <c r="I483" s="195"/>
      <c r="J483" s="195"/>
      <c r="K483" s="195"/>
      <c r="L483" s="195"/>
      <c r="M483" s="195"/>
      <c r="N483" s="195"/>
      <c r="O483" s="195"/>
      <c r="P483" s="195"/>
      <c r="Q483" s="195"/>
      <c r="R483" s="195"/>
      <c r="S483" s="195"/>
      <c r="T483" s="195"/>
      <c r="U483" s="195"/>
      <c r="V483" s="195"/>
      <c r="W483" s="195"/>
      <c r="X483" s="195"/>
      <c r="Y483" s="195"/>
      <c r="Z483" s="195"/>
      <c r="AA483" s="195"/>
      <c r="AB483" s="195"/>
      <c r="AC483" s="195"/>
      <c r="AD483" s="195"/>
      <c r="AE483" s="195"/>
      <c r="AF483" s="195"/>
      <c r="AG483" s="195"/>
      <c r="AH483" s="195"/>
      <c r="AI483" s="195"/>
      <c r="AJ483" s="195"/>
      <c r="AK483" s="195"/>
      <c r="AL483" s="195"/>
      <c r="AM483" s="195"/>
    </row>
    <row r="484" spans="1:39" ht="17.100000000000001" customHeight="1">
      <c r="A484" s="272"/>
      <c r="B484" s="195"/>
      <c r="C484" s="195"/>
      <c r="D484" s="195"/>
      <c r="E484" s="195"/>
      <c r="F484" s="195"/>
      <c r="G484" s="195"/>
      <c r="H484" s="195"/>
      <c r="I484" s="195"/>
      <c r="J484" s="195"/>
      <c r="K484" s="195"/>
      <c r="L484" s="195"/>
      <c r="M484" s="195"/>
      <c r="N484" s="195"/>
      <c r="O484" s="195"/>
      <c r="P484" s="195"/>
      <c r="Q484" s="195"/>
      <c r="R484" s="195"/>
      <c r="S484" s="195"/>
      <c r="T484" s="195"/>
      <c r="U484" s="195"/>
      <c r="V484" s="195"/>
      <c r="W484" s="195"/>
      <c r="X484" s="195"/>
      <c r="Y484" s="195"/>
      <c r="Z484" s="195"/>
      <c r="AA484" s="195"/>
      <c r="AB484" s="195"/>
      <c r="AC484" s="195"/>
      <c r="AD484" s="195"/>
      <c r="AE484" s="195"/>
      <c r="AF484" s="195"/>
      <c r="AG484" s="195"/>
      <c r="AH484" s="195"/>
      <c r="AI484" s="195"/>
      <c r="AJ484" s="195"/>
      <c r="AK484" s="195"/>
      <c r="AL484" s="195"/>
      <c r="AM484" s="195"/>
    </row>
    <row r="485" spans="1:39" ht="17.100000000000001" customHeight="1">
      <c r="A485" s="272"/>
      <c r="B485" s="195"/>
      <c r="C485" s="195"/>
      <c r="D485" s="195"/>
      <c r="E485" s="195"/>
      <c r="F485" s="195"/>
      <c r="G485" s="195"/>
      <c r="H485" s="195"/>
      <c r="I485" s="195"/>
      <c r="J485" s="195"/>
      <c r="K485" s="195"/>
      <c r="L485" s="195"/>
      <c r="M485" s="195"/>
      <c r="N485" s="195"/>
      <c r="O485" s="195"/>
      <c r="P485" s="195"/>
      <c r="Q485" s="195"/>
      <c r="R485" s="195"/>
      <c r="S485" s="195"/>
      <c r="T485" s="195"/>
      <c r="U485" s="195"/>
      <c r="V485" s="195"/>
      <c r="W485" s="195"/>
      <c r="X485" s="195"/>
      <c r="Y485" s="195"/>
      <c r="Z485" s="195"/>
      <c r="AA485" s="195"/>
      <c r="AB485" s="195"/>
      <c r="AC485" s="195"/>
      <c r="AD485" s="195"/>
      <c r="AE485" s="195"/>
      <c r="AF485" s="195"/>
      <c r="AG485" s="195"/>
      <c r="AH485" s="195"/>
      <c r="AI485" s="195"/>
      <c r="AJ485" s="195"/>
      <c r="AK485" s="195"/>
      <c r="AL485" s="195"/>
      <c r="AM485" s="195"/>
    </row>
    <row r="486" spans="1:39" ht="17.100000000000001" customHeight="1">
      <c r="A486" s="272"/>
      <c r="B486" s="195"/>
      <c r="C486" s="195"/>
      <c r="D486" s="195"/>
      <c r="E486" s="195"/>
      <c r="F486" s="195"/>
      <c r="G486" s="195"/>
      <c r="H486" s="195"/>
      <c r="I486" s="195"/>
      <c r="J486" s="195"/>
      <c r="K486" s="195"/>
      <c r="L486" s="195"/>
      <c r="M486" s="195"/>
      <c r="N486" s="195"/>
      <c r="O486" s="195"/>
      <c r="P486" s="195"/>
      <c r="Q486" s="195"/>
      <c r="R486" s="195"/>
      <c r="S486" s="195"/>
      <c r="T486" s="195"/>
      <c r="U486" s="195"/>
      <c r="V486" s="195"/>
      <c r="W486" s="195"/>
      <c r="X486" s="195"/>
      <c r="Y486" s="195"/>
      <c r="Z486" s="195"/>
      <c r="AA486" s="195"/>
      <c r="AB486" s="195"/>
      <c r="AC486" s="195"/>
      <c r="AD486" s="195"/>
      <c r="AE486" s="195"/>
      <c r="AF486" s="195"/>
      <c r="AG486" s="195"/>
      <c r="AH486" s="195"/>
      <c r="AI486" s="195"/>
      <c r="AJ486" s="195"/>
      <c r="AK486" s="195"/>
      <c r="AL486" s="195"/>
      <c r="AM486" s="195"/>
    </row>
    <row r="487" spans="1:39" ht="17.100000000000001" customHeight="1">
      <c r="A487" s="272"/>
      <c r="B487" s="195"/>
      <c r="C487" s="195"/>
      <c r="D487" s="195"/>
      <c r="E487" s="195"/>
      <c r="F487" s="195"/>
      <c r="G487" s="195"/>
      <c r="H487" s="195"/>
      <c r="I487" s="195"/>
      <c r="J487" s="195"/>
      <c r="K487" s="195"/>
      <c r="L487" s="195"/>
      <c r="M487" s="195"/>
      <c r="N487" s="195"/>
      <c r="O487" s="195"/>
      <c r="P487" s="195"/>
      <c r="Q487" s="195"/>
      <c r="R487" s="195"/>
      <c r="S487" s="195"/>
      <c r="T487" s="195"/>
      <c r="U487" s="195"/>
      <c r="V487" s="195"/>
      <c r="W487" s="195"/>
      <c r="X487" s="195"/>
      <c r="Y487" s="195"/>
      <c r="Z487" s="195"/>
      <c r="AA487" s="195"/>
      <c r="AB487" s="195"/>
      <c r="AC487" s="195"/>
      <c r="AD487" s="195"/>
      <c r="AE487" s="195"/>
      <c r="AF487" s="195"/>
      <c r="AG487" s="195"/>
      <c r="AH487" s="195"/>
      <c r="AI487" s="195"/>
      <c r="AJ487" s="195"/>
      <c r="AK487" s="195"/>
      <c r="AL487" s="195"/>
      <c r="AM487" s="195"/>
    </row>
    <row r="488" spans="1:39" ht="17.100000000000001" customHeight="1">
      <c r="A488" s="195"/>
      <c r="B488" s="195"/>
      <c r="C488" s="195"/>
      <c r="D488" s="195"/>
      <c r="E488" s="195"/>
      <c r="F488" s="195"/>
      <c r="G488" s="195"/>
      <c r="H488" s="195"/>
      <c r="I488" s="195"/>
      <c r="J488" s="195"/>
      <c r="K488" s="195"/>
      <c r="L488" s="195"/>
      <c r="M488" s="195"/>
      <c r="N488" s="195"/>
      <c r="O488" s="195"/>
      <c r="P488" s="195"/>
      <c r="Q488" s="195"/>
      <c r="R488" s="195"/>
      <c r="S488" s="195"/>
      <c r="T488" s="195"/>
      <c r="U488" s="195"/>
      <c r="V488" s="195"/>
      <c r="W488" s="195"/>
      <c r="X488" s="195"/>
      <c r="Y488" s="195"/>
      <c r="Z488" s="195"/>
      <c r="AA488" s="195"/>
      <c r="AB488" s="195"/>
      <c r="AC488" s="195"/>
      <c r="AD488" s="195"/>
      <c r="AE488" s="195"/>
      <c r="AF488" s="195"/>
      <c r="AG488" s="195"/>
      <c r="AH488" s="195"/>
      <c r="AI488" s="195"/>
      <c r="AJ488" s="195"/>
      <c r="AK488" s="195"/>
      <c r="AL488" s="195"/>
      <c r="AM488" s="195"/>
    </row>
    <row r="489" spans="1:39" ht="17.100000000000001" customHeight="1">
      <c r="A489" s="272"/>
      <c r="B489" s="195"/>
      <c r="C489" s="195"/>
      <c r="D489" s="195"/>
      <c r="E489" s="195"/>
      <c r="F489" s="195"/>
      <c r="G489" s="195"/>
      <c r="H489" s="195"/>
      <c r="I489" s="195"/>
      <c r="J489" s="195"/>
      <c r="K489" s="195"/>
      <c r="L489" s="195"/>
      <c r="M489" s="195"/>
      <c r="N489" s="195"/>
      <c r="O489" s="195"/>
      <c r="P489" s="195"/>
      <c r="Q489" s="195"/>
      <c r="R489" s="195"/>
      <c r="S489" s="195"/>
      <c r="T489" s="195"/>
      <c r="U489" s="195"/>
      <c r="V489" s="195"/>
      <c r="W489" s="195"/>
      <c r="X489" s="195"/>
      <c r="Y489" s="195"/>
      <c r="Z489" s="195"/>
      <c r="AA489" s="195"/>
      <c r="AB489" s="195"/>
      <c r="AC489" s="195"/>
      <c r="AD489" s="195"/>
      <c r="AE489" s="195"/>
      <c r="AF489" s="195"/>
      <c r="AG489" s="195"/>
      <c r="AH489" s="195"/>
      <c r="AI489" s="195"/>
      <c r="AJ489" s="195"/>
      <c r="AK489" s="195"/>
      <c r="AL489" s="195"/>
      <c r="AM489" s="195"/>
    </row>
    <row r="490" spans="1:39" ht="17.100000000000001" customHeight="1">
      <c r="A490" s="272"/>
      <c r="B490" s="195"/>
      <c r="C490" s="195"/>
      <c r="D490" s="195"/>
      <c r="E490" s="195"/>
      <c r="F490" s="195"/>
      <c r="G490" s="195"/>
      <c r="H490" s="195"/>
      <c r="I490" s="195"/>
      <c r="J490" s="195"/>
      <c r="K490" s="195"/>
      <c r="L490" s="195"/>
      <c r="M490" s="195"/>
      <c r="N490" s="195"/>
      <c r="O490" s="195"/>
      <c r="P490" s="195"/>
      <c r="Q490" s="195"/>
      <c r="R490" s="195"/>
      <c r="S490" s="195"/>
      <c r="T490" s="195"/>
      <c r="U490" s="195"/>
      <c r="V490" s="195"/>
      <c r="W490" s="195"/>
      <c r="X490" s="195"/>
      <c r="Y490" s="195"/>
      <c r="Z490" s="195"/>
      <c r="AA490" s="195"/>
      <c r="AB490" s="195"/>
      <c r="AC490" s="195"/>
      <c r="AD490" s="195"/>
      <c r="AE490" s="195"/>
      <c r="AF490" s="195"/>
      <c r="AG490" s="195"/>
      <c r="AH490" s="195"/>
      <c r="AI490" s="195"/>
      <c r="AJ490" s="195"/>
      <c r="AK490" s="195"/>
      <c r="AL490" s="195"/>
      <c r="AM490" s="195"/>
    </row>
    <row r="491" spans="1:39" ht="17.100000000000001" customHeight="1">
      <c r="A491" s="272"/>
      <c r="B491" s="195"/>
      <c r="C491" s="195"/>
      <c r="D491" s="195"/>
      <c r="E491" s="195"/>
      <c r="F491" s="195"/>
      <c r="G491" s="195"/>
      <c r="H491" s="195"/>
      <c r="I491" s="195"/>
      <c r="J491" s="195"/>
      <c r="K491" s="195"/>
      <c r="L491" s="195"/>
      <c r="M491" s="195"/>
      <c r="N491" s="195"/>
      <c r="O491" s="195"/>
      <c r="P491" s="195"/>
      <c r="Q491" s="195"/>
      <c r="R491" s="195"/>
      <c r="S491" s="195"/>
      <c r="T491" s="195"/>
      <c r="U491" s="195"/>
      <c r="V491" s="195"/>
      <c r="W491" s="195"/>
      <c r="X491" s="195"/>
      <c r="Y491" s="195"/>
      <c r="Z491" s="195"/>
      <c r="AA491" s="195"/>
      <c r="AB491" s="195"/>
      <c r="AC491" s="195"/>
      <c r="AD491" s="195"/>
      <c r="AE491" s="195"/>
      <c r="AF491" s="195"/>
      <c r="AG491" s="195"/>
      <c r="AH491" s="195"/>
      <c r="AI491" s="195"/>
      <c r="AJ491" s="195"/>
      <c r="AK491" s="195"/>
      <c r="AL491" s="195"/>
      <c r="AM491" s="195"/>
    </row>
    <row r="492" spans="1:39" ht="17.100000000000001" customHeight="1">
      <c r="A492" s="272"/>
      <c r="B492" s="195"/>
      <c r="C492" s="195"/>
      <c r="D492" s="195"/>
      <c r="E492" s="195"/>
      <c r="F492" s="195"/>
      <c r="G492" s="195"/>
      <c r="H492" s="195"/>
      <c r="I492" s="195"/>
      <c r="J492" s="195"/>
      <c r="K492" s="195"/>
      <c r="L492" s="195"/>
      <c r="M492" s="195"/>
      <c r="N492" s="195"/>
      <c r="O492" s="195"/>
      <c r="P492" s="195"/>
      <c r="Q492" s="195"/>
      <c r="R492" s="195"/>
      <c r="S492" s="195"/>
      <c r="T492" s="195"/>
      <c r="U492" s="195"/>
      <c r="V492" s="195"/>
      <c r="W492" s="195"/>
      <c r="X492" s="195"/>
      <c r="Y492" s="195"/>
      <c r="Z492" s="195"/>
      <c r="AA492" s="195"/>
      <c r="AB492" s="195"/>
      <c r="AC492" s="195"/>
      <c r="AD492" s="195"/>
      <c r="AE492" s="195"/>
      <c r="AF492" s="195"/>
      <c r="AG492" s="195"/>
      <c r="AH492" s="195"/>
      <c r="AI492" s="195"/>
      <c r="AJ492" s="195"/>
      <c r="AK492" s="195"/>
      <c r="AL492" s="195"/>
      <c r="AM492" s="195"/>
    </row>
    <row r="493" spans="1:39" ht="17.100000000000001" customHeight="1">
      <c r="A493" s="272"/>
      <c r="B493" s="195"/>
      <c r="C493" s="195"/>
      <c r="D493" s="195"/>
      <c r="E493" s="195"/>
      <c r="F493" s="195"/>
      <c r="G493" s="195"/>
      <c r="H493" s="195"/>
      <c r="I493" s="195"/>
      <c r="J493" s="195"/>
      <c r="K493" s="195"/>
      <c r="L493" s="195"/>
      <c r="M493" s="195"/>
      <c r="N493" s="195"/>
      <c r="O493" s="195"/>
      <c r="P493" s="195"/>
      <c r="Q493" s="195"/>
      <c r="R493" s="195"/>
      <c r="S493" s="195"/>
      <c r="T493" s="195"/>
      <c r="U493" s="195"/>
      <c r="V493" s="195"/>
      <c r="W493" s="195"/>
      <c r="X493" s="195"/>
      <c r="Y493" s="195"/>
      <c r="Z493" s="195"/>
      <c r="AA493" s="195"/>
      <c r="AB493" s="195"/>
      <c r="AC493" s="195"/>
      <c r="AD493" s="195"/>
      <c r="AE493" s="195"/>
      <c r="AF493" s="195"/>
      <c r="AG493" s="195"/>
      <c r="AH493" s="195"/>
      <c r="AI493" s="195"/>
      <c r="AJ493" s="195"/>
      <c r="AK493" s="195"/>
      <c r="AL493" s="195"/>
      <c r="AM493" s="195"/>
    </row>
    <row r="494" spans="1:39" ht="17.100000000000001" customHeight="1">
      <c r="A494" s="195"/>
      <c r="B494" s="195"/>
      <c r="C494" s="195"/>
      <c r="D494" s="195"/>
      <c r="E494" s="195"/>
      <c r="F494" s="195"/>
      <c r="G494" s="195"/>
      <c r="H494" s="195"/>
      <c r="I494" s="195"/>
      <c r="J494" s="195"/>
      <c r="K494" s="195"/>
      <c r="L494" s="195"/>
      <c r="M494" s="195"/>
      <c r="N494" s="195"/>
      <c r="O494" s="195"/>
      <c r="P494" s="195"/>
      <c r="Q494" s="195"/>
      <c r="R494" s="195"/>
      <c r="S494" s="195"/>
      <c r="T494" s="195"/>
      <c r="U494" s="195"/>
      <c r="V494" s="195"/>
      <c r="W494" s="195"/>
      <c r="X494" s="195"/>
      <c r="Y494" s="195"/>
      <c r="Z494" s="195"/>
      <c r="AA494" s="195"/>
      <c r="AB494" s="195"/>
      <c r="AC494" s="195"/>
      <c r="AD494" s="195"/>
      <c r="AE494" s="195"/>
      <c r="AF494" s="195"/>
      <c r="AG494" s="195"/>
      <c r="AH494" s="195"/>
      <c r="AI494" s="195"/>
      <c r="AJ494" s="195"/>
      <c r="AK494" s="195"/>
      <c r="AL494" s="195"/>
      <c r="AM494" s="195"/>
    </row>
    <row r="495" spans="1:39" ht="17.100000000000001" customHeight="1">
      <c r="A495" s="272"/>
      <c r="B495" s="195"/>
      <c r="C495" s="195"/>
      <c r="D495" s="195"/>
      <c r="E495" s="195"/>
      <c r="F495" s="195"/>
      <c r="G495" s="195"/>
      <c r="H495" s="195"/>
      <c r="I495" s="195"/>
      <c r="J495" s="195"/>
      <c r="K495" s="195"/>
      <c r="L495" s="195"/>
      <c r="M495" s="195"/>
      <c r="N495" s="195"/>
      <c r="O495" s="195"/>
      <c r="P495" s="195"/>
      <c r="Q495" s="195"/>
      <c r="R495" s="195"/>
      <c r="S495" s="195"/>
      <c r="T495" s="195"/>
      <c r="U495" s="195"/>
      <c r="V495" s="195"/>
      <c r="W495" s="195"/>
      <c r="X495" s="195"/>
      <c r="Y495" s="195"/>
      <c r="Z495" s="195"/>
      <c r="AA495" s="195"/>
      <c r="AB495" s="195"/>
      <c r="AC495" s="195"/>
      <c r="AD495" s="195"/>
      <c r="AE495" s="195"/>
      <c r="AF495" s="195"/>
      <c r="AG495" s="195"/>
      <c r="AH495" s="195"/>
      <c r="AI495" s="195"/>
      <c r="AJ495" s="195"/>
      <c r="AK495" s="195"/>
      <c r="AL495" s="195"/>
      <c r="AM495" s="195"/>
    </row>
    <row r="496" spans="1:39" ht="17.100000000000001" customHeight="1">
      <c r="A496" s="272"/>
      <c r="B496" s="195"/>
      <c r="C496" s="195"/>
      <c r="D496" s="195"/>
      <c r="E496" s="195"/>
      <c r="F496" s="195"/>
      <c r="G496" s="195"/>
      <c r="H496" s="195"/>
      <c r="I496" s="195"/>
      <c r="J496" s="195"/>
      <c r="K496" s="195"/>
      <c r="L496" s="195"/>
      <c r="M496" s="195"/>
      <c r="N496" s="195"/>
      <c r="O496" s="195"/>
      <c r="P496" s="195"/>
      <c r="Q496" s="195"/>
      <c r="R496" s="195"/>
      <c r="S496" s="195"/>
      <c r="T496" s="195"/>
      <c r="U496" s="195"/>
      <c r="V496" s="195"/>
      <c r="W496" s="195"/>
      <c r="X496" s="195"/>
      <c r="Y496" s="195"/>
      <c r="Z496" s="195"/>
      <c r="AA496" s="195"/>
      <c r="AB496" s="195"/>
      <c r="AC496" s="195"/>
      <c r="AD496" s="195"/>
      <c r="AE496" s="195"/>
      <c r="AF496" s="195"/>
      <c r="AG496" s="195"/>
      <c r="AH496" s="195"/>
      <c r="AI496" s="195"/>
      <c r="AJ496" s="195"/>
      <c r="AK496" s="195"/>
      <c r="AL496" s="195"/>
      <c r="AM496" s="195"/>
    </row>
    <row r="497" spans="1:39" ht="17.100000000000001" customHeight="1">
      <c r="A497" s="272"/>
      <c r="B497" s="195"/>
      <c r="C497" s="195"/>
      <c r="D497" s="195"/>
      <c r="E497" s="195"/>
      <c r="F497" s="195"/>
      <c r="G497" s="195"/>
      <c r="H497" s="195"/>
      <c r="I497" s="195"/>
      <c r="J497" s="195"/>
      <c r="K497" s="195"/>
      <c r="L497" s="195"/>
      <c r="M497" s="195"/>
      <c r="N497" s="195"/>
      <c r="O497" s="195"/>
      <c r="P497" s="195"/>
      <c r="Q497" s="195"/>
      <c r="R497" s="195"/>
      <c r="S497" s="195"/>
      <c r="T497" s="195"/>
      <c r="U497" s="195"/>
      <c r="V497" s="195"/>
      <c r="W497" s="195"/>
      <c r="X497" s="195"/>
      <c r="Y497" s="195"/>
      <c r="Z497" s="195"/>
      <c r="AA497" s="195"/>
      <c r="AB497" s="195"/>
      <c r="AC497" s="195"/>
      <c r="AD497" s="195"/>
      <c r="AE497" s="195"/>
      <c r="AF497" s="195"/>
      <c r="AG497" s="195"/>
      <c r="AH497" s="195"/>
      <c r="AI497" s="195"/>
      <c r="AJ497" s="195"/>
      <c r="AK497" s="195"/>
      <c r="AL497" s="195"/>
      <c r="AM497" s="195"/>
    </row>
    <row r="498" spans="1:39" ht="17.100000000000001" customHeight="1">
      <c r="A498" s="272"/>
      <c r="B498" s="195"/>
      <c r="C498" s="195"/>
      <c r="D498" s="195"/>
      <c r="E498" s="195"/>
      <c r="F498" s="195"/>
      <c r="G498" s="195"/>
      <c r="H498" s="195"/>
      <c r="I498" s="195"/>
      <c r="J498" s="195"/>
      <c r="K498" s="195"/>
      <c r="L498" s="195"/>
      <c r="M498" s="195"/>
      <c r="N498" s="195"/>
      <c r="O498" s="195"/>
      <c r="P498" s="195"/>
      <c r="Q498" s="195"/>
      <c r="R498" s="195"/>
      <c r="S498" s="195"/>
      <c r="T498" s="195"/>
      <c r="U498" s="195"/>
      <c r="V498" s="195"/>
      <c r="W498" s="195"/>
      <c r="X498" s="195"/>
      <c r="Y498" s="195"/>
      <c r="Z498" s="195"/>
      <c r="AA498" s="195"/>
      <c r="AB498" s="195"/>
      <c r="AC498" s="195"/>
      <c r="AD498" s="195"/>
      <c r="AE498" s="195"/>
      <c r="AF498" s="195"/>
      <c r="AG498" s="195"/>
      <c r="AH498" s="195"/>
      <c r="AI498" s="195"/>
      <c r="AJ498" s="195"/>
      <c r="AK498" s="195"/>
      <c r="AL498" s="195"/>
      <c r="AM498" s="195"/>
    </row>
    <row r="499" spans="1:39" ht="17.100000000000001" customHeight="1">
      <c r="A499" s="272"/>
      <c r="B499" s="195"/>
      <c r="C499" s="195"/>
      <c r="D499" s="195"/>
      <c r="E499" s="195"/>
      <c r="F499" s="195"/>
      <c r="G499" s="195"/>
      <c r="H499" s="195"/>
      <c r="I499" s="195"/>
      <c r="J499" s="195"/>
      <c r="K499" s="195"/>
      <c r="L499" s="195"/>
      <c r="M499" s="195"/>
      <c r="N499" s="195"/>
      <c r="O499" s="195"/>
      <c r="P499" s="195"/>
      <c r="Q499" s="195"/>
      <c r="R499" s="195"/>
      <c r="S499" s="195"/>
      <c r="T499" s="195"/>
      <c r="U499" s="195"/>
      <c r="V499" s="195"/>
      <c r="W499" s="195"/>
      <c r="X499" s="195"/>
      <c r="Y499" s="195"/>
      <c r="Z499" s="195"/>
      <c r="AA499" s="195"/>
      <c r="AB499" s="195"/>
      <c r="AC499" s="195"/>
      <c r="AD499" s="195"/>
      <c r="AE499" s="195"/>
      <c r="AF499" s="195"/>
      <c r="AG499" s="195"/>
      <c r="AH499" s="195"/>
      <c r="AI499" s="195"/>
      <c r="AJ499" s="195"/>
      <c r="AK499" s="195"/>
      <c r="AL499" s="195"/>
      <c r="AM499" s="195"/>
    </row>
    <row r="500" spans="1:39" ht="17.100000000000001" customHeight="1">
      <c r="A500" s="195"/>
      <c r="B500" s="195"/>
      <c r="C500" s="195"/>
      <c r="D500" s="195"/>
      <c r="E500" s="195"/>
      <c r="F500" s="195"/>
      <c r="G500" s="195"/>
      <c r="H500" s="195"/>
      <c r="I500" s="195"/>
      <c r="J500" s="195"/>
      <c r="K500" s="195"/>
      <c r="L500" s="195"/>
      <c r="M500" s="195"/>
      <c r="N500" s="195"/>
      <c r="O500" s="195"/>
      <c r="P500" s="195"/>
      <c r="Q500" s="195"/>
      <c r="R500" s="195"/>
      <c r="S500" s="195"/>
      <c r="T500" s="195"/>
      <c r="U500" s="195"/>
      <c r="V500" s="195"/>
      <c r="W500" s="195"/>
      <c r="X500" s="195"/>
      <c r="Y500" s="195"/>
      <c r="Z500" s="195"/>
      <c r="AA500" s="195"/>
      <c r="AB500" s="195"/>
      <c r="AC500" s="195"/>
      <c r="AD500" s="195"/>
      <c r="AE500" s="195"/>
      <c r="AF500" s="195"/>
      <c r="AG500" s="195"/>
      <c r="AH500" s="195"/>
      <c r="AI500" s="195"/>
      <c r="AJ500" s="195"/>
      <c r="AK500" s="195"/>
      <c r="AL500" s="195"/>
      <c r="AM500" s="195"/>
    </row>
    <row r="501" spans="1:39" ht="17.100000000000001" customHeight="1">
      <c r="A501" s="272"/>
      <c r="B501" s="195"/>
      <c r="C501" s="195"/>
      <c r="D501" s="195"/>
      <c r="E501" s="195"/>
      <c r="F501" s="195"/>
      <c r="G501" s="195"/>
      <c r="H501" s="195"/>
      <c r="I501" s="195"/>
      <c r="J501" s="195"/>
      <c r="K501" s="195"/>
      <c r="L501" s="195"/>
      <c r="M501" s="195"/>
      <c r="N501" s="195"/>
      <c r="O501" s="195"/>
      <c r="P501" s="195"/>
      <c r="Q501" s="195"/>
      <c r="R501" s="195"/>
      <c r="S501" s="195"/>
      <c r="T501" s="195"/>
      <c r="U501" s="195"/>
      <c r="V501" s="195"/>
      <c r="W501" s="195"/>
      <c r="X501" s="195"/>
      <c r="Y501" s="195"/>
      <c r="Z501" s="195"/>
      <c r="AA501" s="195"/>
      <c r="AB501" s="195"/>
      <c r="AC501" s="195"/>
      <c r="AD501" s="195"/>
      <c r="AE501" s="195"/>
      <c r="AF501" s="195"/>
      <c r="AG501" s="195"/>
      <c r="AH501" s="195"/>
      <c r="AI501" s="195"/>
      <c r="AJ501" s="195"/>
      <c r="AK501" s="195"/>
      <c r="AL501" s="195"/>
      <c r="AM501" s="195"/>
    </row>
    <row r="502" spans="1:39" ht="17.100000000000001" customHeight="1">
      <c r="A502" s="95"/>
    </row>
    <row r="503" spans="1:39" ht="17.100000000000001" customHeight="1">
      <c r="A503" s="95"/>
    </row>
    <row r="504" spans="1:39" ht="17.100000000000001" customHeight="1">
      <c r="A504" s="95"/>
    </row>
    <row r="505" spans="1:39" ht="17.100000000000001" customHeight="1">
      <c r="A505" s="95"/>
    </row>
    <row r="507" spans="1:39" ht="17.100000000000001" customHeight="1">
      <c r="A507" s="95"/>
    </row>
    <row r="508" spans="1:39" ht="17.100000000000001" customHeight="1">
      <c r="A508" s="95"/>
    </row>
    <row r="509" spans="1:39" ht="17.100000000000001" customHeight="1">
      <c r="A509" s="95"/>
    </row>
  </sheetData>
  <sheetProtection algorithmName="SHA-512" hashValue="543QVjH2durAPPA52USbA6TbL+Wfg/Muni0svVo8K9eNtfDE7w8jZcNFAFK3lPWf1Lspep7lYWOAGoHyqWMQZQ==" saltValue="yg/Arz7P7DQwFCIyJMTKCg==" spinCount="100000" sheet="1" objects="1" scenarios="1"/>
  <mergeCells count="117">
    <mergeCell ref="AJ366:AJ367"/>
    <mergeCell ref="AK366:AK367"/>
    <mergeCell ref="AL366:AL367"/>
    <mergeCell ref="AF366:AF367"/>
    <mergeCell ref="AG366:AG367"/>
    <mergeCell ref="AH366:AH367"/>
    <mergeCell ref="AI366:AI367"/>
    <mergeCell ref="X366:X367"/>
    <mergeCell ref="Y366:Y367"/>
    <mergeCell ref="Z366:Z367"/>
    <mergeCell ref="AA366:AA367"/>
    <mergeCell ref="AB366:AB367"/>
    <mergeCell ref="AC366:AC367"/>
    <mergeCell ref="AD366:AD367"/>
    <mergeCell ref="AE366:AE367"/>
    <mergeCell ref="AL335:AL336"/>
    <mergeCell ref="T366:T367"/>
    <mergeCell ref="U366:U367"/>
    <mergeCell ref="V366:V367"/>
    <mergeCell ref="W366:W367"/>
    <mergeCell ref="AE335:AE336"/>
    <mergeCell ref="AF335:AF336"/>
    <mergeCell ref="W335:W336"/>
    <mergeCell ref="X335:X336"/>
    <mergeCell ref="Y335:Y336"/>
    <mergeCell ref="AH335:AH336"/>
    <mergeCell ref="AI335:AI336"/>
    <mergeCell ref="AJ335:AJ336"/>
    <mergeCell ref="AK335:AK336"/>
    <mergeCell ref="AD335:AD336"/>
    <mergeCell ref="U335:U336"/>
    <mergeCell ref="V335:V336"/>
    <mergeCell ref="AG335:AG336"/>
    <mergeCell ref="Z335:Z336"/>
    <mergeCell ref="N335:N336"/>
    <mergeCell ref="AA335:AA336"/>
    <mergeCell ref="AB335:AB336"/>
    <mergeCell ref="AC335:AC336"/>
    <mergeCell ref="Q335:Q336"/>
    <mergeCell ref="R335:R336"/>
    <mergeCell ref="H298:H299"/>
    <mergeCell ref="I191:I192"/>
    <mergeCell ref="K309:K310"/>
    <mergeCell ref="K335:K336"/>
    <mergeCell ref="O335:O336"/>
    <mergeCell ref="P335:P336"/>
    <mergeCell ref="P247:P248"/>
    <mergeCell ref="S335:S336"/>
    <mergeCell ref="T335:T336"/>
    <mergeCell ref="H191:H192"/>
    <mergeCell ref="H247:H248"/>
    <mergeCell ref="H257:H258"/>
    <mergeCell ref="H268:H269"/>
    <mergeCell ref="H278:H279"/>
    <mergeCell ref="H288:H289"/>
    <mergeCell ref="L335:L336"/>
    <mergeCell ref="M335:M336"/>
    <mergeCell ref="H350:J350"/>
    <mergeCell ref="C335:C336"/>
    <mergeCell ref="D335:D336"/>
    <mergeCell ref="E335:E336"/>
    <mergeCell ref="C350:E350"/>
    <mergeCell ref="H335:H336"/>
    <mergeCell ref="F335:F336"/>
    <mergeCell ref="G335:G336"/>
    <mergeCell ref="I335:I336"/>
    <mergeCell ref="J335:J336"/>
    <mergeCell ref="G191:G192"/>
    <mergeCell ref="C10:H11"/>
    <mergeCell ref="C12:C13"/>
    <mergeCell ref="E12:E13"/>
    <mergeCell ref="H12:H13"/>
    <mergeCell ref="G12:G13"/>
    <mergeCell ref="F12:F13"/>
    <mergeCell ref="D12:D13"/>
    <mergeCell ref="F95:G96"/>
    <mergeCell ref="A61:D62"/>
    <mergeCell ref="A10:A13"/>
    <mergeCell ref="B10:B13"/>
    <mergeCell ref="A193:A195"/>
    <mergeCell ref="A191:A192"/>
    <mergeCell ref="B191:F191"/>
    <mergeCell ref="A44:A45"/>
    <mergeCell ref="B44:B45"/>
    <mergeCell ref="C97:C98"/>
    <mergeCell ref="A29:A30"/>
    <mergeCell ref="B29:B30"/>
    <mergeCell ref="G366:G367"/>
    <mergeCell ref="H366:H367"/>
    <mergeCell ref="D159:G159"/>
    <mergeCell ref="A27:B28"/>
    <mergeCell ref="A97:A98"/>
    <mergeCell ref="B97:B98"/>
    <mergeCell ref="A77:A79"/>
    <mergeCell ref="A115:A116"/>
    <mergeCell ref="B115:B116"/>
    <mergeCell ref="A95:C95"/>
    <mergeCell ref="C366:C367"/>
    <mergeCell ref="D366:D367"/>
    <mergeCell ref="E366:E367"/>
    <mergeCell ref="F366:F367"/>
    <mergeCell ref="M366:M367"/>
    <mergeCell ref="S366:S367"/>
    <mergeCell ref="N366:N367"/>
    <mergeCell ref="O366:O367"/>
    <mergeCell ref="P366:P367"/>
    <mergeCell ref="R366:R367"/>
    <mergeCell ref="I366:I367"/>
    <mergeCell ref="J366:J367"/>
    <mergeCell ref="K366:K367"/>
    <mergeCell ref="L366:L367"/>
    <mergeCell ref="Q366:Q367"/>
    <mergeCell ref="P257:P258"/>
    <mergeCell ref="P298:P299"/>
    <mergeCell ref="P288:P289"/>
    <mergeCell ref="P278:P279"/>
    <mergeCell ref="P268:P269"/>
  </mergeCells>
  <phoneticPr fontId="62" type="noConversion"/>
  <pageMargins left="0.75" right="0.75" top="1" bottom="1" header="0" footer="0"/>
  <pageSetup paperSize="9"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T418"/>
  <sheetViews>
    <sheetView workbookViewId="0"/>
  </sheetViews>
  <sheetFormatPr baseColWidth="10" defaultColWidth="12.5703125" defaultRowHeight="15" customHeight="1"/>
  <cols>
    <col min="1" max="1" width="3.42578125" style="302" customWidth="1"/>
    <col min="2" max="39" width="3.7109375" style="302" customWidth="1"/>
    <col min="40" max="40" width="4.5703125" style="302" customWidth="1"/>
    <col min="41" max="41" width="12.7109375" style="302" bestFit="1" customWidth="1"/>
    <col min="42" max="42" width="15.85546875" style="302" bestFit="1" customWidth="1"/>
    <col min="43" max="43" width="12.7109375" style="302" bestFit="1" customWidth="1"/>
    <col min="44" max="44" width="15.5703125" style="302" customWidth="1"/>
    <col min="45" max="45" width="12.5703125" style="302"/>
    <col min="46" max="46" width="13.85546875" style="302" customWidth="1"/>
    <col min="47" max="16384" width="12.5703125" style="302"/>
  </cols>
  <sheetData>
    <row r="1" spans="1:46" s="305" customFormat="1" ht="6" customHeight="1">
      <c r="A1" s="304" t="s">
        <v>890</v>
      </c>
      <c r="B1" s="1047">
        <v>810</v>
      </c>
      <c r="C1" s="1047">
        <v>945</v>
      </c>
      <c r="D1" s="1047">
        <v>945</v>
      </c>
      <c r="E1" s="1047">
        <v>945</v>
      </c>
      <c r="F1" s="1047">
        <v>1350</v>
      </c>
      <c r="G1" s="1047">
        <v>1215</v>
      </c>
      <c r="H1" s="1047">
        <v>1080</v>
      </c>
      <c r="I1" s="1047">
        <v>1080</v>
      </c>
      <c r="J1" s="1047">
        <v>1080</v>
      </c>
      <c r="K1" s="1047">
        <v>1350</v>
      </c>
      <c r="L1" s="1047">
        <v>1890</v>
      </c>
      <c r="M1" s="1047">
        <v>810</v>
      </c>
      <c r="N1" s="1046">
        <v>894</v>
      </c>
      <c r="O1" s="1046">
        <v>1043</v>
      </c>
      <c r="P1" s="1046">
        <v>1043</v>
      </c>
      <c r="Q1" s="1046">
        <v>1043</v>
      </c>
      <c r="R1" s="1046">
        <v>1489</v>
      </c>
      <c r="S1" s="1046">
        <v>1340</v>
      </c>
      <c r="T1" s="1046">
        <v>1191</v>
      </c>
      <c r="U1" s="1046">
        <v>1191</v>
      </c>
      <c r="V1" s="1046">
        <v>1191</v>
      </c>
      <c r="W1" s="1046">
        <v>1489</v>
      </c>
      <c r="X1" s="1046">
        <v>2085</v>
      </c>
      <c r="Y1" s="1046">
        <v>894</v>
      </c>
      <c r="Z1" s="1047">
        <v>1015</v>
      </c>
      <c r="AA1" s="1047">
        <v>1184</v>
      </c>
      <c r="AB1" s="1047">
        <v>1184</v>
      </c>
      <c r="AC1" s="1047">
        <v>1184</v>
      </c>
      <c r="AD1" s="1047">
        <v>1691</v>
      </c>
      <c r="AE1" s="1047">
        <v>1522</v>
      </c>
      <c r="AF1" s="1047">
        <v>1353</v>
      </c>
      <c r="AG1" s="1047">
        <v>1353</v>
      </c>
      <c r="AH1" s="1047">
        <v>1353</v>
      </c>
      <c r="AI1" s="1047">
        <v>1691</v>
      </c>
      <c r="AJ1" s="1047">
        <v>2368</v>
      </c>
      <c r="AK1" s="1047">
        <v>1015</v>
      </c>
      <c r="AN1" s="305" t="s">
        <v>835</v>
      </c>
      <c r="AO1" s="1033">
        <f t="shared" ref="AO1:AO12" si="0">SUM(B1:M1)</f>
        <v>13500</v>
      </c>
      <c r="AP1" s="1042">
        <f>+'datos de entrada'!B14</f>
        <v>27000</v>
      </c>
      <c r="AQ1" s="1034">
        <f t="shared" ref="AQ1:AQ12" si="1">SUM(N1:Y1)</f>
        <v>14893</v>
      </c>
      <c r="AR1" s="1034">
        <f t="shared" ref="AR1:AR12" si="2">+AQ1-AO1</f>
        <v>1393</v>
      </c>
      <c r="AS1" s="1034">
        <f t="shared" ref="AS1:AS12" si="3">SUM(Z1:AK1)</f>
        <v>16913</v>
      </c>
      <c r="AT1" s="1035">
        <f t="shared" ref="AT1:AT12" si="4">+AS1-AQ1</f>
        <v>2020</v>
      </c>
    </row>
    <row r="2" spans="1:46" s="305" customFormat="1" ht="6" customHeight="1">
      <c r="A2" s="304"/>
      <c r="B2" s="1047"/>
      <c r="C2" s="1047"/>
      <c r="D2" s="1047"/>
      <c r="E2" s="1047"/>
      <c r="F2" s="1047"/>
      <c r="G2" s="1047"/>
      <c r="H2" s="1047"/>
      <c r="I2" s="1047"/>
      <c r="J2" s="1047"/>
      <c r="K2" s="1047"/>
      <c r="L2" s="1047"/>
      <c r="M2" s="1047"/>
      <c r="N2" s="1046"/>
      <c r="O2" s="1046"/>
      <c r="P2" s="1046"/>
      <c r="Q2" s="1046"/>
      <c r="R2" s="1046"/>
      <c r="S2" s="1046"/>
      <c r="T2" s="1046"/>
      <c r="U2" s="1046"/>
      <c r="V2" s="1046"/>
      <c r="W2" s="1046"/>
      <c r="X2" s="1046"/>
      <c r="Y2" s="1046"/>
      <c r="Z2" s="1047"/>
      <c r="AA2" s="1047"/>
      <c r="AB2" s="1047"/>
      <c r="AC2" s="1047"/>
      <c r="AD2" s="1047"/>
      <c r="AE2" s="1047"/>
      <c r="AF2" s="1047"/>
      <c r="AG2" s="1047"/>
      <c r="AH2" s="1047"/>
      <c r="AI2" s="1047"/>
      <c r="AJ2" s="1047"/>
      <c r="AK2" s="1047"/>
      <c r="AO2" s="1036">
        <f t="shared" si="0"/>
        <v>0</v>
      </c>
      <c r="AP2" s="1043">
        <f>+'datos de entrada'!B15</f>
        <v>0</v>
      </c>
      <c r="AQ2" s="1037">
        <f t="shared" si="1"/>
        <v>0</v>
      </c>
      <c r="AR2" s="1037">
        <f t="shared" si="2"/>
        <v>0</v>
      </c>
      <c r="AS2" s="1037">
        <f t="shared" si="3"/>
        <v>0</v>
      </c>
      <c r="AT2" s="1038">
        <f t="shared" si="4"/>
        <v>0</v>
      </c>
    </row>
    <row r="3" spans="1:46" s="305" customFormat="1" ht="6" customHeight="1">
      <c r="A3" s="304"/>
      <c r="B3" s="1047"/>
      <c r="C3" s="1047"/>
      <c r="D3" s="1047"/>
      <c r="E3" s="1047"/>
      <c r="F3" s="1047"/>
      <c r="G3" s="1047"/>
      <c r="H3" s="1047"/>
      <c r="I3" s="1047"/>
      <c r="J3" s="1047"/>
      <c r="K3" s="1047"/>
      <c r="L3" s="1047"/>
      <c r="M3" s="1047"/>
      <c r="N3" s="1046"/>
      <c r="O3" s="1046"/>
      <c r="P3" s="1046"/>
      <c r="Q3" s="1046"/>
      <c r="R3" s="1046"/>
      <c r="S3" s="1046"/>
      <c r="T3" s="1046"/>
      <c r="U3" s="1046"/>
      <c r="V3" s="1046"/>
      <c r="W3" s="1046"/>
      <c r="X3" s="1046"/>
      <c r="Y3" s="1046"/>
      <c r="Z3" s="1047"/>
      <c r="AA3" s="1047"/>
      <c r="AB3" s="1047"/>
      <c r="AC3" s="1047"/>
      <c r="AD3" s="1047"/>
      <c r="AE3" s="1047"/>
      <c r="AF3" s="1047"/>
      <c r="AG3" s="1047"/>
      <c r="AH3" s="1047"/>
      <c r="AI3" s="1047"/>
      <c r="AJ3" s="1047"/>
      <c r="AK3" s="1047"/>
      <c r="AO3" s="1036">
        <f t="shared" si="0"/>
        <v>0</v>
      </c>
      <c r="AP3" s="1043">
        <f>+'datos de entrada'!B16</f>
        <v>0</v>
      </c>
      <c r="AQ3" s="1037">
        <f t="shared" si="1"/>
        <v>0</v>
      </c>
      <c r="AR3" s="1037">
        <f t="shared" si="2"/>
        <v>0</v>
      </c>
      <c r="AS3" s="1037">
        <f t="shared" si="3"/>
        <v>0</v>
      </c>
      <c r="AT3" s="1038">
        <f t="shared" si="4"/>
        <v>0</v>
      </c>
    </row>
    <row r="4" spans="1:46" s="305" customFormat="1" ht="6" customHeight="1">
      <c r="A4" s="304"/>
      <c r="B4" s="1047"/>
      <c r="C4" s="1047"/>
      <c r="D4" s="1047"/>
      <c r="E4" s="1047"/>
      <c r="F4" s="1047"/>
      <c r="G4" s="1047"/>
      <c r="H4" s="1047"/>
      <c r="I4" s="1047"/>
      <c r="J4" s="1047"/>
      <c r="K4" s="1047"/>
      <c r="L4" s="1047"/>
      <c r="M4" s="1047"/>
      <c r="N4" s="1046"/>
      <c r="O4" s="1046"/>
      <c r="P4" s="1046"/>
      <c r="Q4" s="1046"/>
      <c r="R4" s="1046"/>
      <c r="S4" s="1046"/>
      <c r="T4" s="1046"/>
      <c r="U4" s="1046"/>
      <c r="V4" s="1046"/>
      <c r="W4" s="1046"/>
      <c r="X4" s="1046"/>
      <c r="Y4" s="1046"/>
      <c r="Z4" s="1047"/>
      <c r="AA4" s="1047"/>
      <c r="AB4" s="1047"/>
      <c r="AC4" s="1047"/>
      <c r="AD4" s="1047"/>
      <c r="AE4" s="1047"/>
      <c r="AF4" s="1047"/>
      <c r="AG4" s="1047"/>
      <c r="AH4" s="1047"/>
      <c r="AI4" s="1047"/>
      <c r="AJ4" s="1047"/>
      <c r="AK4" s="1047"/>
      <c r="AN4" s="305">
        <v>0</v>
      </c>
      <c r="AO4" s="1036">
        <f t="shared" si="0"/>
        <v>0</v>
      </c>
      <c r="AP4" s="1043">
        <f>+'datos de entrada'!B17</f>
        <v>0</v>
      </c>
      <c r="AQ4" s="1037">
        <f t="shared" si="1"/>
        <v>0</v>
      </c>
      <c r="AR4" s="1037">
        <f t="shared" si="2"/>
        <v>0</v>
      </c>
      <c r="AS4" s="1037">
        <f t="shared" si="3"/>
        <v>0</v>
      </c>
      <c r="AT4" s="1038">
        <f t="shared" si="4"/>
        <v>0</v>
      </c>
    </row>
    <row r="5" spans="1:46" s="305" customFormat="1" ht="6" customHeight="1">
      <c r="A5" s="304"/>
      <c r="B5" s="1047"/>
      <c r="C5" s="1047"/>
      <c r="D5" s="1047"/>
      <c r="E5" s="1047"/>
      <c r="F5" s="1047"/>
      <c r="G5" s="1047"/>
      <c r="H5" s="1047"/>
      <c r="I5" s="1047"/>
      <c r="J5" s="1047"/>
      <c r="K5" s="1047"/>
      <c r="L5" s="1047"/>
      <c r="M5" s="1047"/>
      <c r="N5" s="1046"/>
      <c r="O5" s="1046"/>
      <c r="P5" s="1046"/>
      <c r="Q5" s="1046"/>
      <c r="R5" s="1046"/>
      <c r="S5" s="1046"/>
      <c r="T5" s="1046"/>
      <c r="U5" s="1046"/>
      <c r="V5" s="1046"/>
      <c r="W5" s="1046"/>
      <c r="X5" s="1046"/>
      <c r="Y5" s="1046"/>
      <c r="Z5" s="1047"/>
      <c r="AA5" s="1047"/>
      <c r="AB5" s="1047"/>
      <c r="AC5" s="1047"/>
      <c r="AD5" s="1047"/>
      <c r="AE5" s="1047"/>
      <c r="AF5" s="1047"/>
      <c r="AG5" s="1047"/>
      <c r="AH5" s="1047"/>
      <c r="AI5" s="1047"/>
      <c r="AJ5" s="1047"/>
      <c r="AK5" s="1047"/>
      <c r="AM5" s="305">
        <v>0</v>
      </c>
      <c r="AN5" s="305">
        <v>0</v>
      </c>
      <c r="AO5" s="1036">
        <f t="shared" si="0"/>
        <v>0</v>
      </c>
      <c r="AP5" s="1043">
        <f>+'datos de entrada'!B18</f>
        <v>0</v>
      </c>
      <c r="AQ5" s="1037">
        <f t="shared" si="1"/>
        <v>0</v>
      </c>
      <c r="AR5" s="1037">
        <f t="shared" si="2"/>
        <v>0</v>
      </c>
      <c r="AS5" s="1037">
        <f t="shared" si="3"/>
        <v>0</v>
      </c>
      <c r="AT5" s="1038">
        <f t="shared" si="4"/>
        <v>0</v>
      </c>
    </row>
    <row r="6" spans="1:46" s="305" customFormat="1" ht="6" customHeight="1">
      <c r="A6" s="304"/>
      <c r="B6" s="1047"/>
      <c r="C6" s="1047"/>
      <c r="D6" s="1047"/>
      <c r="E6" s="1047"/>
      <c r="F6" s="1047"/>
      <c r="G6" s="1047"/>
      <c r="H6" s="1047"/>
      <c r="I6" s="1047"/>
      <c r="J6" s="1047"/>
      <c r="K6" s="1047"/>
      <c r="L6" s="1047"/>
      <c r="M6" s="1047"/>
      <c r="N6" s="1046"/>
      <c r="O6" s="1046"/>
      <c r="P6" s="1046"/>
      <c r="Q6" s="1046"/>
      <c r="R6" s="1046"/>
      <c r="S6" s="1046"/>
      <c r="T6" s="1046"/>
      <c r="U6" s="1046"/>
      <c r="V6" s="1046"/>
      <c r="W6" s="1046"/>
      <c r="X6" s="1046"/>
      <c r="Y6" s="1046"/>
      <c r="Z6" s="1047"/>
      <c r="AA6" s="1047"/>
      <c r="AB6" s="1047"/>
      <c r="AC6" s="1047"/>
      <c r="AD6" s="1047"/>
      <c r="AE6" s="1047"/>
      <c r="AF6" s="1047"/>
      <c r="AG6" s="1047"/>
      <c r="AH6" s="1047"/>
      <c r="AI6" s="1047"/>
      <c r="AJ6" s="1047"/>
      <c r="AK6" s="1047"/>
      <c r="AM6" s="305">
        <v>0</v>
      </c>
      <c r="AN6" s="305">
        <v>0</v>
      </c>
      <c r="AO6" s="1036">
        <f t="shared" si="0"/>
        <v>0</v>
      </c>
      <c r="AP6" s="1043">
        <f>+'datos de entrada'!B19</f>
        <v>0</v>
      </c>
      <c r="AQ6" s="1037">
        <f t="shared" si="1"/>
        <v>0</v>
      </c>
      <c r="AR6" s="1037">
        <f t="shared" si="2"/>
        <v>0</v>
      </c>
      <c r="AS6" s="1037">
        <f t="shared" si="3"/>
        <v>0</v>
      </c>
      <c r="AT6" s="1038">
        <f t="shared" si="4"/>
        <v>0</v>
      </c>
    </row>
    <row r="7" spans="1:46" s="305" customFormat="1" ht="6" customHeight="1">
      <c r="A7" s="304"/>
      <c r="B7" s="1047"/>
      <c r="C7" s="1047"/>
      <c r="D7" s="1047"/>
      <c r="E7" s="1047"/>
      <c r="F7" s="1047"/>
      <c r="G7" s="1047"/>
      <c r="H7" s="1047"/>
      <c r="I7" s="1047"/>
      <c r="J7" s="1047"/>
      <c r="K7" s="1047"/>
      <c r="L7" s="1047"/>
      <c r="M7" s="1047"/>
      <c r="N7" s="1046"/>
      <c r="O7" s="1046"/>
      <c r="P7" s="1046"/>
      <c r="Q7" s="1046"/>
      <c r="R7" s="1046"/>
      <c r="S7" s="1046"/>
      <c r="T7" s="1046"/>
      <c r="U7" s="1046"/>
      <c r="V7" s="1046"/>
      <c r="W7" s="1046"/>
      <c r="X7" s="1046"/>
      <c r="Y7" s="1046"/>
      <c r="Z7" s="1047"/>
      <c r="AA7" s="1047"/>
      <c r="AB7" s="1047"/>
      <c r="AC7" s="1047"/>
      <c r="AD7" s="1047"/>
      <c r="AE7" s="1047"/>
      <c r="AF7" s="1047"/>
      <c r="AG7" s="1047"/>
      <c r="AH7" s="1047"/>
      <c r="AI7" s="1047"/>
      <c r="AJ7" s="1047"/>
      <c r="AK7" s="1047"/>
      <c r="AM7" s="305">
        <v>0</v>
      </c>
      <c r="AN7" s="305">
        <v>0</v>
      </c>
      <c r="AO7" s="1036">
        <f t="shared" si="0"/>
        <v>0</v>
      </c>
      <c r="AP7" s="1043">
        <f>+'datos de entrada'!B20</f>
        <v>0</v>
      </c>
      <c r="AQ7" s="1037">
        <f t="shared" si="1"/>
        <v>0</v>
      </c>
      <c r="AR7" s="1037">
        <f t="shared" si="2"/>
        <v>0</v>
      </c>
      <c r="AS7" s="1037">
        <f t="shared" si="3"/>
        <v>0</v>
      </c>
      <c r="AT7" s="1038">
        <f t="shared" si="4"/>
        <v>0</v>
      </c>
    </row>
    <row r="8" spans="1:46" s="305" customFormat="1" ht="6" customHeight="1">
      <c r="A8" s="304"/>
      <c r="B8" s="1047"/>
      <c r="C8" s="1047"/>
      <c r="D8" s="1047"/>
      <c r="E8" s="1047"/>
      <c r="F8" s="1047"/>
      <c r="G8" s="1047"/>
      <c r="H8" s="1047"/>
      <c r="I8" s="1047"/>
      <c r="J8" s="1047"/>
      <c r="K8" s="1047"/>
      <c r="L8" s="1047"/>
      <c r="M8" s="1047"/>
      <c r="N8" s="1046"/>
      <c r="O8" s="1046"/>
      <c r="P8" s="1046"/>
      <c r="Q8" s="1046"/>
      <c r="R8" s="1046"/>
      <c r="S8" s="1046"/>
      <c r="T8" s="1046"/>
      <c r="U8" s="1046"/>
      <c r="V8" s="1046"/>
      <c r="W8" s="1046"/>
      <c r="X8" s="1046"/>
      <c r="Y8" s="1046"/>
      <c r="Z8" s="1047"/>
      <c r="AA8" s="1047"/>
      <c r="AB8" s="1047"/>
      <c r="AC8" s="1047"/>
      <c r="AD8" s="1047"/>
      <c r="AE8" s="1047"/>
      <c r="AF8" s="1047"/>
      <c r="AG8" s="1047"/>
      <c r="AH8" s="1047"/>
      <c r="AI8" s="1047"/>
      <c r="AJ8" s="1047"/>
      <c r="AK8" s="1047"/>
      <c r="AM8" s="305">
        <v>0</v>
      </c>
      <c r="AN8" s="305">
        <v>0</v>
      </c>
      <c r="AO8" s="1036">
        <f t="shared" si="0"/>
        <v>0</v>
      </c>
      <c r="AP8" s="1043">
        <f>+'datos de entrada'!B21</f>
        <v>0</v>
      </c>
      <c r="AQ8" s="1037">
        <f t="shared" si="1"/>
        <v>0</v>
      </c>
      <c r="AR8" s="1037">
        <f t="shared" si="2"/>
        <v>0</v>
      </c>
      <c r="AS8" s="1037">
        <f t="shared" si="3"/>
        <v>0</v>
      </c>
      <c r="AT8" s="1038">
        <f t="shared" si="4"/>
        <v>0</v>
      </c>
    </row>
    <row r="9" spans="1:46" s="305" customFormat="1" ht="6" customHeight="1">
      <c r="A9" s="304"/>
      <c r="B9" s="1047"/>
      <c r="C9" s="1047"/>
      <c r="D9" s="1047"/>
      <c r="E9" s="1047"/>
      <c r="F9" s="1047"/>
      <c r="G9" s="1047"/>
      <c r="H9" s="1047"/>
      <c r="I9" s="1047"/>
      <c r="J9" s="1047"/>
      <c r="K9" s="1047"/>
      <c r="L9" s="1047"/>
      <c r="M9" s="1047"/>
      <c r="N9" s="1046"/>
      <c r="O9" s="1046"/>
      <c r="P9" s="1046"/>
      <c r="Q9" s="1046"/>
      <c r="R9" s="1046"/>
      <c r="S9" s="1046"/>
      <c r="T9" s="1046"/>
      <c r="U9" s="1046"/>
      <c r="V9" s="1046"/>
      <c r="W9" s="1046"/>
      <c r="X9" s="1046"/>
      <c r="Y9" s="1046"/>
      <c r="Z9" s="1047"/>
      <c r="AA9" s="1047"/>
      <c r="AB9" s="1047"/>
      <c r="AC9" s="1047"/>
      <c r="AD9" s="1047"/>
      <c r="AE9" s="1047"/>
      <c r="AF9" s="1047"/>
      <c r="AG9" s="1047"/>
      <c r="AH9" s="1047"/>
      <c r="AI9" s="1047"/>
      <c r="AJ9" s="1047"/>
      <c r="AK9" s="1047"/>
      <c r="AM9" s="305">
        <v>0</v>
      </c>
      <c r="AN9" s="305">
        <v>0</v>
      </c>
      <c r="AO9" s="1036">
        <f t="shared" si="0"/>
        <v>0</v>
      </c>
      <c r="AP9" s="1043">
        <f>+'datos de entrada'!B22</f>
        <v>0</v>
      </c>
      <c r="AQ9" s="1037">
        <f t="shared" si="1"/>
        <v>0</v>
      </c>
      <c r="AR9" s="1037">
        <f t="shared" si="2"/>
        <v>0</v>
      </c>
      <c r="AS9" s="1037">
        <f t="shared" si="3"/>
        <v>0</v>
      </c>
      <c r="AT9" s="1038">
        <f t="shared" si="4"/>
        <v>0</v>
      </c>
    </row>
    <row r="10" spans="1:46" s="305" customFormat="1" ht="6" customHeight="1">
      <c r="A10" s="304"/>
      <c r="B10" s="1047"/>
      <c r="C10" s="1047"/>
      <c r="D10" s="1047"/>
      <c r="E10" s="1047"/>
      <c r="F10" s="1047"/>
      <c r="G10" s="1047"/>
      <c r="H10" s="1047"/>
      <c r="I10" s="1047"/>
      <c r="J10" s="1047"/>
      <c r="K10" s="1047"/>
      <c r="L10" s="1047"/>
      <c r="M10" s="1047"/>
      <c r="N10" s="1046"/>
      <c r="O10" s="1046"/>
      <c r="P10" s="1046"/>
      <c r="Q10" s="1046"/>
      <c r="R10" s="1046"/>
      <c r="S10" s="1046"/>
      <c r="T10" s="1046"/>
      <c r="U10" s="1046"/>
      <c r="V10" s="1046"/>
      <c r="W10" s="1046"/>
      <c r="X10" s="1046"/>
      <c r="Y10" s="1046"/>
      <c r="Z10" s="1047"/>
      <c r="AA10" s="1047"/>
      <c r="AB10" s="1047"/>
      <c r="AC10" s="1047"/>
      <c r="AD10" s="1047"/>
      <c r="AE10" s="1047"/>
      <c r="AF10" s="1047"/>
      <c r="AG10" s="1047"/>
      <c r="AH10" s="1047"/>
      <c r="AI10" s="1047"/>
      <c r="AJ10" s="1047"/>
      <c r="AK10" s="1047"/>
      <c r="AM10" s="305">
        <v>0</v>
      </c>
      <c r="AN10" s="305">
        <v>0</v>
      </c>
      <c r="AO10" s="1036">
        <f t="shared" si="0"/>
        <v>0</v>
      </c>
      <c r="AP10" s="1043">
        <f>+'datos de entrada'!B23</f>
        <v>0</v>
      </c>
      <c r="AQ10" s="1037">
        <f t="shared" si="1"/>
        <v>0</v>
      </c>
      <c r="AR10" s="1037">
        <f t="shared" si="2"/>
        <v>0</v>
      </c>
      <c r="AS10" s="1037">
        <f t="shared" si="3"/>
        <v>0</v>
      </c>
      <c r="AT10" s="1038">
        <f t="shared" si="4"/>
        <v>0</v>
      </c>
    </row>
    <row r="11" spans="1:46" s="305" customFormat="1" ht="6" customHeight="1">
      <c r="A11" s="304"/>
      <c r="B11" s="1047"/>
      <c r="C11" s="1047"/>
      <c r="D11" s="1047"/>
      <c r="E11" s="1047"/>
      <c r="F11" s="1047"/>
      <c r="G11" s="1047"/>
      <c r="H11" s="1047"/>
      <c r="I11" s="1047"/>
      <c r="J11" s="1047"/>
      <c r="K11" s="1047"/>
      <c r="L11" s="1047"/>
      <c r="M11" s="1047"/>
      <c r="N11" s="1046"/>
      <c r="O11" s="1046"/>
      <c r="P11" s="1046"/>
      <c r="Q11" s="1046"/>
      <c r="R11" s="1046"/>
      <c r="S11" s="1046"/>
      <c r="T11" s="1046"/>
      <c r="U11" s="1046"/>
      <c r="V11" s="1046"/>
      <c r="W11" s="1046"/>
      <c r="X11" s="1046"/>
      <c r="Y11" s="1046"/>
      <c r="Z11" s="1047"/>
      <c r="AA11" s="1047"/>
      <c r="AB11" s="1047"/>
      <c r="AC11" s="1047"/>
      <c r="AD11" s="1047"/>
      <c r="AE11" s="1047"/>
      <c r="AF11" s="1047"/>
      <c r="AG11" s="1047"/>
      <c r="AH11" s="1047"/>
      <c r="AI11" s="1047"/>
      <c r="AJ11" s="1047"/>
      <c r="AK11" s="1047"/>
      <c r="AM11" s="305">
        <v>0</v>
      </c>
      <c r="AN11" s="305">
        <v>0</v>
      </c>
      <c r="AO11" s="1036">
        <f t="shared" si="0"/>
        <v>0</v>
      </c>
      <c r="AP11" s="1043">
        <f>+'datos de entrada'!B24</f>
        <v>0</v>
      </c>
      <c r="AQ11" s="1037">
        <f t="shared" si="1"/>
        <v>0</v>
      </c>
      <c r="AR11" s="1037">
        <f t="shared" si="2"/>
        <v>0</v>
      </c>
      <c r="AS11" s="1037">
        <f t="shared" si="3"/>
        <v>0</v>
      </c>
      <c r="AT11" s="1038">
        <f t="shared" si="4"/>
        <v>0</v>
      </c>
    </row>
    <row r="12" spans="1:46" s="305" customFormat="1" ht="6" customHeight="1" thickBot="1">
      <c r="A12" s="306"/>
      <c r="B12" s="1047"/>
      <c r="C12" s="1047"/>
      <c r="D12" s="1047"/>
      <c r="E12" s="1047"/>
      <c r="F12" s="1047"/>
      <c r="G12" s="1047"/>
      <c r="H12" s="1047"/>
      <c r="I12" s="1047"/>
      <c r="J12" s="1047"/>
      <c r="K12" s="1047"/>
      <c r="L12" s="1047"/>
      <c r="M12" s="1047"/>
      <c r="N12" s="1046"/>
      <c r="O12" s="1046"/>
      <c r="P12" s="1046"/>
      <c r="Q12" s="1046"/>
      <c r="R12" s="1046"/>
      <c r="S12" s="1046"/>
      <c r="T12" s="1046"/>
      <c r="U12" s="1046"/>
      <c r="V12" s="1046"/>
      <c r="W12" s="1046"/>
      <c r="X12" s="1046"/>
      <c r="Y12" s="1046"/>
      <c r="Z12" s="1047"/>
      <c r="AA12" s="1047"/>
      <c r="AB12" s="1047"/>
      <c r="AC12" s="1047"/>
      <c r="AD12" s="1047"/>
      <c r="AE12" s="1047"/>
      <c r="AF12" s="1047"/>
      <c r="AG12" s="1047"/>
      <c r="AH12" s="1047"/>
      <c r="AI12" s="1047"/>
      <c r="AJ12" s="1047"/>
      <c r="AK12" s="1047"/>
      <c r="AM12" s="305">
        <v>0</v>
      </c>
      <c r="AN12" s="305">
        <v>0</v>
      </c>
      <c r="AO12" s="1039">
        <f t="shared" si="0"/>
        <v>0</v>
      </c>
      <c r="AP12" s="1044">
        <f>+'datos de entrada'!B25</f>
        <v>0</v>
      </c>
      <c r="AQ12" s="1040">
        <f t="shared" si="1"/>
        <v>0</v>
      </c>
      <c r="AR12" s="1040">
        <f t="shared" si="2"/>
        <v>0</v>
      </c>
      <c r="AS12" s="1040">
        <f t="shared" si="3"/>
        <v>0</v>
      </c>
      <c r="AT12" s="1041">
        <f t="shared" si="4"/>
        <v>0</v>
      </c>
    </row>
    <row r="13" spans="1:46" ht="15" hidden="1" customHeight="1">
      <c r="B13" s="302">
        <v>1</v>
      </c>
      <c r="C13" s="302">
        <v>2</v>
      </c>
      <c r="D13" s="302">
        <v>2</v>
      </c>
      <c r="E13" s="302">
        <v>2</v>
      </c>
      <c r="F13" s="302">
        <v>2</v>
      </c>
      <c r="G13" s="302">
        <v>2</v>
      </c>
      <c r="H13" s="302">
        <v>2</v>
      </c>
      <c r="I13" s="302">
        <v>2</v>
      </c>
      <c r="J13" s="302">
        <v>2</v>
      </c>
      <c r="K13" s="302">
        <v>2</v>
      </c>
      <c r="L13" s="302">
        <v>3</v>
      </c>
      <c r="M13" s="302">
        <v>4</v>
      </c>
      <c r="N13" s="302">
        <f t="shared" ref="N13:AK13" si="5">+B13*1.2</f>
        <v>1.2</v>
      </c>
      <c r="O13" s="302">
        <f t="shared" si="5"/>
        <v>2.4</v>
      </c>
      <c r="P13" s="302">
        <f t="shared" si="5"/>
        <v>2.4</v>
      </c>
      <c r="Q13" s="302">
        <f t="shared" si="5"/>
        <v>2.4</v>
      </c>
      <c r="R13" s="302">
        <f t="shared" si="5"/>
        <v>2.4</v>
      </c>
      <c r="S13" s="302">
        <f t="shared" si="5"/>
        <v>2.4</v>
      </c>
      <c r="T13" s="302">
        <f t="shared" si="5"/>
        <v>2.4</v>
      </c>
      <c r="U13" s="302">
        <f t="shared" si="5"/>
        <v>2.4</v>
      </c>
      <c r="V13" s="302">
        <f t="shared" si="5"/>
        <v>2.4</v>
      </c>
      <c r="W13" s="302">
        <f t="shared" si="5"/>
        <v>2.4</v>
      </c>
      <c r="X13" s="302">
        <f t="shared" si="5"/>
        <v>3.5999999999999996</v>
      </c>
      <c r="Y13" s="302">
        <f t="shared" si="5"/>
        <v>4.8</v>
      </c>
      <c r="Z13" s="302">
        <f t="shared" si="5"/>
        <v>1.44</v>
      </c>
      <c r="AA13" s="302">
        <f t="shared" si="5"/>
        <v>2.88</v>
      </c>
      <c r="AB13" s="302">
        <f t="shared" si="5"/>
        <v>2.88</v>
      </c>
      <c r="AC13" s="302">
        <f t="shared" si="5"/>
        <v>2.88</v>
      </c>
      <c r="AD13" s="302">
        <f t="shared" si="5"/>
        <v>2.88</v>
      </c>
      <c r="AE13" s="302">
        <f t="shared" si="5"/>
        <v>2.88</v>
      </c>
      <c r="AF13" s="302">
        <f t="shared" si="5"/>
        <v>2.88</v>
      </c>
      <c r="AG13" s="302">
        <f t="shared" si="5"/>
        <v>2.88</v>
      </c>
      <c r="AH13" s="302">
        <f t="shared" si="5"/>
        <v>2.88</v>
      </c>
      <c r="AI13" s="302">
        <f t="shared" si="5"/>
        <v>2.88</v>
      </c>
      <c r="AJ13" s="302">
        <f t="shared" si="5"/>
        <v>4.3199999999999994</v>
      </c>
      <c r="AK13" s="302">
        <f t="shared" si="5"/>
        <v>5.76</v>
      </c>
    </row>
    <row r="14" spans="1:46" ht="15" hidden="1" customHeight="1">
      <c r="B14" s="302">
        <f t="shared" ref="B14:B25" si="6">IF($AN$1="u",B1,IF($AN$1="p",B1/$AP1))</f>
        <v>810</v>
      </c>
      <c r="C14" s="302">
        <f t="shared" ref="C14:AK21" si="7">IF($AN$1="u",C1,IF($AN$1="p",C1/$AP1))</f>
        <v>945</v>
      </c>
      <c r="D14" s="302">
        <f t="shared" si="7"/>
        <v>945</v>
      </c>
      <c r="E14" s="302">
        <f t="shared" si="7"/>
        <v>945</v>
      </c>
      <c r="F14" s="302">
        <f t="shared" si="7"/>
        <v>1350</v>
      </c>
      <c r="G14" s="302">
        <f t="shared" si="7"/>
        <v>1215</v>
      </c>
      <c r="H14" s="302">
        <f t="shared" si="7"/>
        <v>1080</v>
      </c>
      <c r="I14" s="302">
        <f t="shared" si="7"/>
        <v>1080</v>
      </c>
      <c r="J14" s="302">
        <f t="shared" si="7"/>
        <v>1080</v>
      </c>
      <c r="K14" s="302">
        <f t="shared" si="7"/>
        <v>1350</v>
      </c>
      <c r="L14" s="302">
        <f t="shared" si="7"/>
        <v>1890</v>
      </c>
      <c r="M14" s="302">
        <f t="shared" si="7"/>
        <v>810</v>
      </c>
      <c r="N14" s="302">
        <f t="shared" si="7"/>
        <v>894</v>
      </c>
      <c r="O14" s="302">
        <f t="shared" si="7"/>
        <v>1043</v>
      </c>
      <c r="P14" s="302">
        <f t="shared" si="7"/>
        <v>1043</v>
      </c>
      <c r="Q14" s="302">
        <f t="shared" si="7"/>
        <v>1043</v>
      </c>
      <c r="R14" s="302">
        <f t="shared" si="7"/>
        <v>1489</v>
      </c>
      <c r="S14" s="302">
        <f t="shared" si="7"/>
        <v>1340</v>
      </c>
      <c r="T14" s="302">
        <f t="shared" si="7"/>
        <v>1191</v>
      </c>
      <c r="U14" s="302">
        <f t="shared" si="7"/>
        <v>1191</v>
      </c>
      <c r="V14" s="302">
        <f t="shared" si="7"/>
        <v>1191</v>
      </c>
      <c r="W14" s="302">
        <f t="shared" si="7"/>
        <v>1489</v>
      </c>
      <c r="X14" s="302">
        <f t="shared" si="7"/>
        <v>2085</v>
      </c>
      <c r="Y14" s="302">
        <f t="shared" si="7"/>
        <v>894</v>
      </c>
      <c r="Z14" s="302">
        <f t="shared" si="7"/>
        <v>1015</v>
      </c>
      <c r="AA14" s="302">
        <f t="shared" si="7"/>
        <v>1184</v>
      </c>
      <c r="AB14" s="302">
        <f t="shared" si="7"/>
        <v>1184</v>
      </c>
      <c r="AC14" s="302">
        <f t="shared" si="7"/>
        <v>1184</v>
      </c>
      <c r="AD14" s="302">
        <f t="shared" si="7"/>
        <v>1691</v>
      </c>
      <c r="AE14" s="302">
        <f t="shared" si="7"/>
        <v>1522</v>
      </c>
      <c r="AF14" s="302">
        <f t="shared" si="7"/>
        <v>1353</v>
      </c>
      <c r="AG14" s="302">
        <f t="shared" si="7"/>
        <v>1353</v>
      </c>
      <c r="AH14" s="302">
        <f t="shared" si="7"/>
        <v>1353</v>
      </c>
      <c r="AI14" s="302">
        <f t="shared" si="7"/>
        <v>1691</v>
      </c>
      <c r="AJ14" s="302">
        <f t="shared" si="7"/>
        <v>2368</v>
      </c>
      <c r="AK14" s="302">
        <f t="shared" si="7"/>
        <v>1015</v>
      </c>
      <c r="AN14" s="305" t="str">
        <f t="shared" ref="AN14:AN25" si="8">+A1</f>
        <v>CAMISETAS</v>
      </c>
      <c r="AO14" s="307">
        <f>IF($AN$1="u",AO1,AO1/AP1)</f>
        <v>13500</v>
      </c>
      <c r="AP14" s="308">
        <f>+AO14*AP1</f>
        <v>364500000</v>
      </c>
      <c r="AQ14" s="307">
        <f>IF($AN$1="u",AQ1,AQ1/AP1)</f>
        <v>14893</v>
      </c>
      <c r="AR14" s="308">
        <f>+AQ14*AP1</f>
        <v>402111000</v>
      </c>
      <c r="AS14" s="307">
        <f>IF($AN$1="u",AS1,AS1/AP1)</f>
        <v>16913</v>
      </c>
      <c r="AT14" s="308">
        <f>+AS14*AP1</f>
        <v>456651000</v>
      </c>
    </row>
    <row r="15" spans="1:46" ht="15" hidden="1" customHeight="1">
      <c r="B15" s="302">
        <f t="shared" si="6"/>
        <v>0</v>
      </c>
      <c r="C15" s="302">
        <f t="shared" ref="C15:Q15" si="9">IF($AN$1="u",C2,IF($AN$1="p",C2/$AP2))</f>
        <v>0</v>
      </c>
      <c r="D15" s="302">
        <f t="shared" si="9"/>
        <v>0</v>
      </c>
      <c r="E15" s="302">
        <f t="shared" si="9"/>
        <v>0</v>
      </c>
      <c r="F15" s="302">
        <f t="shared" si="9"/>
        <v>0</v>
      </c>
      <c r="G15" s="302">
        <f t="shared" si="9"/>
        <v>0</v>
      </c>
      <c r="H15" s="302">
        <f t="shared" si="9"/>
        <v>0</v>
      </c>
      <c r="I15" s="302">
        <f t="shared" si="9"/>
        <v>0</v>
      </c>
      <c r="J15" s="302">
        <f t="shared" si="9"/>
        <v>0</v>
      </c>
      <c r="K15" s="302">
        <f t="shared" si="9"/>
        <v>0</v>
      </c>
      <c r="L15" s="302">
        <f t="shared" si="9"/>
        <v>0</v>
      </c>
      <c r="M15" s="302">
        <f t="shared" si="9"/>
        <v>0</v>
      </c>
      <c r="N15" s="302">
        <f t="shared" si="9"/>
        <v>0</v>
      </c>
      <c r="O15" s="302">
        <f t="shared" si="9"/>
        <v>0</v>
      </c>
      <c r="P15" s="302">
        <f t="shared" si="9"/>
        <v>0</v>
      </c>
      <c r="Q15" s="302">
        <f t="shared" si="9"/>
        <v>0</v>
      </c>
      <c r="R15" s="302">
        <f t="shared" si="7"/>
        <v>0</v>
      </c>
      <c r="S15" s="302">
        <f t="shared" si="7"/>
        <v>0</v>
      </c>
      <c r="T15" s="302">
        <f t="shared" si="7"/>
        <v>0</v>
      </c>
      <c r="U15" s="302">
        <f t="shared" si="7"/>
        <v>0</v>
      </c>
      <c r="V15" s="302">
        <f t="shared" si="7"/>
        <v>0</v>
      </c>
      <c r="W15" s="302">
        <f t="shared" si="7"/>
        <v>0</v>
      </c>
      <c r="X15" s="302">
        <f t="shared" si="7"/>
        <v>0</v>
      </c>
      <c r="Y15" s="302">
        <f t="shared" si="7"/>
        <v>0</v>
      </c>
      <c r="Z15" s="302">
        <f t="shared" si="7"/>
        <v>0</v>
      </c>
      <c r="AA15" s="302">
        <f t="shared" si="7"/>
        <v>0</v>
      </c>
      <c r="AB15" s="302">
        <f t="shared" si="7"/>
        <v>0</v>
      </c>
      <c r="AC15" s="302">
        <f t="shared" si="7"/>
        <v>0</v>
      </c>
      <c r="AD15" s="302">
        <f t="shared" si="7"/>
        <v>0</v>
      </c>
      <c r="AE15" s="302">
        <f t="shared" si="7"/>
        <v>0</v>
      </c>
      <c r="AF15" s="302">
        <f t="shared" si="7"/>
        <v>0</v>
      </c>
      <c r="AG15" s="302">
        <f t="shared" si="7"/>
        <v>0</v>
      </c>
      <c r="AH15" s="302">
        <f t="shared" si="7"/>
        <v>0</v>
      </c>
      <c r="AI15" s="302">
        <f t="shared" si="7"/>
        <v>0</v>
      </c>
      <c r="AJ15" s="302">
        <f t="shared" si="7"/>
        <v>0</v>
      </c>
      <c r="AK15" s="302">
        <f t="shared" si="7"/>
        <v>0</v>
      </c>
      <c r="AN15" s="305">
        <f t="shared" si="8"/>
        <v>0</v>
      </c>
      <c r="AO15" s="307">
        <f t="shared" ref="AO15:AO25" si="10">IF($AN$1="u",AO2,AO2/AP2)</f>
        <v>0</v>
      </c>
      <c r="AP15" s="308">
        <f t="shared" ref="AP15:AP25" si="11">+AO15*AP2</f>
        <v>0</v>
      </c>
      <c r="AQ15" s="307">
        <f t="shared" ref="AQ15:AQ25" si="12">IF($AN$1="u",AQ2,AQ2/AP2)</f>
        <v>0</v>
      </c>
      <c r="AR15" s="308">
        <f t="shared" ref="AR15:AR25" si="13">+AQ15*AP2</f>
        <v>0</v>
      </c>
      <c r="AS15" s="307">
        <f t="shared" ref="AS15:AS25" si="14">IF($AN$1="u",AS2,AS2/AP2)</f>
        <v>0</v>
      </c>
      <c r="AT15" s="308">
        <f t="shared" ref="AT15:AT25" si="15">+AS15*AP2</f>
        <v>0</v>
      </c>
    </row>
    <row r="16" spans="1:46" ht="15" hidden="1" customHeight="1">
      <c r="B16" s="302">
        <f t="shared" si="6"/>
        <v>0</v>
      </c>
      <c r="C16" s="302">
        <f t="shared" si="7"/>
        <v>0</v>
      </c>
      <c r="D16" s="302">
        <f t="shared" si="7"/>
        <v>0</v>
      </c>
      <c r="E16" s="302">
        <f t="shared" si="7"/>
        <v>0</v>
      </c>
      <c r="F16" s="302">
        <f t="shared" si="7"/>
        <v>0</v>
      </c>
      <c r="G16" s="302">
        <f t="shared" si="7"/>
        <v>0</v>
      </c>
      <c r="H16" s="302">
        <f t="shared" si="7"/>
        <v>0</v>
      </c>
      <c r="I16" s="302">
        <f t="shared" si="7"/>
        <v>0</v>
      </c>
      <c r="J16" s="302">
        <f t="shared" si="7"/>
        <v>0</v>
      </c>
      <c r="K16" s="302">
        <f t="shared" si="7"/>
        <v>0</v>
      </c>
      <c r="L16" s="302">
        <f t="shared" si="7"/>
        <v>0</v>
      </c>
      <c r="M16" s="302">
        <f t="shared" si="7"/>
        <v>0</v>
      </c>
      <c r="N16" s="302">
        <f t="shared" si="7"/>
        <v>0</v>
      </c>
      <c r="O16" s="302">
        <f t="shared" si="7"/>
        <v>0</v>
      </c>
      <c r="P16" s="302">
        <f t="shared" si="7"/>
        <v>0</v>
      </c>
      <c r="Q16" s="302">
        <f t="shared" si="7"/>
        <v>0</v>
      </c>
      <c r="R16" s="302">
        <f t="shared" si="7"/>
        <v>0</v>
      </c>
      <c r="S16" s="302">
        <f t="shared" si="7"/>
        <v>0</v>
      </c>
      <c r="T16" s="302">
        <f t="shared" si="7"/>
        <v>0</v>
      </c>
      <c r="U16" s="302">
        <f t="shared" si="7"/>
        <v>0</v>
      </c>
      <c r="V16" s="302">
        <f t="shared" si="7"/>
        <v>0</v>
      </c>
      <c r="W16" s="302">
        <f t="shared" si="7"/>
        <v>0</v>
      </c>
      <c r="X16" s="302">
        <f t="shared" si="7"/>
        <v>0</v>
      </c>
      <c r="Y16" s="302">
        <f t="shared" si="7"/>
        <v>0</v>
      </c>
      <c r="Z16" s="302">
        <f t="shared" si="7"/>
        <v>0</v>
      </c>
      <c r="AA16" s="302">
        <f t="shared" si="7"/>
        <v>0</v>
      </c>
      <c r="AB16" s="302">
        <f t="shared" si="7"/>
        <v>0</v>
      </c>
      <c r="AC16" s="302">
        <f t="shared" si="7"/>
        <v>0</v>
      </c>
      <c r="AD16" s="302">
        <f t="shared" si="7"/>
        <v>0</v>
      </c>
      <c r="AE16" s="302">
        <f t="shared" si="7"/>
        <v>0</v>
      </c>
      <c r="AF16" s="302">
        <f t="shared" si="7"/>
        <v>0</v>
      </c>
      <c r="AG16" s="302">
        <f t="shared" si="7"/>
        <v>0</v>
      </c>
      <c r="AH16" s="302">
        <f t="shared" si="7"/>
        <v>0</v>
      </c>
      <c r="AI16" s="302">
        <f t="shared" si="7"/>
        <v>0</v>
      </c>
      <c r="AJ16" s="302">
        <f t="shared" si="7"/>
        <v>0</v>
      </c>
      <c r="AK16" s="302">
        <f t="shared" si="7"/>
        <v>0</v>
      </c>
      <c r="AN16" s="305">
        <f t="shared" si="8"/>
        <v>0</v>
      </c>
      <c r="AO16" s="307">
        <f t="shared" si="10"/>
        <v>0</v>
      </c>
      <c r="AP16" s="308">
        <f t="shared" si="11"/>
        <v>0</v>
      </c>
      <c r="AQ16" s="307">
        <f t="shared" si="12"/>
        <v>0</v>
      </c>
      <c r="AR16" s="308">
        <f t="shared" si="13"/>
        <v>0</v>
      </c>
      <c r="AS16" s="307">
        <f t="shared" si="14"/>
        <v>0</v>
      </c>
      <c r="AT16" s="308">
        <f t="shared" si="15"/>
        <v>0</v>
      </c>
    </row>
    <row r="17" spans="2:46" ht="15" hidden="1" customHeight="1">
      <c r="B17" s="302">
        <f t="shared" si="6"/>
        <v>0</v>
      </c>
      <c r="C17" s="302">
        <f t="shared" si="7"/>
        <v>0</v>
      </c>
      <c r="D17" s="302">
        <f t="shared" si="7"/>
        <v>0</v>
      </c>
      <c r="E17" s="302">
        <f t="shared" si="7"/>
        <v>0</v>
      </c>
      <c r="F17" s="302">
        <f t="shared" si="7"/>
        <v>0</v>
      </c>
      <c r="G17" s="302">
        <f t="shared" si="7"/>
        <v>0</v>
      </c>
      <c r="H17" s="302">
        <f t="shared" si="7"/>
        <v>0</v>
      </c>
      <c r="I17" s="302">
        <f t="shared" si="7"/>
        <v>0</v>
      </c>
      <c r="J17" s="302">
        <f t="shared" si="7"/>
        <v>0</v>
      </c>
      <c r="K17" s="302">
        <f t="shared" si="7"/>
        <v>0</v>
      </c>
      <c r="L17" s="302">
        <f t="shared" si="7"/>
        <v>0</v>
      </c>
      <c r="M17" s="302">
        <f t="shared" si="7"/>
        <v>0</v>
      </c>
      <c r="N17" s="302">
        <f t="shared" si="7"/>
        <v>0</v>
      </c>
      <c r="O17" s="302">
        <f t="shared" si="7"/>
        <v>0</v>
      </c>
      <c r="P17" s="302">
        <f t="shared" si="7"/>
        <v>0</v>
      </c>
      <c r="Q17" s="302">
        <f t="shared" si="7"/>
        <v>0</v>
      </c>
      <c r="R17" s="302">
        <f t="shared" si="7"/>
        <v>0</v>
      </c>
      <c r="S17" s="302">
        <f t="shared" si="7"/>
        <v>0</v>
      </c>
      <c r="T17" s="302">
        <f t="shared" si="7"/>
        <v>0</v>
      </c>
      <c r="U17" s="302">
        <f t="shared" si="7"/>
        <v>0</v>
      </c>
      <c r="V17" s="302">
        <f t="shared" si="7"/>
        <v>0</v>
      </c>
      <c r="W17" s="302">
        <f t="shared" si="7"/>
        <v>0</v>
      </c>
      <c r="X17" s="302">
        <f t="shared" si="7"/>
        <v>0</v>
      </c>
      <c r="Y17" s="302">
        <f t="shared" si="7"/>
        <v>0</v>
      </c>
      <c r="Z17" s="302">
        <f t="shared" si="7"/>
        <v>0</v>
      </c>
      <c r="AA17" s="302">
        <f t="shared" si="7"/>
        <v>0</v>
      </c>
      <c r="AB17" s="302">
        <f t="shared" si="7"/>
        <v>0</v>
      </c>
      <c r="AC17" s="302">
        <f t="shared" si="7"/>
        <v>0</v>
      </c>
      <c r="AD17" s="302">
        <f t="shared" si="7"/>
        <v>0</v>
      </c>
      <c r="AE17" s="302">
        <f t="shared" si="7"/>
        <v>0</v>
      </c>
      <c r="AF17" s="302">
        <f t="shared" si="7"/>
        <v>0</v>
      </c>
      <c r="AG17" s="302">
        <f t="shared" si="7"/>
        <v>0</v>
      </c>
      <c r="AH17" s="302">
        <f t="shared" si="7"/>
        <v>0</v>
      </c>
      <c r="AI17" s="302">
        <f t="shared" si="7"/>
        <v>0</v>
      </c>
      <c r="AJ17" s="302">
        <f t="shared" si="7"/>
        <v>0</v>
      </c>
      <c r="AK17" s="302">
        <f t="shared" si="7"/>
        <v>0</v>
      </c>
      <c r="AN17" s="305">
        <f t="shared" si="8"/>
        <v>0</v>
      </c>
      <c r="AO17" s="307">
        <f t="shared" si="10"/>
        <v>0</v>
      </c>
      <c r="AP17" s="308">
        <f t="shared" si="11"/>
        <v>0</v>
      </c>
      <c r="AQ17" s="307">
        <f t="shared" si="12"/>
        <v>0</v>
      </c>
      <c r="AR17" s="308">
        <f t="shared" si="13"/>
        <v>0</v>
      </c>
      <c r="AS17" s="307">
        <f t="shared" si="14"/>
        <v>0</v>
      </c>
      <c r="AT17" s="308">
        <f t="shared" si="15"/>
        <v>0</v>
      </c>
    </row>
    <row r="18" spans="2:46" ht="15" hidden="1" customHeight="1">
      <c r="B18" s="302">
        <f t="shared" si="6"/>
        <v>0</v>
      </c>
      <c r="C18" s="302">
        <f t="shared" si="7"/>
        <v>0</v>
      </c>
      <c r="D18" s="302">
        <f t="shared" si="7"/>
        <v>0</v>
      </c>
      <c r="E18" s="302">
        <f t="shared" si="7"/>
        <v>0</v>
      </c>
      <c r="F18" s="302">
        <f t="shared" si="7"/>
        <v>0</v>
      </c>
      <c r="G18" s="302">
        <f t="shared" si="7"/>
        <v>0</v>
      </c>
      <c r="H18" s="302">
        <f t="shared" si="7"/>
        <v>0</v>
      </c>
      <c r="I18" s="302">
        <f t="shared" si="7"/>
        <v>0</v>
      </c>
      <c r="J18" s="302">
        <f t="shared" si="7"/>
        <v>0</v>
      </c>
      <c r="K18" s="302">
        <f t="shared" si="7"/>
        <v>0</v>
      </c>
      <c r="L18" s="302">
        <f t="shared" si="7"/>
        <v>0</v>
      </c>
      <c r="M18" s="302">
        <f t="shared" si="7"/>
        <v>0</v>
      </c>
      <c r="N18" s="302">
        <f t="shared" si="7"/>
        <v>0</v>
      </c>
      <c r="O18" s="302">
        <f t="shared" si="7"/>
        <v>0</v>
      </c>
      <c r="P18" s="302">
        <f t="shared" si="7"/>
        <v>0</v>
      </c>
      <c r="Q18" s="302">
        <f t="shared" si="7"/>
        <v>0</v>
      </c>
      <c r="R18" s="302">
        <f t="shared" si="7"/>
        <v>0</v>
      </c>
      <c r="S18" s="302">
        <f t="shared" si="7"/>
        <v>0</v>
      </c>
      <c r="T18" s="302">
        <f t="shared" si="7"/>
        <v>0</v>
      </c>
      <c r="U18" s="302">
        <f t="shared" si="7"/>
        <v>0</v>
      </c>
      <c r="V18" s="302">
        <f t="shared" si="7"/>
        <v>0</v>
      </c>
      <c r="W18" s="302">
        <f t="shared" si="7"/>
        <v>0</v>
      </c>
      <c r="X18" s="302">
        <f t="shared" si="7"/>
        <v>0</v>
      </c>
      <c r="Y18" s="302">
        <f t="shared" si="7"/>
        <v>0</v>
      </c>
      <c r="Z18" s="302">
        <f t="shared" si="7"/>
        <v>0</v>
      </c>
      <c r="AA18" s="302">
        <f t="shared" si="7"/>
        <v>0</v>
      </c>
      <c r="AB18" s="302">
        <f t="shared" si="7"/>
        <v>0</v>
      </c>
      <c r="AC18" s="302">
        <f t="shared" si="7"/>
        <v>0</v>
      </c>
      <c r="AD18" s="302">
        <f t="shared" si="7"/>
        <v>0</v>
      </c>
      <c r="AE18" s="302">
        <f t="shared" si="7"/>
        <v>0</v>
      </c>
      <c r="AF18" s="302">
        <f t="shared" si="7"/>
        <v>0</v>
      </c>
      <c r="AG18" s="302">
        <f t="shared" si="7"/>
        <v>0</v>
      </c>
      <c r="AH18" s="302">
        <f t="shared" si="7"/>
        <v>0</v>
      </c>
      <c r="AI18" s="302">
        <f t="shared" si="7"/>
        <v>0</v>
      </c>
      <c r="AJ18" s="302">
        <f t="shared" si="7"/>
        <v>0</v>
      </c>
      <c r="AK18" s="302">
        <f t="shared" si="7"/>
        <v>0</v>
      </c>
      <c r="AN18" s="305">
        <f t="shared" si="8"/>
        <v>0</v>
      </c>
      <c r="AO18" s="307">
        <f t="shared" si="10"/>
        <v>0</v>
      </c>
      <c r="AP18" s="308">
        <f t="shared" si="11"/>
        <v>0</v>
      </c>
      <c r="AQ18" s="307">
        <f t="shared" si="12"/>
        <v>0</v>
      </c>
      <c r="AR18" s="308">
        <f t="shared" si="13"/>
        <v>0</v>
      </c>
      <c r="AS18" s="307">
        <f t="shared" si="14"/>
        <v>0</v>
      </c>
      <c r="AT18" s="308">
        <f t="shared" si="15"/>
        <v>0</v>
      </c>
    </row>
    <row r="19" spans="2:46" ht="15" hidden="1" customHeight="1">
      <c r="B19" s="302">
        <f t="shared" si="6"/>
        <v>0</v>
      </c>
      <c r="C19" s="302">
        <f t="shared" si="7"/>
        <v>0</v>
      </c>
      <c r="D19" s="302">
        <f t="shared" si="7"/>
        <v>0</v>
      </c>
      <c r="E19" s="302">
        <f t="shared" si="7"/>
        <v>0</v>
      </c>
      <c r="F19" s="302">
        <f t="shared" si="7"/>
        <v>0</v>
      </c>
      <c r="G19" s="302">
        <f t="shared" si="7"/>
        <v>0</v>
      </c>
      <c r="H19" s="302">
        <f t="shared" si="7"/>
        <v>0</v>
      </c>
      <c r="I19" s="302">
        <f t="shared" si="7"/>
        <v>0</v>
      </c>
      <c r="J19" s="302">
        <f t="shared" si="7"/>
        <v>0</v>
      </c>
      <c r="K19" s="302">
        <f t="shared" si="7"/>
        <v>0</v>
      </c>
      <c r="L19" s="302">
        <f t="shared" si="7"/>
        <v>0</v>
      </c>
      <c r="M19" s="302">
        <f t="shared" si="7"/>
        <v>0</v>
      </c>
      <c r="N19" s="302">
        <f t="shared" si="7"/>
        <v>0</v>
      </c>
      <c r="O19" s="302">
        <f t="shared" si="7"/>
        <v>0</v>
      </c>
      <c r="P19" s="302">
        <f t="shared" si="7"/>
        <v>0</v>
      </c>
      <c r="Q19" s="302">
        <f t="shared" si="7"/>
        <v>0</v>
      </c>
      <c r="R19" s="302">
        <f t="shared" si="7"/>
        <v>0</v>
      </c>
      <c r="S19" s="302">
        <f t="shared" si="7"/>
        <v>0</v>
      </c>
      <c r="T19" s="302">
        <f t="shared" si="7"/>
        <v>0</v>
      </c>
      <c r="U19" s="302">
        <f t="shared" si="7"/>
        <v>0</v>
      </c>
      <c r="V19" s="302">
        <f t="shared" si="7"/>
        <v>0</v>
      </c>
      <c r="W19" s="302">
        <f t="shared" si="7"/>
        <v>0</v>
      </c>
      <c r="X19" s="302">
        <f t="shared" si="7"/>
        <v>0</v>
      </c>
      <c r="Y19" s="302">
        <f t="shared" si="7"/>
        <v>0</v>
      </c>
      <c r="Z19" s="302">
        <f t="shared" si="7"/>
        <v>0</v>
      </c>
      <c r="AA19" s="302">
        <f t="shared" si="7"/>
        <v>0</v>
      </c>
      <c r="AB19" s="302">
        <f t="shared" si="7"/>
        <v>0</v>
      </c>
      <c r="AC19" s="302">
        <f t="shared" si="7"/>
        <v>0</v>
      </c>
      <c r="AD19" s="302">
        <f t="shared" si="7"/>
        <v>0</v>
      </c>
      <c r="AE19" s="302">
        <f t="shared" si="7"/>
        <v>0</v>
      </c>
      <c r="AF19" s="302">
        <f t="shared" si="7"/>
        <v>0</v>
      </c>
      <c r="AG19" s="302">
        <f t="shared" si="7"/>
        <v>0</v>
      </c>
      <c r="AH19" s="302">
        <f t="shared" si="7"/>
        <v>0</v>
      </c>
      <c r="AI19" s="302">
        <f t="shared" si="7"/>
        <v>0</v>
      </c>
      <c r="AJ19" s="302">
        <f t="shared" si="7"/>
        <v>0</v>
      </c>
      <c r="AK19" s="302">
        <f t="shared" si="7"/>
        <v>0</v>
      </c>
      <c r="AN19" s="305">
        <f t="shared" si="8"/>
        <v>0</v>
      </c>
      <c r="AO19" s="307">
        <f t="shared" si="10"/>
        <v>0</v>
      </c>
      <c r="AP19" s="308">
        <f t="shared" si="11"/>
        <v>0</v>
      </c>
      <c r="AQ19" s="307">
        <f t="shared" si="12"/>
        <v>0</v>
      </c>
      <c r="AR19" s="308">
        <f t="shared" si="13"/>
        <v>0</v>
      </c>
      <c r="AS19" s="307">
        <f t="shared" si="14"/>
        <v>0</v>
      </c>
      <c r="AT19" s="308">
        <f t="shared" si="15"/>
        <v>0</v>
      </c>
    </row>
    <row r="20" spans="2:46" ht="15" hidden="1" customHeight="1">
      <c r="B20" s="302">
        <f t="shared" si="6"/>
        <v>0</v>
      </c>
      <c r="C20" s="302">
        <f t="shared" si="7"/>
        <v>0</v>
      </c>
      <c r="D20" s="302">
        <f t="shared" si="7"/>
        <v>0</v>
      </c>
      <c r="E20" s="302">
        <f t="shared" si="7"/>
        <v>0</v>
      </c>
      <c r="F20" s="302">
        <f t="shared" si="7"/>
        <v>0</v>
      </c>
      <c r="G20" s="302">
        <f t="shared" si="7"/>
        <v>0</v>
      </c>
      <c r="H20" s="302">
        <f t="shared" si="7"/>
        <v>0</v>
      </c>
      <c r="I20" s="302">
        <f t="shared" si="7"/>
        <v>0</v>
      </c>
      <c r="J20" s="302">
        <f t="shared" si="7"/>
        <v>0</v>
      </c>
      <c r="K20" s="302">
        <f t="shared" si="7"/>
        <v>0</v>
      </c>
      <c r="L20" s="302">
        <f t="shared" si="7"/>
        <v>0</v>
      </c>
      <c r="M20" s="302">
        <f t="shared" si="7"/>
        <v>0</v>
      </c>
      <c r="N20" s="302">
        <f t="shared" si="7"/>
        <v>0</v>
      </c>
      <c r="O20" s="302">
        <f t="shared" si="7"/>
        <v>0</v>
      </c>
      <c r="P20" s="302">
        <f t="shared" si="7"/>
        <v>0</v>
      </c>
      <c r="Q20" s="302">
        <f t="shared" si="7"/>
        <v>0</v>
      </c>
      <c r="R20" s="302">
        <f t="shared" si="7"/>
        <v>0</v>
      </c>
      <c r="S20" s="302">
        <f t="shared" si="7"/>
        <v>0</v>
      </c>
      <c r="T20" s="302">
        <f t="shared" si="7"/>
        <v>0</v>
      </c>
      <c r="U20" s="302">
        <f t="shared" si="7"/>
        <v>0</v>
      </c>
      <c r="V20" s="302">
        <f t="shared" si="7"/>
        <v>0</v>
      </c>
      <c r="W20" s="302">
        <f t="shared" si="7"/>
        <v>0</v>
      </c>
      <c r="X20" s="302">
        <f t="shared" si="7"/>
        <v>0</v>
      </c>
      <c r="Y20" s="302">
        <f t="shared" si="7"/>
        <v>0</v>
      </c>
      <c r="Z20" s="302">
        <f t="shared" si="7"/>
        <v>0</v>
      </c>
      <c r="AA20" s="302">
        <f t="shared" si="7"/>
        <v>0</v>
      </c>
      <c r="AB20" s="302">
        <f t="shared" si="7"/>
        <v>0</v>
      </c>
      <c r="AC20" s="302">
        <f t="shared" si="7"/>
        <v>0</v>
      </c>
      <c r="AD20" s="302">
        <f t="shared" si="7"/>
        <v>0</v>
      </c>
      <c r="AE20" s="302">
        <f t="shared" si="7"/>
        <v>0</v>
      </c>
      <c r="AF20" s="302">
        <f t="shared" si="7"/>
        <v>0</v>
      </c>
      <c r="AG20" s="302">
        <f t="shared" si="7"/>
        <v>0</v>
      </c>
      <c r="AH20" s="302">
        <f t="shared" si="7"/>
        <v>0</v>
      </c>
      <c r="AI20" s="302">
        <f t="shared" si="7"/>
        <v>0</v>
      </c>
      <c r="AJ20" s="302">
        <f t="shared" si="7"/>
        <v>0</v>
      </c>
      <c r="AK20" s="302">
        <f t="shared" si="7"/>
        <v>0</v>
      </c>
      <c r="AN20" s="305">
        <f t="shared" si="8"/>
        <v>0</v>
      </c>
      <c r="AO20" s="307">
        <f t="shared" si="10"/>
        <v>0</v>
      </c>
      <c r="AP20" s="308">
        <f t="shared" si="11"/>
        <v>0</v>
      </c>
      <c r="AQ20" s="307">
        <f t="shared" si="12"/>
        <v>0</v>
      </c>
      <c r="AR20" s="308">
        <f t="shared" si="13"/>
        <v>0</v>
      </c>
      <c r="AS20" s="307">
        <f t="shared" si="14"/>
        <v>0</v>
      </c>
      <c r="AT20" s="308">
        <f t="shared" si="15"/>
        <v>0</v>
      </c>
    </row>
    <row r="21" spans="2:46" ht="15" hidden="1" customHeight="1">
      <c r="B21" s="302">
        <f t="shared" si="6"/>
        <v>0</v>
      </c>
      <c r="C21" s="302">
        <f t="shared" si="7"/>
        <v>0</v>
      </c>
      <c r="D21" s="302">
        <f t="shared" si="7"/>
        <v>0</v>
      </c>
      <c r="E21" s="302">
        <f t="shared" si="7"/>
        <v>0</v>
      </c>
      <c r="F21" s="302">
        <f t="shared" si="7"/>
        <v>0</v>
      </c>
      <c r="G21" s="302">
        <f t="shared" si="7"/>
        <v>0</v>
      </c>
      <c r="H21" s="302">
        <f t="shared" si="7"/>
        <v>0</v>
      </c>
      <c r="I21" s="302">
        <f t="shared" si="7"/>
        <v>0</v>
      </c>
      <c r="J21" s="302">
        <f t="shared" si="7"/>
        <v>0</v>
      </c>
      <c r="K21" s="302">
        <f t="shared" si="7"/>
        <v>0</v>
      </c>
      <c r="L21" s="302">
        <f t="shared" si="7"/>
        <v>0</v>
      </c>
      <c r="M21" s="302">
        <f t="shared" si="7"/>
        <v>0</v>
      </c>
      <c r="N21" s="302">
        <f t="shared" si="7"/>
        <v>0</v>
      </c>
      <c r="O21" s="302">
        <f t="shared" si="7"/>
        <v>0</v>
      </c>
      <c r="P21" s="302">
        <f t="shared" si="7"/>
        <v>0</v>
      </c>
      <c r="Q21" s="302">
        <f t="shared" si="7"/>
        <v>0</v>
      </c>
      <c r="R21" s="302">
        <f t="shared" si="7"/>
        <v>0</v>
      </c>
      <c r="S21" s="302">
        <f t="shared" si="7"/>
        <v>0</v>
      </c>
      <c r="T21" s="302">
        <f t="shared" si="7"/>
        <v>0</v>
      </c>
      <c r="U21" s="302">
        <f t="shared" si="7"/>
        <v>0</v>
      </c>
      <c r="V21" s="302">
        <f t="shared" si="7"/>
        <v>0</v>
      </c>
      <c r="W21" s="302">
        <f t="shared" si="7"/>
        <v>0</v>
      </c>
      <c r="X21" s="302">
        <f t="shared" si="7"/>
        <v>0</v>
      </c>
      <c r="Y21" s="302">
        <f t="shared" si="7"/>
        <v>0</v>
      </c>
      <c r="Z21" s="302">
        <f t="shared" si="7"/>
        <v>0</v>
      </c>
      <c r="AA21" s="302">
        <f t="shared" si="7"/>
        <v>0</v>
      </c>
      <c r="AB21" s="302">
        <f t="shared" ref="C21:AK25" si="16">IF($AN$1="u",AB8,IF($AN$1="p",AB8/$AP8))</f>
        <v>0</v>
      </c>
      <c r="AC21" s="302">
        <f t="shared" si="16"/>
        <v>0</v>
      </c>
      <c r="AD21" s="302">
        <f t="shared" si="16"/>
        <v>0</v>
      </c>
      <c r="AE21" s="302">
        <f t="shared" si="16"/>
        <v>0</v>
      </c>
      <c r="AF21" s="302">
        <f t="shared" si="16"/>
        <v>0</v>
      </c>
      <c r="AG21" s="302">
        <f t="shared" si="16"/>
        <v>0</v>
      </c>
      <c r="AH21" s="302">
        <f t="shared" si="16"/>
        <v>0</v>
      </c>
      <c r="AI21" s="302">
        <f t="shared" si="16"/>
        <v>0</v>
      </c>
      <c r="AJ21" s="302">
        <f t="shared" si="16"/>
        <v>0</v>
      </c>
      <c r="AK21" s="302">
        <f t="shared" si="16"/>
        <v>0</v>
      </c>
      <c r="AN21" s="305">
        <f t="shared" si="8"/>
        <v>0</v>
      </c>
      <c r="AO21" s="307">
        <f t="shared" si="10"/>
        <v>0</v>
      </c>
      <c r="AP21" s="308">
        <f t="shared" si="11"/>
        <v>0</v>
      </c>
      <c r="AQ21" s="307">
        <f t="shared" si="12"/>
        <v>0</v>
      </c>
      <c r="AR21" s="308">
        <f t="shared" si="13"/>
        <v>0</v>
      </c>
      <c r="AS21" s="307">
        <f t="shared" si="14"/>
        <v>0</v>
      </c>
      <c r="AT21" s="308">
        <f t="shared" si="15"/>
        <v>0</v>
      </c>
    </row>
    <row r="22" spans="2:46" ht="15" hidden="1" customHeight="1">
      <c r="B22" s="302">
        <f t="shared" si="6"/>
        <v>0</v>
      </c>
      <c r="C22" s="302">
        <f t="shared" si="16"/>
        <v>0</v>
      </c>
      <c r="D22" s="302">
        <f t="shared" si="16"/>
        <v>0</v>
      </c>
      <c r="E22" s="302">
        <f t="shared" si="16"/>
        <v>0</v>
      </c>
      <c r="F22" s="302">
        <f t="shared" si="16"/>
        <v>0</v>
      </c>
      <c r="G22" s="302">
        <f t="shared" si="16"/>
        <v>0</v>
      </c>
      <c r="H22" s="302">
        <f t="shared" si="16"/>
        <v>0</v>
      </c>
      <c r="I22" s="302">
        <f t="shared" si="16"/>
        <v>0</v>
      </c>
      <c r="J22" s="302">
        <f t="shared" si="16"/>
        <v>0</v>
      </c>
      <c r="K22" s="302">
        <f t="shared" si="16"/>
        <v>0</v>
      </c>
      <c r="L22" s="302">
        <f t="shared" si="16"/>
        <v>0</v>
      </c>
      <c r="M22" s="302">
        <f t="shared" si="16"/>
        <v>0</v>
      </c>
      <c r="N22" s="302">
        <f t="shared" si="16"/>
        <v>0</v>
      </c>
      <c r="O22" s="302">
        <f t="shared" si="16"/>
        <v>0</v>
      </c>
      <c r="P22" s="302">
        <f t="shared" si="16"/>
        <v>0</v>
      </c>
      <c r="Q22" s="302">
        <f t="shared" si="16"/>
        <v>0</v>
      </c>
      <c r="R22" s="302">
        <f t="shared" si="16"/>
        <v>0</v>
      </c>
      <c r="S22" s="302">
        <f t="shared" si="16"/>
        <v>0</v>
      </c>
      <c r="T22" s="302">
        <f t="shared" si="16"/>
        <v>0</v>
      </c>
      <c r="U22" s="302">
        <f t="shared" si="16"/>
        <v>0</v>
      </c>
      <c r="V22" s="302">
        <f t="shared" si="16"/>
        <v>0</v>
      </c>
      <c r="W22" s="302">
        <f t="shared" si="16"/>
        <v>0</v>
      </c>
      <c r="X22" s="302">
        <f t="shared" si="16"/>
        <v>0</v>
      </c>
      <c r="Y22" s="302">
        <f t="shared" si="16"/>
        <v>0</v>
      </c>
      <c r="Z22" s="302">
        <f t="shared" si="16"/>
        <v>0</v>
      </c>
      <c r="AA22" s="302">
        <f t="shared" si="16"/>
        <v>0</v>
      </c>
      <c r="AB22" s="302">
        <f t="shared" si="16"/>
        <v>0</v>
      </c>
      <c r="AC22" s="302">
        <f t="shared" si="16"/>
        <v>0</v>
      </c>
      <c r="AD22" s="302">
        <f t="shared" si="16"/>
        <v>0</v>
      </c>
      <c r="AE22" s="302">
        <f t="shared" si="16"/>
        <v>0</v>
      </c>
      <c r="AF22" s="302">
        <f t="shared" si="16"/>
        <v>0</v>
      </c>
      <c r="AG22" s="302">
        <f t="shared" si="16"/>
        <v>0</v>
      </c>
      <c r="AH22" s="302">
        <f t="shared" si="16"/>
        <v>0</v>
      </c>
      <c r="AI22" s="302">
        <f t="shared" si="16"/>
        <v>0</v>
      </c>
      <c r="AJ22" s="302">
        <f t="shared" si="16"/>
        <v>0</v>
      </c>
      <c r="AK22" s="302">
        <f t="shared" si="16"/>
        <v>0</v>
      </c>
      <c r="AN22" s="305">
        <f t="shared" si="8"/>
        <v>0</v>
      </c>
      <c r="AO22" s="307">
        <f t="shared" si="10"/>
        <v>0</v>
      </c>
      <c r="AP22" s="308">
        <f t="shared" si="11"/>
        <v>0</v>
      </c>
      <c r="AQ22" s="307">
        <f t="shared" si="12"/>
        <v>0</v>
      </c>
      <c r="AR22" s="308">
        <f t="shared" si="13"/>
        <v>0</v>
      </c>
      <c r="AS22" s="307">
        <f t="shared" si="14"/>
        <v>0</v>
      </c>
      <c r="AT22" s="308">
        <f t="shared" si="15"/>
        <v>0</v>
      </c>
    </row>
    <row r="23" spans="2:46" ht="15" hidden="1" customHeight="1">
      <c r="B23" s="302">
        <f t="shared" si="6"/>
        <v>0</v>
      </c>
      <c r="C23" s="302">
        <f t="shared" si="16"/>
        <v>0</v>
      </c>
      <c r="D23" s="302">
        <f t="shared" si="16"/>
        <v>0</v>
      </c>
      <c r="E23" s="302">
        <f t="shared" si="16"/>
        <v>0</v>
      </c>
      <c r="F23" s="302">
        <f t="shared" si="16"/>
        <v>0</v>
      </c>
      <c r="G23" s="302">
        <f t="shared" si="16"/>
        <v>0</v>
      </c>
      <c r="H23" s="302">
        <f t="shared" si="16"/>
        <v>0</v>
      </c>
      <c r="I23" s="302">
        <f t="shared" si="16"/>
        <v>0</v>
      </c>
      <c r="J23" s="302">
        <f t="shared" si="16"/>
        <v>0</v>
      </c>
      <c r="K23" s="302">
        <f t="shared" si="16"/>
        <v>0</v>
      </c>
      <c r="L23" s="302">
        <f t="shared" si="16"/>
        <v>0</v>
      </c>
      <c r="M23" s="302">
        <f t="shared" si="16"/>
        <v>0</v>
      </c>
      <c r="N23" s="302">
        <f t="shared" si="16"/>
        <v>0</v>
      </c>
      <c r="O23" s="302">
        <f t="shared" si="16"/>
        <v>0</v>
      </c>
      <c r="P23" s="302">
        <f t="shared" si="16"/>
        <v>0</v>
      </c>
      <c r="Q23" s="302">
        <f t="shared" si="16"/>
        <v>0</v>
      </c>
      <c r="R23" s="302">
        <f t="shared" si="16"/>
        <v>0</v>
      </c>
      <c r="S23" s="302">
        <f t="shared" si="16"/>
        <v>0</v>
      </c>
      <c r="T23" s="302">
        <f t="shared" si="16"/>
        <v>0</v>
      </c>
      <c r="U23" s="302">
        <f t="shared" si="16"/>
        <v>0</v>
      </c>
      <c r="V23" s="302">
        <f t="shared" si="16"/>
        <v>0</v>
      </c>
      <c r="W23" s="302">
        <f t="shared" si="16"/>
        <v>0</v>
      </c>
      <c r="X23" s="302">
        <f t="shared" si="16"/>
        <v>0</v>
      </c>
      <c r="Y23" s="302">
        <f t="shared" si="16"/>
        <v>0</v>
      </c>
      <c r="Z23" s="302">
        <f t="shared" si="16"/>
        <v>0</v>
      </c>
      <c r="AA23" s="302">
        <f t="shared" si="16"/>
        <v>0</v>
      </c>
      <c r="AB23" s="302">
        <f t="shared" si="16"/>
        <v>0</v>
      </c>
      <c r="AC23" s="302">
        <f t="shared" si="16"/>
        <v>0</v>
      </c>
      <c r="AD23" s="302">
        <f t="shared" si="16"/>
        <v>0</v>
      </c>
      <c r="AE23" s="302">
        <f t="shared" si="16"/>
        <v>0</v>
      </c>
      <c r="AF23" s="302">
        <f t="shared" si="16"/>
        <v>0</v>
      </c>
      <c r="AG23" s="302">
        <f t="shared" si="16"/>
        <v>0</v>
      </c>
      <c r="AH23" s="302">
        <f t="shared" si="16"/>
        <v>0</v>
      </c>
      <c r="AI23" s="302">
        <f t="shared" si="16"/>
        <v>0</v>
      </c>
      <c r="AJ23" s="302">
        <f t="shared" si="16"/>
        <v>0</v>
      </c>
      <c r="AK23" s="302">
        <f t="shared" si="16"/>
        <v>0</v>
      </c>
      <c r="AN23" s="305">
        <f t="shared" si="8"/>
        <v>0</v>
      </c>
      <c r="AO23" s="307">
        <f t="shared" si="10"/>
        <v>0</v>
      </c>
      <c r="AP23" s="308">
        <f t="shared" si="11"/>
        <v>0</v>
      </c>
      <c r="AQ23" s="307">
        <f t="shared" si="12"/>
        <v>0</v>
      </c>
      <c r="AR23" s="308">
        <f t="shared" si="13"/>
        <v>0</v>
      </c>
      <c r="AS23" s="307">
        <f t="shared" si="14"/>
        <v>0</v>
      </c>
      <c r="AT23" s="308">
        <f t="shared" si="15"/>
        <v>0</v>
      </c>
    </row>
    <row r="24" spans="2:46" ht="15" hidden="1" customHeight="1">
      <c r="B24" s="302">
        <f t="shared" si="6"/>
        <v>0</v>
      </c>
      <c r="C24" s="302">
        <f t="shared" si="16"/>
        <v>0</v>
      </c>
      <c r="D24" s="302">
        <f t="shared" si="16"/>
        <v>0</v>
      </c>
      <c r="E24" s="302">
        <f t="shared" si="16"/>
        <v>0</v>
      </c>
      <c r="F24" s="302">
        <f t="shared" si="16"/>
        <v>0</v>
      </c>
      <c r="G24" s="302">
        <f t="shared" si="16"/>
        <v>0</v>
      </c>
      <c r="H24" s="302">
        <f t="shared" si="16"/>
        <v>0</v>
      </c>
      <c r="I24" s="302">
        <f t="shared" si="16"/>
        <v>0</v>
      </c>
      <c r="J24" s="302">
        <f t="shared" si="16"/>
        <v>0</v>
      </c>
      <c r="K24" s="302">
        <f t="shared" si="16"/>
        <v>0</v>
      </c>
      <c r="L24" s="302">
        <f t="shared" si="16"/>
        <v>0</v>
      </c>
      <c r="M24" s="302">
        <f t="shared" si="16"/>
        <v>0</v>
      </c>
      <c r="N24" s="302">
        <f t="shared" si="16"/>
        <v>0</v>
      </c>
      <c r="O24" s="302">
        <f t="shared" si="16"/>
        <v>0</v>
      </c>
      <c r="P24" s="302">
        <f t="shared" si="16"/>
        <v>0</v>
      </c>
      <c r="Q24" s="302">
        <f t="shared" si="16"/>
        <v>0</v>
      </c>
      <c r="R24" s="302">
        <f t="shared" si="16"/>
        <v>0</v>
      </c>
      <c r="S24" s="302">
        <f t="shared" si="16"/>
        <v>0</v>
      </c>
      <c r="T24" s="302">
        <f t="shared" si="16"/>
        <v>0</v>
      </c>
      <c r="U24" s="302">
        <f t="shared" si="16"/>
        <v>0</v>
      </c>
      <c r="V24" s="302">
        <f t="shared" si="16"/>
        <v>0</v>
      </c>
      <c r="W24" s="302">
        <f t="shared" si="16"/>
        <v>0</v>
      </c>
      <c r="X24" s="302">
        <f t="shared" si="16"/>
        <v>0</v>
      </c>
      <c r="Y24" s="302">
        <f t="shared" si="16"/>
        <v>0</v>
      </c>
      <c r="Z24" s="302">
        <f t="shared" si="16"/>
        <v>0</v>
      </c>
      <c r="AA24" s="302">
        <f t="shared" si="16"/>
        <v>0</v>
      </c>
      <c r="AB24" s="302">
        <f t="shared" si="16"/>
        <v>0</v>
      </c>
      <c r="AC24" s="302">
        <f t="shared" si="16"/>
        <v>0</v>
      </c>
      <c r="AD24" s="302">
        <f t="shared" si="16"/>
        <v>0</v>
      </c>
      <c r="AE24" s="302">
        <f t="shared" si="16"/>
        <v>0</v>
      </c>
      <c r="AF24" s="302">
        <f t="shared" si="16"/>
        <v>0</v>
      </c>
      <c r="AG24" s="302">
        <f t="shared" si="16"/>
        <v>0</v>
      </c>
      <c r="AH24" s="302">
        <f t="shared" si="16"/>
        <v>0</v>
      </c>
      <c r="AI24" s="302">
        <f t="shared" si="16"/>
        <v>0</v>
      </c>
      <c r="AJ24" s="302">
        <f t="shared" si="16"/>
        <v>0</v>
      </c>
      <c r="AK24" s="302">
        <f t="shared" si="16"/>
        <v>0</v>
      </c>
      <c r="AN24" s="305">
        <f t="shared" si="8"/>
        <v>0</v>
      </c>
      <c r="AO24" s="307">
        <f t="shared" si="10"/>
        <v>0</v>
      </c>
      <c r="AP24" s="308">
        <f t="shared" si="11"/>
        <v>0</v>
      </c>
      <c r="AQ24" s="307">
        <f t="shared" si="12"/>
        <v>0</v>
      </c>
      <c r="AR24" s="308">
        <f t="shared" si="13"/>
        <v>0</v>
      </c>
      <c r="AS24" s="307">
        <f t="shared" si="14"/>
        <v>0</v>
      </c>
      <c r="AT24" s="308">
        <f t="shared" si="15"/>
        <v>0</v>
      </c>
    </row>
    <row r="25" spans="2:46" ht="15" hidden="1" customHeight="1">
      <c r="B25" s="302">
        <f t="shared" si="6"/>
        <v>0</v>
      </c>
      <c r="C25" s="302">
        <f t="shared" si="16"/>
        <v>0</v>
      </c>
      <c r="D25" s="302">
        <f t="shared" si="16"/>
        <v>0</v>
      </c>
      <c r="E25" s="302">
        <f t="shared" si="16"/>
        <v>0</v>
      </c>
      <c r="F25" s="302">
        <f t="shared" si="16"/>
        <v>0</v>
      </c>
      <c r="G25" s="302">
        <f t="shared" si="16"/>
        <v>0</v>
      </c>
      <c r="H25" s="302">
        <f t="shared" si="16"/>
        <v>0</v>
      </c>
      <c r="I25" s="302">
        <f t="shared" si="16"/>
        <v>0</v>
      </c>
      <c r="J25" s="302">
        <f t="shared" si="16"/>
        <v>0</v>
      </c>
      <c r="K25" s="302">
        <f t="shared" si="16"/>
        <v>0</v>
      </c>
      <c r="L25" s="302">
        <f t="shared" si="16"/>
        <v>0</v>
      </c>
      <c r="M25" s="302">
        <f t="shared" si="16"/>
        <v>0</v>
      </c>
      <c r="N25" s="302">
        <f t="shared" si="16"/>
        <v>0</v>
      </c>
      <c r="O25" s="302">
        <f t="shared" si="16"/>
        <v>0</v>
      </c>
      <c r="P25" s="302">
        <f t="shared" si="16"/>
        <v>0</v>
      </c>
      <c r="Q25" s="302">
        <f t="shared" si="16"/>
        <v>0</v>
      </c>
      <c r="R25" s="302">
        <f t="shared" si="16"/>
        <v>0</v>
      </c>
      <c r="S25" s="302">
        <f t="shared" si="16"/>
        <v>0</v>
      </c>
      <c r="T25" s="302">
        <f t="shared" si="16"/>
        <v>0</v>
      </c>
      <c r="U25" s="302">
        <f t="shared" si="16"/>
        <v>0</v>
      </c>
      <c r="V25" s="302">
        <f t="shared" si="16"/>
        <v>0</v>
      </c>
      <c r="W25" s="302">
        <f t="shared" si="16"/>
        <v>0</v>
      </c>
      <c r="X25" s="302">
        <f t="shared" si="16"/>
        <v>0</v>
      </c>
      <c r="Y25" s="302">
        <f t="shared" si="16"/>
        <v>0</v>
      </c>
      <c r="Z25" s="302">
        <f t="shared" si="16"/>
        <v>0</v>
      </c>
      <c r="AA25" s="302">
        <f t="shared" si="16"/>
        <v>0</v>
      </c>
      <c r="AB25" s="302">
        <f t="shared" si="16"/>
        <v>0</v>
      </c>
      <c r="AC25" s="302">
        <f t="shared" si="16"/>
        <v>0</v>
      </c>
      <c r="AD25" s="302">
        <f t="shared" si="16"/>
        <v>0</v>
      </c>
      <c r="AE25" s="302">
        <f t="shared" si="16"/>
        <v>0</v>
      </c>
      <c r="AF25" s="302">
        <f t="shared" si="16"/>
        <v>0</v>
      </c>
      <c r="AG25" s="302">
        <f t="shared" si="16"/>
        <v>0</v>
      </c>
      <c r="AH25" s="302">
        <f t="shared" si="16"/>
        <v>0</v>
      </c>
      <c r="AI25" s="302">
        <f t="shared" si="16"/>
        <v>0</v>
      </c>
      <c r="AJ25" s="302">
        <f t="shared" si="16"/>
        <v>0</v>
      </c>
      <c r="AK25" s="302">
        <f t="shared" si="16"/>
        <v>0</v>
      </c>
      <c r="AN25" s="305">
        <f t="shared" si="8"/>
        <v>0</v>
      </c>
      <c r="AO25" s="307">
        <f t="shared" si="10"/>
        <v>0</v>
      </c>
      <c r="AP25" s="308">
        <f t="shared" si="11"/>
        <v>0</v>
      </c>
      <c r="AQ25" s="307">
        <f t="shared" si="12"/>
        <v>0</v>
      </c>
      <c r="AR25" s="308">
        <f t="shared" si="13"/>
        <v>0</v>
      </c>
      <c r="AS25" s="307">
        <f t="shared" si="14"/>
        <v>0</v>
      </c>
      <c r="AT25" s="308">
        <f t="shared" si="15"/>
        <v>0</v>
      </c>
    </row>
    <row r="26" spans="2:46" ht="15" hidden="1" customHeight="1"/>
    <row r="27" spans="2:46" ht="15" hidden="1" customHeight="1"/>
    <row r="28" spans="2:46" ht="15" hidden="1" customHeight="1"/>
    <row r="29" spans="2:46" ht="15" hidden="1" customHeight="1"/>
    <row r="30" spans="2:46" ht="15" hidden="1" customHeight="1"/>
    <row r="31" spans="2:46" ht="15" hidden="1" customHeight="1"/>
    <row r="32" spans="2:46" ht="15" hidden="1" customHeight="1"/>
    <row r="33" spans="1:37" ht="15" hidden="1" customHeight="1"/>
    <row r="34" spans="1:37" ht="15" hidden="1" customHeight="1"/>
    <row r="35" spans="1:37" ht="15" hidden="1" customHeight="1"/>
    <row r="36" spans="1:37" ht="15" hidden="1" customHeight="1"/>
    <row r="37" spans="1:37" ht="15" hidden="1" customHeight="1">
      <c r="B37" s="302">
        <v>3</v>
      </c>
      <c r="C37" s="302">
        <v>4</v>
      </c>
      <c r="D37" s="302">
        <v>4</v>
      </c>
      <c r="E37" s="302">
        <v>5</v>
      </c>
      <c r="F37" s="302">
        <v>5</v>
      </c>
      <c r="G37" s="302">
        <v>2</v>
      </c>
      <c r="H37" s="302">
        <v>2</v>
      </c>
      <c r="I37" s="302">
        <v>3</v>
      </c>
      <c r="J37" s="302">
        <v>34</v>
      </c>
      <c r="K37" s="302">
        <v>4</v>
      </c>
      <c r="L37" s="302">
        <v>4</v>
      </c>
      <c r="M37" s="302">
        <v>4</v>
      </c>
    </row>
    <row r="38" spans="1:37" ht="15" hidden="1" customHeight="1">
      <c r="A38" s="302" t="s">
        <v>761</v>
      </c>
      <c r="B38" s="302">
        <v>5</v>
      </c>
      <c r="C38" s="302">
        <v>6</v>
      </c>
      <c r="D38" s="302">
        <v>7</v>
      </c>
      <c r="E38" s="302">
        <v>8</v>
      </c>
      <c r="F38" s="302">
        <v>3</v>
      </c>
      <c r="G38" s="302">
        <v>54</v>
      </c>
      <c r="H38" s="302">
        <v>5</v>
      </c>
      <c r="I38" s="302">
        <v>6</v>
      </c>
      <c r="J38" s="302">
        <v>78</v>
      </c>
      <c r="K38" s="302">
        <v>8</v>
      </c>
      <c r="L38" s="302">
        <v>8</v>
      </c>
      <c r="M38" s="302">
        <v>5</v>
      </c>
      <c r="N38" s="302">
        <v>25</v>
      </c>
      <c r="O38" s="302">
        <v>12</v>
      </c>
      <c r="P38" s="302">
        <v>10</v>
      </c>
      <c r="Q38" s="302">
        <v>10</v>
      </c>
      <c r="R38" s="302">
        <v>10</v>
      </c>
      <c r="S38" s="302">
        <v>10</v>
      </c>
      <c r="T38" s="302">
        <v>12</v>
      </c>
      <c r="U38" s="302">
        <v>15</v>
      </c>
      <c r="V38" s="302">
        <v>12</v>
      </c>
      <c r="W38" s="302">
        <v>10</v>
      </c>
      <c r="X38" s="302">
        <v>12</v>
      </c>
      <c r="Y38" s="302">
        <v>12</v>
      </c>
      <c r="Z38" s="302">
        <v>4</v>
      </c>
      <c r="AA38" s="302">
        <v>5</v>
      </c>
      <c r="AB38" s="302">
        <v>5</v>
      </c>
      <c r="AC38" s="302">
        <v>4</v>
      </c>
      <c r="AD38" s="302">
        <v>3</v>
      </c>
      <c r="AE38" s="302">
        <v>45</v>
      </c>
      <c r="AF38" s="302">
        <v>2</v>
      </c>
      <c r="AG38" s="302">
        <v>43</v>
      </c>
      <c r="AH38" s="302">
        <v>4</v>
      </c>
      <c r="AI38" s="302">
        <v>3</v>
      </c>
      <c r="AJ38" s="302">
        <v>4</v>
      </c>
      <c r="AK38" s="302">
        <v>32</v>
      </c>
    </row>
    <row r="39" spans="1:37" ht="15" hidden="1" customHeight="1"/>
    <row r="40" spans="1:37" ht="15" hidden="1" customHeight="1"/>
    <row r="41" spans="1:37" ht="15" hidden="1" customHeight="1"/>
    <row r="42" spans="1:37" ht="15" hidden="1" customHeight="1"/>
    <row r="43" spans="1:37" ht="15" hidden="1" customHeight="1"/>
    <row r="44" spans="1:37" ht="15" hidden="1" customHeight="1"/>
    <row r="45" spans="1:37" ht="15" hidden="1" customHeight="1"/>
    <row r="46" spans="1:37" ht="15" hidden="1" customHeight="1"/>
    <row r="47" spans="1:37" ht="15" hidden="1" customHeight="1"/>
    <row r="48" spans="1:37" ht="15" hidden="1" customHeight="1"/>
    <row r="49" spans="2:38" ht="15" hidden="1" customHeight="1"/>
    <row r="50" spans="2:38" ht="15" hidden="1" customHeight="1"/>
    <row r="51" spans="2:38" ht="15" hidden="1" customHeight="1"/>
    <row r="52" spans="2:38" ht="15" hidden="1" customHeight="1"/>
    <row r="53" spans="2:38" ht="15" hidden="1" customHeight="1"/>
    <row r="54" spans="2:38" ht="15" hidden="1" customHeight="1"/>
    <row r="55" spans="2:38" ht="15" hidden="1" customHeight="1"/>
    <row r="56" spans="2:38" ht="15" hidden="1" customHeight="1"/>
    <row r="57" spans="2:38" ht="15" hidden="1" customHeight="1"/>
    <row r="58" spans="2:38" ht="15" hidden="1" customHeight="1"/>
    <row r="59" spans="2:38" ht="15" hidden="1" customHeight="1"/>
    <row r="60" spans="2:38" ht="15" hidden="1" customHeight="1"/>
    <row r="61" spans="2:38" ht="15" hidden="1" customHeight="1">
      <c r="B61" s="302">
        <v>1</v>
      </c>
      <c r="C61" s="302">
        <v>2</v>
      </c>
      <c r="D61" s="302">
        <v>5</v>
      </c>
      <c r="E61" s="302">
        <v>4</v>
      </c>
      <c r="F61" s="302">
        <v>5</v>
      </c>
      <c r="G61" s="302">
        <v>6</v>
      </c>
      <c r="H61" s="302">
        <v>7</v>
      </c>
      <c r="I61" s="302">
        <v>8</v>
      </c>
      <c r="J61" s="302">
        <v>8</v>
      </c>
      <c r="K61" s="302">
        <v>8</v>
      </c>
      <c r="L61" s="302">
        <v>9</v>
      </c>
      <c r="M61" s="302">
        <v>4</v>
      </c>
      <c r="AL61" s="302">
        <v>4</v>
      </c>
    </row>
    <row r="62" spans="2:38" ht="15" hidden="1" customHeight="1"/>
    <row r="63" spans="2:38" ht="15" hidden="1" customHeight="1"/>
    <row r="64" spans="2:38" ht="15" hidden="1" customHeight="1"/>
    <row r="65" spans="2:2" ht="15" hidden="1" customHeight="1"/>
    <row r="66" spans="2:2" ht="15" hidden="1" customHeight="1"/>
    <row r="67" spans="2:2" ht="15" hidden="1" customHeight="1"/>
    <row r="68" spans="2:2" ht="15" hidden="1" customHeight="1"/>
    <row r="69" spans="2:2" ht="15" hidden="1" customHeight="1"/>
    <row r="70" spans="2:2" ht="15" hidden="1" customHeight="1"/>
    <row r="71" spans="2:2" ht="15" hidden="1" customHeight="1"/>
    <row r="72" spans="2:2" ht="15" hidden="1" customHeight="1"/>
    <row r="73" spans="2:2" ht="15" hidden="1" customHeight="1"/>
    <row r="74" spans="2:2" ht="15" hidden="1" customHeight="1"/>
    <row r="75" spans="2:2" ht="15" hidden="1" customHeight="1"/>
    <row r="76" spans="2:2" ht="15" hidden="1" customHeight="1"/>
    <row r="77" spans="2:2" ht="15" hidden="1" customHeight="1">
      <c r="B77" s="302" t="s">
        <v>17</v>
      </c>
    </row>
    <row r="78" spans="2:2" ht="15" hidden="1" customHeight="1">
      <c r="B78" s="302">
        <v>2009</v>
      </c>
    </row>
    <row r="79" spans="2:2" ht="15" hidden="1" customHeight="1"/>
    <row r="80" spans="2:2" ht="15" hidden="1" customHeight="1"/>
    <row r="81" spans="4:4" ht="15" hidden="1" customHeight="1"/>
    <row r="82" spans="4:4" ht="15" hidden="1" customHeight="1"/>
    <row r="83" spans="4:4" ht="15" hidden="1" customHeight="1"/>
    <row r="84" spans="4:4" ht="15" hidden="1" customHeight="1"/>
    <row r="85" spans="4:4" ht="15" hidden="1" customHeight="1"/>
    <row r="86" spans="4:4" ht="15" hidden="1" customHeight="1"/>
    <row r="87" spans="4:4" ht="15" hidden="1" customHeight="1"/>
    <row r="88" spans="4:4" ht="15" hidden="1" customHeight="1"/>
    <row r="89" spans="4:4" ht="15" hidden="1" customHeight="1">
      <c r="D89" s="302">
        <v>454</v>
      </c>
    </row>
    <row r="90" spans="4:4" ht="15" hidden="1" customHeight="1"/>
    <row r="91" spans="4:4" ht="15" hidden="1" customHeight="1"/>
    <row r="92" spans="4:4" ht="15" hidden="1" customHeight="1"/>
    <row r="93" spans="4:4" ht="15" hidden="1" customHeight="1"/>
    <row r="94" spans="4:4" ht="15" hidden="1" customHeight="1"/>
    <row r="95" spans="4:4" ht="15" hidden="1" customHeight="1"/>
    <row r="96" spans="4:4" ht="15" hidden="1" customHeight="1"/>
    <row r="97" ht="15" hidden="1" customHeight="1"/>
    <row r="98" ht="15" hidden="1" customHeight="1"/>
    <row r="99" ht="15" hidden="1" customHeight="1"/>
    <row r="100" ht="15" hidden="1" customHeight="1"/>
    <row r="101" ht="15" hidden="1" customHeight="1"/>
    <row r="102" ht="15" hidden="1" customHeight="1"/>
    <row r="103" ht="15" hidden="1" customHeight="1"/>
    <row r="104" ht="15" hidden="1" customHeight="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row r="157" ht="15" hidden="1" customHeight="1"/>
    <row r="158" ht="15" hidden="1" customHeight="1"/>
    <row r="159" ht="15" hidden="1" customHeight="1"/>
    <row r="160" ht="15" hidden="1" customHeight="1"/>
    <row r="161" ht="15" hidden="1" customHeight="1"/>
    <row r="162" ht="15" hidden="1" customHeight="1"/>
    <row r="163" ht="15" hidden="1" customHeight="1"/>
    <row r="164" ht="15" hidden="1" customHeight="1"/>
    <row r="165" ht="15" hidden="1" customHeight="1"/>
    <row r="166" ht="15" hidden="1" customHeight="1"/>
    <row r="167" ht="15" hidden="1" customHeight="1"/>
    <row r="168" ht="15" hidden="1" customHeight="1"/>
    <row r="169" ht="15" hidden="1" customHeight="1"/>
    <row r="170" ht="15" hidden="1" customHeight="1"/>
    <row r="171" ht="15" hidden="1" customHeight="1"/>
    <row r="172" ht="15" hidden="1" customHeight="1"/>
    <row r="173" ht="15" hidden="1" customHeight="1"/>
    <row r="174" ht="15" hidden="1" customHeight="1"/>
    <row r="175" ht="15" hidden="1" customHeight="1"/>
    <row r="176" ht="15" hidden="1" customHeight="1"/>
    <row r="177" ht="15" hidden="1" customHeight="1"/>
    <row r="178" ht="15" hidden="1" customHeight="1"/>
    <row r="179" ht="15" hidden="1" customHeight="1"/>
    <row r="180" ht="15" hidden="1" customHeight="1"/>
    <row r="181" ht="15" hidden="1" customHeight="1"/>
    <row r="182" ht="15" hidden="1" customHeight="1"/>
    <row r="183" ht="15" hidden="1" customHeight="1"/>
    <row r="184" ht="15" hidden="1" customHeight="1"/>
    <row r="185" ht="15" hidden="1" customHeight="1"/>
    <row r="186" ht="15" hidden="1" customHeight="1"/>
    <row r="187" ht="15" hidden="1" customHeight="1"/>
    <row r="188" ht="15" hidden="1" customHeight="1"/>
    <row r="189" ht="15" hidden="1" customHeight="1"/>
    <row r="190" ht="15" hidden="1" customHeight="1"/>
    <row r="191" ht="15" hidden="1" customHeight="1"/>
    <row r="192" ht="15" hidden="1" customHeight="1"/>
    <row r="193" ht="15" hidden="1" customHeight="1"/>
    <row r="194" ht="15" hidden="1" customHeight="1"/>
    <row r="195" ht="15" hidden="1" customHeight="1"/>
    <row r="196" ht="15" hidden="1" customHeight="1"/>
    <row r="197" ht="15" hidden="1" customHeight="1"/>
    <row r="198" ht="15" hidden="1" customHeight="1"/>
    <row r="199" ht="15" hidden="1" customHeight="1"/>
    <row r="200" ht="15" hidden="1" customHeight="1"/>
    <row r="201" ht="15" hidden="1" customHeight="1"/>
    <row r="202" ht="15" hidden="1" customHeight="1"/>
    <row r="203" ht="15" hidden="1" customHeight="1"/>
    <row r="204" ht="15" hidden="1" customHeight="1"/>
    <row r="205" ht="15" hidden="1" customHeight="1"/>
    <row r="206" ht="15" hidden="1" customHeight="1"/>
    <row r="207" ht="15" hidden="1" customHeight="1"/>
    <row r="208" ht="15" hidden="1" customHeight="1"/>
    <row r="209" ht="15" hidden="1" customHeight="1"/>
    <row r="210" ht="15" hidden="1" customHeight="1"/>
    <row r="211" ht="15" hidden="1" customHeight="1"/>
    <row r="212" ht="15" hidden="1" customHeight="1"/>
    <row r="213" ht="15" hidden="1" customHeight="1"/>
    <row r="214" ht="15" hidden="1" customHeight="1"/>
    <row r="215" ht="15" hidden="1" customHeight="1"/>
    <row r="216" ht="15" hidden="1" customHeight="1"/>
    <row r="217" ht="15" hidden="1" customHeight="1"/>
    <row r="218" ht="15" hidden="1" customHeight="1"/>
    <row r="219" ht="15" hidden="1" customHeight="1"/>
    <row r="220" ht="15" hidden="1" customHeight="1"/>
    <row r="221" ht="15" hidden="1" customHeight="1"/>
    <row r="222" ht="15" hidden="1" customHeight="1"/>
    <row r="223" ht="15" hidden="1" customHeight="1"/>
    <row r="224" ht="15" hidden="1" customHeight="1"/>
    <row r="225" ht="15" hidden="1" customHeight="1"/>
    <row r="226" ht="15" hidden="1" customHeight="1"/>
    <row r="227" ht="15" hidden="1" customHeight="1"/>
    <row r="228" ht="15" hidden="1" customHeight="1"/>
    <row r="229" ht="15" hidden="1" customHeight="1"/>
    <row r="230" ht="15" hidden="1" customHeight="1"/>
    <row r="231" ht="15" hidden="1" customHeight="1"/>
    <row r="232" ht="15" hidden="1" customHeight="1"/>
    <row r="233" ht="15" hidden="1" customHeight="1"/>
    <row r="234" ht="15" hidden="1" customHeight="1"/>
    <row r="235" ht="15" hidden="1" customHeight="1"/>
    <row r="236" ht="15" hidden="1" customHeight="1"/>
    <row r="237" ht="15" hidden="1" customHeight="1"/>
    <row r="238" ht="15" hidden="1" customHeight="1"/>
    <row r="239" ht="15" hidden="1" customHeight="1"/>
    <row r="240" ht="15" hidden="1" customHeight="1"/>
    <row r="241" ht="15" hidden="1" customHeight="1"/>
    <row r="242" ht="15" hidden="1" customHeight="1"/>
    <row r="243" ht="15" hidden="1" customHeight="1"/>
    <row r="244" ht="15" hidden="1" customHeight="1"/>
    <row r="245" ht="15" hidden="1" customHeight="1"/>
    <row r="246" ht="15" hidden="1" customHeight="1"/>
    <row r="247" ht="15" hidden="1" customHeight="1"/>
    <row r="248" ht="15" hidden="1" customHeight="1"/>
    <row r="249" ht="15" hidden="1" customHeight="1"/>
    <row r="250" ht="15" hidden="1" customHeight="1"/>
    <row r="251" ht="15" hidden="1" customHeight="1"/>
    <row r="252" ht="15" hidden="1" customHeight="1"/>
    <row r="253" ht="15" hidden="1" customHeight="1"/>
    <row r="254" ht="15" hidden="1" customHeight="1"/>
    <row r="255" ht="15" hidden="1" customHeight="1"/>
    <row r="256"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spans="5:6" ht="15" hidden="1" customHeight="1"/>
    <row r="290" spans="5:6" ht="15" hidden="1" customHeight="1"/>
    <row r="291" spans="5:6" ht="15" hidden="1" customHeight="1"/>
    <row r="292" spans="5:6" ht="15" hidden="1" customHeight="1"/>
    <row r="293" spans="5:6" ht="15" hidden="1" customHeight="1"/>
    <row r="294" spans="5:6" ht="15" hidden="1" customHeight="1"/>
    <row r="295" spans="5:6" ht="15" hidden="1" customHeight="1"/>
    <row r="296" spans="5:6" ht="15" hidden="1" customHeight="1"/>
    <row r="297" spans="5:6" ht="15" hidden="1" customHeight="1"/>
    <row r="298" spans="5:6" ht="15" hidden="1" customHeight="1"/>
    <row r="299" spans="5:6" ht="15" hidden="1" customHeight="1"/>
    <row r="300" spans="5:6" ht="15" hidden="1" customHeight="1"/>
    <row r="301" spans="5:6" ht="15" hidden="1" customHeight="1"/>
    <row r="302" spans="5:6" ht="15" customHeight="1">
      <c r="E302" s="303"/>
      <c r="F302" s="303"/>
    </row>
    <row r="357" spans="1:1" ht="15" customHeight="1">
      <c r="A357" s="302" t="s">
        <v>764</v>
      </c>
    </row>
    <row r="412" spans="5:5" ht="15" customHeight="1">
      <c r="E412" s="302">
        <v>1</v>
      </c>
    </row>
    <row r="418" spans="5:5" ht="15" customHeight="1">
      <c r="E418" s="302">
        <v>1</v>
      </c>
    </row>
  </sheetData>
  <sheetProtection password="902B" sheet="1" objects="1" scenarios="1"/>
  <phoneticPr fontId="62" type="noConversion"/>
  <pageMargins left="0.75" right="0.75" top="1" bottom="1" header="0" footer="0"/>
  <pageSetup paperSize="9" orientation="portrait" horizontalDpi="0" verticalDpi="0" r:id="rId1"/>
  <headerFooter alignWithMargins="0"/>
  <ignoredErrors>
    <ignoredError sqref="AS1:AS12" formula="1"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L339"/>
  <sheetViews>
    <sheetView topLeftCell="A13" workbookViewId="0">
      <selection activeCell="B27" sqref="B27"/>
    </sheetView>
  </sheetViews>
  <sheetFormatPr baseColWidth="10" defaultColWidth="11" defaultRowHeight="15" customHeight="1"/>
  <cols>
    <col min="1" max="1" width="64.28515625" style="523" bestFit="1" customWidth="1"/>
    <col min="2" max="2" width="11.5703125" style="523" bestFit="1" customWidth="1"/>
    <col min="3" max="3" width="22.42578125" style="523" customWidth="1"/>
    <col min="4" max="6" width="13.140625" style="523" bestFit="1" customWidth="1"/>
    <col min="7" max="7" width="10.5703125" style="523" bestFit="1" customWidth="1"/>
    <col min="8" max="8" width="14.85546875" style="523" bestFit="1" customWidth="1"/>
    <col min="9" max="9" width="10.7109375" style="523" bestFit="1" customWidth="1"/>
    <col min="10" max="13" width="10.5703125" style="523" bestFit="1" customWidth="1"/>
    <col min="14" max="15" width="11.5703125" style="523" bestFit="1" customWidth="1"/>
    <col min="16" max="18" width="13.140625" style="523" bestFit="1" customWidth="1"/>
    <col min="19" max="16384" width="11" style="523"/>
  </cols>
  <sheetData>
    <row r="1" spans="1:6" ht="15" customHeight="1">
      <c r="A1" s="522"/>
    </row>
    <row r="2" spans="1:6" ht="15" customHeight="1">
      <c r="A2" s="522" t="s">
        <v>268</v>
      </c>
    </row>
    <row r="3" spans="1:6" ht="15" customHeight="1">
      <c r="B3" s="523">
        <f>+'datos de entrada'!C409</f>
        <v>0.03</v>
      </c>
    </row>
    <row r="4" spans="1:6" ht="15" customHeight="1">
      <c r="A4" s="522" t="s">
        <v>45</v>
      </c>
      <c r="C4" s="523" t="str">
        <f>+'datos de entrada'!B4</f>
        <v>TUBE TEES</v>
      </c>
    </row>
    <row r="6" spans="1:6" ht="15" customHeight="1">
      <c r="A6" s="522" t="s">
        <v>185</v>
      </c>
    </row>
    <row r="7" spans="1:6" ht="15" customHeight="1">
      <c r="A7" s="524"/>
      <c r="B7" s="524"/>
      <c r="C7" s="524"/>
      <c r="D7" s="524"/>
      <c r="E7" s="524"/>
      <c r="F7" s="524"/>
    </row>
    <row r="8" spans="1:6" ht="15" customHeight="1">
      <c r="A8" s="522" t="s">
        <v>575</v>
      </c>
      <c r="B8" s="522" t="s">
        <v>692</v>
      </c>
      <c r="C8" s="522" t="s">
        <v>693</v>
      </c>
      <c r="D8" s="522" t="s">
        <v>694</v>
      </c>
      <c r="E8" s="522" t="s">
        <v>186</v>
      </c>
      <c r="F8" s="522" t="s">
        <v>187</v>
      </c>
    </row>
    <row r="9" spans="1:6" ht="15" customHeight="1">
      <c r="A9" s="524"/>
      <c r="B9" s="524"/>
      <c r="C9" s="524"/>
      <c r="D9" s="524"/>
      <c r="E9" s="524"/>
      <c r="F9" s="524"/>
    </row>
    <row r="10" spans="1:6" ht="15" customHeight="1">
      <c r="A10" s="523" t="str">
        <f>+'datos de entrada'!A81</f>
        <v>CAMISETAS</v>
      </c>
      <c r="B10" s="523">
        <f>SUM('datos de entrada'!P81:AA81)</f>
        <v>13500</v>
      </c>
      <c r="C10" s="523">
        <f>B10+'datos de entrada'!B99</f>
        <v>14893</v>
      </c>
      <c r="D10" s="523">
        <f>C10+'datos de entrada'!C99</f>
        <v>16913</v>
      </c>
      <c r="E10" s="523">
        <f>D10+'datos de entrada'!D99</f>
        <v>16913</v>
      </c>
      <c r="F10" s="523">
        <f>E10+'datos de entrada'!E99</f>
        <v>16913</v>
      </c>
    </row>
    <row r="11" spans="1:6" ht="15" customHeight="1">
      <c r="A11" s="523" t="str">
        <f>+'datos de entrada'!A82</f>
        <v/>
      </c>
      <c r="B11" s="523">
        <f>SUM('datos de entrada'!P82:AA82)</f>
        <v>0</v>
      </c>
      <c r="C11" s="523">
        <f>B11+'datos de entrada'!B100</f>
        <v>0</v>
      </c>
      <c r="D11" s="523">
        <f>C11+'datos de entrada'!C100</f>
        <v>0</v>
      </c>
      <c r="E11" s="523">
        <f>D11+'datos de entrada'!D100</f>
        <v>0</v>
      </c>
      <c r="F11" s="523">
        <f>E11+'datos de entrada'!E100</f>
        <v>0</v>
      </c>
    </row>
    <row r="12" spans="1:6" ht="15" customHeight="1">
      <c r="A12" s="523" t="str">
        <f>+'datos de entrada'!A83</f>
        <v/>
      </c>
      <c r="B12" s="523">
        <f>SUM('datos de entrada'!P83:AA83)</f>
        <v>0</v>
      </c>
      <c r="C12" s="523">
        <f>B12+'datos de entrada'!B101</f>
        <v>0</v>
      </c>
      <c r="D12" s="523">
        <f>C12+'datos de entrada'!C101</f>
        <v>0</v>
      </c>
      <c r="E12" s="523">
        <f>D12+'datos de entrada'!D101</f>
        <v>0</v>
      </c>
      <c r="F12" s="523">
        <f>E12+'datos de entrada'!E101</f>
        <v>0</v>
      </c>
    </row>
    <row r="13" spans="1:6" ht="15" customHeight="1">
      <c r="A13" s="523" t="str">
        <f>+'datos de entrada'!A84</f>
        <v/>
      </c>
      <c r="B13" s="523">
        <f>SUM('datos de entrada'!P84:AA84)</f>
        <v>0</v>
      </c>
      <c r="C13" s="523">
        <f>B13+'datos de entrada'!B102</f>
        <v>0</v>
      </c>
      <c r="D13" s="523">
        <f>C13+'datos de entrada'!C102</f>
        <v>0</v>
      </c>
      <c r="E13" s="523">
        <f>D13+'datos de entrada'!D102</f>
        <v>0</v>
      </c>
      <c r="F13" s="523">
        <f>E13+'datos de entrada'!E102</f>
        <v>0</v>
      </c>
    </row>
    <row r="14" spans="1:6" ht="15" customHeight="1">
      <c r="A14" s="523" t="str">
        <f>+'datos de entrada'!A85</f>
        <v/>
      </c>
      <c r="B14" s="523">
        <f>SUM('datos de entrada'!P85:AA85)</f>
        <v>0</v>
      </c>
      <c r="C14" s="523">
        <f>B14+'datos de entrada'!B103</f>
        <v>0</v>
      </c>
      <c r="D14" s="523">
        <f>C14+'datos de entrada'!C103</f>
        <v>0</v>
      </c>
      <c r="E14" s="523">
        <f>D14+'datos de entrada'!D103</f>
        <v>0</v>
      </c>
      <c r="F14" s="523">
        <f>E14+'datos de entrada'!E103</f>
        <v>0</v>
      </c>
    </row>
    <row r="15" spans="1:6" ht="15" customHeight="1">
      <c r="A15" s="523" t="str">
        <f>+'datos de entrada'!A86</f>
        <v/>
      </c>
      <c r="B15" s="523">
        <f>SUM('datos de entrada'!P86:AA86)</f>
        <v>0</v>
      </c>
      <c r="C15" s="523">
        <f>B15+'datos de entrada'!B104</f>
        <v>0</v>
      </c>
      <c r="D15" s="523">
        <f>C15+'datos de entrada'!C104</f>
        <v>0</v>
      </c>
      <c r="E15" s="523">
        <f>D15+'datos de entrada'!D104</f>
        <v>0</v>
      </c>
      <c r="F15" s="523">
        <f>E15+'datos de entrada'!E104</f>
        <v>0</v>
      </c>
    </row>
    <row r="16" spans="1:6" ht="15" customHeight="1">
      <c r="A16" s="523" t="str">
        <f>+'datos de entrada'!A87</f>
        <v/>
      </c>
      <c r="B16" s="523">
        <f>SUM('datos de entrada'!P87:AA87)</f>
        <v>0</v>
      </c>
      <c r="C16" s="523">
        <f>B16+'datos de entrada'!B105</f>
        <v>0</v>
      </c>
      <c r="D16" s="523">
        <f>C16+'datos de entrada'!C105</f>
        <v>0</v>
      </c>
      <c r="E16" s="523">
        <f>D16+'datos de entrada'!D105</f>
        <v>0</v>
      </c>
      <c r="F16" s="523">
        <f>E16+'datos de entrada'!E105</f>
        <v>0</v>
      </c>
    </row>
    <row r="17" spans="1:38" ht="15" customHeight="1">
      <c r="A17" s="523" t="str">
        <f>+'datos de entrada'!A88</f>
        <v/>
      </c>
      <c r="B17" s="523">
        <f>SUM('datos de entrada'!P88:AA88)</f>
        <v>0</v>
      </c>
      <c r="C17" s="523">
        <f>B17+'datos de entrada'!B106</f>
        <v>0</v>
      </c>
      <c r="D17" s="523">
        <f>C17+'datos de entrada'!C106</f>
        <v>0</v>
      </c>
      <c r="E17" s="523">
        <f>D17+'datos de entrada'!D106</f>
        <v>0</v>
      </c>
      <c r="F17" s="523">
        <f>E17+'datos de entrada'!E106</f>
        <v>0</v>
      </c>
    </row>
    <row r="18" spans="1:38" ht="15" customHeight="1">
      <c r="A18" s="523" t="str">
        <f>+'datos de entrada'!A89</f>
        <v/>
      </c>
      <c r="B18" s="523">
        <f>SUM('datos de entrada'!P89:AA89)</f>
        <v>0</v>
      </c>
      <c r="C18" s="523">
        <f>B18+'datos de entrada'!B107</f>
        <v>0</v>
      </c>
      <c r="D18" s="523">
        <f>C18+'datos de entrada'!C107</f>
        <v>0</v>
      </c>
      <c r="E18" s="523">
        <f>D18+'datos de entrada'!D107</f>
        <v>0</v>
      </c>
      <c r="F18" s="523">
        <f>E18+'datos de entrada'!E107</f>
        <v>0</v>
      </c>
    </row>
    <row r="19" spans="1:38" ht="15" customHeight="1">
      <c r="A19" s="523" t="str">
        <f>+'datos de entrada'!A90</f>
        <v/>
      </c>
      <c r="B19" s="523">
        <f>SUM('datos de entrada'!P90:AA90)</f>
        <v>0</v>
      </c>
      <c r="C19" s="523">
        <f>B19+'datos de entrada'!B108</f>
        <v>0</v>
      </c>
      <c r="D19" s="523">
        <f>C19+'datos de entrada'!C108</f>
        <v>0</v>
      </c>
      <c r="E19" s="523">
        <f>D19+'datos de entrada'!D108</f>
        <v>0</v>
      </c>
      <c r="F19" s="523">
        <f>E19+'datos de entrada'!E108</f>
        <v>0</v>
      </c>
    </row>
    <row r="20" spans="1:38" ht="15" customHeight="1">
      <c r="A20" s="523" t="str">
        <f>+'datos de entrada'!A91</f>
        <v/>
      </c>
      <c r="B20" s="523">
        <f>SUM('datos de entrada'!P91:AA91)</f>
        <v>0</v>
      </c>
      <c r="C20" s="523">
        <f>B20+'datos de entrada'!B109</f>
        <v>0</v>
      </c>
      <c r="D20" s="523">
        <f>C20+'datos de entrada'!C109</f>
        <v>0</v>
      </c>
      <c r="E20" s="523">
        <f>D20+'datos de entrada'!D109</f>
        <v>0</v>
      </c>
      <c r="F20" s="523">
        <f>E20+'datos de entrada'!E109</f>
        <v>0</v>
      </c>
    </row>
    <row r="21" spans="1:38" ht="15" customHeight="1">
      <c r="A21" s="523" t="str">
        <f>+'datos de entrada'!A92</f>
        <v/>
      </c>
      <c r="B21" s="523">
        <f>SUM('datos de entrada'!P92:AA92)</f>
        <v>0</v>
      </c>
      <c r="C21" s="523">
        <f>B21+'datos de entrada'!B110</f>
        <v>0</v>
      </c>
      <c r="D21" s="523">
        <f>C21+'datos de entrada'!C110</f>
        <v>0</v>
      </c>
      <c r="E21" s="523">
        <f>D21+'datos de entrada'!D110</f>
        <v>0</v>
      </c>
      <c r="F21" s="523">
        <f>E21+'datos de entrada'!E110</f>
        <v>0</v>
      </c>
    </row>
    <row r="22" spans="1:38" ht="15" customHeight="1">
      <c r="A22" s="524"/>
      <c r="B22" s="524"/>
      <c r="C22" s="524"/>
      <c r="D22" s="524"/>
      <c r="E22" s="524"/>
      <c r="F22" s="524"/>
    </row>
    <row r="24" spans="1:38" ht="15" customHeight="1">
      <c r="A24" s="522" t="s">
        <v>188</v>
      </c>
    </row>
    <row r="26" spans="1:38" ht="15" customHeight="1">
      <c r="A26" s="524" t="s">
        <v>46</v>
      </c>
      <c r="B26" s="524" t="s">
        <v>46</v>
      </c>
      <c r="C26" s="524" t="s">
        <v>46</v>
      </c>
      <c r="D26" s="524" t="s">
        <v>46</v>
      </c>
      <c r="E26" s="524" t="s">
        <v>46</v>
      </c>
      <c r="F26" s="524" t="s">
        <v>46</v>
      </c>
      <c r="G26" s="524" t="s">
        <v>46</v>
      </c>
      <c r="H26" s="524" t="s">
        <v>46</v>
      </c>
      <c r="I26" s="524" t="s">
        <v>46</v>
      </c>
      <c r="J26" s="524" t="s">
        <v>46</v>
      </c>
      <c r="K26" s="524" t="s">
        <v>46</v>
      </c>
      <c r="L26" s="524" t="s">
        <v>46</v>
      </c>
      <c r="M26" s="524" t="s">
        <v>46</v>
      </c>
      <c r="N26" s="524" t="s">
        <v>46</v>
      </c>
    </row>
    <row r="27" spans="1:38" ht="15" customHeight="1">
      <c r="A27" s="522" t="s">
        <v>575</v>
      </c>
      <c r="B27" s="522" t="s">
        <v>606</v>
      </c>
      <c r="C27" s="522" t="s">
        <v>607</v>
      </c>
      <c r="D27" s="522" t="s">
        <v>608</v>
      </c>
      <c r="E27" s="522" t="s">
        <v>609</v>
      </c>
      <c r="F27" s="522" t="s">
        <v>610</v>
      </c>
      <c r="G27" s="522" t="s">
        <v>611</v>
      </c>
      <c r="H27" s="522" t="s">
        <v>612</v>
      </c>
      <c r="I27" s="522" t="s">
        <v>613</v>
      </c>
      <c r="J27" s="522" t="s">
        <v>614</v>
      </c>
      <c r="K27" s="522" t="s">
        <v>615</v>
      </c>
      <c r="L27" s="522" t="s">
        <v>616</v>
      </c>
      <c r="M27" s="522" t="s">
        <v>617</v>
      </c>
      <c r="N27" s="525" t="s">
        <v>64</v>
      </c>
      <c r="O27" s="523" t="s">
        <v>837</v>
      </c>
      <c r="P27" s="523" t="s">
        <v>838</v>
      </c>
      <c r="Q27" s="523" t="s">
        <v>839</v>
      </c>
      <c r="R27" s="523" t="s">
        <v>840</v>
      </c>
      <c r="S27" s="523" t="s">
        <v>841</v>
      </c>
      <c r="T27" s="523" t="s">
        <v>842</v>
      </c>
      <c r="U27" s="523" t="s">
        <v>843</v>
      </c>
      <c r="V27" s="523" t="s">
        <v>844</v>
      </c>
      <c r="W27" s="523" t="s">
        <v>845</v>
      </c>
      <c r="X27" s="523" t="s">
        <v>846</v>
      </c>
      <c r="Y27" s="523" t="s">
        <v>847</v>
      </c>
      <c r="Z27" s="523" t="s">
        <v>848</v>
      </c>
      <c r="AA27" s="523" t="s">
        <v>849</v>
      </c>
      <c r="AB27" s="523" t="s">
        <v>850</v>
      </c>
      <c r="AC27" s="523" t="s">
        <v>851</v>
      </c>
      <c r="AD27" s="523" t="s">
        <v>852</v>
      </c>
      <c r="AE27" s="523" t="s">
        <v>853</v>
      </c>
      <c r="AF27" s="523" t="s">
        <v>854</v>
      </c>
      <c r="AG27" s="523" t="s">
        <v>855</v>
      </c>
      <c r="AH27" s="523" t="s">
        <v>856</v>
      </c>
      <c r="AI27" s="523" t="s">
        <v>857</v>
      </c>
      <c r="AJ27" s="523" t="s">
        <v>858</v>
      </c>
      <c r="AK27" s="523" t="s">
        <v>859</v>
      </c>
      <c r="AL27" s="523" t="s">
        <v>860</v>
      </c>
    </row>
    <row r="28" spans="1:38" ht="15" customHeight="1">
      <c r="A28" s="524" t="s">
        <v>605</v>
      </c>
      <c r="B28" s="524" t="s">
        <v>605</v>
      </c>
      <c r="C28" s="524" t="s">
        <v>605</v>
      </c>
      <c r="D28" s="524" t="s">
        <v>605</v>
      </c>
      <c r="E28" s="524" t="s">
        <v>605</v>
      </c>
      <c r="F28" s="524" t="s">
        <v>605</v>
      </c>
      <c r="G28" s="524" t="s">
        <v>605</v>
      </c>
      <c r="H28" s="524" t="s">
        <v>605</v>
      </c>
      <c r="I28" s="524" t="s">
        <v>605</v>
      </c>
      <c r="J28" s="524" t="s">
        <v>605</v>
      </c>
      <c r="K28" s="524" t="s">
        <v>605</v>
      </c>
      <c r="L28" s="524" t="s">
        <v>605</v>
      </c>
      <c r="M28" s="524" t="s">
        <v>605</v>
      </c>
      <c r="N28" s="524" t="s">
        <v>605</v>
      </c>
    </row>
    <row r="29" spans="1:38" ht="15" customHeight="1">
      <c r="A29" s="523" t="str">
        <f t="shared" ref="A29:A40" si="0">A10</f>
        <v>CAMISETAS</v>
      </c>
      <c r="B29" s="523">
        <f>+'GRAFIC VTAS'!B1*'datos de entrada'!$J14</f>
        <v>21870000</v>
      </c>
      <c r="C29" s="523">
        <f>+'GRAFIC VTAS'!C1*'datos de entrada'!$J14</f>
        <v>25515000</v>
      </c>
      <c r="D29" s="523">
        <f>+'GRAFIC VTAS'!D1*'datos de entrada'!$J14</f>
        <v>25515000</v>
      </c>
      <c r="E29" s="523">
        <f>+'GRAFIC VTAS'!E1*'datos de entrada'!$J14</f>
        <v>25515000</v>
      </c>
      <c r="F29" s="523">
        <f>+'GRAFIC VTAS'!F1*'datos de entrada'!$J14</f>
        <v>36450000</v>
      </c>
      <c r="G29" s="523">
        <f>+'GRAFIC VTAS'!G1*'datos de entrada'!$J14</f>
        <v>32805000</v>
      </c>
      <c r="H29" s="523">
        <f>+'GRAFIC VTAS'!H1*'datos de entrada'!$J14</f>
        <v>29160000</v>
      </c>
      <c r="I29" s="523">
        <f>+'GRAFIC VTAS'!I1*'datos de entrada'!$J14</f>
        <v>29160000</v>
      </c>
      <c r="J29" s="523">
        <f>+'GRAFIC VTAS'!J1*'datos de entrada'!$J14</f>
        <v>29160000</v>
      </c>
      <c r="K29" s="523">
        <f>+'GRAFIC VTAS'!K1*'datos de entrada'!$J14</f>
        <v>36450000</v>
      </c>
      <c r="L29" s="523">
        <f>+'GRAFIC VTAS'!L1*'datos de entrada'!$J14</f>
        <v>51030000</v>
      </c>
      <c r="M29" s="523">
        <f>+'GRAFIC VTAS'!M1*'datos de entrada'!$J14</f>
        <v>21870000</v>
      </c>
      <c r="N29" s="526">
        <f>B50/$B$64</f>
        <v>1</v>
      </c>
      <c r="O29" s="523">
        <f>+'GRAFIC VTAS'!N1*'datos de entrada'!$J14</f>
        <v>24138000</v>
      </c>
      <c r="P29" s="523">
        <f>+'GRAFIC VTAS'!O1*'datos de entrada'!$J14</f>
        <v>28161000</v>
      </c>
      <c r="Q29" s="523">
        <f>+'GRAFIC VTAS'!P1*'datos de entrada'!$J14</f>
        <v>28161000</v>
      </c>
      <c r="R29" s="523">
        <f>+'GRAFIC VTAS'!Q1*'datos de entrada'!$J14</f>
        <v>28161000</v>
      </c>
      <c r="S29" s="523">
        <f>+'GRAFIC VTAS'!R1*'datos de entrada'!$J14</f>
        <v>40203000</v>
      </c>
      <c r="T29" s="523">
        <f>+'GRAFIC VTAS'!S1*'datos de entrada'!$J14</f>
        <v>36180000</v>
      </c>
      <c r="U29" s="523">
        <f>+'GRAFIC VTAS'!T1*'datos de entrada'!$J14</f>
        <v>32157000</v>
      </c>
      <c r="V29" s="523">
        <f>+'GRAFIC VTAS'!U1*'datos de entrada'!$J14</f>
        <v>32157000</v>
      </c>
      <c r="W29" s="523">
        <f>+'GRAFIC VTAS'!V1*'datos de entrada'!$J14</f>
        <v>32157000</v>
      </c>
      <c r="X29" s="523">
        <f>+'GRAFIC VTAS'!W1*'datos de entrada'!$J14</f>
        <v>40203000</v>
      </c>
      <c r="Y29" s="523">
        <f>+'GRAFIC VTAS'!X1*'datos de entrada'!$J14</f>
        <v>56295000</v>
      </c>
      <c r="Z29" s="523">
        <f>+'GRAFIC VTAS'!Y1*'datos de entrada'!$J14</f>
        <v>24138000</v>
      </c>
      <c r="AA29" s="523">
        <f>+'GRAFIC VTAS'!Z1*'datos de entrada'!$J14</f>
        <v>27405000</v>
      </c>
      <c r="AB29" s="523">
        <f>+'GRAFIC VTAS'!AA1*'datos de entrada'!$J14</f>
        <v>31968000</v>
      </c>
      <c r="AC29" s="523">
        <f>+'GRAFIC VTAS'!AB1*'datos de entrada'!$J14</f>
        <v>31968000</v>
      </c>
      <c r="AD29" s="523">
        <f>+'GRAFIC VTAS'!AC1*'datos de entrada'!$J14</f>
        <v>31968000</v>
      </c>
      <c r="AE29" s="523">
        <f>+'GRAFIC VTAS'!AD1*'datos de entrada'!$J14</f>
        <v>45657000</v>
      </c>
      <c r="AF29" s="523">
        <f>+'GRAFIC VTAS'!AE1*'datos de entrada'!$J14</f>
        <v>41094000</v>
      </c>
      <c r="AG29" s="523">
        <f>+'GRAFIC VTAS'!AF1*'datos de entrada'!$J14</f>
        <v>36531000</v>
      </c>
      <c r="AH29" s="523">
        <f>+'GRAFIC VTAS'!AG1*'datos de entrada'!$J14</f>
        <v>36531000</v>
      </c>
      <c r="AI29" s="523">
        <f>+'GRAFIC VTAS'!AH1*'datos de entrada'!$J14</f>
        <v>36531000</v>
      </c>
      <c r="AJ29" s="523">
        <f>+'GRAFIC VTAS'!AI1*'datos de entrada'!$J14</f>
        <v>45657000</v>
      </c>
      <c r="AK29" s="523">
        <f>+'GRAFIC VTAS'!AJ1*'datos de entrada'!$J14</f>
        <v>63936000</v>
      </c>
      <c r="AL29" s="523">
        <f>+'GRAFIC VTAS'!AK1*'datos de entrada'!$J14</f>
        <v>27405000</v>
      </c>
    </row>
    <row r="30" spans="1:38" ht="15" customHeight="1">
      <c r="A30" s="523" t="str">
        <f t="shared" si="0"/>
        <v/>
      </c>
      <c r="B30" s="523">
        <f>+'GRAFIC VTAS'!B2*'datos de entrada'!$J15</f>
        <v>0</v>
      </c>
      <c r="C30" s="523">
        <f>+'GRAFIC VTAS'!C2*'datos de entrada'!$J15</f>
        <v>0</v>
      </c>
      <c r="D30" s="523">
        <f>+'GRAFIC VTAS'!D2*'datos de entrada'!$J15</f>
        <v>0</v>
      </c>
      <c r="E30" s="523">
        <f>+'GRAFIC VTAS'!E2*'datos de entrada'!$J15</f>
        <v>0</v>
      </c>
      <c r="F30" s="523">
        <f>+'GRAFIC VTAS'!F2*'datos de entrada'!$J15</f>
        <v>0</v>
      </c>
      <c r="G30" s="523">
        <f>+'GRAFIC VTAS'!G2*'datos de entrada'!$J15</f>
        <v>0</v>
      </c>
      <c r="H30" s="523">
        <f>+'GRAFIC VTAS'!H2*'datos de entrada'!$J15</f>
        <v>0</v>
      </c>
      <c r="I30" s="523">
        <f>+'GRAFIC VTAS'!I2*'datos de entrada'!$J15</f>
        <v>0</v>
      </c>
      <c r="J30" s="523">
        <f>+'GRAFIC VTAS'!J2*'datos de entrada'!$J15</f>
        <v>0</v>
      </c>
      <c r="K30" s="523">
        <f>+'GRAFIC VTAS'!K2*'datos de entrada'!$J15</f>
        <v>0</v>
      </c>
      <c r="L30" s="523">
        <f>+'GRAFIC VTAS'!L2*'datos de entrada'!$J15</f>
        <v>0</v>
      </c>
      <c r="M30" s="523">
        <f>+'GRAFIC VTAS'!M2*'datos de entrada'!$J15</f>
        <v>0</v>
      </c>
      <c r="N30" s="526">
        <f t="shared" ref="N30:N40" si="1">B51/$B$64</f>
        <v>0</v>
      </c>
      <c r="O30" s="523">
        <f>+'GRAFIC VTAS'!N2*'datos de entrada'!$J15</f>
        <v>0</v>
      </c>
      <c r="P30" s="523">
        <f>+'GRAFIC VTAS'!O2*'datos de entrada'!$J15</f>
        <v>0</v>
      </c>
      <c r="Q30" s="523">
        <f>+'GRAFIC VTAS'!P2*'datos de entrada'!$J15</f>
        <v>0</v>
      </c>
      <c r="R30" s="523">
        <f>+'GRAFIC VTAS'!Q2*'datos de entrada'!$J15</f>
        <v>0</v>
      </c>
      <c r="S30" s="523">
        <f>+'GRAFIC VTAS'!R2*'datos de entrada'!$J15</f>
        <v>0</v>
      </c>
      <c r="T30" s="523">
        <f>+'GRAFIC VTAS'!S2*'datos de entrada'!$J15</f>
        <v>0</v>
      </c>
      <c r="U30" s="523">
        <f>+'GRAFIC VTAS'!T2*'datos de entrada'!$J15</f>
        <v>0</v>
      </c>
      <c r="V30" s="523">
        <f>+'GRAFIC VTAS'!U2*'datos de entrada'!$J15</f>
        <v>0</v>
      </c>
      <c r="W30" s="523">
        <f>+'GRAFIC VTAS'!V2*'datos de entrada'!$J15</f>
        <v>0</v>
      </c>
      <c r="X30" s="523">
        <f>+'GRAFIC VTAS'!W2*'datos de entrada'!$J15</f>
        <v>0</v>
      </c>
      <c r="Y30" s="523">
        <f>+'GRAFIC VTAS'!X2*'datos de entrada'!$J15</f>
        <v>0</v>
      </c>
      <c r="Z30" s="523">
        <f>+'GRAFIC VTAS'!Y2*'datos de entrada'!$J15</f>
        <v>0</v>
      </c>
      <c r="AA30" s="523">
        <f>+'GRAFIC VTAS'!Z2*'datos de entrada'!$J15</f>
        <v>0</v>
      </c>
      <c r="AB30" s="523">
        <f>+'GRAFIC VTAS'!AA2*'datos de entrada'!$J15</f>
        <v>0</v>
      </c>
      <c r="AC30" s="523">
        <f>+'GRAFIC VTAS'!AB2*'datos de entrada'!$J15</f>
        <v>0</v>
      </c>
      <c r="AD30" s="523">
        <f>+'GRAFIC VTAS'!AC2*'datos de entrada'!$J15</f>
        <v>0</v>
      </c>
      <c r="AE30" s="523">
        <f>+'GRAFIC VTAS'!AD2*'datos de entrada'!$J15</f>
        <v>0</v>
      </c>
      <c r="AF30" s="523">
        <f>+'GRAFIC VTAS'!AE2*'datos de entrada'!$J15</f>
        <v>0</v>
      </c>
      <c r="AG30" s="523">
        <f>+'GRAFIC VTAS'!AF2*'datos de entrada'!$J15</f>
        <v>0</v>
      </c>
      <c r="AH30" s="523">
        <f>+'GRAFIC VTAS'!AG2*'datos de entrada'!$J15</f>
        <v>0</v>
      </c>
      <c r="AI30" s="523">
        <f>+'GRAFIC VTAS'!AH2*'datos de entrada'!$J15</f>
        <v>0</v>
      </c>
      <c r="AJ30" s="523">
        <f>+'GRAFIC VTAS'!AI2*'datos de entrada'!$J15</f>
        <v>0</v>
      </c>
      <c r="AK30" s="523">
        <f>+'GRAFIC VTAS'!AJ2*'datos de entrada'!$J15</f>
        <v>0</v>
      </c>
      <c r="AL30" s="523">
        <f>+'GRAFIC VTAS'!AK2*'datos de entrada'!$J15</f>
        <v>0</v>
      </c>
    </row>
    <row r="31" spans="1:38" ht="15" customHeight="1">
      <c r="A31" s="523" t="str">
        <f t="shared" si="0"/>
        <v/>
      </c>
      <c r="B31" s="523">
        <f>+'GRAFIC VTAS'!B3*'datos de entrada'!$J16</f>
        <v>0</v>
      </c>
      <c r="C31" s="523">
        <f>+'GRAFIC VTAS'!C3*'datos de entrada'!$J16</f>
        <v>0</v>
      </c>
      <c r="D31" s="523">
        <f>+'GRAFIC VTAS'!D3*'datos de entrada'!$J16</f>
        <v>0</v>
      </c>
      <c r="E31" s="523">
        <f>+'GRAFIC VTAS'!E3*'datos de entrada'!$J16</f>
        <v>0</v>
      </c>
      <c r="F31" s="523">
        <f>+'GRAFIC VTAS'!F3*'datos de entrada'!$J16</f>
        <v>0</v>
      </c>
      <c r="G31" s="523">
        <f>+'GRAFIC VTAS'!G3*'datos de entrada'!$J16</f>
        <v>0</v>
      </c>
      <c r="H31" s="523">
        <f>+'GRAFIC VTAS'!H3*'datos de entrada'!$J16</f>
        <v>0</v>
      </c>
      <c r="I31" s="523">
        <f>+'GRAFIC VTAS'!I3*'datos de entrada'!$J16</f>
        <v>0</v>
      </c>
      <c r="J31" s="523">
        <f>+'GRAFIC VTAS'!J3*'datos de entrada'!$J16</f>
        <v>0</v>
      </c>
      <c r="K31" s="523">
        <f>+'GRAFIC VTAS'!K3*'datos de entrada'!$J16</f>
        <v>0</v>
      </c>
      <c r="L31" s="523">
        <f>+'GRAFIC VTAS'!L3*'datos de entrada'!$J16</f>
        <v>0</v>
      </c>
      <c r="M31" s="523">
        <f>+'GRAFIC VTAS'!M3*'datos de entrada'!$J16</f>
        <v>0</v>
      </c>
      <c r="N31" s="526">
        <f t="shared" si="1"/>
        <v>0</v>
      </c>
      <c r="O31" s="523">
        <f>+'GRAFIC VTAS'!N3*'datos de entrada'!$J16</f>
        <v>0</v>
      </c>
      <c r="P31" s="523">
        <f>+'GRAFIC VTAS'!O3*'datos de entrada'!$J16</f>
        <v>0</v>
      </c>
      <c r="Q31" s="523">
        <f>+'GRAFIC VTAS'!P3*'datos de entrada'!$J16</f>
        <v>0</v>
      </c>
      <c r="R31" s="523">
        <f>+'GRAFIC VTAS'!Q3*'datos de entrada'!$J16</f>
        <v>0</v>
      </c>
      <c r="S31" s="523">
        <f>+'GRAFIC VTAS'!R3*'datos de entrada'!$J16</f>
        <v>0</v>
      </c>
      <c r="T31" s="523">
        <f>+'GRAFIC VTAS'!S3*'datos de entrada'!$J16</f>
        <v>0</v>
      </c>
      <c r="U31" s="523">
        <f>+'GRAFIC VTAS'!T3*'datos de entrada'!$J16</f>
        <v>0</v>
      </c>
      <c r="V31" s="523">
        <f>+'GRAFIC VTAS'!U3*'datos de entrada'!$J16</f>
        <v>0</v>
      </c>
      <c r="W31" s="523">
        <f>+'GRAFIC VTAS'!V3*'datos de entrada'!$J16</f>
        <v>0</v>
      </c>
      <c r="X31" s="523">
        <f>+'GRAFIC VTAS'!W3*'datos de entrada'!$J16</f>
        <v>0</v>
      </c>
      <c r="Y31" s="523">
        <f>+'GRAFIC VTAS'!X3*'datos de entrada'!$J16</f>
        <v>0</v>
      </c>
      <c r="Z31" s="523">
        <f>+'GRAFIC VTAS'!Y3*'datos de entrada'!$J16</f>
        <v>0</v>
      </c>
      <c r="AA31" s="523">
        <f>+'GRAFIC VTAS'!Z3*'datos de entrada'!$J16</f>
        <v>0</v>
      </c>
      <c r="AB31" s="523">
        <f>+'GRAFIC VTAS'!AA3*'datos de entrada'!$J16</f>
        <v>0</v>
      </c>
      <c r="AC31" s="523">
        <f>+'GRAFIC VTAS'!AB3*'datos de entrada'!$J16</f>
        <v>0</v>
      </c>
      <c r="AD31" s="523">
        <f>+'GRAFIC VTAS'!AC3*'datos de entrada'!$J16</f>
        <v>0</v>
      </c>
      <c r="AE31" s="523">
        <f>+'GRAFIC VTAS'!AD3*'datos de entrada'!$J16</f>
        <v>0</v>
      </c>
      <c r="AF31" s="523">
        <f>+'GRAFIC VTAS'!AE3*'datos de entrada'!$J16</f>
        <v>0</v>
      </c>
      <c r="AG31" s="523">
        <f>+'GRAFIC VTAS'!AF3*'datos de entrada'!$J16</f>
        <v>0</v>
      </c>
      <c r="AH31" s="523">
        <f>+'GRAFIC VTAS'!AG3*'datos de entrada'!$J16</f>
        <v>0</v>
      </c>
      <c r="AI31" s="523">
        <f>+'GRAFIC VTAS'!AH3*'datos de entrada'!$J16</f>
        <v>0</v>
      </c>
      <c r="AJ31" s="523">
        <f>+'GRAFIC VTAS'!AI3*'datos de entrada'!$J16</f>
        <v>0</v>
      </c>
      <c r="AK31" s="523">
        <f>+'GRAFIC VTAS'!AJ3*'datos de entrada'!$J16</f>
        <v>0</v>
      </c>
      <c r="AL31" s="523">
        <f>+'GRAFIC VTAS'!AK3*'datos de entrada'!$J16</f>
        <v>0</v>
      </c>
    </row>
    <row r="32" spans="1:38" ht="15" customHeight="1">
      <c r="A32" s="523" t="str">
        <f t="shared" si="0"/>
        <v/>
      </c>
      <c r="B32" s="523">
        <f>+'GRAFIC VTAS'!B4*'datos de entrada'!$J17</f>
        <v>0</v>
      </c>
      <c r="C32" s="523">
        <f>+'GRAFIC VTAS'!C4*'datos de entrada'!$J17</f>
        <v>0</v>
      </c>
      <c r="D32" s="523">
        <f>+'GRAFIC VTAS'!D4*'datos de entrada'!$J17</f>
        <v>0</v>
      </c>
      <c r="E32" s="523">
        <f>+'GRAFIC VTAS'!E4*'datos de entrada'!$J17</f>
        <v>0</v>
      </c>
      <c r="F32" s="523">
        <f>+'GRAFIC VTAS'!F4*'datos de entrada'!$J17</f>
        <v>0</v>
      </c>
      <c r="G32" s="523">
        <f>+'GRAFIC VTAS'!G4*'datos de entrada'!$J17</f>
        <v>0</v>
      </c>
      <c r="H32" s="523">
        <f>+'GRAFIC VTAS'!H4*'datos de entrada'!$J17</f>
        <v>0</v>
      </c>
      <c r="I32" s="523">
        <f>+'GRAFIC VTAS'!I4*'datos de entrada'!$J17</f>
        <v>0</v>
      </c>
      <c r="J32" s="523">
        <f>+'GRAFIC VTAS'!J4*'datos de entrada'!$J17</f>
        <v>0</v>
      </c>
      <c r="K32" s="523">
        <f>+'GRAFIC VTAS'!K4*'datos de entrada'!$J17</f>
        <v>0</v>
      </c>
      <c r="L32" s="523">
        <f>+'GRAFIC VTAS'!L4*'datos de entrada'!$J17</f>
        <v>0</v>
      </c>
      <c r="M32" s="523">
        <f>+'GRAFIC VTAS'!M4*'datos de entrada'!$J17</f>
        <v>0</v>
      </c>
      <c r="N32" s="526">
        <f t="shared" si="1"/>
        <v>0</v>
      </c>
      <c r="O32" s="523">
        <f>+'GRAFIC VTAS'!N4*'datos de entrada'!$J17</f>
        <v>0</v>
      </c>
      <c r="P32" s="523">
        <f>+'GRAFIC VTAS'!O4*'datos de entrada'!$J17</f>
        <v>0</v>
      </c>
      <c r="Q32" s="523">
        <f>+'GRAFIC VTAS'!P4*'datos de entrada'!$J17</f>
        <v>0</v>
      </c>
      <c r="R32" s="523">
        <f>+'GRAFIC VTAS'!Q4*'datos de entrada'!$J17</f>
        <v>0</v>
      </c>
      <c r="S32" s="523">
        <f>+'GRAFIC VTAS'!R4*'datos de entrada'!$J17</f>
        <v>0</v>
      </c>
      <c r="T32" s="523">
        <f>+'GRAFIC VTAS'!S4*'datos de entrada'!$J17</f>
        <v>0</v>
      </c>
      <c r="U32" s="523">
        <f>+'GRAFIC VTAS'!T4*'datos de entrada'!$J17</f>
        <v>0</v>
      </c>
      <c r="V32" s="523">
        <f>+'GRAFIC VTAS'!U4*'datos de entrada'!$J17</f>
        <v>0</v>
      </c>
      <c r="W32" s="523">
        <f>+'GRAFIC VTAS'!V4*'datos de entrada'!$J17</f>
        <v>0</v>
      </c>
      <c r="X32" s="523">
        <f>+'GRAFIC VTAS'!W4*'datos de entrada'!$J17</f>
        <v>0</v>
      </c>
      <c r="Y32" s="523">
        <f>+'GRAFIC VTAS'!X4*'datos de entrada'!$J17</f>
        <v>0</v>
      </c>
      <c r="Z32" s="523">
        <f>+'GRAFIC VTAS'!Y4*'datos de entrada'!$J17</f>
        <v>0</v>
      </c>
      <c r="AA32" s="523">
        <f>+'GRAFIC VTAS'!Z4*'datos de entrada'!$J17</f>
        <v>0</v>
      </c>
      <c r="AB32" s="523">
        <f>+'GRAFIC VTAS'!AA4*'datos de entrada'!$J17</f>
        <v>0</v>
      </c>
      <c r="AC32" s="523">
        <f>+'GRAFIC VTAS'!AB4*'datos de entrada'!$J17</f>
        <v>0</v>
      </c>
      <c r="AD32" s="523">
        <f>+'GRAFIC VTAS'!AC4*'datos de entrada'!$J17</f>
        <v>0</v>
      </c>
      <c r="AE32" s="523">
        <f>+'GRAFIC VTAS'!AD4*'datos de entrada'!$J17</f>
        <v>0</v>
      </c>
      <c r="AF32" s="523">
        <f>+'GRAFIC VTAS'!AE4*'datos de entrada'!$J17</f>
        <v>0</v>
      </c>
      <c r="AG32" s="523">
        <f>+'GRAFIC VTAS'!AF4*'datos de entrada'!$J17</f>
        <v>0</v>
      </c>
      <c r="AH32" s="523">
        <f>+'GRAFIC VTAS'!AG4*'datos de entrada'!$J17</f>
        <v>0</v>
      </c>
      <c r="AI32" s="523">
        <f>+'GRAFIC VTAS'!AH4*'datos de entrada'!$J17</f>
        <v>0</v>
      </c>
      <c r="AJ32" s="523">
        <f>+'GRAFIC VTAS'!AI4*'datos de entrada'!$J17</f>
        <v>0</v>
      </c>
      <c r="AK32" s="523">
        <f>+'GRAFIC VTAS'!AJ4*'datos de entrada'!$J17</f>
        <v>0</v>
      </c>
      <c r="AL32" s="523">
        <f>+'GRAFIC VTAS'!AK4*'datos de entrada'!$J17</f>
        <v>0</v>
      </c>
    </row>
    <row r="33" spans="1:38" ht="15" customHeight="1">
      <c r="A33" s="523" t="str">
        <f t="shared" si="0"/>
        <v/>
      </c>
      <c r="B33" s="523">
        <f>+'GRAFIC VTAS'!B5*'datos de entrada'!$J18</f>
        <v>0</v>
      </c>
      <c r="C33" s="523">
        <f>+'GRAFIC VTAS'!C5*'datos de entrada'!$J18</f>
        <v>0</v>
      </c>
      <c r="D33" s="523">
        <f>+'GRAFIC VTAS'!D5*'datos de entrada'!$J18</f>
        <v>0</v>
      </c>
      <c r="E33" s="523">
        <f>+'GRAFIC VTAS'!E5*'datos de entrada'!$J18</f>
        <v>0</v>
      </c>
      <c r="F33" s="523">
        <f>+'GRAFIC VTAS'!F5*'datos de entrada'!$J18</f>
        <v>0</v>
      </c>
      <c r="G33" s="523">
        <f>+'GRAFIC VTAS'!G5*'datos de entrada'!$J18</f>
        <v>0</v>
      </c>
      <c r="H33" s="523">
        <f>+'GRAFIC VTAS'!H5*'datos de entrada'!$J18</f>
        <v>0</v>
      </c>
      <c r="I33" s="523">
        <f>+'GRAFIC VTAS'!I5*'datos de entrada'!$J18</f>
        <v>0</v>
      </c>
      <c r="J33" s="523">
        <f>+'GRAFIC VTAS'!J5*'datos de entrada'!$J18</f>
        <v>0</v>
      </c>
      <c r="K33" s="523">
        <f>+'GRAFIC VTAS'!K5*'datos de entrada'!$J18</f>
        <v>0</v>
      </c>
      <c r="L33" s="523">
        <f>+'GRAFIC VTAS'!L5*'datos de entrada'!$J18</f>
        <v>0</v>
      </c>
      <c r="M33" s="523">
        <f>+'GRAFIC VTAS'!M5*'datos de entrada'!$J18</f>
        <v>0</v>
      </c>
      <c r="N33" s="526">
        <f t="shared" si="1"/>
        <v>0</v>
      </c>
      <c r="O33" s="523">
        <f>+'GRAFIC VTAS'!N5*'datos de entrada'!$J18</f>
        <v>0</v>
      </c>
      <c r="P33" s="523">
        <f>+'GRAFIC VTAS'!O5*'datos de entrada'!$J18</f>
        <v>0</v>
      </c>
      <c r="Q33" s="523">
        <f>+'GRAFIC VTAS'!P5*'datos de entrada'!$J18</f>
        <v>0</v>
      </c>
      <c r="R33" s="523">
        <f>+'GRAFIC VTAS'!Q5*'datos de entrada'!$J18</f>
        <v>0</v>
      </c>
      <c r="S33" s="523">
        <f>+'GRAFIC VTAS'!R5*'datos de entrada'!$J18</f>
        <v>0</v>
      </c>
      <c r="T33" s="523">
        <f>+'GRAFIC VTAS'!S5*'datos de entrada'!$J18</f>
        <v>0</v>
      </c>
      <c r="U33" s="523">
        <f>+'GRAFIC VTAS'!T5*'datos de entrada'!$J18</f>
        <v>0</v>
      </c>
      <c r="V33" s="523">
        <f>+'GRAFIC VTAS'!U5*'datos de entrada'!$J18</f>
        <v>0</v>
      </c>
      <c r="W33" s="523">
        <f>+'GRAFIC VTAS'!V5*'datos de entrada'!$J18</f>
        <v>0</v>
      </c>
      <c r="X33" s="523">
        <f>+'GRAFIC VTAS'!W5*'datos de entrada'!$J18</f>
        <v>0</v>
      </c>
      <c r="Y33" s="523">
        <f>+'GRAFIC VTAS'!X5*'datos de entrada'!$J18</f>
        <v>0</v>
      </c>
      <c r="Z33" s="523">
        <f>+'GRAFIC VTAS'!Y5*'datos de entrada'!$J18</f>
        <v>0</v>
      </c>
      <c r="AA33" s="523">
        <f>+'GRAFIC VTAS'!Z5*'datos de entrada'!$J18</f>
        <v>0</v>
      </c>
      <c r="AB33" s="523">
        <f>+'GRAFIC VTAS'!AA5*'datos de entrada'!$J18</f>
        <v>0</v>
      </c>
      <c r="AC33" s="523">
        <f>+'GRAFIC VTAS'!AB5*'datos de entrada'!$J18</f>
        <v>0</v>
      </c>
      <c r="AD33" s="523">
        <f>+'GRAFIC VTAS'!AC5*'datos de entrada'!$J18</f>
        <v>0</v>
      </c>
      <c r="AE33" s="523">
        <f>+'GRAFIC VTAS'!AD5*'datos de entrada'!$J18</f>
        <v>0</v>
      </c>
      <c r="AF33" s="523">
        <f>+'GRAFIC VTAS'!AE5*'datos de entrada'!$J18</f>
        <v>0</v>
      </c>
      <c r="AG33" s="523">
        <f>+'GRAFIC VTAS'!AF5*'datos de entrada'!$J18</f>
        <v>0</v>
      </c>
      <c r="AH33" s="523">
        <f>+'GRAFIC VTAS'!AG5*'datos de entrada'!$J18</f>
        <v>0</v>
      </c>
      <c r="AI33" s="523">
        <f>+'GRAFIC VTAS'!AH5*'datos de entrada'!$J18</f>
        <v>0</v>
      </c>
      <c r="AJ33" s="523">
        <f>+'GRAFIC VTAS'!AI5*'datos de entrada'!$J18</f>
        <v>0</v>
      </c>
      <c r="AK33" s="523">
        <f>+'GRAFIC VTAS'!AJ5*'datos de entrada'!$J18</f>
        <v>0</v>
      </c>
      <c r="AL33" s="523">
        <f>+'GRAFIC VTAS'!AK5*'datos de entrada'!$J18</f>
        <v>0</v>
      </c>
    </row>
    <row r="34" spans="1:38" ht="15" customHeight="1">
      <c r="A34" s="523" t="str">
        <f t="shared" si="0"/>
        <v/>
      </c>
      <c r="B34" s="523">
        <f>+'GRAFIC VTAS'!B6*'datos de entrada'!$J19</f>
        <v>0</v>
      </c>
      <c r="C34" s="523">
        <f>+'GRAFIC VTAS'!C6*'datos de entrada'!$J19</f>
        <v>0</v>
      </c>
      <c r="D34" s="523">
        <f>+'GRAFIC VTAS'!D6*'datos de entrada'!$J19</f>
        <v>0</v>
      </c>
      <c r="E34" s="523">
        <f>+'GRAFIC VTAS'!E6*'datos de entrada'!$J19</f>
        <v>0</v>
      </c>
      <c r="F34" s="523">
        <f>+'GRAFIC VTAS'!F6*'datos de entrada'!$J19</f>
        <v>0</v>
      </c>
      <c r="G34" s="523">
        <f>+'GRAFIC VTAS'!G6*'datos de entrada'!$J19</f>
        <v>0</v>
      </c>
      <c r="H34" s="523">
        <f>+'GRAFIC VTAS'!H6*'datos de entrada'!$J19</f>
        <v>0</v>
      </c>
      <c r="I34" s="523">
        <f>+'GRAFIC VTAS'!I6*'datos de entrada'!$J19</f>
        <v>0</v>
      </c>
      <c r="J34" s="523">
        <f>+'GRAFIC VTAS'!J6*'datos de entrada'!$J19</f>
        <v>0</v>
      </c>
      <c r="K34" s="523">
        <f>+'GRAFIC VTAS'!K6*'datos de entrada'!$J19</f>
        <v>0</v>
      </c>
      <c r="L34" s="523">
        <f>+'GRAFIC VTAS'!L6*'datos de entrada'!$J19</f>
        <v>0</v>
      </c>
      <c r="M34" s="523">
        <f>+'GRAFIC VTAS'!M6*'datos de entrada'!$J19</f>
        <v>0</v>
      </c>
      <c r="N34" s="526">
        <f t="shared" si="1"/>
        <v>0</v>
      </c>
      <c r="O34" s="523">
        <f>+'GRAFIC VTAS'!N6*'datos de entrada'!$J19</f>
        <v>0</v>
      </c>
      <c r="P34" s="523">
        <f>+'GRAFIC VTAS'!O6*'datos de entrada'!$J19</f>
        <v>0</v>
      </c>
      <c r="Q34" s="523">
        <f>+'GRAFIC VTAS'!P6*'datos de entrada'!$J19</f>
        <v>0</v>
      </c>
      <c r="R34" s="523">
        <f>+'GRAFIC VTAS'!Q6*'datos de entrada'!$J19</f>
        <v>0</v>
      </c>
      <c r="S34" s="523">
        <f>+'GRAFIC VTAS'!R6*'datos de entrada'!$J19</f>
        <v>0</v>
      </c>
      <c r="T34" s="523">
        <f>+'GRAFIC VTAS'!S6*'datos de entrada'!$J19</f>
        <v>0</v>
      </c>
      <c r="U34" s="523">
        <f>+'GRAFIC VTAS'!T6*'datos de entrada'!$J19</f>
        <v>0</v>
      </c>
      <c r="V34" s="523">
        <f>+'GRAFIC VTAS'!U6*'datos de entrada'!$J19</f>
        <v>0</v>
      </c>
      <c r="W34" s="523">
        <f>+'GRAFIC VTAS'!V6*'datos de entrada'!$J19</f>
        <v>0</v>
      </c>
      <c r="X34" s="523">
        <f>+'GRAFIC VTAS'!W6*'datos de entrada'!$J19</f>
        <v>0</v>
      </c>
      <c r="Y34" s="523">
        <f>+'GRAFIC VTAS'!X6*'datos de entrada'!$J19</f>
        <v>0</v>
      </c>
      <c r="Z34" s="523">
        <f>+'GRAFIC VTAS'!Y6*'datos de entrada'!$J19</f>
        <v>0</v>
      </c>
      <c r="AA34" s="523">
        <f>+'GRAFIC VTAS'!Z6*'datos de entrada'!$J19</f>
        <v>0</v>
      </c>
      <c r="AB34" s="523">
        <f>+'GRAFIC VTAS'!AA6*'datos de entrada'!$J19</f>
        <v>0</v>
      </c>
      <c r="AC34" s="523">
        <f>+'GRAFIC VTAS'!AB6*'datos de entrada'!$J19</f>
        <v>0</v>
      </c>
      <c r="AD34" s="523">
        <f>+'GRAFIC VTAS'!AC6*'datos de entrada'!$J19</f>
        <v>0</v>
      </c>
      <c r="AE34" s="523">
        <f>+'GRAFIC VTAS'!AD6*'datos de entrada'!$J19</f>
        <v>0</v>
      </c>
      <c r="AF34" s="523">
        <f>+'GRAFIC VTAS'!AE6*'datos de entrada'!$J19</f>
        <v>0</v>
      </c>
      <c r="AG34" s="523">
        <f>+'GRAFIC VTAS'!AF6*'datos de entrada'!$J19</f>
        <v>0</v>
      </c>
      <c r="AH34" s="523">
        <f>+'GRAFIC VTAS'!AG6*'datos de entrada'!$J19</f>
        <v>0</v>
      </c>
      <c r="AI34" s="523">
        <f>+'GRAFIC VTAS'!AH6*'datos de entrada'!$J19</f>
        <v>0</v>
      </c>
      <c r="AJ34" s="523">
        <f>+'GRAFIC VTAS'!AI6*'datos de entrada'!$J19</f>
        <v>0</v>
      </c>
      <c r="AK34" s="523">
        <f>+'GRAFIC VTAS'!AJ6*'datos de entrada'!$J19</f>
        <v>0</v>
      </c>
      <c r="AL34" s="523">
        <f>+'GRAFIC VTAS'!AK6*'datos de entrada'!$J19</f>
        <v>0</v>
      </c>
    </row>
    <row r="35" spans="1:38" ht="15" customHeight="1">
      <c r="A35" s="523" t="str">
        <f t="shared" si="0"/>
        <v/>
      </c>
      <c r="B35" s="523">
        <f>+'GRAFIC VTAS'!B7*'datos de entrada'!$J20</f>
        <v>0</v>
      </c>
      <c r="C35" s="523">
        <f>+'GRAFIC VTAS'!C7*'datos de entrada'!$J20</f>
        <v>0</v>
      </c>
      <c r="D35" s="523">
        <f>+'GRAFIC VTAS'!D7*'datos de entrada'!$J20</f>
        <v>0</v>
      </c>
      <c r="E35" s="523">
        <f>+'GRAFIC VTAS'!E7*'datos de entrada'!$J20</f>
        <v>0</v>
      </c>
      <c r="F35" s="523">
        <f>+'GRAFIC VTAS'!F7*'datos de entrada'!$J20</f>
        <v>0</v>
      </c>
      <c r="G35" s="523">
        <f>+'GRAFIC VTAS'!G7*'datos de entrada'!$J20</f>
        <v>0</v>
      </c>
      <c r="H35" s="523">
        <f>+'GRAFIC VTAS'!H7*'datos de entrada'!$J20</f>
        <v>0</v>
      </c>
      <c r="I35" s="523">
        <f>+'GRAFIC VTAS'!I7*'datos de entrada'!$J20</f>
        <v>0</v>
      </c>
      <c r="J35" s="523">
        <f>+'GRAFIC VTAS'!J7*'datos de entrada'!$J20</f>
        <v>0</v>
      </c>
      <c r="K35" s="523">
        <f>+'GRAFIC VTAS'!K7*'datos de entrada'!$J20</f>
        <v>0</v>
      </c>
      <c r="L35" s="523">
        <f>+'GRAFIC VTAS'!L7*'datos de entrada'!$J20</f>
        <v>0</v>
      </c>
      <c r="M35" s="523">
        <f>+'GRAFIC VTAS'!M7*'datos de entrada'!$J20</f>
        <v>0</v>
      </c>
      <c r="N35" s="526">
        <f t="shared" si="1"/>
        <v>0</v>
      </c>
      <c r="O35" s="523">
        <f>+'GRAFIC VTAS'!N7*'datos de entrada'!$J20</f>
        <v>0</v>
      </c>
      <c r="P35" s="523">
        <f>+'GRAFIC VTAS'!O7*'datos de entrada'!$J20</f>
        <v>0</v>
      </c>
      <c r="Q35" s="523">
        <f>+'GRAFIC VTAS'!P7*'datos de entrada'!$J20</f>
        <v>0</v>
      </c>
      <c r="R35" s="523">
        <f>+'GRAFIC VTAS'!Q7*'datos de entrada'!$J20</f>
        <v>0</v>
      </c>
      <c r="S35" s="523">
        <f>+'GRAFIC VTAS'!R7*'datos de entrada'!$J20</f>
        <v>0</v>
      </c>
      <c r="T35" s="523">
        <f>+'GRAFIC VTAS'!S7*'datos de entrada'!$J20</f>
        <v>0</v>
      </c>
      <c r="U35" s="523">
        <f>+'GRAFIC VTAS'!T7*'datos de entrada'!$J20</f>
        <v>0</v>
      </c>
      <c r="V35" s="523">
        <f>+'GRAFIC VTAS'!U7*'datos de entrada'!$J20</f>
        <v>0</v>
      </c>
      <c r="W35" s="523">
        <f>+'GRAFIC VTAS'!V7*'datos de entrada'!$J20</f>
        <v>0</v>
      </c>
      <c r="X35" s="523">
        <f>+'GRAFIC VTAS'!W7*'datos de entrada'!$J20</f>
        <v>0</v>
      </c>
      <c r="Y35" s="523">
        <f>+'GRAFIC VTAS'!X7*'datos de entrada'!$J20</f>
        <v>0</v>
      </c>
      <c r="Z35" s="523">
        <f>+'GRAFIC VTAS'!Y7*'datos de entrada'!$J20</f>
        <v>0</v>
      </c>
      <c r="AA35" s="523">
        <f>+'GRAFIC VTAS'!Z7*'datos de entrada'!$J20</f>
        <v>0</v>
      </c>
      <c r="AB35" s="523">
        <f>+'GRAFIC VTAS'!AA7*'datos de entrada'!$J20</f>
        <v>0</v>
      </c>
      <c r="AC35" s="523">
        <f>+'GRAFIC VTAS'!AB7*'datos de entrada'!$J20</f>
        <v>0</v>
      </c>
      <c r="AD35" s="523">
        <f>+'GRAFIC VTAS'!AC7*'datos de entrada'!$J20</f>
        <v>0</v>
      </c>
      <c r="AE35" s="523">
        <f>+'GRAFIC VTAS'!AD7*'datos de entrada'!$J20</f>
        <v>0</v>
      </c>
      <c r="AF35" s="523">
        <f>+'GRAFIC VTAS'!AE7*'datos de entrada'!$J20</f>
        <v>0</v>
      </c>
      <c r="AG35" s="523">
        <f>+'GRAFIC VTAS'!AF7*'datos de entrada'!$J20</f>
        <v>0</v>
      </c>
      <c r="AH35" s="523">
        <f>+'GRAFIC VTAS'!AG7*'datos de entrada'!$J20</f>
        <v>0</v>
      </c>
      <c r="AI35" s="523">
        <f>+'GRAFIC VTAS'!AH7*'datos de entrada'!$J20</f>
        <v>0</v>
      </c>
      <c r="AJ35" s="523">
        <f>+'GRAFIC VTAS'!AI7*'datos de entrada'!$J20</f>
        <v>0</v>
      </c>
      <c r="AK35" s="523">
        <f>+'GRAFIC VTAS'!AJ7*'datos de entrada'!$J20</f>
        <v>0</v>
      </c>
      <c r="AL35" s="523">
        <f>+'GRAFIC VTAS'!AK7*'datos de entrada'!$J20</f>
        <v>0</v>
      </c>
    </row>
    <row r="36" spans="1:38" ht="15" customHeight="1">
      <c r="A36" s="523" t="str">
        <f t="shared" si="0"/>
        <v/>
      </c>
      <c r="B36" s="523">
        <f>+'GRAFIC VTAS'!B8*'datos de entrada'!$J21</f>
        <v>0</v>
      </c>
      <c r="C36" s="523">
        <f>+'GRAFIC VTAS'!C8*'datos de entrada'!$J21</f>
        <v>0</v>
      </c>
      <c r="D36" s="523">
        <f>+'GRAFIC VTAS'!D8*'datos de entrada'!$J21</f>
        <v>0</v>
      </c>
      <c r="E36" s="523">
        <f>+'GRAFIC VTAS'!E8*'datos de entrada'!$J21</f>
        <v>0</v>
      </c>
      <c r="F36" s="523">
        <f>+'GRAFIC VTAS'!F8*'datos de entrada'!$J21</f>
        <v>0</v>
      </c>
      <c r="G36" s="523">
        <f>+'GRAFIC VTAS'!G8*'datos de entrada'!$J21</f>
        <v>0</v>
      </c>
      <c r="H36" s="523">
        <f>+'GRAFIC VTAS'!H8*'datos de entrada'!$J21</f>
        <v>0</v>
      </c>
      <c r="I36" s="523">
        <f>+'GRAFIC VTAS'!I8*'datos de entrada'!$J21</f>
        <v>0</v>
      </c>
      <c r="J36" s="523">
        <f>+'GRAFIC VTAS'!J8*'datos de entrada'!$J21</f>
        <v>0</v>
      </c>
      <c r="K36" s="523">
        <f>+'GRAFIC VTAS'!K8*'datos de entrada'!$J21</f>
        <v>0</v>
      </c>
      <c r="L36" s="523">
        <f>+'GRAFIC VTAS'!L8*'datos de entrada'!$J21</f>
        <v>0</v>
      </c>
      <c r="M36" s="523">
        <f>+'GRAFIC VTAS'!M8*'datos de entrada'!$J21</f>
        <v>0</v>
      </c>
      <c r="N36" s="526">
        <f t="shared" si="1"/>
        <v>0</v>
      </c>
      <c r="O36" s="523">
        <f>+'GRAFIC VTAS'!N8*'datos de entrada'!$J21</f>
        <v>0</v>
      </c>
      <c r="P36" s="523">
        <f>+'GRAFIC VTAS'!O8*'datos de entrada'!$J21</f>
        <v>0</v>
      </c>
      <c r="Q36" s="523">
        <f>+'GRAFIC VTAS'!P8*'datos de entrada'!$J21</f>
        <v>0</v>
      </c>
      <c r="R36" s="523">
        <f>+'GRAFIC VTAS'!Q8*'datos de entrada'!$J21</f>
        <v>0</v>
      </c>
      <c r="S36" s="523">
        <f>+'GRAFIC VTAS'!R8*'datos de entrada'!$J21</f>
        <v>0</v>
      </c>
      <c r="T36" s="523">
        <f>+'GRAFIC VTAS'!S8*'datos de entrada'!$J21</f>
        <v>0</v>
      </c>
      <c r="U36" s="523">
        <f>+'GRAFIC VTAS'!T8*'datos de entrada'!$J21</f>
        <v>0</v>
      </c>
      <c r="V36" s="523">
        <f>+'GRAFIC VTAS'!U8*'datos de entrada'!$J21</f>
        <v>0</v>
      </c>
      <c r="W36" s="523">
        <f>+'GRAFIC VTAS'!V8*'datos de entrada'!$J21</f>
        <v>0</v>
      </c>
      <c r="X36" s="523">
        <f>+'GRAFIC VTAS'!W8*'datos de entrada'!$J21</f>
        <v>0</v>
      </c>
      <c r="Y36" s="523">
        <f>+'GRAFIC VTAS'!X8*'datos de entrada'!$J21</f>
        <v>0</v>
      </c>
      <c r="Z36" s="523">
        <f>+'GRAFIC VTAS'!Y8*'datos de entrada'!$J21</f>
        <v>0</v>
      </c>
      <c r="AA36" s="523">
        <f>+'GRAFIC VTAS'!Z8*'datos de entrada'!$J21</f>
        <v>0</v>
      </c>
      <c r="AB36" s="523">
        <f>+'GRAFIC VTAS'!AA8*'datos de entrada'!$J21</f>
        <v>0</v>
      </c>
      <c r="AC36" s="523">
        <f>+'GRAFIC VTAS'!AB8*'datos de entrada'!$J21</f>
        <v>0</v>
      </c>
      <c r="AD36" s="523">
        <f>+'GRAFIC VTAS'!AC8*'datos de entrada'!$J21</f>
        <v>0</v>
      </c>
      <c r="AE36" s="523">
        <f>+'GRAFIC VTAS'!AD8*'datos de entrada'!$J21</f>
        <v>0</v>
      </c>
      <c r="AF36" s="523">
        <f>+'GRAFIC VTAS'!AE8*'datos de entrada'!$J21</f>
        <v>0</v>
      </c>
      <c r="AG36" s="523">
        <f>+'GRAFIC VTAS'!AF8*'datos de entrada'!$J21</f>
        <v>0</v>
      </c>
      <c r="AH36" s="523">
        <f>+'GRAFIC VTAS'!AG8*'datos de entrada'!$J21</f>
        <v>0</v>
      </c>
      <c r="AI36" s="523">
        <f>+'GRAFIC VTAS'!AH8*'datos de entrada'!$J21</f>
        <v>0</v>
      </c>
      <c r="AJ36" s="523">
        <f>+'GRAFIC VTAS'!AI8*'datos de entrada'!$J21</f>
        <v>0</v>
      </c>
      <c r="AK36" s="523">
        <f>+'GRAFIC VTAS'!AJ8*'datos de entrada'!$J21</f>
        <v>0</v>
      </c>
      <c r="AL36" s="523">
        <f>+'GRAFIC VTAS'!AK8*'datos de entrada'!$J21</f>
        <v>0</v>
      </c>
    </row>
    <row r="37" spans="1:38" ht="15" customHeight="1">
      <c r="A37" s="523" t="str">
        <f t="shared" si="0"/>
        <v/>
      </c>
      <c r="B37" s="523">
        <f>+'GRAFIC VTAS'!B9*'datos de entrada'!$J22</f>
        <v>0</v>
      </c>
      <c r="C37" s="523">
        <f>+'GRAFIC VTAS'!C9*'datos de entrada'!$J22</f>
        <v>0</v>
      </c>
      <c r="D37" s="523">
        <f>+'GRAFIC VTAS'!D9*'datos de entrada'!$J22</f>
        <v>0</v>
      </c>
      <c r="E37" s="523">
        <f>+'GRAFIC VTAS'!E9*'datos de entrada'!$J22</f>
        <v>0</v>
      </c>
      <c r="F37" s="523">
        <f>+'GRAFIC VTAS'!F9*'datos de entrada'!$J22</f>
        <v>0</v>
      </c>
      <c r="G37" s="523">
        <f>+'GRAFIC VTAS'!G9*'datos de entrada'!$J22</f>
        <v>0</v>
      </c>
      <c r="H37" s="523">
        <f>+'GRAFIC VTAS'!H9*'datos de entrada'!$J22</f>
        <v>0</v>
      </c>
      <c r="I37" s="523">
        <f>+'GRAFIC VTAS'!I9*'datos de entrada'!$J22</f>
        <v>0</v>
      </c>
      <c r="J37" s="523">
        <f>+'GRAFIC VTAS'!J9*'datos de entrada'!$J22</f>
        <v>0</v>
      </c>
      <c r="K37" s="523">
        <f>+'GRAFIC VTAS'!K9*'datos de entrada'!$J22</f>
        <v>0</v>
      </c>
      <c r="L37" s="523">
        <f>+'GRAFIC VTAS'!L9*'datos de entrada'!$J22</f>
        <v>0</v>
      </c>
      <c r="M37" s="523">
        <f>+'GRAFIC VTAS'!M9*'datos de entrada'!$J22</f>
        <v>0</v>
      </c>
      <c r="N37" s="526">
        <f t="shared" si="1"/>
        <v>0</v>
      </c>
      <c r="O37" s="523">
        <f>+'GRAFIC VTAS'!N9*'datos de entrada'!$J22</f>
        <v>0</v>
      </c>
      <c r="P37" s="523">
        <f>+'GRAFIC VTAS'!O9*'datos de entrada'!$J22</f>
        <v>0</v>
      </c>
      <c r="Q37" s="523">
        <f>+'GRAFIC VTAS'!P9*'datos de entrada'!$J22</f>
        <v>0</v>
      </c>
      <c r="R37" s="523">
        <f>+'GRAFIC VTAS'!Q9*'datos de entrada'!$J22</f>
        <v>0</v>
      </c>
      <c r="S37" s="523">
        <f>+'GRAFIC VTAS'!R9*'datos de entrada'!$J22</f>
        <v>0</v>
      </c>
      <c r="T37" s="523">
        <f>+'GRAFIC VTAS'!S9*'datos de entrada'!$J22</f>
        <v>0</v>
      </c>
      <c r="U37" s="523">
        <f>+'GRAFIC VTAS'!T9*'datos de entrada'!$J22</f>
        <v>0</v>
      </c>
      <c r="V37" s="523">
        <f>+'GRAFIC VTAS'!U9*'datos de entrada'!$J22</f>
        <v>0</v>
      </c>
      <c r="W37" s="523">
        <f>+'GRAFIC VTAS'!V9*'datos de entrada'!$J22</f>
        <v>0</v>
      </c>
      <c r="X37" s="523">
        <f>+'GRAFIC VTAS'!W9*'datos de entrada'!$J22</f>
        <v>0</v>
      </c>
      <c r="Y37" s="523">
        <f>+'GRAFIC VTAS'!X9*'datos de entrada'!$J22</f>
        <v>0</v>
      </c>
      <c r="Z37" s="523">
        <f>+'GRAFIC VTAS'!Y9*'datos de entrada'!$J22</f>
        <v>0</v>
      </c>
      <c r="AA37" s="523">
        <f>+'GRAFIC VTAS'!Z9*'datos de entrada'!$J22</f>
        <v>0</v>
      </c>
      <c r="AB37" s="523">
        <f>+'GRAFIC VTAS'!AA9*'datos de entrada'!$J22</f>
        <v>0</v>
      </c>
      <c r="AC37" s="523">
        <f>+'GRAFIC VTAS'!AB9*'datos de entrada'!$J22</f>
        <v>0</v>
      </c>
      <c r="AD37" s="523">
        <f>+'GRAFIC VTAS'!AC9*'datos de entrada'!$J22</f>
        <v>0</v>
      </c>
      <c r="AE37" s="523">
        <f>+'GRAFIC VTAS'!AD9*'datos de entrada'!$J22</f>
        <v>0</v>
      </c>
      <c r="AF37" s="523">
        <f>+'GRAFIC VTAS'!AE9*'datos de entrada'!$J22</f>
        <v>0</v>
      </c>
      <c r="AG37" s="523">
        <f>+'GRAFIC VTAS'!AF9*'datos de entrada'!$J22</f>
        <v>0</v>
      </c>
      <c r="AH37" s="523">
        <f>+'GRAFIC VTAS'!AG9*'datos de entrada'!$J22</f>
        <v>0</v>
      </c>
      <c r="AI37" s="523">
        <f>+'GRAFIC VTAS'!AH9*'datos de entrada'!$J22</f>
        <v>0</v>
      </c>
      <c r="AJ37" s="523">
        <f>+'GRAFIC VTAS'!AI9*'datos de entrada'!$J22</f>
        <v>0</v>
      </c>
      <c r="AK37" s="523">
        <f>+'GRAFIC VTAS'!AJ9*'datos de entrada'!$J22</f>
        <v>0</v>
      </c>
      <c r="AL37" s="523">
        <f>+'GRAFIC VTAS'!AK9*'datos de entrada'!$J22</f>
        <v>0</v>
      </c>
    </row>
    <row r="38" spans="1:38" ht="15" customHeight="1">
      <c r="A38" s="523" t="str">
        <f t="shared" si="0"/>
        <v/>
      </c>
      <c r="B38" s="523">
        <f>+'GRAFIC VTAS'!B10*'datos de entrada'!$J23</f>
        <v>0</v>
      </c>
      <c r="C38" s="523">
        <f>+'GRAFIC VTAS'!C10*'datos de entrada'!$J23</f>
        <v>0</v>
      </c>
      <c r="D38" s="523">
        <f>+'GRAFIC VTAS'!D10*'datos de entrada'!$J23</f>
        <v>0</v>
      </c>
      <c r="E38" s="523">
        <f>+'GRAFIC VTAS'!E10*'datos de entrada'!$J23</f>
        <v>0</v>
      </c>
      <c r="F38" s="523">
        <f>+'GRAFIC VTAS'!F10*'datos de entrada'!$J23</f>
        <v>0</v>
      </c>
      <c r="G38" s="523">
        <f>+'GRAFIC VTAS'!G10*'datos de entrada'!$J23</f>
        <v>0</v>
      </c>
      <c r="H38" s="523">
        <f>+'GRAFIC VTAS'!H10*'datos de entrada'!$J23</f>
        <v>0</v>
      </c>
      <c r="I38" s="523">
        <f>+'GRAFIC VTAS'!I10*'datos de entrada'!$J23</f>
        <v>0</v>
      </c>
      <c r="J38" s="523">
        <f>+'GRAFIC VTAS'!J10*'datos de entrada'!$J23</f>
        <v>0</v>
      </c>
      <c r="K38" s="523">
        <f>+'GRAFIC VTAS'!K10*'datos de entrada'!$J23</f>
        <v>0</v>
      </c>
      <c r="L38" s="523">
        <f>+'GRAFIC VTAS'!L10*'datos de entrada'!$J23</f>
        <v>0</v>
      </c>
      <c r="M38" s="523">
        <f>+'GRAFIC VTAS'!M10*'datos de entrada'!$J23</f>
        <v>0</v>
      </c>
      <c r="N38" s="526">
        <f t="shared" si="1"/>
        <v>0</v>
      </c>
      <c r="O38" s="523">
        <f>+'GRAFIC VTAS'!N10*'datos de entrada'!$J23</f>
        <v>0</v>
      </c>
      <c r="P38" s="523">
        <f>+'GRAFIC VTAS'!O10*'datos de entrada'!$J23</f>
        <v>0</v>
      </c>
      <c r="Q38" s="523">
        <f>+'GRAFIC VTAS'!P10*'datos de entrada'!$J23</f>
        <v>0</v>
      </c>
      <c r="R38" s="523">
        <f>+'GRAFIC VTAS'!Q10*'datos de entrada'!$J23</f>
        <v>0</v>
      </c>
      <c r="S38" s="523">
        <f>+'GRAFIC VTAS'!R10*'datos de entrada'!$J23</f>
        <v>0</v>
      </c>
      <c r="T38" s="523">
        <f>+'GRAFIC VTAS'!S10*'datos de entrada'!$J23</f>
        <v>0</v>
      </c>
      <c r="U38" s="523">
        <f>+'GRAFIC VTAS'!T10*'datos de entrada'!$J23</f>
        <v>0</v>
      </c>
      <c r="V38" s="523">
        <f>+'GRAFIC VTAS'!U10*'datos de entrada'!$J23</f>
        <v>0</v>
      </c>
      <c r="W38" s="523">
        <f>+'GRAFIC VTAS'!V10*'datos de entrada'!$J23</f>
        <v>0</v>
      </c>
      <c r="X38" s="523">
        <f>+'GRAFIC VTAS'!W10*'datos de entrada'!$J23</f>
        <v>0</v>
      </c>
      <c r="Y38" s="523">
        <f>+'GRAFIC VTAS'!X10*'datos de entrada'!$J23</f>
        <v>0</v>
      </c>
      <c r="Z38" s="523">
        <f>+'GRAFIC VTAS'!Y10*'datos de entrada'!$J23</f>
        <v>0</v>
      </c>
      <c r="AA38" s="523">
        <f>+'GRAFIC VTAS'!Z10*'datos de entrada'!$J23</f>
        <v>0</v>
      </c>
      <c r="AB38" s="523">
        <f>+'GRAFIC VTAS'!AA10*'datos de entrada'!$J23</f>
        <v>0</v>
      </c>
      <c r="AC38" s="523">
        <f>+'GRAFIC VTAS'!AB10*'datos de entrada'!$J23</f>
        <v>0</v>
      </c>
      <c r="AD38" s="523">
        <f>+'GRAFIC VTAS'!AC10*'datos de entrada'!$J23</f>
        <v>0</v>
      </c>
      <c r="AE38" s="523">
        <f>+'GRAFIC VTAS'!AD10*'datos de entrada'!$J23</f>
        <v>0</v>
      </c>
      <c r="AF38" s="523">
        <f>+'GRAFIC VTAS'!AE10*'datos de entrada'!$J23</f>
        <v>0</v>
      </c>
      <c r="AG38" s="523">
        <f>+'GRAFIC VTAS'!AF10*'datos de entrada'!$J23</f>
        <v>0</v>
      </c>
      <c r="AH38" s="523">
        <f>+'GRAFIC VTAS'!AG10*'datos de entrada'!$J23</f>
        <v>0</v>
      </c>
      <c r="AI38" s="523">
        <f>+'GRAFIC VTAS'!AH10*'datos de entrada'!$J23</f>
        <v>0</v>
      </c>
      <c r="AJ38" s="523">
        <f>+'GRAFIC VTAS'!AI10*'datos de entrada'!$J23</f>
        <v>0</v>
      </c>
      <c r="AK38" s="523">
        <f>+'GRAFIC VTAS'!AJ10*'datos de entrada'!$J23</f>
        <v>0</v>
      </c>
      <c r="AL38" s="523">
        <f>+'GRAFIC VTAS'!AK10*'datos de entrada'!$J23</f>
        <v>0</v>
      </c>
    </row>
    <row r="39" spans="1:38" ht="15" customHeight="1">
      <c r="A39" s="523" t="str">
        <f t="shared" si="0"/>
        <v/>
      </c>
      <c r="B39" s="523">
        <f>+'GRAFIC VTAS'!B11*'datos de entrada'!$J24</f>
        <v>0</v>
      </c>
      <c r="C39" s="523">
        <f>+'GRAFIC VTAS'!C11*'datos de entrada'!$J24</f>
        <v>0</v>
      </c>
      <c r="D39" s="523">
        <f>+'GRAFIC VTAS'!D11*'datos de entrada'!$J24</f>
        <v>0</v>
      </c>
      <c r="E39" s="523">
        <f>+'GRAFIC VTAS'!E11*'datos de entrada'!$J24</f>
        <v>0</v>
      </c>
      <c r="F39" s="523">
        <f>+'GRAFIC VTAS'!F11*'datos de entrada'!$J24</f>
        <v>0</v>
      </c>
      <c r="G39" s="523">
        <f>+'GRAFIC VTAS'!G11*'datos de entrada'!$J24</f>
        <v>0</v>
      </c>
      <c r="H39" s="523">
        <f>+'GRAFIC VTAS'!H11*'datos de entrada'!$J24</f>
        <v>0</v>
      </c>
      <c r="I39" s="523">
        <f>+'GRAFIC VTAS'!I11*'datos de entrada'!$J24</f>
        <v>0</v>
      </c>
      <c r="J39" s="523">
        <f>+'GRAFIC VTAS'!J11*'datos de entrada'!$J24</f>
        <v>0</v>
      </c>
      <c r="K39" s="523">
        <f>+'GRAFIC VTAS'!K11*'datos de entrada'!$J24</f>
        <v>0</v>
      </c>
      <c r="L39" s="523">
        <f>+'GRAFIC VTAS'!L11*'datos de entrada'!$J24</f>
        <v>0</v>
      </c>
      <c r="M39" s="523">
        <f>+'GRAFIC VTAS'!M11*'datos de entrada'!$J24</f>
        <v>0</v>
      </c>
      <c r="N39" s="526">
        <f t="shared" si="1"/>
        <v>0</v>
      </c>
      <c r="O39" s="523">
        <f>+'GRAFIC VTAS'!N11*'datos de entrada'!$J24</f>
        <v>0</v>
      </c>
      <c r="P39" s="523">
        <f>+'GRAFIC VTAS'!O11*'datos de entrada'!$J24</f>
        <v>0</v>
      </c>
      <c r="Q39" s="523">
        <f>+'GRAFIC VTAS'!P11*'datos de entrada'!$J24</f>
        <v>0</v>
      </c>
      <c r="R39" s="523">
        <f>+'GRAFIC VTAS'!Q11*'datos de entrada'!$J24</f>
        <v>0</v>
      </c>
      <c r="S39" s="523">
        <f>+'GRAFIC VTAS'!R11*'datos de entrada'!$J24</f>
        <v>0</v>
      </c>
      <c r="T39" s="523">
        <f>+'GRAFIC VTAS'!S11*'datos de entrada'!$J24</f>
        <v>0</v>
      </c>
      <c r="U39" s="523">
        <f>+'GRAFIC VTAS'!T11*'datos de entrada'!$J24</f>
        <v>0</v>
      </c>
      <c r="V39" s="523">
        <f>+'GRAFIC VTAS'!U11*'datos de entrada'!$J24</f>
        <v>0</v>
      </c>
      <c r="W39" s="523">
        <f>+'GRAFIC VTAS'!V11*'datos de entrada'!$J24</f>
        <v>0</v>
      </c>
      <c r="X39" s="523">
        <f>+'GRAFIC VTAS'!W11*'datos de entrada'!$J24</f>
        <v>0</v>
      </c>
      <c r="Y39" s="523">
        <f>+'GRAFIC VTAS'!X11*'datos de entrada'!$J24</f>
        <v>0</v>
      </c>
      <c r="Z39" s="523">
        <f>+'GRAFIC VTAS'!Y11*'datos de entrada'!$J24</f>
        <v>0</v>
      </c>
      <c r="AA39" s="523">
        <f>+'GRAFIC VTAS'!Z11*'datos de entrada'!$J24</f>
        <v>0</v>
      </c>
      <c r="AB39" s="523">
        <f>+'GRAFIC VTAS'!AA11*'datos de entrada'!$J24</f>
        <v>0</v>
      </c>
      <c r="AC39" s="523">
        <f>+'GRAFIC VTAS'!AB11*'datos de entrada'!$J24</f>
        <v>0</v>
      </c>
      <c r="AD39" s="523">
        <f>+'GRAFIC VTAS'!AC11*'datos de entrada'!$J24</f>
        <v>0</v>
      </c>
      <c r="AE39" s="523">
        <f>+'GRAFIC VTAS'!AD11*'datos de entrada'!$J24</f>
        <v>0</v>
      </c>
      <c r="AF39" s="523">
        <f>+'GRAFIC VTAS'!AE11*'datos de entrada'!$J24</f>
        <v>0</v>
      </c>
      <c r="AG39" s="523">
        <f>+'GRAFIC VTAS'!AF11*'datos de entrada'!$J24</f>
        <v>0</v>
      </c>
      <c r="AH39" s="523">
        <f>+'GRAFIC VTAS'!AG11*'datos de entrada'!$J24</f>
        <v>0</v>
      </c>
      <c r="AI39" s="523">
        <f>+'GRAFIC VTAS'!AH11*'datos de entrada'!$J24</f>
        <v>0</v>
      </c>
      <c r="AJ39" s="523">
        <f>+'GRAFIC VTAS'!AI11*'datos de entrada'!$J24</f>
        <v>0</v>
      </c>
      <c r="AK39" s="523">
        <f>+'GRAFIC VTAS'!AJ11*'datos de entrada'!$J24</f>
        <v>0</v>
      </c>
      <c r="AL39" s="523">
        <f>+'GRAFIC VTAS'!AK11*'datos de entrada'!$J24</f>
        <v>0</v>
      </c>
    </row>
    <row r="40" spans="1:38" ht="15" customHeight="1">
      <c r="A40" s="523" t="str">
        <f t="shared" si="0"/>
        <v/>
      </c>
      <c r="B40" s="523">
        <f>+'GRAFIC VTAS'!B12*'datos de entrada'!$J25</f>
        <v>0</v>
      </c>
      <c r="C40" s="523">
        <f>+'GRAFIC VTAS'!C12*'datos de entrada'!$J25</f>
        <v>0</v>
      </c>
      <c r="D40" s="523">
        <f>+'GRAFIC VTAS'!D12*'datos de entrada'!$J25</f>
        <v>0</v>
      </c>
      <c r="E40" s="523">
        <f>+'GRAFIC VTAS'!E12*'datos de entrada'!$J25</f>
        <v>0</v>
      </c>
      <c r="F40" s="523">
        <f>+'GRAFIC VTAS'!F12*'datos de entrada'!$J25</f>
        <v>0</v>
      </c>
      <c r="G40" s="523">
        <f>+'GRAFIC VTAS'!G12*'datos de entrada'!$J25</f>
        <v>0</v>
      </c>
      <c r="H40" s="523">
        <f>+'GRAFIC VTAS'!H12*'datos de entrada'!$J25</f>
        <v>0</v>
      </c>
      <c r="I40" s="523">
        <f>+'GRAFIC VTAS'!I12*'datos de entrada'!$J25</f>
        <v>0</v>
      </c>
      <c r="J40" s="523">
        <f>+'GRAFIC VTAS'!J12*'datos de entrada'!$J25</f>
        <v>0</v>
      </c>
      <c r="K40" s="523">
        <f>+'GRAFIC VTAS'!K12*'datos de entrada'!$J25</f>
        <v>0</v>
      </c>
      <c r="L40" s="523">
        <f>+'GRAFIC VTAS'!L12*'datos de entrada'!$J25</f>
        <v>0</v>
      </c>
      <c r="M40" s="523">
        <f>+'GRAFIC VTAS'!M12*'datos de entrada'!$J25</f>
        <v>0</v>
      </c>
      <c r="N40" s="526">
        <f t="shared" si="1"/>
        <v>0</v>
      </c>
      <c r="O40" s="523">
        <f>+'GRAFIC VTAS'!N12*'datos de entrada'!$J25</f>
        <v>0</v>
      </c>
      <c r="P40" s="523">
        <f>+'GRAFIC VTAS'!O12*'datos de entrada'!$J25</f>
        <v>0</v>
      </c>
      <c r="Q40" s="523">
        <f>+'GRAFIC VTAS'!P12*'datos de entrada'!$J25</f>
        <v>0</v>
      </c>
      <c r="R40" s="523">
        <f>+'GRAFIC VTAS'!Q12*'datos de entrada'!$J25</f>
        <v>0</v>
      </c>
      <c r="S40" s="523">
        <f>+'GRAFIC VTAS'!R12*'datos de entrada'!$J25</f>
        <v>0</v>
      </c>
      <c r="T40" s="523">
        <f>+'GRAFIC VTAS'!S12*'datos de entrada'!$J25</f>
        <v>0</v>
      </c>
      <c r="U40" s="523">
        <f>+'GRAFIC VTAS'!T12*'datos de entrada'!$J25</f>
        <v>0</v>
      </c>
      <c r="V40" s="523">
        <f>+'GRAFIC VTAS'!U12*'datos de entrada'!$J25</f>
        <v>0</v>
      </c>
      <c r="W40" s="523">
        <f>+'GRAFIC VTAS'!V12*'datos de entrada'!$J25</f>
        <v>0</v>
      </c>
      <c r="X40" s="523">
        <f>+'GRAFIC VTAS'!W12*'datos de entrada'!$J25</f>
        <v>0</v>
      </c>
      <c r="Y40" s="523">
        <f>+'GRAFIC VTAS'!X12*'datos de entrada'!$J25</f>
        <v>0</v>
      </c>
      <c r="Z40" s="523">
        <f>+'GRAFIC VTAS'!Y12*'datos de entrada'!$J25</f>
        <v>0</v>
      </c>
      <c r="AA40" s="523">
        <f>+'GRAFIC VTAS'!Z12*'datos de entrada'!$J25</f>
        <v>0</v>
      </c>
      <c r="AB40" s="523">
        <f>+'GRAFIC VTAS'!AA12*'datos de entrada'!$J25</f>
        <v>0</v>
      </c>
      <c r="AC40" s="523">
        <f>+'GRAFIC VTAS'!AB12*'datos de entrada'!$J25</f>
        <v>0</v>
      </c>
      <c r="AD40" s="523">
        <f>+'GRAFIC VTAS'!AC12*'datos de entrada'!$J25</f>
        <v>0</v>
      </c>
      <c r="AE40" s="523">
        <f>+'GRAFIC VTAS'!AD12*'datos de entrada'!$J25</f>
        <v>0</v>
      </c>
      <c r="AF40" s="523">
        <f>+'GRAFIC VTAS'!AE12*'datos de entrada'!$J25</f>
        <v>0</v>
      </c>
      <c r="AG40" s="523">
        <f>+'GRAFIC VTAS'!AF12*'datos de entrada'!$J25</f>
        <v>0</v>
      </c>
      <c r="AH40" s="523">
        <f>+'GRAFIC VTAS'!AG12*'datos de entrada'!$J25</f>
        <v>0</v>
      </c>
      <c r="AI40" s="523">
        <f>+'GRAFIC VTAS'!AH12*'datos de entrada'!$J25</f>
        <v>0</v>
      </c>
      <c r="AJ40" s="523">
        <f>+'GRAFIC VTAS'!AI12*'datos de entrada'!$J25</f>
        <v>0</v>
      </c>
      <c r="AK40" s="523">
        <f>+'GRAFIC VTAS'!AJ12*'datos de entrada'!$J25</f>
        <v>0</v>
      </c>
      <c r="AL40" s="523">
        <f>+'GRAFIC VTAS'!AK12*'datos de entrada'!$J25</f>
        <v>0</v>
      </c>
    </row>
    <row r="41" spans="1:38" ht="15" customHeight="1">
      <c r="A41" s="524" t="s">
        <v>605</v>
      </c>
      <c r="B41" s="524" t="s">
        <v>605</v>
      </c>
      <c r="C41" s="524" t="s">
        <v>605</v>
      </c>
      <c r="D41" s="524" t="s">
        <v>605</v>
      </c>
      <c r="E41" s="524" t="s">
        <v>605</v>
      </c>
      <c r="F41" s="524" t="s">
        <v>605</v>
      </c>
      <c r="G41" s="524" t="s">
        <v>605</v>
      </c>
      <c r="H41" s="524" t="s">
        <v>605</v>
      </c>
      <c r="I41" s="524" t="s">
        <v>605</v>
      </c>
      <c r="J41" s="524" t="s">
        <v>605</v>
      </c>
      <c r="K41" s="524" t="s">
        <v>605</v>
      </c>
      <c r="L41" s="524" t="s">
        <v>605</v>
      </c>
      <c r="M41" s="524" t="s">
        <v>605</v>
      </c>
      <c r="N41" s="524" t="s">
        <v>605</v>
      </c>
    </row>
    <row r="42" spans="1:38" ht="15" customHeight="1">
      <c r="A42" s="522" t="s">
        <v>49</v>
      </c>
      <c r="B42" s="523">
        <f>SUM(B29:B41)</f>
        <v>21870000</v>
      </c>
      <c r="C42" s="523">
        <f t="shared" ref="C42:AL42" si="2">SUM(C29:C41)</f>
        <v>25515000</v>
      </c>
      <c r="D42" s="523">
        <f t="shared" si="2"/>
        <v>25515000</v>
      </c>
      <c r="E42" s="523">
        <f t="shared" si="2"/>
        <v>25515000</v>
      </c>
      <c r="F42" s="523">
        <f t="shared" si="2"/>
        <v>36450000</v>
      </c>
      <c r="G42" s="523">
        <f t="shared" si="2"/>
        <v>32805000</v>
      </c>
      <c r="H42" s="523">
        <f t="shared" si="2"/>
        <v>29160000</v>
      </c>
      <c r="I42" s="523">
        <f t="shared" si="2"/>
        <v>29160000</v>
      </c>
      <c r="J42" s="523">
        <f t="shared" si="2"/>
        <v>29160000</v>
      </c>
      <c r="K42" s="523">
        <f t="shared" si="2"/>
        <v>36450000</v>
      </c>
      <c r="L42" s="523">
        <f t="shared" si="2"/>
        <v>51030000</v>
      </c>
      <c r="M42" s="523">
        <f t="shared" si="2"/>
        <v>21870000</v>
      </c>
      <c r="N42" s="523">
        <f>B64/$B$64</f>
        <v>1</v>
      </c>
      <c r="O42" s="523">
        <f t="shared" si="2"/>
        <v>24138000</v>
      </c>
      <c r="P42" s="523">
        <f t="shared" si="2"/>
        <v>28161000</v>
      </c>
      <c r="Q42" s="523">
        <f t="shared" si="2"/>
        <v>28161000</v>
      </c>
      <c r="R42" s="523">
        <f t="shared" si="2"/>
        <v>28161000</v>
      </c>
      <c r="S42" s="523">
        <f t="shared" si="2"/>
        <v>40203000</v>
      </c>
      <c r="T42" s="523">
        <f t="shared" si="2"/>
        <v>36180000</v>
      </c>
      <c r="U42" s="523">
        <f t="shared" si="2"/>
        <v>32157000</v>
      </c>
      <c r="V42" s="523">
        <f t="shared" si="2"/>
        <v>32157000</v>
      </c>
      <c r="W42" s="523">
        <f t="shared" si="2"/>
        <v>32157000</v>
      </c>
      <c r="X42" s="523">
        <f t="shared" si="2"/>
        <v>40203000</v>
      </c>
      <c r="Y42" s="523">
        <f t="shared" si="2"/>
        <v>56295000</v>
      </c>
      <c r="Z42" s="523">
        <f t="shared" si="2"/>
        <v>24138000</v>
      </c>
      <c r="AA42" s="523">
        <f t="shared" si="2"/>
        <v>27405000</v>
      </c>
      <c r="AB42" s="523">
        <f t="shared" si="2"/>
        <v>31968000</v>
      </c>
      <c r="AC42" s="523">
        <f t="shared" si="2"/>
        <v>31968000</v>
      </c>
      <c r="AD42" s="523">
        <f t="shared" si="2"/>
        <v>31968000</v>
      </c>
      <c r="AE42" s="523">
        <f t="shared" si="2"/>
        <v>45657000</v>
      </c>
      <c r="AF42" s="523">
        <f t="shared" si="2"/>
        <v>41094000</v>
      </c>
      <c r="AG42" s="523">
        <f t="shared" si="2"/>
        <v>36531000</v>
      </c>
      <c r="AH42" s="523">
        <f t="shared" si="2"/>
        <v>36531000</v>
      </c>
      <c r="AI42" s="523">
        <f t="shared" si="2"/>
        <v>36531000</v>
      </c>
      <c r="AJ42" s="523">
        <f t="shared" si="2"/>
        <v>45657000</v>
      </c>
      <c r="AK42" s="523">
        <f t="shared" si="2"/>
        <v>63936000</v>
      </c>
      <c r="AL42" s="523">
        <f t="shared" si="2"/>
        <v>27405000</v>
      </c>
    </row>
    <row r="43" spans="1:38" ht="15" customHeight="1">
      <c r="A43" s="524" t="s">
        <v>46</v>
      </c>
      <c r="B43" s="524" t="s">
        <v>46</v>
      </c>
      <c r="C43" s="524" t="s">
        <v>46</v>
      </c>
      <c r="D43" s="524" t="s">
        <v>46</v>
      </c>
      <c r="E43" s="524" t="s">
        <v>46</v>
      </c>
      <c r="F43" s="524" t="s">
        <v>46</v>
      </c>
      <c r="G43" s="524" t="s">
        <v>46</v>
      </c>
      <c r="H43" s="524" t="s">
        <v>46</v>
      </c>
      <c r="I43" s="524" t="s">
        <v>46</v>
      </c>
      <c r="J43" s="524" t="s">
        <v>46</v>
      </c>
      <c r="K43" s="524" t="s">
        <v>46</v>
      </c>
      <c r="L43" s="524" t="s">
        <v>46</v>
      </c>
      <c r="M43" s="524" t="s">
        <v>46</v>
      </c>
      <c r="N43" s="524" t="s">
        <v>46</v>
      </c>
    </row>
    <row r="46" spans="1:38" ht="15" customHeight="1">
      <c r="A46" s="522" t="s">
        <v>189</v>
      </c>
      <c r="C46" s="527">
        <f>+C50/B50</f>
        <v>1.1362807407407407</v>
      </c>
      <c r="D46" s="527">
        <f>+D50/C50</f>
        <v>1.1697032162761027</v>
      </c>
    </row>
    <row r="47" spans="1:38" ht="15" customHeight="1">
      <c r="A47" s="524" t="s">
        <v>46</v>
      </c>
      <c r="B47" s="524" t="s">
        <v>46</v>
      </c>
      <c r="C47" s="524" t="s">
        <v>46</v>
      </c>
      <c r="D47" s="524" t="s">
        <v>46</v>
      </c>
      <c r="E47" s="524" t="s">
        <v>46</v>
      </c>
      <c r="F47" s="524" t="s">
        <v>46</v>
      </c>
    </row>
    <row r="48" spans="1:38" ht="15" customHeight="1">
      <c r="A48" s="522" t="s">
        <v>575</v>
      </c>
      <c r="B48" s="522" t="s">
        <v>600</v>
      </c>
      <c r="C48" s="528" t="s">
        <v>601</v>
      </c>
      <c r="D48" s="528" t="s">
        <v>602</v>
      </c>
      <c r="E48" s="529" t="s">
        <v>67</v>
      </c>
      <c r="F48" s="529" t="s">
        <v>68</v>
      </c>
    </row>
    <row r="49" spans="1:6" ht="15" customHeight="1">
      <c r="A49" s="524"/>
      <c r="B49" s="524"/>
      <c r="C49" s="530"/>
      <c r="D49" s="524" t="s">
        <v>605</v>
      </c>
      <c r="E49" s="531" t="s">
        <v>605</v>
      </c>
      <c r="F49" s="531" t="s">
        <v>605</v>
      </c>
    </row>
    <row r="50" spans="1:6" ht="15" customHeight="1">
      <c r="A50" s="523" t="str">
        <f t="shared" ref="A50:A61" si="3">A10</f>
        <v>CAMISETAS</v>
      </c>
      <c r="B50" s="523">
        <f t="shared" ref="B50:B61" si="4">SUM(B29:M29)</f>
        <v>364500000</v>
      </c>
      <c r="C50" s="523">
        <f>SUM(O29:Z29)*(1+$B$3)</f>
        <v>414174330</v>
      </c>
      <c r="D50" s="523">
        <f>SUM(AA29:AL29)*(1+$B$3)^2</f>
        <v>484461045.89999998</v>
      </c>
      <c r="E50" s="532">
        <f>+'datos de entrada'!$B14*E10*(1+'datos de entrada'!$C$409)^3</f>
        <v>498994877.27700001</v>
      </c>
      <c r="F50" s="532">
        <f>+'datos de entrada'!$B14*F10*(1+'datos de entrada'!$C$409)^4</f>
        <v>513964723.59530997</v>
      </c>
    </row>
    <row r="51" spans="1:6" ht="15" customHeight="1">
      <c r="A51" s="523" t="str">
        <f t="shared" si="3"/>
        <v/>
      </c>
      <c r="B51" s="523">
        <f t="shared" si="4"/>
        <v>0</v>
      </c>
      <c r="C51" s="523">
        <f t="shared" ref="C51:C61" si="5">SUM(O30:Z30)*(1+$B$3)</f>
        <v>0</v>
      </c>
      <c r="D51" s="523">
        <f t="shared" ref="D51:D61" si="6">SUM(AA30:AL30)*(1+$B$3)^2</f>
        <v>0</v>
      </c>
      <c r="E51" s="532">
        <f>+'datos de entrada'!$B15*E11*(1+'datos de entrada'!$C$409)^3</f>
        <v>0</v>
      </c>
      <c r="F51" s="532">
        <f>+'datos de entrada'!$B15*F11*(1+'datos de entrada'!$C$409)^4</f>
        <v>0</v>
      </c>
    </row>
    <row r="52" spans="1:6" ht="15" customHeight="1">
      <c r="A52" s="523" t="str">
        <f t="shared" si="3"/>
        <v/>
      </c>
      <c r="B52" s="523">
        <f t="shared" si="4"/>
        <v>0</v>
      </c>
      <c r="C52" s="523">
        <f t="shared" si="5"/>
        <v>0</v>
      </c>
      <c r="D52" s="523">
        <f t="shared" si="6"/>
        <v>0</v>
      </c>
      <c r="E52" s="532">
        <f>+'datos de entrada'!$B16*E12*(1+'datos de entrada'!$C$409)^3</f>
        <v>0</v>
      </c>
      <c r="F52" s="532">
        <f>+'datos de entrada'!$B16*F12*(1+'datos de entrada'!$C$409)^4</f>
        <v>0</v>
      </c>
    </row>
    <row r="53" spans="1:6" ht="15" customHeight="1">
      <c r="A53" s="523" t="str">
        <f t="shared" si="3"/>
        <v/>
      </c>
      <c r="B53" s="523">
        <f t="shared" si="4"/>
        <v>0</v>
      </c>
      <c r="C53" s="523">
        <f t="shared" si="5"/>
        <v>0</v>
      </c>
      <c r="D53" s="523">
        <f t="shared" si="6"/>
        <v>0</v>
      </c>
      <c r="E53" s="532">
        <f>+'datos de entrada'!$B17*E13*(1+'datos de entrada'!$C$409)^3</f>
        <v>0</v>
      </c>
      <c r="F53" s="532">
        <f>+'datos de entrada'!$B17*F13*(1+'datos de entrada'!$C$409)^4</f>
        <v>0</v>
      </c>
    </row>
    <row r="54" spans="1:6" ht="15" customHeight="1">
      <c r="A54" s="523" t="str">
        <f t="shared" si="3"/>
        <v/>
      </c>
      <c r="B54" s="523">
        <f t="shared" si="4"/>
        <v>0</v>
      </c>
      <c r="C54" s="523">
        <f t="shared" si="5"/>
        <v>0</v>
      </c>
      <c r="D54" s="523">
        <f t="shared" si="6"/>
        <v>0</v>
      </c>
      <c r="E54" s="532">
        <f>+'datos de entrada'!$B18*E14*(1+'datos de entrada'!$C$409)^3</f>
        <v>0</v>
      </c>
      <c r="F54" s="532">
        <f>+'datos de entrada'!$B18*F14*(1+'datos de entrada'!$C$409)^4</f>
        <v>0</v>
      </c>
    </row>
    <row r="55" spans="1:6" ht="15" customHeight="1">
      <c r="A55" s="523" t="str">
        <f t="shared" si="3"/>
        <v/>
      </c>
      <c r="B55" s="523">
        <f t="shared" si="4"/>
        <v>0</v>
      </c>
      <c r="C55" s="523">
        <f t="shared" si="5"/>
        <v>0</v>
      </c>
      <c r="D55" s="523">
        <f t="shared" si="6"/>
        <v>0</v>
      </c>
      <c r="E55" s="532">
        <f>+'datos de entrada'!$B19*E15*(1+'datos de entrada'!$C$409)^3</f>
        <v>0</v>
      </c>
      <c r="F55" s="532">
        <f>+'datos de entrada'!$B19*F15*(1+'datos de entrada'!$C$409)^4</f>
        <v>0</v>
      </c>
    </row>
    <row r="56" spans="1:6" ht="15" customHeight="1">
      <c r="A56" s="523" t="str">
        <f t="shared" si="3"/>
        <v/>
      </c>
      <c r="B56" s="523">
        <f t="shared" si="4"/>
        <v>0</v>
      </c>
      <c r="C56" s="523">
        <f t="shared" si="5"/>
        <v>0</v>
      </c>
      <c r="D56" s="523">
        <f t="shared" si="6"/>
        <v>0</v>
      </c>
      <c r="E56" s="532">
        <f>+'datos de entrada'!$B20*E16*(1+'datos de entrada'!$C$409)^3</f>
        <v>0</v>
      </c>
      <c r="F56" s="532">
        <f>+'datos de entrada'!$B20*F16*(1+'datos de entrada'!$C$409)^4</f>
        <v>0</v>
      </c>
    </row>
    <row r="57" spans="1:6" ht="15" customHeight="1">
      <c r="A57" s="523" t="str">
        <f t="shared" si="3"/>
        <v/>
      </c>
      <c r="B57" s="523">
        <f t="shared" si="4"/>
        <v>0</v>
      </c>
      <c r="C57" s="523">
        <f t="shared" si="5"/>
        <v>0</v>
      </c>
      <c r="D57" s="523">
        <f t="shared" si="6"/>
        <v>0</v>
      </c>
      <c r="E57" s="532">
        <f>+'datos de entrada'!$B21*E17*(1+'datos de entrada'!$C$409)^3</f>
        <v>0</v>
      </c>
      <c r="F57" s="532">
        <f>+'datos de entrada'!$B21*F17*(1+'datos de entrada'!$C$409)^4</f>
        <v>0</v>
      </c>
    </row>
    <row r="58" spans="1:6" ht="15" customHeight="1">
      <c r="A58" s="523" t="str">
        <f t="shared" si="3"/>
        <v/>
      </c>
      <c r="B58" s="523">
        <f t="shared" si="4"/>
        <v>0</v>
      </c>
      <c r="C58" s="523">
        <f t="shared" si="5"/>
        <v>0</v>
      </c>
      <c r="D58" s="523">
        <f t="shared" si="6"/>
        <v>0</v>
      </c>
      <c r="E58" s="532">
        <f>+'datos de entrada'!$B22*E18*(1+'datos de entrada'!$C$409)^3</f>
        <v>0</v>
      </c>
      <c r="F58" s="532">
        <f>+'datos de entrada'!$B22*F18*(1+'datos de entrada'!$C$409)^4</f>
        <v>0</v>
      </c>
    </row>
    <row r="59" spans="1:6" ht="15" customHeight="1">
      <c r="A59" s="523" t="str">
        <f t="shared" si="3"/>
        <v/>
      </c>
      <c r="B59" s="523">
        <f t="shared" si="4"/>
        <v>0</v>
      </c>
      <c r="C59" s="523">
        <f t="shared" si="5"/>
        <v>0</v>
      </c>
      <c r="D59" s="523">
        <f t="shared" si="6"/>
        <v>0</v>
      </c>
      <c r="E59" s="532">
        <f>+'datos de entrada'!$B23*E19*(1+'datos de entrada'!$C$409)^3</f>
        <v>0</v>
      </c>
      <c r="F59" s="532">
        <f>+'datos de entrada'!$B23*F19*(1+'datos de entrada'!$C$409)^4</f>
        <v>0</v>
      </c>
    </row>
    <row r="60" spans="1:6" ht="15" customHeight="1">
      <c r="A60" s="523" t="str">
        <f t="shared" si="3"/>
        <v/>
      </c>
      <c r="B60" s="523">
        <f t="shared" si="4"/>
        <v>0</v>
      </c>
      <c r="C60" s="523">
        <f t="shared" si="5"/>
        <v>0</v>
      </c>
      <c r="D60" s="523">
        <f t="shared" si="6"/>
        <v>0</v>
      </c>
      <c r="E60" s="532">
        <f>+'datos de entrada'!$B24*E20*(1+'datos de entrada'!$C$409)^3</f>
        <v>0</v>
      </c>
      <c r="F60" s="532">
        <f>+'datos de entrada'!$B24*F20*(1+'datos de entrada'!$C$409)^4</f>
        <v>0</v>
      </c>
    </row>
    <row r="61" spans="1:6" ht="15" customHeight="1">
      <c r="A61" s="523" t="str">
        <f t="shared" si="3"/>
        <v/>
      </c>
      <c r="B61" s="523">
        <f t="shared" si="4"/>
        <v>0</v>
      </c>
      <c r="C61" s="523">
        <f t="shared" si="5"/>
        <v>0</v>
      </c>
      <c r="D61" s="523">
        <f t="shared" si="6"/>
        <v>0</v>
      </c>
      <c r="E61" s="532">
        <f>+'datos de entrada'!$B25*E21*(1+'datos de entrada'!$C$409)^3</f>
        <v>0</v>
      </c>
      <c r="F61" s="532">
        <f>+'datos de entrada'!$B25*F21*(1+'datos de entrada'!$C$409)^4</f>
        <v>0</v>
      </c>
    </row>
    <row r="62" spans="1:6" ht="15" customHeight="1">
      <c r="A62" s="524" t="s">
        <v>605</v>
      </c>
      <c r="B62" s="524" t="s">
        <v>605</v>
      </c>
      <c r="C62" s="524" t="s">
        <v>605</v>
      </c>
      <c r="D62" s="524" t="s">
        <v>605</v>
      </c>
      <c r="E62" s="531" t="s">
        <v>605</v>
      </c>
      <c r="F62" s="531" t="s">
        <v>605</v>
      </c>
    </row>
    <row r="63" spans="1:6" ht="15" customHeight="1">
      <c r="A63" s="524" t="s">
        <v>605</v>
      </c>
      <c r="B63" s="524" t="s">
        <v>605</v>
      </c>
      <c r="C63" s="524" t="s">
        <v>605</v>
      </c>
      <c r="D63" s="524" t="s">
        <v>605</v>
      </c>
      <c r="E63" s="531" t="s">
        <v>605</v>
      </c>
      <c r="F63" s="531" t="s">
        <v>605</v>
      </c>
    </row>
    <row r="64" spans="1:6" ht="15" customHeight="1">
      <c r="A64" s="522" t="s">
        <v>49</v>
      </c>
      <c r="B64" s="523">
        <f>SUM(B50:B61)</f>
        <v>364500000</v>
      </c>
      <c r="C64" s="523">
        <f>SUM(C50:C61)</f>
        <v>414174330</v>
      </c>
      <c r="D64" s="523">
        <f>SUM(D50:D61)</f>
        <v>484461045.89999998</v>
      </c>
      <c r="E64" s="532">
        <f>SUM(E50:E61)</f>
        <v>498994877.27700001</v>
      </c>
      <c r="F64" s="532">
        <f>SUM(F50:F61)</f>
        <v>513964723.59530997</v>
      </c>
    </row>
    <row r="65" spans="1:6" ht="15" customHeight="1">
      <c r="A65" s="524" t="s">
        <v>46</v>
      </c>
      <c r="B65" s="524" t="s">
        <v>46</v>
      </c>
      <c r="C65" s="524" t="s">
        <v>46</v>
      </c>
      <c r="D65" s="524" t="s">
        <v>46</v>
      </c>
      <c r="E65" s="531" t="s">
        <v>46</v>
      </c>
      <c r="F65" s="531" t="s">
        <v>46</v>
      </c>
    </row>
    <row r="67" spans="1:6" ht="15" customHeight="1">
      <c r="A67" s="522" t="s">
        <v>190</v>
      </c>
    </row>
    <row r="68" spans="1:6" ht="15" customHeight="1">
      <c r="A68" s="524" t="s">
        <v>46</v>
      </c>
      <c r="B68" s="524" t="s">
        <v>46</v>
      </c>
      <c r="C68" s="524" t="s">
        <v>46</v>
      </c>
      <c r="D68" s="524" t="s">
        <v>46</v>
      </c>
      <c r="E68" s="524" t="s">
        <v>46</v>
      </c>
      <c r="F68" s="524" t="s">
        <v>46</v>
      </c>
    </row>
    <row r="69" spans="1:6" ht="15" customHeight="1">
      <c r="A69" s="522" t="s">
        <v>671</v>
      </c>
      <c r="B69" s="522" t="s">
        <v>613</v>
      </c>
      <c r="C69" s="522" t="s">
        <v>614</v>
      </c>
      <c r="D69" s="522" t="s">
        <v>191</v>
      </c>
      <c r="E69" s="522" t="s">
        <v>616</v>
      </c>
      <c r="F69" s="522" t="s">
        <v>617</v>
      </c>
    </row>
    <row r="70" spans="1:6" ht="15" customHeight="1">
      <c r="A70" s="524" t="s">
        <v>605</v>
      </c>
      <c r="B70" s="524" t="s">
        <v>605</v>
      </c>
      <c r="C70" s="524" t="s">
        <v>605</v>
      </c>
      <c r="D70" s="524" t="s">
        <v>605</v>
      </c>
      <c r="E70" s="524" t="s">
        <v>605</v>
      </c>
      <c r="F70" s="524" t="s">
        <v>605</v>
      </c>
    </row>
    <row r="71" spans="1:6" ht="15" customHeight="1">
      <c r="A71" s="523" t="str">
        <f t="shared" ref="A71:A82" si="7">A10</f>
        <v>CAMISETAS</v>
      </c>
      <c r="B71" s="526">
        <f t="shared" ref="B71:F82" si="8">IF($B50=0,0,I29/$B50)</f>
        <v>0.08</v>
      </c>
      <c r="C71" s="526">
        <f t="shared" si="8"/>
        <v>0.08</v>
      </c>
      <c r="D71" s="526">
        <f t="shared" si="8"/>
        <v>0.1</v>
      </c>
      <c r="E71" s="526">
        <f t="shared" si="8"/>
        <v>0.14000000000000001</v>
      </c>
      <c r="F71" s="526">
        <f t="shared" si="8"/>
        <v>0.06</v>
      </c>
    </row>
    <row r="72" spans="1:6" ht="15" customHeight="1">
      <c r="A72" s="523" t="str">
        <f t="shared" si="7"/>
        <v/>
      </c>
      <c r="B72" s="526">
        <f t="shared" si="8"/>
        <v>0</v>
      </c>
      <c r="C72" s="526">
        <f t="shared" si="8"/>
        <v>0</v>
      </c>
      <c r="D72" s="526">
        <f t="shared" si="8"/>
        <v>0</v>
      </c>
      <c r="E72" s="526">
        <f t="shared" si="8"/>
        <v>0</v>
      </c>
      <c r="F72" s="526">
        <f t="shared" si="8"/>
        <v>0</v>
      </c>
    </row>
    <row r="73" spans="1:6" ht="15" customHeight="1">
      <c r="A73" s="523" t="str">
        <f t="shared" si="7"/>
        <v/>
      </c>
      <c r="B73" s="526">
        <f t="shared" si="8"/>
        <v>0</v>
      </c>
      <c r="C73" s="526">
        <f t="shared" si="8"/>
        <v>0</v>
      </c>
      <c r="D73" s="526">
        <f t="shared" si="8"/>
        <v>0</v>
      </c>
      <c r="E73" s="526">
        <f t="shared" si="8"/>
        <v>0</v>
      </c>
      <c r="F73" s="526">
        <f t="shared" si="8"/>
        <v>0</v>
      </c>
    </row>
    <row r="74" spans="1:6" ht="15" customHeight="1">
      <c r="A74" s="523" t="str">
        <f t="shared" si="7"/>
        <v/>
      </c>
      <c r="B74" s="526">
        <f t="shared" si="8"/>
        <v>0</v>
      </c>
      <c r="C74" s="526">
        <f t="shared" si="8"/>
        <v>0</v>
      </c>
      <c r="D74" s="526">
        <f t="shared" si="8"/>
        <v>0</v>
      </c>
      <c r="E74" s="526">
        <f t="shared" si="8"/>
        <v>0</v>
      </c>
      <c r="F74" s="526">
        <f t="shared" si="8"/>
        <v>0</v>
      </c>
    </row>
    <row r="75" spans="1:6" ht="15" customHeight="1">
      <c r="A75" s="523" t="str">
        <f t="shared" si="7"/>
        <v/>
      </c>
      <c r="B75" s="526">
        <f t="shared" si="8"/>
        <v>0</v>
      </c>
      <c r="C75" s="526">
        <f t="shared" si="8"/>
        <v>0</v>
      </c>
      <c r="D75" s="526">
        <f t="shared" si="8"/>
        <v>0</v>
      </c>
      <c r="E75" s="526">
        <f t="shared" si="8"/>
        <v>0</v>
      </c>
      <c r="F75" s="526">
        <f t="shared" si="8"/>
        <v>0</v>
      </c>
    </row>
    <row r="76" spans="1:6" ht="15" customHeight="1">
      <c r="A76" s="523" t="str">
        <f t="shared" si="7"/>
        <v/>
      </c>
      <c r="B76" s="526">
        <f t="shared" si="8"/>
        <v>0</v>
      </c>
      <c r="C76" s="526">
        <f t="shared" si="8"/>
        <v>0</v>
      </c>
      <c r="D76" s="526">
        <f t="shared" si="8"/>
        <v>0</v>
      </c>
      <c r="E76" s="526">
        <f t="shared" si="8"/>
        <v>0</v>
      </c>
      <c r="F76" s="526">
        <f t="shared" si="8"/>
        <v>0</v>
      </c>
    </row>
    <row r="77" spans="1:6" ht="15" customHeight="1">
      <c r="A77" s="523" t="str">
        <f t="shared" si="7"/>
        <v/>
      </c>
      <c r="B77" s="526">
        <f t="shared" si="8"/>
        <v>0</v>
      </c>
      <c r="C77" s="526">
        <f t="shared" si="8"/>
        <v>0</v>
      </c>
      <c r="D77" s="526">
        <f t="shared" si="8"/>
        <v>0</v>
      </c>
      <c r="E77" s="526">
        <f t="shared" si="8"/>
        <v>0</v>
      </c>
      <c r="F77" s="526">
        <f t="shared" si="8"/>
        <v>0</v>
      </c>
    </row>
    <row r="78" spans="1:6" ht="15" customHeight="1">
      <c r="A78" s="523" t="str">
        <f t="shared" si="7"/>
        <v/>
      </c>
      <c r="B78" s="526">
        <f t="shared" si="8"/>
        <v>0</v>
      </c>
      <c r="C78" s="526">
        <f t="shared" si="8"/>
        <v>0</v>
      </c>
      <c r="D78" s="526">
        <f t="shared" si="8"/>
        <v>0</v>
      </c>
      <c r="E78" s="526">
        <f t="shared" si="8"/>
        <v>0</v>
      </c>
      <c r="F78" s="526">
        <f t="shared" si="8"/>
        <v>0</v>
      </c>
    </row>
    <row r="79" spans="1:6" ht="15" customHeight="1">
      <c r="A79" s="523" t="str">
        <f t="shared" si="7"/>
        <v/>
      </c>
      <c r="B79" s="526">
        <f t="shared" si="8"/>
        <v>0</v>
      </c>
      <c r="C79" s="526">
        <f t="shared" si="8"/>
        <v>0</v>
      </c>
      <c r="D79" s="526">
        <f t="shared" si="8"/>
        <v>0</v>
      </c>
      <c r="E79" s="526">
        <f t="shared" si="8"/>
        <v>0</v>
      </c>
      <c r="F79" s="526">
        <f t="shared" si="8"/>
        <v>0</v>
      </c>
    </row>
    <row r="80" spans="1:6" ht="15" customHeight="1">
      <c r="A80" s="523" t="str">
        <f t="shared" si="7"/>
        <v/>
      </c>
      <c r="B80" s="526">
        <f t="shared" si="8"/>
        <v>0</v>
      </c>
      <c r="C80" s="526">
        <f t="shared" si="8"/>
        <v>0</v>
      </c>
      <c r="D80" s="526">
        <f t="shared" si="8"/>
        <v>0</v>
      </c>
      <c r="E80" s="526">
        <f t="shared" si="8"/>
        <v>0</v>
      </c>
      <c r="F80" s="526">
        <f t="shared" si="8"/>
        <v>0</v>
      </c>
    </row>
    <row r="81" spans="1:18" ht="15" customHeight="1">
      <c r="A81" s="523" t="str">
        <f t="shared" si="7"/>
        <v/>
      </c>
      <c r="B81" s="526">
        <f t="shared" si="8"/>
        <v>0</v>
      </c>
      <c r="C81" s="526">
        <f t="shared" si="8"/>
        <v>0</v>
      </c>
      <c r="D81" s="526">
        <f t="shared" si="8"/>
        <v>0</v>
      </c>
      <c r="E81" s="526">
        <f t="shared" si="8"/>
        <v>0</v>
      </c>
      <c r="F81" s="526">
        <f t="shared" si="8"/>
        <v>0</v>
      </c>
    </row>
    <row r="82" spans="1:18" ht="15" customHeight="1">
      <c r="A82" s="523" t="str">
        <f t="shared" si="7"/>
        <v/>
      </c>
      <c r="B82" s="526">
        <f t="shared" si="8"/>
        <v>0</v>
      </c>
      <c r="C82" s="526">
        <f t="shared" si="8"/>
        <v>0</v>
      </c>
      <c r="D82" s="526">
        <f t="shared" si="8"/>
        <v>0</v>
      </c>
      <c r="E82" s="526">
        <f t="shared" si="8"/>
        <v>0</v>
      </c>
      <c r="F82" s="526">
        <f t="shared" si="8"/>
        <v>0</v>
      </c>
    </row>
    <row r="83" spans="1:18" ht="15" customHeight="1">
      <c r="A83" s="524" t="s">
        <v>46</v>
      </c>
      <c r="B83" s="524" t="s">
        <v>46</v>
      </c>
      <c r="C83" s="524" t="s">
        <v>46</v>
      </c>
      <c r="D83" s="524" t="s">
        <v>46</v>
      </c>
      <c r="E83" s="524" t="s">
        <v>46</v>
      </c>
      <c r="F83" s="524" t="s">
        <v>46</v>
      </c>
    </row>
    <row r="84" spans="1:18" ht="15" customHeight="1">
      <c r="B84" s="523">
        <f>SUM(B71:B83)</f>
        <v>0.08</v>
      </c>
      <c r="C84" s="523">
        <f>SUM(C71:C83)</f>
        <v>0.08</v>
      </c>
      <c r="D84" s="523">
        <f>SUM(D71:D83)</f>
        <v>0.1</v>
      </c>
      <c r="E84" s="523">
        <f>SUM(E71:E83)</f>
        <v>0.14000000000000001</v>
      </c>
      <c r="F84" s="523">
        <f>SUM(F71:F83)</f>
        <v>0.06</v>
      </c>
    </row>
    <row r="86" spans="1:18" ht="15" customHeight="1">
      <c r="A86" s="522" t="s">
        <v>192</v>
      </c>
    </row>
    <row r="88" spans="1:18" ht="15" customHeight="1">
      <c r="A88" s="524" t="s">
        <v>46</v>
      </c>
      <c r="B88" s="524" t="s">
        <v>46</v>
      </c>
      <c r="C88" s="524" t="s">
        <v>46</v>
      </c>
      <c r="D88" s="524" t="s">
        <v>46</v>
      </c>
      <c r="E88" s="524" t="s">
        <v>46</v>
      </c>
      <c r="F88" s="524" t="s">
        <v>46</v>
      </c>
      <c r="G88" s="524" t="s">
        <v>46</v>
      </c>
      <c r="H88" s="524" t="s">
        <v>46</v>
      </c>
      <c r="I88" s="524" t="s">
        <v>46</v>
      </c>
      <c r="J88" s="524" t="s">
        <v>46</v>
      </c>
      <c r="K88" s="524" t="s">
        <v>46</v>
      </c>
      <c r="L88" s="524" t="s">
        <v>46</v>
      </c>
      <c r="M88" s="524" t="s">
        <v>46</v>
      </c>
      <c r="N88" s="524" t="s">
        <v>46</v>
      </c>
      <c r="O88" s="524" t="s">
        <v>46</v>
      </c>
      <c r="P88" s="524" t="s">
        <v>46</v>
      </c>
      <c r="Q88" s="524" t="s">
        <v>46</v>
      </c>
      <c r="R88" s="524" t="s">
        <v>46</v>
      </c>
    </row>
    <row r="89" spans="1:18" ht="15" customHeight="1">
      <c r="B89" s="522" t="s">
        <v>606</v>
      </c>
      <c r="C89" s="522" t="s">
        <v>607</v>
      </c>
      <c r="D89" s="522" t="s">
        <v>608</v>
      </c>
      <c r="E89" s="522" t="s">
        <v>609</v>
      </c>
      <c r="F89" s="522" t="s">
        <v>610</v>
      </c>
      <c r="G89" s="522" t="s">
        <v>611</v>
      </c>
      <c r="H89" s="522" t="s">
        <v>612</v>
      </c>
      <c r="I89" s="522" t="s">
        <v>613</v>
      </c>
      <c r="J89" s="522" t="s">
        <v>614</v>
      </c>
      <c r="K89" s="522" t="s">
        <v>615</v>
      </c>
      <c r="L89" s="522" t="s">
        <v>616</v>
      </c>
      <c r="M89" s="522" t="s">
        <v>617</v>
      </c>
      <c r="N89" s="522" t="s">
        <v>692</v>
      </c>
      <c r="O89" s="522" t="s">
        <v>693</v>
      </c>
      <c r="P89" s="522" t="s">
        <v>694</v>
      </c>
      <c r="Q89" s="522" t="s">
        <v>186</v>
      </c>
      <c r="R89" s="522" t="s">
        <v>187</v>
      </c>
    </row>
    <row r="90" spans="1:18" ht="15" customHeight="1">
      <c r="A90" s="524" t="s">
        <v>605</v>
      </c>
      <c r="B90" s="524" t="s">
        <v>605</v>
      </c>
      <c r="C90" s="524" t="s">
        <v>605</v>
      </c>
      <c r="D90" s="524" t="s">
        <v>605</v>
      </c>
      <c r="E90" s="524" t="s">
        <v>605</v>
      </c>
      <c r="F90" s="524" t="s">
        <v>605</v>
      </c>
      <c r="G90" s="524" t="s">
        <v>605</v>
      </c>
      <c r="H90" s="524" t="s">
        <v>605</v>
      </c>
      <c r="I90" s="524" t="s">
        <v>605</v>
      </c>
      <c r="J90" s="524" t="s">
        <v>605</v>
      </c>
      <c r="K90" s="524" t="s">
        <v>605</v>
      </c>
      <c r="L90" s="524" t="s">
        <v>605</v>
      </c>
      <c r="M90" s="524" t="s">
        <v>605</v>
      </c>
      <c r="N90" s="524" t="s">
        <v>605</v>
      </c>
      <c r="O90" s="524" t="s">
        <v>605</v>
      </c>
      <c r="P90" s="524" t="s">
        <v>605</v>
      </c>
      <c r="Q90" s="524" t="s">
        <v>605</v>
      </c>
      <c r="R90" s="524" t="s">
        <v>605</v>
      </c>
    </row>
    <row r="91" spans="1:18" ht="15" customHeight="1">
      <c r="A91" s="523" t="str">
        <f>A10</f>
        <v>CAMISETAS</v>
      </c>
    </row>
    <row r="92" spans="1:18" ht="15" customHeight="1">
      <c r="A92" s="533" t="s">
        <v>193</v>
      </c>
      <c r="B92" s="523">
        <f>B$29*'datos de entrada'!$C$14</f>
        <v>2187000</v>
      </c>
      <c r="C92" s="523">
        <f>C$29*'datos de entrada'!$C$14</f>
        <v>2551500</v>
      </c>
      <c r="D92" s="523">
        <f>D$29*'datos de entrada'!$C$14</f>
        <v>2551500</v>
      </c>
      <c r="E92" s="523">
        <f>E$29*'datos de entrada'!$C$14</f>
        <v>2551500</v>
      </c>
      <c r="F92" s="523">
        <f>F$29*'datos de entrada'!$C$14</f>
        <v>3645000</v>
      </c>
      <c r="G92" s="523">
        <f>G$29*'datos de entrada'!$C$14</f>
        <v>3280500</v>
      </c>
      <c r="H92" s="523">
        <f>H$29*'datos de entrada'!$C$14</f>
        <v>2916000</v>
      </c>
      <c r="I92" s="523">
        <f>I$29*'datos de entrada'!$C$14</f>
        <v>2916000</v>
      </c>
      <c r="J92" s="523">
        <f>J$29*'datos de entrada'!$C$14</f>
        <v>2916000</v>
      </c>
      <c r="K92" s="523">
        <f>K$29*'datos de entrada'!$C$14</f>
        <v>3645000</v>
      </c>
      <c r="L92" s="523">
        <f>L$29*'datos de entrada'!$C$14</f>
        <v>5103000</v>
      </c>
      <c r="M92" s="523">
        <f>M$29*'datos de entrada'!$C$14</f>
        <v>2187000</v>
      </c>
      <c r="N92" s="523">
        <f t="shared" ref="N92:N97" si="9">SUM(B92:M92)</f>
        <v>36450000</v>
      </c>
      <c r="O92" s="523">
        <f>C$50*'datos de entrada'!$C14</f>
        <v>41417433</v>
      </c>
      <c r="P92" s="523">
        <f>D$50*'datos de entrada'!$C14</f>
        <v>48446104.590000004</v>
      </c>
      <c r="Q92" s="523">
        <f>E$50*'datos de entrada'!$C14</f>
        <v>49899487.727700002</v>
      </c>
      <c r="R92" s="523">
        <f>F$50*'datos de entrada'!$C14</f>
        <v>51396472.359531</v>
      </c>
    </row>
    <row r="93" spans="1:18" ht="15" customHeight="1">
      <c r="A93" s="533" t="s">
        <v>194</v>
      </c>
      <c r="C93" s="523">
        <f>B29*'datos de entrada'!$D$14</f>
        <v>0</v>
      </c>
      <c r="D93" s="523">
        <f>C29*'datos de entrada'!$D$14</f>
        <v>0</v>
      </c>
      <c r="E93" s="523">
        <f>D29*'datos de entrada'!$D$14</f>
        <v>0</v>
      </c>
      <c r="F93" s="523">
        <f>E29*'datos de entrada'!$D$14</f>
        <v>0</v>
      </c>
      <c r="G93" s="523">
        <f>F29*'datos de entrada'!$D$14</f>
        <v>0</v>
      </c>
      <c r="H93" s="523">
        <f>G29*'datos de entrada'!$D$14</f>
        <v>0</v>
      </c>
      <c r="I93" s="523">
        <f>H29*'datos de entrada'!$D$14</f>
        <v>0</v>
      </c>
      <c r="J93" s="523">
        <f>I29*'datos de entrada'!$D$14</f>
        <v>0</v>
      </c>
      <c r="K93" s="523">
        <f>J29*'datos de entrada'!$D$14</f>
        <v>0</v>
      </c>
      <c r="L93" s="523">
        <f>K29*'datos de entrada'!$D$14</f>
        <v>0</v>
      </c>
      <c r="M93" s="523">
        <f>L29*'datos de entrada'!$D$14</f>
        <v>0</v>
      </c>
      <c r="N93" s="523">
        <f t="shared" si="9"/>
        <v>0</v>
      </c>
      <c r="O93" s="523">
        <f>C$50*'datos de entrada'!D14*(1-F71)+B241</f>
        <v>0</v>
      </c>
      <c r="P93" s="523">
        <f>+'datos de entrada'!$D14*(D$50+($F$71)*(C$50-D$50))</f>
        <v>0</v>
      </c>
      <c r="Q93" s="523">
        <f>+'datos de entrada'!$D14*(E$50+($F$71)*(D$50-E$50))</f>
        <v>0</v>
      </c>
      <c r="R93" s="523">
        <f>+'datos de entrada'!$D14*(F$50+($F$71)*(E$50-F$50))</f>
        <v>0</v>
      </c>
    </row>
    <row r="94" spans="1:18" ht="15" customHeight="1">
      <c r="A94" s="533" t="s">
        <v>195</v>
      </c>
      <c r="D94" s="523">
        <f>B29*'datos de entrada'!$E$14</f>
        <v>0</v>
      </c>
      <c r="E94" s="523">
        <f>C29*'datos de entrada'!$E$14</f>
        <v>0</v>
      </c>
      <c r="F94" s="523">
        <f>D29*'datos de entrada'!$E$14</f>
        <v>0</v>
      </c>
      <c r="G94" s="523">
        <f>E29*'datos de entrada'!$E$14</f>
        <v>0</v>
      </c>
      <c r="H94" s="523">
        <f>F29*'datos de entrada'!$E$14</f>
        <v>0</v>
      </c>
      <c r="I94" s="523">
        <f>G29*'datos de entrada'!$E$14</f>
        <v>0</v>
      </c>
      <c r="J94" s="523">
        <f>H29*'datos de entrada'!$E$14</f>
        <v>0</v>
      </c>
      <c r="K94" s="523">
        <f>I29*'datos de entrada'!$E$14</f>
        <v>0</v>
      </c>
      <c r="L94" s="523">
        <f>J29*'datos de entrada'!$E$14</f>
        <v>0</v>
      </c>
      <c r="M94" s="523">
        <f>K29*'datos de entrada'!$E$14</f>
        <v>0</v>
      </c>
      <c r="N94" s="523">
        <f t="shared" si="9"/>
        <v>0</v>
      </c>
      <c r="O94" s="523">
        <f>C$50*'datos de entrada'!E14*(1-(F71+E71))+B242</f>
        <v>0</v>
      </c>
      <c r="P94" s="523">
        <f>+'datos de entrada'!$E14*(D$50+($F$71+$E$71)*(C$50-D$50))</f>
        <v>0</v>
      </c>
      <c r="Q94" s="523">
        <f>+'datos de entrada'!$E14*(E$50+($F$71+$E$71)*(D$50-E$50))</f>
        <v>0</v>
      </c>
      <c r="R94" s="523">
        <f>+'datos de entrada'!$E14*(F$50+($F$71+$E$71)*(E$50-F$50))</f>
        <v>0</v>
      </c>
    </row>
    <row r="95" spans="1:18" ht="15" customHeight="1">
      <c r="A95" s="533" t="s">
        <v>196</v>
      </c>
      <c r="E95" s="523">
        <f>B29*'datos de entrada'!$F$14</f>
        <v>17496000</v>
      </c>
      <c r="F95" s="523">
        <f>C29*'datos de entrada'!$F$14</f>
        <v>20412000</v>
      </c>
      <c r="G95" s="523">
        <f>D29*'datos de entrada'!$F$14</f>
        <v>20412000</v>
      </c>
      <c r="H95" s="523">
        <f>E29*'datos de entrada'!$F$14</f>
        <v>20412000</v>
      </c>
      <c r="I95" s="523">
        <f>F29*'datos de entrada'!$F$14</f>
        <v>29160000</v>
      </c>
      <c r="J95" s="523">
        <f>G29*'datos de entrada'!$F$14</f>
        <v>26244000</v>
      </c>
      <c r="K95" s="523">
        <f>H29*'datos de entrada'!$F$14</f>
        <v>23328000</v>
      </c>
      <c r="L95" s="523">
        <f>I29*'datos de entrada'!$F$14</f>
        <v>23328000</v>
      </c>
      <c r="M95" s="523">
        <f>J29*'datos de entrada'!$F$14</f>
        <v>23328000</v>
      </c>
      <c r="N95" s="523">
        <f t="shared" si="9"/>
        <v>204120000</v>
      </c>
      <c r="O95" s="523">
        <f>C$50*'datos de entrada'!F14*(1-(F71+E71+D71))+B243</f>
        <v>319417624.79999995</v>
      </c>
      <c r="P95" s="523">
        <f>+'datos de entrada'!$F14*(D$50+($F$71+$E$71+$D$71)*(C$50-D$50))</f>
        <v>370700024.90400004</v>
      </c>
      <c r="Q95" s="523">
        <f>+'datos de entrada'!$F14*(E$50+($F$71+$E$71+$D$71)*(D$50-E$50))</f>
        <v>395707782.29112005</v>
      </c>
      <c r="R95" s="523">
        <f>+'datos de entrada'!$F14*(F$50+($F$71+$E$71+$D$71)*(E$50-F$50))</f>
        <v>407579015.7598536</v>
      </c>
    </row>
    <row r="96" spans="1:18" ht="15" customHeight="1">
      <c r="A96" s="533" t="s">
        <v>197</v>
      </c>
      <c r="F96" s="523">
        <f>B29*'datos de entrada'!$G$14</f>
        <v>2187000</v>
      </c>
      <c r="G96" s="523">
        <f>C29*'datos de entrada'!$G$14</f>
        <v>2551500</v>
      </c>
      <c r="H96" s="523">
        <f>D29*'datos de entrada'!$G$14</f>
        <v>2551500</v>
      </c>
      <c r="I96" s="523">
        <f>E29*'datos de entrada'!$G$14</f>
        <v>2551500</v>
      </c>
      <c r="J96" s="523">
        <f>F29*'datos de entrada'!$G$14</f>
        <v>3645000</v>
      </c>
      <c r="K96" s="523">
        <f>G29*'datos de entrada'!$G$14</f>
        <v>3280500</v>
      </c>
      <c r="L96" s="523">
        <f>H29*'datos de entrada'!$G$14</f>
        <v>2916000</v>
      </c>
      <c r="M96" s="523">
        <f>I29*'datos de entrada'!$G$14</f>
        <v>2916000</v>
      </c>
      <c r="N96" s="523">
        <f t="shared" si="9"/>
        <v>22599000</v>
      </c>
      <c r="O96" s="523">
        <f>C$50*'datos de entrada'!G14*(1-(F71+E71+D71+C71))+B244</f>
        <v>39529808.459999993</v>
      </c>
      <c r="P96" s="523">
        <f>+'datos de entrada'!$G14*(D$50+($F$71+$E$71+$D$71+$C$71)*(C$50-D$50))</f>
        <v>45775209.385800004</v>
      </c>
      <c r="Q96" s="523">
        <f>+'datos de entrada'!$G14*(E$50+($F$71+$E$71+$D$71+$C$71)*(D$50-E$50))</f>
        <v>49347202.135374002</v>
      </c>
      <c r="R96" s="523">
        <f>+'datos de entrada'!$G14*(F$50+($F$71+$E$71+$D$71+$C$71)*(E$50-F$50))</f>
        <v>50827618.199435219</v>
      </c>
    </row>
    <row r="97" spans="1:18" ht="15" customHeight="1">
      <c r="A97" s="533" t="s">
        <v>198</v>
      </c>
      <c r="G97" s="523">
        <f>B29*'datos de entrada'!$H$14</f>
        <v>0</v>
      </c>
      <c r="H97" s="523">
        <f>C29*'datos de entrada'!$H$14</f>
        <v>0</v>
      </c>
      <c r="I97" s="523">
        <f>D29*'datos de entrada'!$H$14</f>
        <v>0</v>
      </c>
      <c r="J97" s="523">
        <f>E29*'datos de entrada'!$H$14</f>
        <v>0</v>
      </c>
      <c r="K97" s="523">
        <f>F29*'datos de entrada'!$H$14</f>
        <v>0</v>
      </c>
      <c r="L97" s="523">
        <f>G29*'datos de entrada'!$H$14</f>
        <v>0</v>
      </c>
      <c r="M97" s="523">
        <f>H29*'datos de entrada'!$H$14</f>
        <v>0</v>
      </c>
      <c r="N97" s="523">
        <f t="shared" si="9"/>
        <v>0</v>
      </c>
      <c r="O97" s="523">
        <f>C$50*'datos de entrada'!H14*(1-(B71+C71+D71+E71+F71))+B245</f>
        <v>0</v>
      </c>
      <c r="P97" s="523">
        <f>+'datos de entrada'!$H14*(D$50+($F$71+$E$71+$D$71+$C$71+$B$71)*(C$50-D$50))</f>
        <v>0</v>
      </c>
      <c r="Q97" s="523">
        <f>+'datos de entrada'!$H14*(E$50+($F$71+$E$71+$D$71+$C$71+$B$71)*(D$50-E$50))</f>
        <v>0</v>
      </c>
      <c r="R97" s="523">
        <f>+'datos de entrada'!$H14*(F$50+($F$71+$E$71+$D$71+$C$71+$B$71)*(E$50-F$50))</f>
        <v>0</v>
      </c>
    </row>
    <row r="99" spans="1:18" ht="15" customHeight="1">
      <c r="A99" s="523" t="str">
        <f>A11</f>
        <v/>
      </c>
    </row>
    <row r="100" spans="1:18" ht="15" customHeight="1">
      <c r="A100" s="533" t="s">
        <v>193</v>
      </c>
      <c r="B100" s="523">
        <f>B30*'datos de entrada'!$C$15</f>
        <v>0</v>
      </c>
      <c r="C100" s="523">
        <f>C30*'datos de entrada'!$C$15</f>
        <v>0</v>
      </c>
      <c r="D100" s="523">
        <f>D30*'datos de entrada'!$C$15</f>
        <v>0</v>
      </c>
      <c r="E100" s="523">
        <f>E30*'datos de entrada'!$C$15</f>
        <v>0</v>
      </c>
      <c r="F100" s="523">
        <f>F30*'datos de entrada'!$C$15</f>
        <v>0</v>
      </c>
      <c r="G100" s="523">
        <f>G30*'datos de entrada'!$C$15</f>
        <v>0</v>
      </c>
      <c r="H100" s="523">
        <f>H30*'datos de entrada'!$C$15</f>
        <v>0</v>
      </c>
      <c r="I100" s="523">
        <f>I30*'datos de entrada'!$C$15</f>
        <v>0</v>
      </c>
      <c r="J100" s="523">
        <f>J30*'datos de entrada'!$C$15</f>
        <v>0</v>
      </c>
      <c r="K100" s="523">
        <f>K30*'datos de entrada'!$C$15</f>
        <v>0</v>
      </c>
      <c r="L100" s="523">
        <f>L30*'datos de entrada'!$C$15</f>
        <v>0</v>
      </c>
      <c r="M100" s="523">
        <f>M30*'datos de entrada'!$C$15</f>
        <v>0</v>
      </c>
      <c r="N100" s="523">
        <f t="shared" ref="N100:N105" si="10">SUM(B100:M100)</f>
        <v>0</v>
      </c>
      <c r="O100" s="523">
        <f>C$51*'datos de entrada'!$C15</f>
        <v>0</v>
      </c>
      <c r="P100" s="523">
        <f>D$51*'datos de entrada'!$C15</f>
        <v>0</v>
      </c>
      <c r="Q100" s="523">
        <f>E$51*'datos de entrada'!$C15</f>
        <v>0</v>
      </c>
      <c r="R100" s="523">
        <f>F$51*'datos de entrada'!$C15</f>
        <v>0</v>
      </c>
    </row>
    <row r="101" spans="1:18" ht="15" customHeight="1">
      <c r="A101" s="533" t="s">
        <v>194</v>
      </c>
      <c r="C101" s="523">
        <f>B30*'datos de entrada'!$D$15</f>
        <v>0</v>
      </c>
      <c r="D101" s="523">
        <f>C30*'datos de entrada'!$D$15</f>
        <v>0</v>
      </c>
      <c r="E101" s="523">
        <f>D30*'datos de entrada'!$D$15</f>
        <v>0</v>
      </c>
      <c r="F101" s="523">
        <f>E30*'datos de entrada'!$D$15</f>
        <v>0</v>
      </c>
      <c r="G101" s="523">
        <f>F30*'datos de entrada'!$D$15</f>
        <v>0</v>
      </c>
      <c r="H101" s="523">
        <f>G30*'datos de entrada'!$D$15</f>
        <v>0</v>
      </c>
      <c r="I101" s="523">
        <f>H30*'datos de entrada'!$D$15</f>
        <v>0</v>
      </c>
      <c r="J101" s="523">
        <f>I30*'datos de entrada'!$D$15</f>
        <v>0</v>
      </c>
      <c r="K101" s="523">
        <f>J30*'datos de entrada'!$D$15</f>
        <v>0</v>
      </c>
      <c r="L101" s="523">
        <f>K30*'datos de entrada'!$D$15</f>
        <v>0</v>
      </c>
      <c r="M101" s="523">
        <f>L30*'datos de entrada'!$D$15</f>
        <v>0</v>
      </c>
      <c r="N101" s="523">
        <f t="shared" si="10"/>
        <v>0</v>
      </c>
      <c r="O101" s="523">
        <f>C$51*'datos de entrada'!D15*(1-F72)+C241</f>
        <v>0</v>
      </c>
      <c r="P101" s="523">
        <f>+'datos de entrada'!$D15*(D$51+($F$72)*(C$51-D$51))</f>
        <v>0</v>
      </c>
      <c r="Q101" s="523">
        <f>+'datos de entrada'!$D15*(E$51+($F$72)*(D$51-E$51))</f>
        <v>0</v>
      </c>
      <c r="R101" s="523">
        <f>+'datos de entrada'!$D15*(F$51+($F$72)*(E$51-F$51))</f>
        <v>0</v>
      </c>
    </row>
    <row r="102" spans="1:18" ht="15" customHeight="1">
      <c r="A102" s="533" t="s">
        <v>195</v>
      </c>
      <c r="D102" s="523">
        <f>B30*'datos de entrada'!$E$15</f>
        <v>0</v>
      </c>
      <c r="E102" s="523">
        <f>C30*'datos de entrada'!$E$15</f>
        <v>0</v>
      </c>
      <c r="F102" s="523">
        <f>D30*'datos de entrada'!$E$15</f>
        <v>0</v>
      </c>
      <c r="G102" s="523">
        <f>E30*'datos de entrada'!$E$15</f>
        <v>0</v>
      </c>
      <c r="H102" s="523">
        <f>F30*'datos de entrada'!$E$15</f>
        <v>0</v>
      </c>
      <c r="I102" s="523">
        <f>G30*'datos de entrada'!$E$15</f>
        <v>0</v>
      </c>
      <c r="J102" s="523">
        <f>H30*'datos de entrada'!$E$15</f>
        <v>0</v>
      </c>
      <c r="K102" s="523">
        <f>I30*'datos de entrada'!$E$15</f>
        <v>0</v>
      </c>
      <c r="L102" s="523">
        <f>J30*'datos de entrada'!$E$15</f>
        <v>0</v>
      </c>
      <c r="M102" s="523">
        <f>K30*'datos de entrada'!$E$15</f>
        <v>0</v>
      </c>
      <c r="N102" s="523">
        <f t="shared" si="10"/>
        <v>0</v>
      </c>
      <c r="O102" s="523">
        <f>C$51*'datos de entrada'!E15*(1-(F72+E72))+C242</f>
        <v>0</v>
      </c>
      <c r="P102" s="523">
        <f>+'datos de entrada'!$E15*(D$51+($F$72+$E$72)*(C$51-D$51))</f>
        <v>0</v>
      </c>
      <c r="Q102" s="523">
        <f>+'datos de entrada'!$E15*(E$51+($F$72+$E$72)*(D$51-E$51))</f>
        <v>0</v>
      </c>
      <c r="R102" s="523">
        <f>+'datos de entrada'!$E15*(F$51+($F$72+$E$72)*(E$51-F$51))</f>
        <v>0</v>
      </c>
    </row>
    <row r="103" spans="1:18" ht="15" customHeight="1">
      <c r="A103" s="533" t="s">
        <v>196</v>
      </c>
      <c r="E103" s="523">
        <f>B30*'datos de entrada'!$F$15</f>
        <v>0</v>
      </c>
      <c r="F103" s="523">
        <f>C30*'datos de entrada'!$F$15</f>
        <v>0</v>
      </c>
      <c r="G103" s="523">
        <f>D30*'datos de entrada'!$F$15</f>
        <v>0</v>
      </c>
      <c r="H103" s="523">
        <f>E30*'datos de entrada'!$F$15</f>
        <v>0</v>
      </c>
      <c r="I103" s="523">
        <f>F30*'datos de entrada'!$F$15</f>
        <v>0</v>
      </c>
      <c r="J103" s="523">
        <f>G30*'datos de entrada'!$F$15</f>
        <v>0</v>
      </c>
      <c r="K103" s="523">
        <f>H30*'datos de entrada'!$F$15</f>
        <v>0</v>
      </c>
      <c r="L103" s="523">
        <f>I30*'datos de entrada'!$F$15</f>
        <v>0</v>
      </c>
      <c r="M103" s="523">
        <f>J30*'datos de entrada'!$F$15</f>
        <v>0</v>
      </c>
      <c r="N103" s="523">
        <f t="shared" si="10"/>
        <v>0</v>
      </c>
      <c r="O103" s="523">
        <f>C$51*'datos de entrada'!F15*(1-(F72+E72+D72))+C243</f>
        <v>0</v>
      </c>
      <c r="P103" s="523">
        <f>+'datos de entrada'!$F15*(D$51+($F$72+$E$72+$D$72)*(C$51-D$51))</f>
        <v>0</v>
      </c>
      <c r="Q103" s="523">
        <f>+'datos de entrada'!$F15*(E$51+($F$72+$E$72+$D$72)*(D$51-E$51))</f>
        <v>0</v>
      </c>
      <c r="R103" s="523">
        <f>+'datos de entrada'!$F15*(F$51+($F$72+$E$72+$D$72)*(E$51-F$51))</f>
        <v>0</v>
      </c>
    </row>
    <row r="104" spans="1:18" ht="15" customHeight="1">
      <c r="A104" s="533" t="s">
        <v>197</v>
      </c>
      <c r="F104" s="523">
        <f>B30*'datos de entrada'!$G$15</f>
        <v>0</v>
      </c>
      <c r="G104" s="523">
        <f>C30*'datos de entrada'!$G$15</f>
        <v>0</v>
      </c>
      <c r="H104" s="523">
        <f>D30*'datos de entrada'!$G$15</f>
        <v>0</v>
      </c>
      <c r="I104" s="523">
        <f>E30*'datos de entrada'!$G$15</f>
        <v>0</v>
      </c>
      <c r="J104" s="523">
        <f>F30*'datos de entrada'!$G$15</f>
        <v>0</v>
      </c>
      <c r="K104" s="523">
        <f>G30*'datos de entrada'!$G$15</f>
        <v>0</v>
      </c>
      <c r="L104" s="523">
        <f>H30*'datos de entrada'!$G$15</f>
        <v>0</v>
      </c>
      <c r="M104" s="523">
        <f>I30*'datos de entrada'!$G$15</f>
        <v>0</v>
      </c>
      <c r="N104" s="523">
        <f t="shared" si="10"/>
        <v>0</v>
      </c>
      <c r="O104" s="523">
        <f>C$51*'datos de entrada'!G15*(1-(F72+E72+D72+C72))+C244</f>
        <v>0</v>
      </c>
      <c r="P104" s="523">
        <f>+'datos de entrada'!$G15*(D$51+($F$72+$D$72+$E$72+$C$72)*(C$51-D$51))</f>
        <v>0</v>
      </c>
      <c r="Q104" s="523">
        <f>+'datos de entrada'!$G15*(E$51+($F$72+$D$72+$E$72+$C$72)*(D$51-E$51))</f>
        <v>0</v>
      </c>
      <c r="R104" s="523">
        <f>+'datos de entrada'!$G15*(F$51+($F$72+$D$72+$E$72+$C$72)*(E$51-F$51))</f>
        <v>0</v>
      </c>
    </row>
    <row r="105" spans="1:18" ht="15" customHeight="1">
      <c r="A105" s="533" t="s">
        <v>198</v>
      </c>
      <c r="G105" s="523">
        <f>B30*'datos de entrada'!$H$15</f>
        <v>0</v>
      </c>
      <c r="H105" s="523">
        <f>C30*'datos de entrada'!$H$15</f>
        <v>0</v>
      </c>
      <c r="I105" s="523">
        <f>D30*'datos de entrada'!$H$15</f>
        <v>0</v>
      </c>
      <c r="J105" s="523">
        <f>E30*'datos de entrada'!$H$15</f>
        <v>0</v>
      </c>
      <c r="K105" s="523">
        <f>F30*'datos de entrada'!$H$15</f>
        <v>0</v>
      </c>
      <c r="L105" s="523">
        <f>G30*'datos de entrada'!$H$15</f>
        <v>0</v>
      </c>
      <c r="M105" s="523">
        <f>H30*'datos de entrada'!$H$15</f>
        <v>0</v>
      </c>
      <c r="N105" s="523">
        <f t="shared" si="10"/>
        <v>0</v>
      </c>
      <c r="O105" s="523">
        <f>C$51*'datos de entrada'!H15*(1-(F72+E72+D72+C72+B72))+C245</f>
        <v>0</v>
      </c>
      <c r="P105" s="523">
        <f>+'datos de entrada'!$H15*(D$51+($F$72+$E$72+$D$72+$C$72+$B$72)*(C$51-D$51))</f>
        <v>0</v>
      </c>
      <c r="Q105" s="523">
        <f>+'datos de entrada'!$H15*(E$51+($F$72+$E$72+$D$72+$C$72+$B$72)*(D$51-E$51))</f>
        <v>0</v>
      </c>
      <c r="R105" s="523">
        <f>+'datos de entrada'!$H15*(F$51+($F$72+$E$72+$D$72+$C$72+$B$72)*(E$51-F$51))</f>
        <v>0</v>
      </c>
    </row>
    <row r="107" spans="1:18" ht="15" customHeight="1">
      <c r="A107" s="523" t="str">
        <f>A12</f>
        <v/>
      </c>
    </row>
    <row r="108" spans="1:18" ht="15" customHeight="1">
      <c r="A108" s="533" t="s">
        <v>193</v>
      </c>
      <c r="B108" s="523">
        <f>B31*'datos de entrada'!$C$16</f>
        <v>0</v>
      </c>
      <c r="C108" s="523">
        <f>C31*'datos de entrada'!$C$16</f>
        <v>0</v>
      </c>
      <c r="D108" s="523">
        <f>D31*'datos de entrada'!$C$16</f>
        <v>0</v>
      </c>
      <c r="E108" s="523">
        <f>E31*'datos de entrada'!$C$16</f>
        <v>0</v>
      </c>
      <c r="F108" s="523">
        <f>F31*'datos de entrada'!$C$16</f>
        <v>0</v>
      </c>
      <c r="G108" s="523">
        <f>G31*'datos de entrada'!$C$16</f>
        <v>0</v>
      </c>
      <c r="H108" s="523">
        <f>H31*'datos de entrada'!$C$16</f>
        <v>0</v>
      </c>
      <c r="I108" s="523">
        <f>I31*'datos de entrada'!$C$16</f>
        <v>0</v>
      </c>
      <c r="J108" s="523">
        <f>J31*'datos de entrada'!$C$16</f>
        <v>0</v>
      </c>
      <c r="K108" s="523">
        <f>K31*'datos de entrada'!$C$16</f>
        <v>0</v>
      </c>
      <c r="L108" s="523">
        <f>L31*'datos de entrada'!$C$16</f>
        <v>0</v>
      </c>
      <c r="M108" s="523">
        <f>M31*'datos de entrada'!$C$16</f>
        <v>0</v>
      </c>
      <c r="N108" s="523">
        <f t="shared" ref="N108:N113" si="11">SUM(B108:M108)</f>
        <v>0</v>
      </c>
      <c r="O108" s="523">
        <f>C$52*'datos de entrada'!$C16</f>
        <v>0</v>
      </c>
      <c r="P108" s="523">
        <f>D$52*'datos de entrada'!$C16</f>
        <v>0</v>
      </c>
      <c r="Q108" s="523">
        <f>E$52*'datos de entrada'!$C16</f>
        <v>0</v>
      </c>
      <c r="R108" s="523">
        <f>F$52*'datos de entrada'!$C16</f>
        <v>0</v>
      </c>
    </row>
    <row r="109" spans="1:18" ht="15" customHeight="1">
      <c r="A109" s="533" t="s">
        <v>194</v>
      </c>
      <c r="C109" s="523">
        <f>B31*'datos de entrada'!$D$16</f>
        <v>0</v>
      </c>
      <c r="D109" s="523">
        <f>C31*'datos de entrada'!$D$16</f>
        <v>0</v>
      </c>
      <c r="E109" s="523">
        <f>D31*'datos de entrada'!$D$16</f>
        <v>0</v>
      </c>
      <c r="F109" s="523">
        <f>E31*'datos de entrada'!$D$16</f>
        <v>0</v>
      </c>
      <c r="G109" s="523">
        <f>F31*'datos de entrada'!$D$16</f>
        <v>0</v>
      </c>
      <c r="H109" s="523">
        <f>G31*'datos de entrada'!$D$16</f>
        <v>0</v>
      </c>
      <c r="I109" s="523">
        <f>H31*'datos de entrada'!$D$16</f>
        <v>0</v>
      </c>
      <c r="J109" s="523">
        <f>I31*'datos de entrada'!$D$16</f>
        <v>0</v>
      </c>
      <c r="K109" s="523">
        <f>J31*'datos de entrada'!$D$16</f>
        <v>0</v>
      </c>
      <c r="L109" s="523">
        <f>K31*'datos de entrada'!$D$16</f>
        <v>0</v>
      </c>
      <c r="M109" s="523">
        <f>L31*'datos de entrada'!$D$16</f>
        <v>0</v>
      </c>
      <c r="N109" s="523">
        <f t="shared" si="11"/>
        <v>0</v>
      </c>
      <c r="O109" s="523">
        <f>C$52*'datos de entrada'!D16*(1-F73)+D241</f>
        <v>0</v>
      </c>
      <c r="P109" s="523">
        <f>+'datos de entrada'!$D16*(D$52+($F$73)*(C$52-D$52))</f>
        <v>0</v>
      </c>
      <c r="Q109" s="523">
        <f>+'datos de entrada'!$D16*(E$52+($F$73)*(D$52-E$52))</f>
        <v>0</v>
      </c>
      <c r="R109" s="523">
        <f>+'datos de entrada'!$D16*(F$52+($F$73)*(E$52-F$52))</f>
        <v>0</v>
      </c>
    </row>
    <row r="110" spans="1:18" ht="15" customHeight="1">
      <c r="A110" s="533" t="s">
        <v>195</v>
      </c>
      <c r="D110" s="523">
        <f>B31*'datos de entrada'!$E$16</f>
        <v>0</v>
      </c>
      <c r="E110" s="523">
        <f>C31*'datos de entrada'!$E$16</f>
        <v>0</v>
      </c>
      <c r="F110" s="523">
        <f>D31*'datos de entrada'!$E$16</f>
        <v>0</v>
      </c>
      <c r="G110" s="523">
        <f>E31*'datos de entrada'!$E$16</f>
        <v>0</v>
      </c>
      <c r="H110" s="523">
        <f>F31*'datos de entrada'!$E$16</f>
        <v>0</v>
      </c>
      <c r="I110" s="523">
        <f>G31*'datos de entrada'!$E$16</f>
        <v>0</v>
      </c>
      <c r="J110" s="523">
        <f>H31*'datos de entrada'!$E$16</f>
        <v>0</v>
      </c>
      <c r="K110" s="523">
        <f>I31*'datos de entrada'!$E$16</f>
        <v>0</v>
      </c>
      <c r="L110" s="523">
        <f>J31*'datos de entrada'!$E$16</f>
        <v>0</v>
      </c>
      <c r="M110" s="523">
        <f>K31*'datos de entrada'!$E$16</f>
        <v>0</v>
      </c>
      <c r="N110" s="523">
        <f t="shared" si="11"/>
        <v>0</v>
      </c>
      <c r="O110" s="523">
        <f>C$52*'datos de entrada'!E16*(1-(F73+E73))+D242</f>
        <v>0</v>
      </c>
      <c r="P110" s="523">
        <f>+'datos de entrada'!$E16*(D$52+($F$73+$E$73)*(C$52-D$52))</f>
        <v>0</v>
      </c>
      <c r="Q110" s="523">
        <f>+'datos de entrada'!$E16*(E$52+($F$73+$E$73)*(D$52-E$52))</f>
        <v>0</v>
      </c>
      <c r="R110" s="523">
        <f>+'datos de entrada'!$E16*(F$52+($F$73+$E$73)*(E$52-F$52))</f>
        <v>0</v>
      </c>
    </row>
    <row r="111" spans="1:18" ht="15" customHeight="1">
      <c r="A111" s="533" t="s">
        <v>196</v>
      </c>
      <c r="E111" s="523">
        <f>B31*'datos de entrada'!$F$16</f>
        <v>0</v>
      </c>
      <c r="F111" s="523">
        <f>C31*'datos de entrada'!$F$16</f>
        <v>0</v>
      </c>
      <c r="G111" s="523">
        <f>D31*'datos de entrada'!$F$16</f>
        <v>0</v>
      </c>
      <c r="H111" s="523">
        <f>E31*'datos de entrada'!$F$16</f>
        <v>0</v>
      </c>
      <c r="I111" s="523">
        <f>F31*'datos de entrada'!$F$16</f>
        <v>0</v>
      </c>
      <c r="J111" s="523">
        <f>G31*'datos de entrada'!$F$16</f>
        <v>0</v>
      </c>
      <c r="K111" s="523">
        <f>H31*'datos de entrada'!$F$16</f>
        <v>0</v>
      </c>
      <c r="L111" s="523">
        <f>I31*'datos de entrada'!$F$16</f>
        <v>0</v>
      </c>
      <c r="M111" s="523">
        <f>J31*'datos de entrada'!$F$16</f>
        <v>0</v>
      </c>
      <c r="N111" s="523">
        <f t="shared" si="11"/>
        <v>0</v>
      </c>
      <c r="O111" s="523">
        <f>C$52*'datos de entrada'!F16*(1-(F73+E73+D73))+D243</f>
        <v>0</v>
      </c>
      <c r="P111" s="523">
        <f>+'datos de entrada'!$F16*(D$52+($F$73+$E$73+$D$73)*(C$52-D$52))</f>
        <v>0</v>
      </c>
      <c r="Q111" s="523">
        <f>+'datos de entrada'!$F16*(E$52+($F$73+$E$73+$D$73)*(D$52-E$52))</f>
        <v>0</v>
      </c>
      <c r="R111" s="523">
        <f>+'datos de entrada'!$F16*(F$52+($F$73+$E$73+$D$73)*(E$52-F$52))</f>
        <v>0</v>
      </c>
    </row>
    <row r="112" spans="1:18" ht="15" customHeight="1">
      <c r="A112" s="533" t="s">
        <v>197</v>
      </c>
      <c r="F112" s="523">
        <f>B31*'datos de entrada'!$G$16</f>
        <v>0</v>
      </c>
      <c r="G112" s="523">
        <f>C31*'datos de entrada'!$G$16</f>
        <v>0</v>
      </c>
      <c r="H112" s="523">
        <f>D31*'datos de entrada'!$G$16</f>
        <v>0</v>
      </c>
      <c r="I112" s="523">
        <f>E31*'datos de entrada'!$G$16</f>
        <v>0</v>
      </c>
      <c r="J112" s="523">
        <f>F31*'datos de entrada'!$G$16</f>
        <v>0</v>
      </c>
      <c r="K112" s="523">
        <f>G31*'datos de entrada'!$G$16</f>
        <v>0</v>
      </c>
      <c r="L112" s="523">
        <f>H31*'datos de entrada'!$G$16</f>
        <v>0</v>
      </c>
      <c r="M112" s="523">
        <f>I31*'datos de entrada'!$G$16</f>
        <v>0</v>
      </c>
      <c r="N112" s="523">
        <f t="shared" si="11"/>
        <v>0</v>
      </c>
      <c r="O112" s="523">
        <f>C$52*'datos de entrada'!G16*(1-(F73+E73+D73+C73))+D244</f>
        <v>0</v>
      </c>
      <c r="P112" s="523">
        <f>+'datos de entrada'!$G16*(D$52+($F$73+$E$73+$D$73+$C$73)*(C$52-D$52))</f>
        <v>0</v>
      </c>
      <c r="Q112" s="523">
        <f>+'datos de entrada'!$G16*(E$52+($F$73+$E$73+$D$73+$C$73)*(D$52-E$52))</f>
        <v>0</v>
      </c>
      <c r="R112" s="523">
        <f>+'datos de entrada'!$G16*(F$52+($F$73+$E$73+$D$73+$C$73)*(E$52-F$52))</f>
        <v>0</v>
      </c>
    </row>
    <row r="113" spans="1:18" ht="15" customHeight="1">
      <c r="A113" s="533" t="s">
        <v>198</v>
      </c>
      <c r="G113" s="523">
        <f>B31*'datos de entrada'!$H$16</f>
        <v>0</v>
      </c>
      <c r="H113" s="523">
        <f>C31*'datos de entrada'!$H$16</f>
        <v>0</v>
      </c>
      <c r="I113" s="523">
        <f>D31*'datos de entrada'!$H$16</f>
        <v>0</v>
      </c>
      <c r="J113" s="523">
        <f>E31*'datos de entrada'!$H$16</f>
        <v>0</v>
      </c>
      <c r="K113" s="523">
        <f>F31*'datos de entrada'!$H$16</f>
        <v>0</v>
      </c>
      <c r="L113" s="523">
        <f>G31*'datos de entrada'!$H$16</f>
        <v>0</v>
      </c>
      <c r="M113" s="523">
        <f>H31*'datos de entrada'!$H$16</f>
        <v>0</v>
      </c>
      <c r="N113" s="523">
        <f t="shared" si="11"/>
        <v>0</v>
      </c>
      <c r="O113" s="523">
        <f>C$52*'datos de entrada'!H16*(1-(F73+E73+D73+C73+B73))+D245</f>
        <v>0</v>
      </c>
      <c r="P113" s="523">
        <f>+'datos de entrada'!$H16*(D$52+($B$73+$C$73+$D$73+$E$73+$F$73)*(C$52-D$52))</f>
        <v>0</v>
      </c>
      <c r="Q113" s="523">
        <f>+'datos de entrada'!$H16*(E$52+($B$73+$C$73+$D$73+$E$73+$F$73)*(D$52-E$52))</f>
        <v>0</v>
      </c>
      <c r="R113" s="523">
        <f>+'datos de entrada'!$H16*(F$52+($B$73+$C$73+$D$73+$E$73+$F$73)*(E$52-F$52))</f>
        <v>0</v>
      </c>
    </row>
    <row r="115" spans="1:18" ht="15" customHeight="1">
      <c r="A115" s="523" t="str">
        <f>A13</f>
        <v/>
      </c>
    </row>
    <row r="116" spans="1:18" ht="15" customHeight="1">
      <c r="A116" s="533" t="s">
        <v>193</v>
      </c>
      <c r="B116" s="523">
        <f>B32*'datos de entrada'!$C$17</f>
        <v>0</v>
      </c>
      <c r="C116" s="523">
        <f>C32*'datos de entrada'!$C$17</f>
        <v>0</v>
      </c>
      <c r="D116" s="523">
        <f>D32*'datos de entrada'!$C$17</f>
        <v>0</v>
      </c>
      <c r="E116" s="523">
        <f>E32*'datos de entrada'!$C$17</f>
        <v>0</v>
      </c>
      <c r="F116" s="523">
        <f>F32*'datos de entrada'!$C$17</f>
        <v>0</v>
      </c>
      <c r="G116" s="523">
        <f>G32*'datos de entrada'!$C$17</f>
        <v>0</v>
      </c>
      <c r="H116" s="523">
        <f>H32*'datos de entrada'!$C$17</f>
        <v>0</v>
      </c>
      <c r="I116" s="523">
        <f>I32*'datos de entrada'!$C$17</f>
        <v>0</v>
      </c>
      <c r="J116" s="523">
        <f>J32*'datos de entrada'!$C$17</f>
        <v>0</v>
      </c>
      <c r="K116" s="523">
        <f>K32*'datos de entrada'!$C$17</f>
        <v>0</v>
      </c>
      <c r="L116" s="523">
        <f>L32*'datos de entrada'!$C$17</f>
        <v>0</v>
      </c>
      <c r="M116" s="523">
        <f>M32*'datos de entrada'!$C$17</f>
        <v>0</v>
      </c>
      <c r="N116" s="523">
        <f t="shared" ref="N116:N121" si="12">SUM(B116:M116)</f>
        <v>0</v>
      </c>
      <c r="O116" s="523">
        <f>C$53*'datos de entrada'!$C17</f>
        <v>0</v>
      </c>
      <c r="P116" s="523">
        <f>D$53*'datos de entrada'!$C17</f>
        <v>0</v>
      </c>
      <c r="Q116" s="523">
        <f>E$53*'datos de entrada'!$C17</f>
        <v>0</v>
      </c>
      <c r="R116" s="523">
        <f>F$53*'datos de entrada'!$C17</f>
        <v>0</v>
      </c>
    </row>
    <row r="117" spans="1:18" ht="15" customHeight="1">
      <c r="A117" s="533" t="s">
        <v>194</v>
      </c>
      <c r="C117" s="523">
        <f>B32*'datos de entrada'!$D$17</f>
        <v>0</v>
      </c>
      <c r="D117" s="523">
        <f>C32*'datos de entrada'!$D$17</f>
        <v>0</v>
      </c>
      <c r="E117" s="523">
        <f>D32*'datos de entrada'!$D$17</f>
        <v>0</v>
      </c>
      <c r="F117" s="523">
        <f>E32*'datos de entrada'!$D$17</f>
        <v>0</v>
      </c>
      <c r="G117" s="523">
        <f>F32*'datos de entrada'!$D$17</f>
        <v>0</v>
      </c>
      <c r="H117" s="523">
        <f>G32*'datos de entrada'!$D$17</f>
        <v>0</v>
      </c>
      <c r="I117" s="523">
        <f>H32*'datos de entrada'!$D$17</f>
        <v>0</v>
      </c>
      <c r="J117" s="523">
        <f>I32*'datos de entrada'!$D$17</f>
        <v>0</v>
      </c>
      <c r="K117" s="523">
        <f>J32*'datos de entrada'!$D$17</f>
        <v>0</v>
      </c>
      <c r="L117" s="523">
        <f>K32*'datos de entrada'!$D$17</f>
        <v>0</v>
      </c>
      <c r="M117" s="523">
        <f>L32*'datos de entrada'!$D$17</f>
        <v>0</v>
      </c>
      <c r="N117" s="523">
        <f t="shared" si="12"/>
        <v>0</v>
      </c>
      <c r="O117" s="523">
        <f>C$53*'datos de entrada'!D17*(1-F74)+E241</f>
        <v>0</v>
      </c>
      <c r="P117" s="523">
        <f>+'datos de entrada'!$D17*(D$53+($F$74)*(C$53-D$53))</f>
        <v>0</v>
      </c>
      <c r="Q117" s="523">
        <f>+'datos de entrada'!$D17*(E$53+($F$74)*(D$53-E$53))</f>
        <v>0</v>
      </c>
      <c r="R117" s="523">
        <f>+'datos de entrada'!$D17*(F$53+($F$74)*(E$53-F$53))</f>
        <v>0</v>
      </c>
    </row>
    <row r="118" spans="1:18" ht="15" customHeight="1">
      <c r="A118" s="533" t="s">
        <v>195</v>
      </c>
      <c r="D118" s="523">
        <f>B32*'datos de entrada'!$E$17</f>
        <v>0</v>
      </c>
      <c r="E118" s="523">
        <f>C32*'datos de entrada'!$E$17</f>
        <v>0</v>
      </c>
      <c r="F118" s="523">
        <f>D32*'datos de entrada'!$E$17</f>
        <v>0</v>
      </c>
      <c r="G118" s="523">
        <f>E32*'datos de entrada'!$E$17</f>
        <v>0</v>
      </c>
      <c r="H118" s="523">
        <f>F32*'datos de entrada'!$E$17</f>
        <v>0</v>
      </c>
      <c r="I118" s="523">
        <f>G32*'datos de entrada'!$E$17</f>
        <v>0</v>
      </c>
      <c r="J118" s="523">
        <f>H32*'datos de entrada'!$E$17</f>
        <v>0</v>
      </c>
      <c r="K118" s="523">
        <f>I32*'datos de entrada'!$E$17</f>
        <v>0</v>
      </c>
      <c r="L118" s="523">
        <f>J32*'datos de entrada'!$E$17</f>
        <v>0</v>
      </c>
      <c r="M118" s="523">
        <f>K32*'datos de entrada'!$E$17</f>
        <v>0</v>
      </c>
      <c r="N118" s="523">
        <f t="shared" si="12"/>
        <v>0</v>
      </c>
      <c r="O118" s="523">
        <f>C$53*'datos de entrada'!E17*(1-(F74+E74))+E242</f>
        <v>0</v>
      </c>
      <c r="P118" s="523">
        <f>+'datos de entrada'!$E17*(D$53+($F$74+$E$74)*(C$53-D$53))</f>
        <v>0</v>
      </c>
      <c r="Q118" s="523">
        <f>+'datos de entrada'!$E17*(E$53+($F$74+$E$74)*(D$53-E$53))</f>
        <v>0</v>
      </c>
      <c r="R118" s="523">
        <f>+'datos de entrada'!$E17*(F$53+($F$74+$E$74)*(E$53-F$53))</f>
        <v>0</v>
      </c>
    </row>
    <row r="119" spans="1:18" ht="15" customHeight="1">
      <c r="A119" s="533" t="s">
        <v>196</v>
      </c>
      <c r="E119" s="523">
        <f>B32*'datos de entrada'!$F$17</f>
        <v>0</v>
      </c>
      <c r="F119" s="523">
        <f>C32*'datos de entrada'!$F$17</f>
        <v>0</v>
      </c>
      <c r="G119" s="523">
        <f>D32*'datos de entrada'!$F$17</f>
        <v>0</v>
      </c>
      <c r="H119" s="523">
        <f>E32*'datos de entrada'!$F$17</f>
        <v>0</v>
      </c>
      <c r="I119" s="523">
        <f>F32*'datos de entrada'!$F$17</f>
        <v>0</v>
      </c>
      <c r="J119" s="523">
        <f>G32*'datos de entrada'!$F$17</f>
        <v>0</v>
      </c>
      <c r="K119" s="523">
        <f>H32*'datos de entrada'!$F$17</f>
        <v>0</v>
      </c>
      <c r="L119" s="523">
        <f>I32*'datos de entrada'!$F$17</f>
        <v>0</v>
      </c>
      <c r="M119" s="523">
        <f>J32*'datos de entrada'!$F$17</f>
        <v>0</v>
      </c>
      <c r="N119" s="523">
        <f t="shared" si="12"/>
        <v>0</v>
      </c>
      <c r="O119" s="523">
        <f>C$53*'datos de entrada'!F17*(1-(F74+E74+D74))+E243</f>
        <v>0</v>
      </c>
      <c r="P119" s="523">
        <f>+'datos de entrada'!$F17*(D$53+($F$74+$E$74+$D$74)*(C$53-D$53))</f>
        <v>0</v>
      </c>
      <c r="Q119" s="523">
        <f>+'datos de entrada'!$F17*(E$53+($F$74+$E$74+$D$74)*(D$53-E$53))</f>
        <v>0</v>
      </c>
      <c r="R119" s="523">
        <f>+'datos de entrada'!$F17*(F$53+($F$74+$E$74+$D$74)*(E$53-F$53))</f>
        <v>0</v>
      </c>
    </row>
    <row r="120" spans="1:18" ht="15" customHeight="1">
      <c r="A120" s="533" t="s">
        <v>197</v>
      </c>
      <c r="F120" s="523">
        <f>B32*'datos de entrada'!$G$17</f>
        <v>0</v>
      </c>
      <c r="G120" s="523">
        <f>C32*'datos de entrada'!$G$17</f>
        <v>0</v>
      </c>
      <c r="H120" s="523">
        <f>D32*'datos de entrada'!$G$17</f>
        <v>0</v>
      </c>
      <c r="I120" s="523">
        <f>E32*'datos de entrada'!$G$17</f>
        <v>0</v>
      </c>
      <c r="J120" s="523">
        <f>F32*'datos de entrada'!$G$17</f>
        <v>0</v>
      </c>
      <c r="K120" s="523">
        <f>G32*'datos de entrada'!$G$17</f>
        <v>0</v>
      </c>
      <c r="L120" s="523">
        <f>H32*'datos de entrada'!$G$17</f>
        <v>0</v>
      </c>
      <c r="M120" s="523">
        <f>I32*'datos de entrada'!$G$17</f>
        <v>0</v>
      </c>
      <c r="N120" s="523">
        <f t="shared" si="12"/>
        <v>0</v>
      </c>
      <c r="O120" s="523">
        <f>C$53*'datos de entrada'!G17*(1-(F74+E74+D74+C74))+E244</f>
        <v>0</v>
      </c>
      <c r="P120" s="523">
        <f>+'datos de entrada'!$G17*(D$53+($F$74+$E$74+$D$74+$C$74)*(C$53-D$53))</f>
        <v>0</v>
      </c>
      <c r="Q120" s="523">
        <f>+'datos de entrada'!$G17*(E$53+($F$74+$E$74+$D$74+$C$74)*(D$53-E$53))</f>
        <v>0</v>
      </c>
      <c r="R120" s="523">
        <f>+'datos de entrada'!$G17*(F$53+($F$74+$E$74+$D$74+$C$74)*(E$53-F$53))</f>
        <v>0</v>
      </c>
    </row>
    <row r="121" spans="1:18" ht="15" customHeight="1">
      <c r="A121" s="533" t="s">
        <v>198</v>
      </c>
      <c r="G121" s="523">
        <f>B32*'datos de entrada'!$H$17</f>
        <v>0</v>
      </c>
      <c r="H121" s="523">
        <f>C32*'datos de entrada'!$H$17</f>
        <v>0</v>
      </c>
      <c r="I121" s="523">
        <f>D32*'datos de entrada'!$H$17</f>
        <v>0</v>
      </c>
      <c r="J121" s="523">
        <f>E32*'datos de entrada'!$H$17</f>
        <v>0</v>
      </c>
      <c r="K121" s="523">
        <f>F32*'datos de entrada'!$H$17</f>
        <v>0</v>
      </c>
      <c r="L121" s="523">
        <f>G32*'datos de entrada'!$H$17</f>
        <v>0</v>
      </c>
      <c r="M121" s="523">
        <f>H32*'datos de entrada'!$H$17</f>
        <v>0</v>
      </c>
      <c r="N121" s="523">
        <f t="shared" si="12"/>
        <v>0</v>
      </c>
      <c r="O121" s="523">
        <f>C$53*'datos de entrada'!H17*(1-(F74+E74+D74+C74+B74))+E245</f>
        <v>0</v>
      </c>
      <c r="P121" s="523">
        <f>+'datos de entrada'!$H$17*(D$53+($F$74+$E$74+$D$74+$C$74+$B$74)*(C$53-D$53))</f>
        <v>0</v>
      </c>
      <c r="Q121" s="523">
        <f>+'datos de entrada'!$H$17*(E$53+($F$74+$E$74+$D$74+$C$74+$B$74)*(D$53-E$53))</f>
        <v>0</v>
      </c>
      <c r="R121" s="523">
        <f>+'datos de entrada'!$H$17*(F$53+($F$74+$E$74+$D$74+$C$74+$B$74)*(E$53-F$53))</f>
        <v>0</v>
      </c>
    </row>
    <row r="123" spans="1:18" ht="15" customHeight="1">
      <c r="A123" s="523" t="str">
        <f>A14</f>
        <v/>
      </c>
    </row>
    <row r="124" spans="1:18" ht="15" customHeight="1">
      <c r="A124" s="533" t="s">
        <v>193</v>
      </c>
      <c r="B124" s="523">
        <f>$B$33*'datos de entrada'!C$18</f>
        <v>0</v>
      </c>
      <c r="C124" s="523">
        <f>C33*'datos de entrada'!$C$18</f>
        <v>0</v>
      </c>
      <c r="D124" s="523">
        <f>D33*'datos de entrada'!$C$18</f>
        <v>0</v>
      </c>
      <c r="E124" s="523">
        <f>E33*'datos de entrada'!$C$18</f>
        <v>0</v>
      </c>
      <c r="F124" s="523">
        <f>F33*'datos de entrada'!$C$18</f>
        <v>0</v>
      </c>
      <c r="G124" s="523">
        <f>G33*'datos de entrada'!$C$18</f>
        <v>0</v>
      </c>
      <c r="H124" s="523">
        <f>H33*'datos de entrada'!$C$18</f>
        <v>0</v>
      </c>
      <c r="I124" s="523">
        <f>I33*'datos de entrada'!$C$18</f>
        <v>0</v>
      </c>
      <c r="J124" s="523">
        <f>J33*'datos de entrada'!$C$18</f>
        <v>0</v>
      </c>
      <c r="K124" s="523">
        <f>K33*'datos de entrada'!$C$18</f>
        <v>0</v>
      </c>
      <c r="L124" s="523">
        <f>L33*'datos de entrada'!$C$18</f>
        <v>0</v>
      </c>
      <c r="M124" s="523">
        <f>M33*'datos de entrada'!$C$18</f>
        <v>0</v>
      </c>
      <c r="N124" s="523">
        <f t="shared" ref="N124:N129" si="13">SUM(B124:M124)</f>
        <v>0</v>
      </c>
      <c r="O124" s="523">
        <f>C$54*'datos de entrada'!$C18</f>
        <v>0</v>
      </c>
      <c r="P124" s="523">
        <f>D$54*'datos de entrada'!$C18</f>
        <v>0</v>
      </c>
      <c r="Q124" s="523">
        <f>E$54*'datos de entrada'!$C18</f>
        <v>0</v>
      </c>
      <c r="R124" s="523">
        <f>F$54*'datos de entrada'!$C18</f>
        <v>0</v>
      </c>
    </row>
    <row r="125" spans="1:18" ht="15" customHeight="1">
      <c r="A125" s="533" t="s">
        <v>194</v>
      </c>
      <c r="C125" s="523">
        <f>B33*'datos de entrada'!$D$18</f>
        <v>0</v>
      </c>
      <c r="D125" s="523">
        <f>C33*'datos de entrada'!$D$18</f>
        <v>0</v>
      </c>
      <c r="E125" s="523">
        <f>D33*'datos de entrada'!$D$18</f>
        <v>0</v>
      </c>
      <c r="F125" s="523">
        <f>E33*'datos de entrada'!$D$18</f>
        <v>0</v>
      </c>
      <c r="G125" s="523">
        <f>F33*'datos de entrada'!$D$18</f>
        <v>0</v>
      </c>
      <c r="H125" s="523">
        <f>G33*'datos de entrada'!$D$18</f>
        <v>0</v>
      </c>
      <c r="I125" s="523">
        <f>H33*'datos de entrada'!$D$18</f>
        <v>0</v>
      </c>
      <c r="J125" s="523">
        <f>I33*'datos de entrada'!$D$18</f>
        <v>0</v>
      </c>
      <c r="K125" s="523">
        <f>J33*'datos de entrada'!$D$18</f>
        <v>0</v>
      </c>
      <c r="L125" s="523">
        <f>K33*'datos de entrada'!$D$18</f>
        <v>0</v>
      </c>
      <c r="M125" s="523">
        <f>L33*'datos de entrada'!$D$18</f>
        <v>0</v>
      </c>
      <c r="N125" s="523">
        <f t="shared" si="13"/>
        <v>0</v>
      </c>
      <c r="O125" s="523">
        <f>C$54*'datos de entrada'!D18*(1-F75)+F241</f>
        <v>0</v>
      </c>
      <c r="P125" s="523">
        <f>+'datos de entrada'!$D18*(D$54+($F$75)*(C$54-D$54))</f>
        <v>0</v>
      </c>
      <c r="Q125" s="523">
        <f>+'datos de entrada'!$D18*(E$54+($F$75)*(D$54-E$54))</f>
        <v>0</v>
      </c>
      <c r="R125" s="523">
        <f>+'datos de entrada'!$D18*(F$54+($F$75)*(E$54-F$54))</f>
        <v>0</v>
      </c>
    </row>
    <row r="126" spans="1:18" ht="15" customHeight="1">
      <c r="A126" s="533" t="s">
        <v>195</v>
      </c>
      <c r="D126" s="523">
        <f>B33*'datos de entrada'!$E$18</f>
        <v>0</v>
      </c>
      <c r="E126" s="523">
        <f>C33*'datos de entrada'!$E$18</f>
        <v>0</v>
      </c>
      <c r="F126" s="523">
        <f>D33*'datos de entrada'!$E$18</f>
        <v>0</v>
      </c>
      <c r="G126" s="523">
        <f>E33*'datos de entrada'!$E$18</f>
        <v>0</v>
      </c>
      <c r="H126" s="523">
        <f>F33*'datos de entrada'!$E$18</f>
        <v>0</v>
      </c>
      <c r="I126" s="523">
        <f>G33*'datos de entrada'!$E$18</f>
        <v>0</v>
      </c>
      <c r="J126" s="523">
        <f>H33*'datos de entrada'!$E$18</f>
        <v>0</v>
      </c>
      <c r="K126" s="523">
        <f>I33*'datos de entrada'!$E$18</f>
        <v>0</v>
      </c>
      <c r="L126" s="523">
        <f>J33*'datos de entrada'!$E$18</f>
        <v>0</v>
      </c>
      <c r="M126" s="523">
        <f>K33*'datos de entrada'!$E$18</f>
        <v>0</v>
      </c>
      <c r="N126" s="523">
        <f t="shared" si="13"/>
        <v>0</v>
      </c>
      <c r="O126" s="523">
        <f>C$54*'datos de entrada'!E18*(1-(F75+E75))+F242</f>
        <v>0</v>
      </c>
      <c r="P126" s="523">
        <f>+'datos de entrada'!$E$18*(D$54+($F$75+$E$75)*(C$54-D$54))</f>
        <v>0</v>
      </c>
      <c r="Q126" s="523">
        <f>+'datos de entrada'!$E$18*(E$54+($F$75+$E$75)*(D$54-E$54))</f>
        <v>0</v>
      </c>
      <c r="R126" s="523">
        <f>+'datos de entrada'!$E$18*(F$54+($F$75+$E$75)*(E$54-F$54))</f>
        <v>0</v>
      </c>
    </row>
    <row r="127" spans="1:18" ht="15" customHeight="1">
      <c r="A127" s="533" t="s">
        <v>196</v>
      </c>
      <c r="E127" s="523">
        <f>B33*'datos de entrada'!$F$18</f>
        <v>0</v>
      </c>
      <c r="F127" s="523">
        <f>C33*'datos de entrada'!$F$18</f>
        <v>0</v>
      </c>
      <c r="G127" s="523">
        <f>D33*'datos de entrada'!$F$18</f>
        <v>0</v>
      </c>
      <c r="H127" s="523">
        <f>E33*'datos de entrada'!$F$18</f>
        <v>0</v>
      </c>
      <c r="I127" s="523">
        <f>F33*'datos de entrada'!$F$18</f>
        <v>0</v>
      </c>
      <c r="J127" s="523">
        <f>G33*'datos de entrada'!$F$18</f>
        <v>0</v>
      </c>
      <c r="K127" s="523">
        <f>H33*'datos de entrada'!$F$18</f>
        <v>0</v>
      </c>
      <c r="L127" s="523">
        <f>I33*'datos de entrada'!$F$18</f>
        <v>0</v>
      </c>
      <c r="M127" s="523">
        <f>J33*'datos de entrada'!$F$18</f>
        <v>0</v>
      </c>
      <c r="N127" s="523">
        <f t="shared" si="13"/>
        <v>0</v>
      </c>
      <c r="O127" s="523">
        <f>C$54*'datos de entrada'!F18*(1-(D75+E75+F75))+F243</f>
        <v>0</v>
      </c>
      <c r="P127" s="523">
        <f>+'datos de entrada'!$F$18*(D$54+($D$75+$E$75+$F$75)*(C$54-D$54))</f>
        <v>0</v>
      </c>
      <c r="Q127" s="523">
        <f>+'datos de entrada'!$F$18*(E$54+($D$75+$E$75+$F$75)*(D$54-E$54))</f>
        <v>0</v>
      </c>
      <c r="R127" s="523">
        <f>+'datos de entrada'!$F$18*(F$54+($D$75+$E$75+$F$75)*(E$54-F$54))</f>
        <v>0</v>
      </c>
    </row>
    <row r="128" spans="1:18" ht="15" customHeight="1">
      <c r="A128" s="533" t="s">
        <v>197</v>
      </c>
      <c r="F128" s="523">
        <f>B33*'datos de entrada'!$G$18</f>
        <v>0</v>
      </c>
      <c r="G128" s="523">
        <f>C33*'datos de entrada'!$G$18</f>
        <v>0</v>
      </c>
      <c r="H128" s="523">
        <f>D33*'datos de entrada'!$G$18</f>
        <v>0</v>
      </c>
      <c r="I128" s="523">
        <f>E33*'datos de entrada'!$G$18</f>
        <v>0</v>
      </c>
      <c r="J128" s="523">
        <f>F33*'datos de entrada'!$G$18</f>
        <v>0</v>
      </c>
      <c r="K128" s="523">
        <f>G33*'datos de entrada'!$G$18</f>
        <v>0</v>
      </c>
      <c r="L128" s="523">
        <f>H33*'datos de entrada'!$G$18</f>
        <v>0</v>
      </c>
      <c r="M128" s="523">
        <f>I33*'datos de entrada'!$G$18</f>
        <v>0</v>
      </c>
      <c r="N128" s="523">
        <f t="shared" si="13"/>
        <v>0</v>
      </c>
      <c r="O128" s="523">
        <f>C$54*'datos de entrada'!G18*(1-(F75+D75+E75+C75))+F244</f>
        <v>0</v>
      </c>
      <c r="P128" s="523">
        <f>+'datos de entrada'!$G18*(D$54+($C$75+$D$75+$E$75+$F$75)*(C$54-D$54))</f>
        <v>0</v>
      </c>
      <c r="Q128" s="523">
        <f>+'datos de entrada'!$G18*(E$54+($C$75+$D$75+$E$75+$F$75)*(D$54-E$54))</f>
        <v>0</v>
      </c>
      <c r="R128" s="523">
        <f>+'datos de entrada'!$G18*(F$54+($C$75+$D$75+$E$75+$F$75)*(E$54-F$54))</f>
        <v>0</v>
      </c>
    </row>
    <row r="129" spans="1:18" ht="15" customHeight="1">
      <c r="A129" s="533" t="s">
        <v>198</v>
      </c>
      <c r="G129" s="523">
        <f>B33*'datos de entrada'!$H$18</f>
        <v>0</v>
      </c>
      <c r="H129" s="523">
        <f>C33*'datos de entrada'!$H$18</f>
        <v>0</v>
      </c>
      <c r="I129" s="523">
        <f>D33*'datos de entrada'!$H$18</f>
        <v>0</v>
      </c>
      <c r="J129" s="523">
        <f>E33*'datos de entrada'!$H$18</f>
        <v>0</v>
      </c>
      <c r="K129" s="523">
        <f>F33*'datos de entrada'!$H$18</f>
        <v>0</v>
      </c>
      <c r="L129" s="523">
        <f>G33*'datos de entrada'!$H$18</f>
        <v>0</v>
      </c>
      <c r="M129" s="523">
        <f>H33*'datos de entrada'!$H$18</f>
        <v>0</v>
      </c>
      <c r="N129" s="523">
        <f t="shared" si="13"/>
        <v>0</v>
      </c>
      <c r="O129" s="523">
        <f>C$54*'datos de entrada'!H18*(1-(B75+C75+D75+E75+F75))+F245</f>
        <v>0</v>
      </c>
      <c r="P129" s="523">
        <f>+'datos de entrada'!$H18*(D$54+($B$75+$C$75+$D$75+$E$75+$F$75)*(C$54-D$54))</f>
        <v>0</v>
      </c>
      <c r="Q129" s="523">
        <f>+'datos de entrada'!$H18*(E$54+($B$75+$C$75+$D$75+$E$75+$F$75)*(D$54-E$54))</f>
        <v>0</v>
      </c>
      <c r="R129" s="523">
        <f>+'datos de entrada'!$H18*(F$54+($B$75+$C$75+$D$75+$E$75+$F$75)*(E$54-F$54))</f>
        <v>0</v>
      </c>
    </row>
    <row r="131" spans="1:18" ht="15" customHeight="1">
      <c r="A131" s="523" t="str">
        <f>A15</f>
        <v/>
      </c>
    </row>
    <row r="132" spans="1:18" ht="15" customHeight="1">
      <c r="A132" s="533" t="s">
        <v>193</v>
      </c>
      <c r="B132" s="523">
        <f>$B$34*'datos de entrada'!C$19</f>
        <v>0</v>
      </c>
      <c r="C132" s="523">
        <f>C34*'datos de entrada'!$C$19</f>
        <v>0</v>
      </c>
      <c r="D132" s="523">
        <f>D34*'datos de entrada'!$C$19</f>
        <v>0</v>
      </c>
      <c r="E132" s="523">
        <f>E34*'datos de entrada'!$C$19</f>
        <v>0</v>
      </c>
      <c r="F132" s="523">
        <f>F34*'datos de entrada'!$C$19</f>
        <v>0</v>
      </c>
      <c r="G132" s="523">
        <f>G34*'datos de entrada'!$C$19</f>
        <v>0</v>
      </c>
      <c r="H132" s="523">
        <f>H34*'datos de entrada'!$C$19</f>
        <v>0</v>
      </c>
      <c r="I132" s="523">
        <f>I34*'datos de entrada'!$C$19</f>
        <v>0</v>
      </c>
      <c r="J132" s="523">
        <f>J34*'datos de entrada'!$C$19</f>
        <v>0</v>
      </c>
      <c r="K132" s="523">
        <f>K34*'datos de entrada'!$C$19</f>
        <v>0</v>
      </c>
      <c r="L132" s="523">
        <f>L34*'datos de entrada'!$C$19</f>
        <v>0</v>
      </c>
      <c r="M132" s="523">
        <f>M34*'datos de entrada'!$C$19</f>
        <v>0</v>
      </c>
      <c r="N132" s="523">
        <f t="shared" ref="N132:N137" si="14">SUM(B132:M132)</f>
        <v>0</v>
      </c>
      <c r="O132" s="523">
        <f>C$55*'datos de entrada'!$C19</f>
        <v>0</v>
      </c>
      <c r="P132" s="523">
        <f>D$55*'datos de entrada'!$C19</f>
        <v>0</v>
      </c>
      <c r="Q132" s="523">
        <f>E$55*'datos de entrada'!$C19</f>
        <v>0</v>
      </c>
      <c r="R132" s="523">
        <f>F$55*'datos de entrada'!$C19</f>
        <v>0</v>
      </c>
    </row>
    <row r="133" spans="1:18" ht="15" customHeight="1">
      <c r="A133" s="533" t="s">
        <v>194</v>
      </c>
      <c r="C133" s="523">
        <f>$B$34*'datos de entrada'!D$19</f>
        <v>0</v>
      </c>
      <c r="D133" s="523">
        <f>C34*'datos de entrada'!$D$19</f>
        <v>0</v>
      </c>
      <c r="E133" s="523">
        <f>D34*'datos de entrada'!$D$19</f>
        <v>0</v>
      </c>
      <c r="F133" s="523">
        <f>E34*'datos de entrada'!$D$19</f>
        <v>0</v>
      </c>
      <c r="G133" s="523">
        <f>F34*'datos de entrada'!$D$19</f>
        <v>0</v>
      </c>
      <c r="H133" s="523">
        <f>G34*'datos de entrada'!$D$19</f>
        <v>0</v>
      </c>
      <c r="I133" s="523">
        <f>H34*'datos de entrada'!$D$19</f>
        <v>0</v>
      </c>
      <c r="J133" s="523">
        <f>I34*'datos de entrada'!$D$19</f>
        <v>0</v>
      </c>
      <c r="K133" s="523">
        <f>J34*'datos de entrada'!$D$19</f>
        <v>0</v>
      </c>
      <c r="L133" s="523">
        <f>K34*'datos de entrada'!$D$19</f>
        <v>0</v>
      </c>
      <c r="M133" s="523">
        <f>L34*'datos de entrada'!$D$19</f>
        <v>0</v>
      </c>
      <c r="N133" s="523">
        <f t="shared" si="14"/>
        <v>0</v>
      </c>
      <c r="O133" s="523">
        <f>C$55*'datos de entrada'!D19*(1-F76)+G241</f>
        <v>0</v>
      </c>
      <c r="P133" s="523">
        <f>+'datos de entrada'!$D$19*(D$55+($F$76)*(C$55-D$55))</f>
        <v>0</v>
      </c>
      <c r="Q133" s="523">
        <f>+'datos de entrada'!$D$19*(E$55+($F$76)*(D$55-E$55))</f>
        <v>0</v>
      </c>
      <c r="R133" s="523">
        <f>+'datos de entrada'!$D$19*(F$55+($F$76)*(E$55-F$55))</f>
        <v>0</v>
      </c>
    </row>
    <row r="134" spans="1:18" ht="15" customHeight="1">
      <c r="A134" s="533" t="s">
        <v>195</v>
      </c>
      <c r="D134" s="523">
        <f>$B$34*'datos de entrada'!E$19</f>
        <v>0</v>
      </c>
      <c r="E134" s="523">
        <f>C34*'datos de entrada'!$E$19</f>
        <v>0</v>
      </c>
      <c r="F134" s="523">
        <f>D34*'datos de entrada'!$E$19</f>
        <v>0</v>
      </c>
      <c r="G134" s="523">
        <f>E34*'datos de entrada'!$E$19</f>
        <v>0</v>
      </c>
      <c r="H134" s="523">
        <f>F34*'datos de entrada'!$E$19</f>
        <v>0</v>
      </c>
      <c r="I134" s="523">
        <f>G34*'datos de entrada'!$E$19</f>
        <v>0</v>
      </c>
      <c r="J134" s="523">
        <f>H34*'datos de entrada'!$E$19</f>
        <v>0</v>
      </c>
      <c r="K134" s="523">
        <f>I34*'datos de entrada'!$E$19</f>
        <v>0</v>
      </c>
      <c r="L134" s="523">
        <f>J34*'datos de entrada'!$E$19</f>
        <v>0</v>
      </c>
      <c r="M134" s="523">
        <f>K34*'datos de entrada'!$E$19</f>
        <v>0</v>
      </c>
      <c r="N134" s="523">
        <f t="shared" si="14"/>
        <v>0</v>
      </c>
      <c r="O134" s="523">
        <f>C$55*'datos de entrada'!E19*(1-(F76+E76))+G242</f>
        <v>0</v>
      </c>
      <c r="P134" s="523">
        <f>+'datos de entrada'!$E$19*(D$55+($F$76+$E$76)*(C$55-D$55))</f>
        <v>0</v>
      </c>
      <c r="Q134" s="523">
        <f>+'datos de entrada'!$E$19*(E$55+($F$76+$E$76)*(D$55-E$55))</f>
        <v>0</v>
      </c>
      <c r="R134" s="523">
        <f>+'datos de entrada'!$E$19*(F$55+($F$76+$E$76)*(E$55-F$55))</f>
        <v>0</v>
      </c>
    </row>
    <row r="135" spans="1:18" ht="15" customHeight="1">
      <c r="A135" s="533" t="s">
        <v>196</v>
      </c>
      <c r="E135" s="523">
        <f>$B$34*'datos de entrada'!F$19</f>
        <v>0</v>
      </c>
      <c r="F135" s="523">
        <f>C34*'datos de entrada'!$F$19</f>
        <v>0</v>
      </c>
      <c r="G135" s="523">
        <f>D34*'datos de entrada'!$F$19</f>
        <v>0</v>
      </c>
      <c r="H135" s="523">
        <f>E34*'datos de entrada'!$F$19</f>
        <v>0</v>
      </c>
      <c r="I135" s="523">
        <f>F34*'datos de entrada'!$F$19</f>
        <v>0</v>
      </c>
      <c r="J135" s="523">
        <f>G34*'datos de entrada'!$F$19</f>
        <v>0</v>
      </c>
      <c r="K135" s="523">
        <f>H34*'datos de entrada'!$F$19</f>
        <v>0</v>
      </c>
      <c r="L135" s="523">
        <f>I34*'datos de entrada'!$F$19</f>
        <v>0</v>
      </c>
      <c r="M135" s="523">
        <f>J34*'datos de entrada'!$F$19</f>
        <v>0</v>
      </c>
      <c r="N135" s="523">
        <f t="shared" si="14"/>
        <v>0</v>
      </c>
      <c r="O135" s="523">
        <f>C$55*'datos de entrada'!F19*(1-(F76+E76+D76))+G243</f>
        <v>0</v>
      </c>
      <c r="P135" s="523">
        <f>+'datos de entrada'!$F$19*(D$55+($D$76+$E$76+$F$76)*(C$55-D$55))</f>
        <v>0</v>
      </c>
      <c r="Q135" s="523">
        <f>+'datos de entrada'!$F$19*(E$55+($D$76+$E$76+$F$76)*(D$55-E$55))</f>
        <v>0</v>
      </c>
      <c r="R135" s="523">
        <f>+'datos de entrada'!$F$19*(F$55+($D$76+$E$76+$F$76)*(E$55-F$55))</f>
        <v>0</v>
      </c>
    </row>
    <row r="136" spans="1:18" ht="15" customHeight="1">
      <c r="A136" s="533" t="s">
        <v>197</v>
      </c>
      <c r="F136" s="523">
        <f>$B$34*'datos de entrada'!G$19</f>
        <v>0</v>
      </c>
      <c r="G136" s="523">
        <f>C34*'datos de entrada'!$G$19</f>
        <v>0</v>
      </c>
      <c r="H136" s="523">
        <f>D34*'datos de entrada'!$G$19</f>
        <v>0</v>
      </c>
      <c r="I136" s="523">
        <f>E34*'datos de entrada'!$G$19</f>
        <v>0</v>
      </c>
      <c r="J136" s="523">
        <f>F34*'datos de entrada'!$G$19</f>
        <v>0</v>
      </c>
      <c r="K136" s="523">
        <f>G34*'datos de entrada'!$G$19</f>
        <v>0</v>
      </c>
      <c r="L136" s="523">
        <f>H34*'datos de entrada'!$G$19</f>
        <v>0</v>
      </c>
      <c r="M136" s="523">
        <f>I34*'datos de entrada'!$G$19</f>
        <v>0</v>
      </c>
      <c r="N136" s="523">
        <f t="shared" si="14"/>
        <v>0</v>
      </c>
      <c r="O136" s="523">
        <f>C$55*'datos de entrada'!G19*(1-(D76+E76+F76+C76))+G244</f>
        <v>0</v>
      </c>
      <c r="P136" s="523">
        <f>+'datos de entrada'!$G$19*(D$55+($C$76+$D$76+$E$76+$F$76)*(C$55-D$55))</f>
        <v>0</v>
      </c>
      <c r="Q136" s="523">
        <f>+'datos de entrada'!$G$19*(E$55+($C$76+$D$76+$E$76+$F$76)*(D$55-E$55))</f>
        <v>0</v>
      </c>
      <c r="R136" s="523">
        <f>+'datos de entrada'!$G$19*(F$55+($C$76+$D$76+$E$76+$F$76)*(E$55-F$55))</f>
        <v>0</v>
      </c>
    </row>
    <row r="137" spans="1:18" ht="15" customHeight="1">
      <c r="A137" s="533" t="s">
        <v>198</v>
      </c>
      <c r="G137" s="523">
        <f>$B$34*'datos de entrada'!H$19</f>
        <v>0</v>
      </c>
      <c r="H137" s="523">
        <f>C34*'datos de entrada'!$H$19</f>
        <v>0</v>
      </c>
      <c r="I137" s="523">
        <f>D34*'datos de entrada'!$H$19</f>
        <v>0</v>
      </c>
      <c r="J137" s="523">
        <f>E34*'datos de entrada'!$H$19</f>
        <v>0</v>
      </c>
      <c r="K137" s="523">
        <f>F34*'datos de entrada'!$H$19</f>
        <v>0</v>
      </c>
      <c r="L137" s="523">
        <f>G34*'datos de entrada'!$H$19</f>
        <v>0</v>
      </c>
      <c r="M137" s="523">
        <f>H34*'datos de entrada'!$H$19</f>
        <v>0</v>
      </c>
      <c r="N137" s="523">
        <f t="shared" si="14"/>
        <v>0</v>
      </c>
      <c r="O137" s="523">
        <f>C$55*'datos de entrada'!H19*(1-(B76+C76+D76+E76+F76))+G245</f>
        <v>0</v>
      </c>
      <c r="P137" s="523">
        <f>+'datos de entrada'!$H$19*(D$55+($B$76+$C$76+$D$76+$E$76+$F$76)*(C$55-D$55))</f>
        <v>0</v>
      </c>
      <c r="Q137" s="523">
        <f>+'datos de entrada'!$H$19*(E$55+($B$76+$C$76+$D$76+$E$76+$F$76)*(D$55-E$55))</f>
        <v>0</v>
      </c>
      <c r="R137" s="523">
        <f>+'datos de entrada'!$H$19*(F$55+($B$76+$C$76+$D$76+$E$76+$F$76)*(E$55-F$55))</f>
        <v>0</v>
      </c>
    </row>
    <row r="139" spans="1:18" ht="15" customHeight="1">
      <c r="A139" s="522" t="str">
        <f>+A16</f>
        <v/>
      </c>
    </row>
    <row r="140" spans="1:18" ht="15" customHeight="1">
      <c r="A140" s="533" t="s">
        <v>193</v>
      </c>
      <c r="B140" s="523">
        <f>B$35*'datos de entrada'!$C$20</f>
        <v>0</v>
      </c>
      <c r="C140" s="523">
        <f>C$35*'datos de entrada'!$C$20</f>
        <v>0</v>
      </c>
      <c r="D140" s="523">
        <f>D$35*'datos de entrada'!$C$20</f>
        <v>0</v>
      </c>
      <c r="E140" s="523">
        <f>E$35*'datos de entrada'!$C$20</f>
        <v>0</v>
      </c>
      <c r="F140" s="523">
        <f>F$35*'datos de entrada'!$C$20</f>
        <v>0</v>
      </c>
      <c r="G140" s="523">
        <f>G$35*'datos de entrada'!$C$20</f>
        <v>0</v>
      </c>
      <c r="H140" s="523">
        <f>H$35*'datos de entrada'!$C$20</f>
        <v>0</v>
      </c>
      <c r="I140" s="523">
        <f>I$35*'datos de entrada'!$C$20</f>
        <v>0</v>
      </c>
      <c r="J140" s="523">
        <f>J$35*'datos de entrada'!$C$20</f>
        <v>0</v>
      </c>
      <c r="K140" s="523">
        <f>K$35*'datos de entrada'!$C$20</f>
        <v>0</v>
      </c>
      <c r="L140" s="523">
        <f>L$35*'datos de entrada'!$C$20</f>
        <v>0</v>
      </c>
      <c r="M140" s="523">
        <f>M$35*'datos de entrada'!$C$20</f>
        <v>0</v>
      </c>
      <c r="N140" s="523">
        <f t="shared" ref="N140:N145" si="15">SUM(B140:M140)</f>
        <v>0</v>
      </c>
      <c r="O140" s="523">
        <f>$C$56*'datos de entrada'!$C$20</f>
        <v>0</v>
      </c>
      <c r="P140" s="523">
        <f>D$56*'datos de entrada'!$C20</f>
        <v>0</v>
      </c>
      <c r="Q140" s="523">
        <f>E$56*'datos de entrada'!$C20</f>
        <v>0</v>
      </c>
      <c r="R140" s="523">
        <f>F$56*'datos de entrada'!$C20</f>
        <v>0</v>
      </c>
    </row>
    <row r="141" spans="1:18" ht="15" customHeight="1">
      <c r="A141" s="533" t="s">
        <v>194</v>
      </c>
      <c r="C141" s="523">
        <f>B$35*'datos de entrada'!$D$20</f>
        <v>0</v>
      </c>
      <c r="D141" s="523">
        <f>C$35*'datos de entrada'!$D$20</f>
        <v>0</v>
      </c>
      <c r="E141" s="523">
        <f>D$35*'datos de entrada'!$D$20</f>
        <v>0</v>
      </c>
      <c r="F141" s="523">
        <f>E$35*'datos de entrada'!$D$20</f>
        <v>0</v>
      </c>
      <c r="G141" s="523">
        <f>F$35*'datos de entrada'!$D$20</f>
        <v>0</v>
      </c>
      <c r="H141" s="523">
        <f>G$35*'datos de entrada'!$D$20</f>
        <v>0</v>
      </c>
      <c r="I141" s="523">
        <f>H$35*'datos de entrada'!$D$20</f>
        <v>0</v>
      </c>
      <c r="J141" s="523">
        <f>I$35*'datos de entrada'!$D$20</f>
        <v>0</v>
      </c>
      <c r="K141" s="523">
        <f>J$35*'datos de entrada'!$D$20</f>
        <v>0</v>
      </c>
      <c r="L141" s="523">
        <f>K$35*'datos de entrada'!$D$20</f>
        <v>0</v>
      </c>
      <c r="M141" s="523">
        <f>L$35*'datos de entrada'!$D$20</f>
        <v>0</v>
      </c>
      <c r="N141" s="523">
        <f t="shared" si="15"/>
        <v>0</v>
      </c>
      <c r="O141" s="523">
        <f>$C$56*'datos de entrada'!$D$20*(1-$F$77)+$H$241</f>
        <v>0</v>
      </c>
      <c r="P141" s="523">
        <f>+'datos de entrada'!$D$20*(D$56+($F$77)*(C$56-D$56))</f>
        <v>0</v>
      </c>
      <c r="Q141" s="523">
        <f>+'datos de entrada'!$D$20*(E$56+($F$77)*(D$56-E$56))</f>
        <v>0</v>
      </c>
      <c r="R141" s="523">
        <f>+'datos de entrada'!$D$20*(F$56+($F$77)*(E$56-F$56))</f>
        <v>0</v>
      </c>
    </row>
    <row r="142" spans="1:18" ht="15" customHeight="1">
      <c r="A142" s="533" t="s">
        <v>195</v>
      </c>
      <c r="D142" s="523">
        <f>B$35*'datos de entrada'!$E$20</f>
        <v>0</v>
      </c>
      <c r="E142" s="523">
        <f>C$35*'datos de entrada'!$E$20</f>
        <v>0</v>
      </c>
      <c r="F142" s="523">
        <f>D$35*'datos de entrada'!$E$20</f>
        <v>0</v>
      </c>
      <c r="G142" s="523">
        <f>E$35*'datos de entrada'!$E$20</f>
        <v>0</v>
      </c>
      <c r="H142" s="523">
        <f>F$35*'datos de entrada'!$E$20</f>
        <v>0</v>
      </c>
      <c r="I142" s="523">
        <f>G$35*'datos de entrada'!$E$20</f>
        <v>0</v>
      </c>
      <c r="J142" s="523">
        <f>H$35*'datos de entrada'!$E$20</f>
        <v>0</v>
      </c>
      <c r="K142" s="523">
        <f>I$35*'datos de entrada'!$E$20</f>
        <v>0</v>
      </c>
      <c r="L142" s="523">
        <f>J$35*'datos de entrada'!$E$20</f>
        <v>0</v>
      </c>
      <c r="M142" s="523">
        <f>K$35*'datos de entrada'!$E$20</f>
        <v>0</v>
      </c>
      <c r="N142" s="523">
        <f t="shared" si="15"/>
        <v>0</v>
      </c>
      <c r="O142" s="523">
        <f>$C$56*'datos de entrada'!$E$20*(1-($F$77+$E$77))+$H$242</f>
        <v>0</v>
      </c>
      <c r="P142" s="523">
        <f>+'datos de entrada'!$E$20*(D$56+($F$77+$E$77)*(C$56-D$56))</f>
        <v>0</v>
      </c>
      <c r="Q142" s="523">
        <f>+'datos de entrada'!$E$20*(E$56+($F$77+$E$77)*(D$56-E$56))</f>
        <v>0</v>
      </c>
      <c r="R142" s="523">
        <f>+'datos de entrada'!$E$20*(F$56+($F$77+$E$77)*(E$56-F$56))</f>
        <v>0</v>
      </c>
    </row>
    <row r="143" spans="1:18" ht="15" customHeight="1">
      <c r="A143" s="533" t="s">
        <v>196</v>
      </c>
      <c r="E143" s="523">
        <f>B$35*'datos de entrada'!$F$20</f>
        <v>0</v>
      </c>
      <c r="F143" s="523">
        <f>C$35*'datos de entrada'!$F$20</f>
        <v>0</v>
      </c>
      <c r="G143" s="523">
        <f>D$35*'datos de entrada'!$F$20</f>
        <v>0</v>
      </c>
      <c r="H143" s="523">
        <f>E$35*'datos de entrada'!$F$20</f>
        <v>0</v>
      </c>
      <c r="I143" s="523">
        <f>F$35*'datos de entrada'!$F$20</f>
        <v>0</v>
      </c>
      <c r="J143" s="523">
        <f>G$35*'datos de entrada'!$F$20</f>
        <v>0</v>
      </c>
      <c r="K143" s="523">
        <f>H$35*'datos de entrada'!$F$20</f>
        <v>0</v>
      </c>
      <c r="L143" s="523">
        <f>I$35*'datos de entrada'!$F$20</f>
        <v>0</v>
      </c>
      <c r="M143" s="523">
        <f>J$35*'datos de entrada'!$F$20</f>
        <v>0</v>
      </c>
      <c r="N143" s="523">
        <f t="shared" si="15"/>
        <v>0</v>
      </c>
      <c r="O143" s="523">
        <f>$C$56*'datos de entrada'!$F$20*(1-($F$77+$E$77+$D$77))+$H$243</f>
        <v>0</v>
      </c>
      <c r="P143" s="523">
        <f>+'datos de entrada'!$F$20*(D$56+($D$77+$E$77+$F$77)*(C$56-D$56))</f>
        <v>0</v>
      </c>
      <c r="Q143" s="523">
        <f>+'datos de entrada'!$F$20*(E$56+($D$77+$E$77+$F$77)*(D$56-E$56))</f>
        <v>0</v>
      </c>
      <c r="R143" s="523">
        <f>+'datos de entrada'!$F$20*(F$56+($D$77+$E$77+$F$77)*(E$56-F$56))</f>
        <v>0</v>
      </c>
    </row>
    <row r="144" spans="1:18" ht="15" customHeight="1">
      <c r="A144" s="533" t="s">
        <v>197</v>
      </c>
      <c r="F144" s="523">
        <f>B$35*'datos de entrada'!$G$20</f>
        <v>0</v>
      </c>
      <c r="G144" s="523">
        <f>C$35*'datos de entrada'!$G$20</f>
        <v>0</v>
      </c>
      <c r="H144" s="523">
        <f>D$35*'datos de entrada'!$G$20</f>
        <v>0</v>
      </c>
      <c r="I144" s="523">
        <f>E$35*'datos de entrada'!$G$20</f>
        <v>0</v>
      </c>
      <c r="J144" s="523">
        <f>F$35*'datos de entrada'!$G$20</f>
        <v>0</v>
      </c>
      <c r="K144" s="523">
        <f>G$35*'datos de entrada'!$G$20</f>
        <v>0</v>
      </c>
      <c r="L144" s="523">
        <f>H$35*'datos de entrada'!$G$20</f>
        <v>0</v>
      </c>
      <c r="M144" s="523">
        <f>I$35*'datos de entrada'!$G$20</f>
        <v>0</v>
      </c>
      <c r="N144" s="523">
        <f t="shared" si="15"/>
        <v>0</v>
      </c>
      <c r="O144" s="523">
        <f>$C$56*'datos de entrada'!$G$20*(1-($D$77+$E$77+$F$77+$C$77))+$H$244</f>
        <v>0</v>
      </c>
      <c r="P144" s="523">
        <f>+'datos de entrada'!$G$20*(D$56+($C$77+$D$77+$E$77+$F$77)*(C$56-D$56))</f>
        <v>0</v>
      </c>
      <c r="Q144" s="523">
        <f>+'datos de entrada'!$G$20*(E$56+($C$77+$D$77+$E$77+$F$77)*(D$56-E$56))</f>
        <v>0</v>
      </c>
      <c r="R144" s="523">
        <f>+'datos de entrada'!$G$20*(F$56+($C$77+$D$77+$E$77+$F$77)*(E$56-F$56))</f>
        <v>0</v>
      </c>
    </row>
    <row r="145" spans="1:18" ht="15" customHeight="1">
      <c r="A145" s="533" t="s">
        <v>198</v>
      </c>
      <c r="G145" s="523">
        <f>B$35*'datos de entrada'!$H$20</f>
        <v>0</v>
      </c>
      <c r="H145" s="523">
        <f>C$35*'datos de entrada'!$H$20</f>
        <v>0</v>
      </c>
      <c r="I145" s="523">
        <f>D$35*'datos de entrada'!$H$20</f>
        <v>0</v>
      </c>
      <c r="J145" s="523">
        <f>E$35*'datos de entrada'!$H$20</f>
        <v>0</v>
      </c>
      <c r="K145" s="523">
        <f>F$35*'datos de entrada'!$H$20</f>
        <v>0</v>
      </c>
      <c r="L145" s="523">
        <f>G$35*'datos de entrada'!$H$20</f>
        <v>0</v>
      </c>
      <c r="M145" s="523">
        <f>H$35*'datos de entrada'!$H$20</f>
        <v>0</v>
      </c>
      <c r="N145" s="523">
        <f t="shared" si="15"/>
        <v>0</v>
      </c>
      <c r="O145" s="523">
        <f>$C$56*'datos de entrada'!$H$20*(1-($B$77+$C$77+$D$77+$E$77+$F$77))+$H$245</f>
        <v>0</v>
      </c>
      <c r="P145" s="523">
        <f>+'datos de entrada'!$H$20*(D$56+($B$77+$C$77+$D$77+$E$77+$F$77)*(C$56-D$56))</f>
        <v>0</v>
      </c>
      <c r="Q145" s="523">
        <f>+'datos de entrada'!$H$20*(E$56+($B$77+$C$77+$D$77+$E$77+$F$77)*(D$56-E$56))</f>
        <v>0</v>
      </c>
      <c r="R145" s="523">
        <f>+'datos de entrada'!$H$20*(F$56+($B$77+$C$77+$D$77+$E$77+$F$77)*(E$56-F$56))</f>
        <v>0</v>
      </c>
    </row>
    <row r="146" spans="1:18" ht="15" customHeight="1">
      <c r="A146" s="533"/>
    </row>
    <row r="147" spans="1:18" ht="15" customHeight="1">
      <c r="A147" s="522" t="str">
        <f>+A17</f>
        <v/>
      </c>
    </row>
    <row r="148" spans="1:18" ht="15" customHeight="1">
      <c r="A148" s="533" t="s">
        <v>193</v>
      </c>
      <c r="B148" s="523">
        <f>B$36*'datos de entrada'!$C$21</f>
        <v>0</v>
      </c>
      <c r="C148" s="523">
        <f>C$36*'datos de entrada'!$C$21</f>
        <v>0</v>
      </c>
      <c r="D148" s="523">
        <f>D$36*'datos de entrada'!$C$21</f>
        <v>0</v>
      </c>
      <c r="E148" s="523">
        <f>E$36*'datos de entrada'!$C$21</f>
        <v>0</v>
      </c>
      <c r="F148" s="523">
        <f>F$36*'datos de entrada'!$C$21</f>
        <v>0</v>
      </c>
      <c r="G148" s="523">
        <f>G$36*'datos de entrada'!$C$21</f>
        <v>0</v>
      </c>
      <c r="H148" s="523">
        <f>H$36*'datos de entrada'!$C$21</f>
        <v>0</v>
      </c>
      <c r="I148" s="523">
        <f>I$36*'datos de entrada'!$C$21</f>
        <v>0</v>
      </c>
      <c r="J148" s="523">
        <f>J$36*'datos de entrada'!$C$21</f>
        <v>0</v>
      </c>
      <c r="K148" s="523">
        <f>K$36*'datos de entrada'!$C$21</f>
        <v>0</v>
      </c>
      <c r="L148" s="523">
        <f>L$36*'datos de entrada'!$C$21</f>
        <v>0</v>
      </c>
      <c r="M148" s="523">
        <f>M$36*'datos de entrada'!$C$21</f>
        <v>0</v>
      </c>
      <c r="N148" s="523">
        <f t="shared" ref="N148:N153" si="16">SUM(B148:M148)</f>
        <v>0</v>
      </c>
      <c r="O148" s="523">
        <f>$C$57*'datos de entrada'!$C$21</f>
        <v>0</v>
      </c>
      <c r="P148" s="523">
        <f>D$57*'datos de entrada'!$C21</f>
        <v>0</v>
      </c>
      <c r="Q148" s="523">
        <f>E$57*'datos de entrada'!$C21</f>
        <v>0</v>
      </c>
      <c r="R148" s="523">
        <f>F$57*'datos de entrada'!$C21</f>
        <v>0</v>
      </c>
    </row>
    <row r="149" spans="1:18" ht="15" customHeight="1">
      <c r="A149" s="533" t="s">
        <v>194</v>
      </c>
      <c r="C149" s="523">
        <f>B$36*'datos de entrada'!$D$21</f>
        <v>0</v>
      </c>
      <c r="D149" s="523">
        <f>C$36*'datos de entrada'!$D$21</f>
        <v>0</v>
      </c>
      <c r="E149" s="523">
        <f>D$36*'datos de entrada'!$D$21</f>
        <v>0</v>
      </c>
      <c r="F149" s="523">
        <f>E$36*'datos de entrada'!$D$21</f>
        <v>0</v>
      </c>
      <c r="G149" s="523">
        <f>F$36*'datos de entrada'!$D$21</f>
        <v>0</v>
      </c>
      <c r="H149" s="523">
        <f>G$36*'datos de entrada'!$D$21</f>
        <v>0</v>
      </c>
      <c r="I149" s="523">
        <f>H$36*'datos de entrada'!$D$21</f>
        <v>0</v>
      </c>
      <c r="J149" s="523">
        <f>I$36*'datos de entrada'!$D$21</f>
        <v>0</v>
      </c>
      <c r="K149" s="523">
        <f>J$36*'datos de entrada'!$D$21</f>
        <v>0</v>
      </c>
      <c r="L149" s="523">
        <f>K$36*'datos de entrada'!$D$21</f>
        <v>0</v>
      </c>
      <c r="M149" s="523">
        <f>L$36*'datos de entrada'!$D$21</f>
        <v>0</v>
      </c>
      <c r="N149" s="523">
        <f t="shared" si="16"/>
        <v>0</v>
      </c>
      <c r="O149" s="523">
        <f>$C$57*'datos de entrada'!$D$21*(1-$F$78)+$I$241</f>
        <v>0</v>
      </c>
      <c r="P149" s="523">
        <f>+'datos de entrada'!$D21*(D$57+($F$78)*(C$57-D$57))</f>
        <v>0</v>
      </c>
      <c r="Q149" s="523">
        <f>+'datos de entrada'!$D21*(E$57+($F$78)*(D$57-E$57))</f>
        <v>0</v>
      </c>
      <c r="R149" s="523">
        <f>+'datos de entrada'!$D21*(F$57+($F$78)*(E$57-F$57))</f>
        <v>0</v>
      </c>
    </row>
    <row r="150" spans="1:18" ht="15" customHeight="1">
      <c r="A150" s="533" t="s">
        <v>195</v>
      </c>
      <c r="D150" s="523">
        <f>B$36*'datos de entrada'!$E$21</f>
        <v>0</v>
      </c>
      <c r="E150" s="523">
        <f>C$36*'datos de entrada'!$E$21</f>
        <v>0</v>
      </c>
      <c r="F150" s="523">
        <f>D$36*'datos de entrada'!$E$21</f>
        <v>0</v>
      </c>
      <c r="G150" s="523">
        <f>E$36*'datos de entrada'!$E$21</f>
        <v>0</v>
      </c>
      <c r="H150" s="523">
        <f>F$36*'datos de entrada'!$E$21</f>
        <v>0</v>
      </c>
      <c r="I150" s="523">
        <f>G$36*'datos de entrada'!$E$21</f>
        <v>0</v>
      </c>
      <c r="J150" s="523">
        <f>H$36*'datos de entrada'!$E$21</f>
        <v>0</v>
      </c>
      <c r="K150" s="523">
        <f>I$36*'datos de entrada'!$E$21</f>
        <v>0</v>
      </c>
      <c r="L150" s="523">
        <f>J$36*'datos de entrada'!$E$21</f>
        <v>0</v>
      </c>
      <c r="M150" s="523">
        <f>K$36*'datos de entrada'!$E$21</f>
        <v>0</v>
      </c>
      <c r="N150" s="523">
        <f t="shared" si="16"/>
        <v>0</v>
      </c>
      <c r="O150" s="523">
        <f>$C$57*'datos de entrada'!$E$21*(1-($F$78+$E$78))+$I$242</f>
        <v>0</v>
      </c>
      <c r="P150" s="523">
        <f>+'datos de entrada'!$E21*(D$57+($F$78+$E$78)*(C$57-D$57))</f>
        <v>0</v>
      </c>
      <c r="Q150" s="523">
        <f>+'datos de entrada'!$E21*(E$57+($F$78+$E$78)*(D$57-E$57))</f>
        <v>0</v>
      </c>
      <c r="R150" s="523">
        <f>+'datos de entrada'!$E21*(F$57+($F$78+$E$78)*(E$57-F$57))</f>
        <v>0</v>
      </c>
    </row>
    <row r="151" spans="1:18" ht="15" customHeight="1">
      <c r="A151" s="533" t="s">
        <v>196</v>
      </c>
      <c r="E151" s="523">
        <f>B$36*'datos de entrada'!$F$21</f>
        <v>0</v>
      </c>
      <c r="F151" s="523">
        <f>C$36*'datos de entrada'!$F$21</f>
        <v>0</v>
      </c>
      <c r="G151" s="523">
        <f>D$36*'datos de entrada'!$F$21</f>
        <v>0</v>
      </c>
      <c r="H151" s="523">
        <f>E$36*'datos de entrada'!$F$21</f>
        <v>0</v>
      </c>
      <c r="I151" s="523">
        <f>F$36*'datos de entrada'!$F$21</f>
        <v>0</v>
      </c>
      <c r="J151" s="523">
        <f>G$36*'datos de entrada'!$F$21</f>
        <v>0</v>
      </c>
      <c r="K151" s="523">
        <f>H$36*'datos de entrada'!$F$21</f>
        <v>0</v>
      </c>
      <c r="L151" s="523">
        <f>I$36*'datos de entrada'!$F$21</f>
        <v>0</v>
      </c>
      <c r="M151" s="523">
        <f>J$36*'datos de entrada'!$F$21</f>
        <v>0</v>
      </c>
      <c r="N151" s="523">
        <f t="shared" si="16"/>
        <v>0</v>
      </c>
      <c r="O151" s="523">
        <f>$C$57*'datos de entrada'!$F$21*(1-($F$78+$E$78+$D$78))+$I$243</f>
        <v>0</v>
      </c>
      <c r="P151" s="523">
        <f>+'datos de entrada'!$F21*(D$57+($F$78+$E$78+$D$78)*(C$57-D$57))</f>
        <v>0</v>
      </c>
      <c r="Q151" s="523">
        <f>+'datos de entrada'!$F21*(E$57+($F$78+$E$78+$D$78)*(D$57-E$57))</f>
        <v>0</v>
      </c>
      <c r="R151" s="523">
        <f>+'datos de entrada'!$F21*(F$57+($F$78+$E$78+$D$78)*(E$57-F$57))</f>
        <v>0</v>
      </c>
    </row>
    <row r="152" spans="1:18" ht="15" customHeight="1">
      <c r="A152" s="533" t="s">
        <v>197</v>
      </c>
      <c r="F152" s="523">
        <f>B$36*'datos de entrada'!$G$21</f>
        <v>0</v>
      </c>
      <c r="G152" s="523">
        <f>C$36*'datos de entrada'!$G$21</f>
        <v>0</v>
      </c>
      <c r="H152" s="523">
        <f>D$36*'datos de entrada'!$G$21</f>
        <v>0</v>
      </c>
      <c r="I152" s="523">
        <f>E$36*'datos de entrada'!$G$21</f>
        <v>0</v>
      </c>
      <c r="J152" s="523">
        <f>F$36*'datos de entrada'!$G$21</f>
        <v>0</v>
      </c>
      <c r="K152" s="523">
        <f>G$36*'datos de entrada'!$G$21</f>
        <v>0</v>
      </c>
      <c r="L152" s="523">
        <f>H$36*'datos de entrada'!$G$21</f>
        <v>0</v>
      </c>
      <c r="M152" s="523">
        <f>I$36*'datos de entrada'!$G$21</f>
        <v>0</v>
      </c>
      <c r="N152" s="523">
        <f t="shared" si="16"/>
        <v>0</v>
      </c>
      <c r="O152" s="523">
        <f>$C$57*'datos de entrada'!$G$21*(1-($D$78+$E$78+$F$78+$C$78))+$I$244</f>
        <v>0</v>
      </c>
      <c r="P152" s="523">
        <f>+'datos de entrada'!$G21*(D$57+($F$78+$E$78+$D$78+$C$78)*(C$57-D$57))</f>
        <v>0</v>
      </c>
      <c r="Q152" s="523">
        <f>+'datos de entrada'!$G21*(E$57+($F$78+$E$78+$D$78+$C$78)*(D$57-E$57))</f>
        <v>0</v>
      </c>
      <c r="R152" s="523">
        <f>+'datos de entrada'!$G21*(F$57+($F$78+$E$78+$D$78+$C$78)*(E$57-F$57))</f>
        <v>0</v>
      </c>
    </row>
    <row r="153" spans="1:18" ht="15" customHeight="1">
      <c r="A153" s="533" t="s">
        <v>198</v>
      </c>
      <c r="G153" s="523">
        <f>B$36*'datos de entrada'!$H$21</f>
        <v>0</v>
      </c>
      <c r="H153" s="523">
        <f>C$36*'datos de entrada'!$H$21</f>
        <v>0</v>
      </c>
      <c r="I153" s="523">
        <f>D$36*'datos de entrada'!$H$21</f>
        <v>0</v>
      </c>
      <c r="J153" s="523">
        <f>E$36*'datos de entrada'!$H$21</f>
        <v>0</v>
      </c>
      <c r="K153" s="523">
        <f>F$36*'datos de entrada'!$H$21</f>
        <v>0</v>
      </c>
      <c r="L153" s="523">
        <f>G$36*'datos de entrada'!$H$21</f>
        <v>0</v>
      </c>
      <c r="M153" s="523">
        <f>H$36*'datos de entrada'!$H$21</f>
        <v>0</v>
      </c>
      <c r="N153" s="523">
        <f t="shared" si="16"/>
        <v>0</v>
      </c>
      <c r="O153" s="523">
        <f>$C$57*'datos de entrada'!$H$21*(1-($B$78+$C$78+$D$78+$E$78+$F$78))+$I$245</f>
        <v>0</v>
      </c>
      <c r="P153" s="523">
        <f>+'datos de entrada'!$H21*(D$57+($F$78+$E$78+$D$78+$C$78+$B$78)*(C$57-D$57))</f>
        <v>0</v>
      </c>
      <c r="Q153" s="523">
        <f>+'datos de entrada'!$H21*(E$57+($F$78+$E$78+$D$78+$C$78+$B$78)*(D$57-E$57))</f>
        <v>0</v>
      </c>
      <c r="R153" s="523">
        <f>+'datos de entrada'!$H21*(F$57+($F$78+$E$78+$D$78+$C$78+$B$78)*(E$57-F$57))</f>
        <v>0</v>
      </c>
    </row>
    <row r="154" spans="1:18" ht="15" customHeight="1">
      <c r="A154" s="533"/>
    </row>
    <row r="155" spans="1:18" ht="15" customHeight="1">
      <c r="A155" s="522" t="str">
        <f>+A18</f>
        <v/>
      </c>
    </row>
    <row r="156" spans="1:18" ht="15" customHeight="1">
      <c r="A156" s="533" t="s">
        <v>193</v>
      </c>
      <c r="B156" s="523">
        <f>B$37*'datos de entrada'!$C$22</f>
        <v>0</v>
      </c>
      <c r="C156" s="523">
        <f>C$37*'datos de entrada'!$C$22</f>
        <v>0</v>
      </c>
      <c r="D156" s="523">
        <f>D$37*'datos de entrada'!$C$22</f>
        <v>0</v>
      </c>
      <c r="E156" s="523">
        <f>E$37*'datos de entrada'!$C$22</f>
        <v>0</v>
      </c>
      <c r="F156" s="523">
        <f>F$37*'datos de entrada'!$C$22</f>
        <v>0</v>
      </c>
      <c r="G156" s="523">
        <f>G$37*'datos de entrada'!$C$22</f>
        <v>0</v>
      </c>
      <c r="H156" s="523">
        <f>H$37*'datos de entrada'!$C$22</f>
        <v>0</v>
      </c>
      <c r="I156" s="523">
        <f>I$37*'datos de entrada'!$C$22</f>
        <v>0</v>
      </c>
      <c r="J156" s="523">
        <f>J$37*'datos de entrada'!$C$22</f>
        <v>0</v>
      </c>
      <c r="K156" s="523">
        <f>K$37*'datos de entrada'!$C$22</f>
        <v>0</v>
      </c>
      <c r="L156" s="523">
        <f>L$37*'datos de entrada'!$C$22</f>
        <v>0</v>
      </c>
      <c r="M156" s="523">
        <f>M$37*'datos de entrada'!$C$22</f>
        <v>0</v>
      </c>
      <c r="N156" s="523">
        <f t="shared" ref="N156:N161" si="17">SUM(B156:M156)</f>
        <v>0</v>
      </c>
      <c r="O156" s="523">
        <f>$C$58*'datos de entrada'!$C$22</f>
        <v>0</v>
      </c>
      <c r="P156" s="523">
        <f>D$58*'datos de entrada'!$C22</f>
        <v>0</v>
      </c>
      <c r="Q156" s="523">
        <f>E$58*'datos de entrada'!$C22</f>
        <v>0</v>
      </c>
      <c r="R156" s="523">
        <f>F$58*'datos de entrada'!$C22</f>
        <v>0</v>
      </c>
    </row>
    <row r="157" spans="1:18" ht="15" customHeight="1">
      <c r="A157" s="533" t="s">
        <v>194</v>
      </c>
      <c r="C157" s="523">
        <f>B$37*'datos de entrada'!$D$22</f>
        <v>0</v>
      </c>
      <c r="D157" s="523">
        <f>C$37*'datos de entrada'!$D$22</f>
        <v>0</v>
      </c>
      <c r="E157" s="523">
        <f>D$37*'datos de entrada'!$D$22</f>
        <v>0</v>
      </c>
      <c r="F157" s="523">
        <f>E$37*'datos de entrada'!$D$22</f>
        <v>0</v>
      </c>
      <c r="G157" s="523">
        <f>F$37*'datos de entrada'!$D$22</f>
        <v>0</v>
      </c>
      <c r="H157" s="523">
        <f>G$37*'datos de entrada'!$D$22</f>
        <v>0</v>
      </c>
      <c r="I157" s="523">
        <f>H$37*'datos de entrada'!$D$22</f>
        <v>0</v>
      </c>
      <c r="J157" s="523">
        <f>I$37*'datos de entrada'!$D$22</f>
        <v>0</v>
      </c>
      <c r="K157" s="523">
        <f>J$37*'datos de entrada'!$D$22</f>
        <v>0</v>
      </c>
      <c r="L157" s="523">
        <f>K$37*'datos de entrada'!$D$22</f>
        <v>0</v>
      </c>
      <c r="M157" s="523">
        <f>L$37*'datos de entrada'!$D$22</f>
        <v>0</v>
      </c>
      <c r="N157" s="523">
        <f t="shared" si="17"/>
        <v>0</v>
      </c>
      <c r="O157" s="523">
        <f>$C$58*'datos de entrada'!$D$22*(1-$F$79)+$J$241</f>
        <v>0</v>
      </c>
      <c r="P157" s="523">
        <f>+'datos de entrada'!$D22*(D$58+($F$79)*(C$58-D$58))</f>
        <v>0</v>
      </c>
      <c r="Q157" s="523">
        <f>+'datos de entrada'!$D22*(E$58+($F$79)*(D$58-E$58))</f>
        <v>0</v>
      </c>
      <c r="R157" s="523">
        <f>+'datos de entrada'!$D22*(F$58+($F$79)*(E$58-F$58))</f>
        <v>0</v>
      </c>
    </row>
    <row r="158" spans="1:18" ht="15" customHeight="1">
      <c r="A158" s="533" t="s">
        <v>195</v>
      </c>
      <c r="D158" s="523">
        <f>B$37*'datos de entrada'!$E$22</f>
        <v>0</v>
      </c>
      <c r="E158" s="523">
        <f>C$37*'datos de entrada'!$E$22</f>
        <v>0</v>
      </c>
      <c r="F158" s="523">
        <f>D$37*'datos de entrada'!$E$22</f>
        <v>0</v>
      </c>
      <c r="G158" s="523">
        <f>E$37*'datos de entrada'!$E$22</f>
        <v>0</v>
      </c>
      <c r="H158" s="523">
        <f>F$37*'datos de entrada'!$E$22</f>
        <v>0</v>
      </c>
      <c r="I158" s="523">
        <f>G$37*'datos de entrada'!$E$22</f>
        <v>0</v>
      </c>
      <c r="J158" s="523">
        <f>H$37*'datos de entrada'!$E$22</f>
        <v>0</v>
      </c>
      <c r="K158" s="523">
        <f>I$37*'datos de entrada'!$E$22</f>
        <v>0</v>
      </c>
      <c r="L158" s="523">
        <f>J$37*'datos de entrada'!$E$22</f>
        <v>0</v>
      </c>
      <c r="M158" s="523">
        <f>K$37*'datos de entrada'!$E$22</f>
        <v>0</v>
      </c>
      <c r="N158" s="523">
        <f t="shared" si="17"/>
        <v>0</v>
      </c>
      <c r="O158" s="523">
        <f>$C$58*'datos de entrada'!$E$22*(1-($F$79+$E$79))+$J$242</f>
        <v>0</v>
      </c>
      <c r="P158" s="523">
        <f>+'datos de entrada'!$E22*(D$58+($F$79+$E$79)*(C$58-D$58))</f>
        <v>0</v>
      </c>
      <c r="Q158" s="523">
        <f>+'datos de entrada'!$E22*(E$58+($F$79+$E$79)*(D$58-E$58))</f>
        <v>0</v>
      </c>
      <c r="R158" s="523">
        <f>+'datos de entrada'!$E22*(F$58+($F$79+$E$79)*(E$58-F$58))</f>
        <v>0</v>
      </c>
    </row>
    <row r="159" spans="1:18" ht="15" customHeight="1">
      <c r="A159" s="533" t="s">
        <v>196</v>
      </c>
      <c r="E159" s="523">
        <f>B$37*'datos de entrada'!$F$22</f>
        <v>0</v>
      </c>
      <c r="F159" s="523">
        <f>C$37*'datos de entrada'!$F$22</f>
        <v>0</v>
      </c>
      <c r="G159" s="523">
        <f>D$37*'datos de entrada'!$F$22</f>
        <v>0</v>
      </c>
      <c r="H159" s="523">
        <f>E$37*'datos de entrada'!$F$22</f>
        <v>0</v>
      </c>
      <c r="I159" s="523">
        <f>F$37*'datos de entrada'!$F$22</f>
        <v>0</v>
      </c>
      <c r="J159" s="523">
        <f>G$37*'datos de entrada'!$F$22</f>
        <v>0</v>
      </c>
      <c r="K159" s="523">
        <f>H$37*'datos de entrada'!$F$22</f>
        <v>0</v>
      </c>
      <c r="L159" s="523">
        <f>I$37*'datos de entrada'!$F$22</f>
        <v>0</v>
      </c>
      <c r="M159" s="523">
        <f>J$37*'datos de entrada'!$F$22</f>
        <v>0</v>
      </c>
      <c r="N159" s="523">
        <f t="shared" si="17"/>
        <v>0</v>
      </c>
      <c r="O159" s="523">
        <f>$C$58*'datos de entrada'!$F$22*(1-($F$79+$E$79+$D$79))+$J$243</f>
        <v>0</v>
      </c>
      <c r="P159" s="523">
        <f>+'datos de entrada'!$F22*(D$58+($F$79+$E$79+$D$79)*(C$58-D$58))</f>
        <v>0</v>
      </c>
      <c r="Q159" s="523">
        <f>+'datos de entrada'!$F22*(E$58+($F$79+$E$79+$D$79)*(D$58-E$58))</f>
        <v>0</v>
      </c>
      <c r="R159" s="523">
        <f>+'datos de entrada'!$F22*(F$58+($F$79+$E$79+$D$79)*(E$58-F$58))</f>
        <v>0</v>
      </c>
    </row>
    <row r="160" spans="1:18" ht="15" customHeight="1">
      <c r="A160" s="533" t="s">
        <v>197</v>
      </c>
      <c r="F160" s="523">
        <f>B$37*'datos de entrada'!$G$22</f>
        <v>0</v>
      </c>
      <c r="G160" s="523">
        <f>C$37*'datos de entrada'!$G$22</f>
        <v>0</v>
      </c>
      <c r="H160" s="523">
        <f>D$37*'datos de entrada'!$G$22</f>
        <v>0</v>
      </c>
      <c r="I160" s="523">
        <f>E$37*'datos de entrada'!$G$22</f>
        <v>0</v>
      </c>
      <c r="J160" s="523">
        <f>F$37*'datos de entrada'!$G$22</f>
        <v>0</v>
      </c>
      <c r="K160" s="523">
        <f>G$37*'datos de entrada'!$G$22</f>
        <v>0</v>
      </c>
      <c r="L160" s="523">
        <f>H$37*'datos de entrada'!$G$22</f>
        <v>0</v>
      </c>
      <c r="M160" s="523">
        <f>I$37*'datos de entrada'!$G$22</f>
        <v>0</v>
      </c>
      <c r="N160" s="523">
        <f t="shared" si="17"/>
        <v>0</v>
      </c>
      <c r="O160" s="523">
        <f>$C$58*'datos de entrada'!$G$22*(1-($D$79+$E$79+$F$79+$C$79))+$J$244</f>
        <v>0</v>
      </c>
      <c r="P160" s="523">
        <f>+'datos de entrada'!$G22*(D$58+($F$79+$E$79+$D$79+$C$79)*(C$58-D$58))</f>
        <v>0</v>
      </c>
      <c r="Q160" s="523">
        <f>+'datos de entrada'!$G22*(E$58+($F$79+$E$79+$D$79+$C$79)*(D$58-E$58))</f>
        <v>0</v>
      </c>
      <c r="R160" s="523">
        <f>+'datos de entrada'!$G22*(F$58+($F$79+$E$79+$D$79+$C$79)*(E$58-F$58))</f>
        <v>0</v>
      </c>
    </row>
    <row r="161" spans="1:18" ht="15" customHeight="1">
      <c r="A161" s="533" t="s">
        <v>198</v>
      </c>
      <c r="G161" s="523">
        <f>B$37*'datos de entrada'!$H$22</f>
        <v>0</v>
      </c>
      <c r="H161" s="523">
        <f>C$37*'datos de entrada'!$H$22</f>
        <v>0</v>
      </c>
      <c r="I161" s="523">
        <f>D$37*'datos de entrada'!$H$22</f>
        <v>0</v>
      </c>
      <c r="J161" s="523">
        <f>E$37*'datos de entrada'!$H$22</f>
        <v>0</v>
      </c>
      <c r="K161" s="523">
        <f>F$37*'datos de entrada'!$H$22</f>
        <v>0</v>
      </c>
      <c r="L161" s="523">
        <f>G$37*'datos de entrada'!$H$22</f>
        <v>0</v>
      </c>
      <c r="M161" s="523">
        <f>H$37*'datos de entrada'!$H$22</f>
        <v>0</v>
      </c>
      <c r="N161" s="523">
        <f t="shared" si="17"/>
        <v>0</v>
      </c>
      <c r="O161" s="523">
        <f>$C$58*'datos de entrada'!$H$22*(1-($B$79+$C$79+$D$79+$E$79+$F$79))+$J$245</f>
        <v>0</v>
      </c>
      <c r="P161" s="523">
        <f>+'datos de entrada'!$H22*(D$58+($F$79+$E$79+$D$79+$C$79+$B$79)*(C$58-D$58))</f>
        <v>0</v>
      </c>
      <c r="Q161" s="523">
        <f>+'datos de entrada'!$H22*(E$58+($F$79+$E$79+$D$79+$C$79+$B$79)*(D$58-E$58))</f>
        <v>0</v>
      </c>
      <c r="R161" s="523">
        <f>+'datos de entrada'!$H22*(F$58+($F$79+$E$79+$D$79+$C$79+$B$79)*(E$58-F$58))</f>
        <v>0</v>
      </c>
    </row>
    <row r="162" spans="1:18" ht="15" customHeight="1">
      <c r="A162" s="533"/>
    </row>
    <row r="163" spans="1:18" ht="15" customHeight="1">
      <c r="A163" s="522" t="str">
        <f>+A17</f>
        <v/>
      </c>
    </row>
    <row r="164" spans="1:18" ht="15" customHeight="1">
      <c r="A164" s="533" t="s">
        <v>193</v>
      </c>
      <c r="B164" s="523">
        <f>B$38*'datos de entrada'!$C$23</f>
        <v>0</v>
      </c>
      <c r="C164" s="523">
        <f>C$38*'datos de entrada'!$C$23</f>
        <v>0</v>
      </c>
      <c r="D164" s="523">
        <f>D$38*'datos de entrada'!$C$23</f>
        <v>0</v>
      </c>
      <c r="E164" s="523">
        <f>E$38*'datos de entrada'!$C$23</f>
        <v>0</v>
      </c>
      <c r="F164" s="523">
        <f>F$38*'datos de entrada'!$C$23</f>
        <v>0</v>
      </c>
      <c r="G164" s="523">
        <f>G$38*'datos de entrada'!$C$23</f>
        <v>0</v>
      </c>
      <c r="H164" s="523">
        <f>H$38*'datos de entrada'!$C$23</f>
        <v>0</v>
      </c>
      <c r="I164" s="523">
        <f>I$38*'datos de entrada'!$C$23</f>
        <v>0</v>
      </c>
      <c r="J164" s="523">
        <f>J$38*'datos de entrada'!$C$23</f>
        <v>0</v>
      </c>
      <c r="K164" s="523">
        <f>K$38*'datos de entrada'!$C$23</f>
        <v>0</v>
      </c>
      <c r="L164" s="523">
        <f>L$38*'datos de entrada'!$C$23</f>
        <v>0</v>
      </c>
      <c r="M164" s="523">
        <f>M$38*'datos de entrada'!$C$23</f>
        <v>0</v>
      </c>
      <c r="N164" s="523">
        <f t="shared" ref="N164:N169" si="18">SUM(B164:M164)</f>
        <v>0</v>
      </c>
      <c r="O164" s="523">
        <f>$C$59*'datos de entrada'!$C$23</f>
        <v>0</v>
      </c>
      <c r="P164" s="523">
        <f>D$59*'datos de entrada'!$C23</f>
        <v>0</v>
      </c>
      <c r="Q164" s="523">
        <f>E$59*'datos de entrada'!$C23</f>
        <v>0</v>
      </c>
      <c r="R164" s="523">
        <f>F$59*'datos de entrada'!$C23</f>
        <v>0</v>
      </c>
    </row>
    <row r="165" spans="1:18" ht="15" customHeight="1">
      <c r="A165" s="533" t="s">
        <v>194</v>
      </c>
      <c r="C165" s="523">
        <f>B38*'datos de entrada'!$D$23</f>
        <v>0</v>
      </c>
      <c r="D165" s="523">
        <f>C38*'datos de entrada'!$D$23</f>
        <v>0</v>
      </c>
      <c r="E165" s="523">
        <f>D38*'datos de entrada'!$D$23</f>
        <v>0</v>
      </c>
      <c r="F165" s="523">
        <f>E38*'datos de entrada'!$D$23</f>
        <v>0</v>
      </c>
      <c r="G165" s="523">
        <f>F38*'datos de entrada'!$D$23</f>
        <v>0</v>
      </c>
      <c r="H165" s="523">
        <f>G38*'datos de entrada'!$D$23</f>
        <v>0</v>
      </c>
      <c r="I165" s="523">
        <f>H38*'datos de entrada'!$D$23</f>
        <v>0</v>
      </c>
      <c r="J165" s="523">
        <f>I38*'datos de entrada'!$D$23</f>
        <v>0</v>
      </c>
      <c r="K165" s="523">
        <f>J38*'datos de entrada'!$D$23</f>
        <v>0</v>
      </c>
      <c r="L165" s="523">
        <f>K38*'datos de entrada'!$D$23</f>
        <v>0</v>
      </c>
      <c r="M165" s="523">
        <f>L38*'datos de entrada'!$D$23</f>
        <v>0</v>
      </c>
      <c r="N165" s="523">
        <f t="shared" si="18"/>
        <v>0</v>
      </c>
      <c r="O165" s="523">
        <f>$C$59*'datos de entrada'!$D$23*(1-$F$80)+$K$241</f>
        <v>0</v>
      </c>
      <c r="P165" s="523">
        <f>+'datos de entrada'!$D23*(D$59+($F$80)*(C$59-D$59))</f>
        <v>0</v>
      </c>
      <c r="Q165" s="523">
        <f>+'datos de entrada'!$D23*(E$59+($F$80)*(D$59-E$59))</f>
        <v>0</v>
      </c>
      <c r="R165" s="523">
        <f>+'datos de entrada'!$D23*(F$59+($F$80)*(E$59-F$59))</f>
        <v>0</v>
      </c>
    </row>
    <row r="166" spans="1:18" ht="15" customHeight="1">
      <c r="A166" s="533" t="s">
        <v>195</v>
      </c>
      <c r="D166" s="523">
        <f>B38*'datos de entrada'!$E$23</f>
        <v>0</v>
      </c>
      <c r="E166" s="523">
        <f>C38*'datos de entrada'!$E$23</f>
        <v>0</v>
      </c>
      <c r="F166" s="523">
        <f>D38*'datos de entrada'!$E$23</f>
        <v>0</v>
      </c>
      <c r="G166" s="523">
        <f>E38*'datos de entrada'!$E$23</f>
        <v>0</v>
      </c>
      <c r="H166" s="523">
        <f>F38*'datos de entrada'!$E$23</f>
        <v>0</v>
      </c>
      <c r="I166" s="523">
        <f>G38*'datos de entrada'!$E$23</f>
        <v>0</v>
      </c>
      <c r="J166" s="523">
        <f>H38*'datos de entrada'!$E$23</f>
        <v>0</v>
      </c>
      <c r="K166" s="523">
        <f>I38*'datos de entrada'!$E$23</f>
        <v>0</v>
      </c>
      <c r="L166" s="523">
        <f>J38*'datos de entrada'!$E$23</f>
        <v>0</v>
      </c>
      <c r="M166" s="523">
        <f>K38*'datos de entrada'!$E$23</f>
        <v>0</v>
      </c>
      <c r="N166" s="523">
        <f t="shared" si="18"/>
        <v>0</v>
      </c>
      <c r="O166" s="523">
        <f>$C$59*'datos de entrada'!$E$23*(1-($F$80+$E$80))+$K$242</f>
        <v>0</v>
      </c>
      <c r="P166" s="523">
        <f>+'datos de entrada'!$E23*(D$59+($F$80+$E$80)*(C$59-D$59))</f>
        <v>0</v>
      </c>
      <c r="Q166" s="523">
        <f>+'datos de entrada'!$E23*(E$59+($F$80+$E$80)*(D$59-E$59))</f>
        <v>0</v>
      </c>
      <c r="R166" s="523">
        <f>+'datos de entrada'!$E23*(F$59+($F$80+$E$80)*(E$59-F$59))</f>
        <v>0</v>
      </c>
    </row>
    <row r="167" spans="1:18" ht="15" customHeight="1">
      <c r="A167" s="533" t="s">
        <v>196</v>
      </c>
      <c r="E167" s="523">
        <f>B38*'datos de entrada'!$F$23</f>
        <v>0</v>
      </c>
      <c r="F167" s="523">
        <f>C38*'datos de entrada'!$F$23</f>
        <v>0</v>
      </c>
      <c r="G167" s="523">
        <f>D38*'datos de entrada'!$F$23</f>
        <v>0</v>
      </c>
      <c r="H167" s="523">
        <f>E38*'datos de entrada'!$F$23</f>
        <v>0</v>
      </c>
      <c r="I167" s="523">
        <f>F38*'datos de entrada'!$F$23</f>
        <v>0</v>
      </c>
      <c r="J167" s="523">
        <f>G38*'datos de entrada'!$F$23</f>
        <v>0</v>
      </c>
      <c r="K167" s="523">
        <f>H38*'datos de entrada'!$F$23</f>
        <v>0</v>
      </c>
      <c r="L167" s="523">
        <f>I38*'datos de entrada'!$F$23</f>
        <v>0</v>
      </c>
      <c r="M167" s="523">
        <f>J38*'datos de entrada'!$F$23</f>
        <v>0</v>
      </c>
      <c r="N167" s="523">
        <f t="shared" si="18"/>
        <v>0</v>
      </c>
      <c r="O167" s="523">
        <f>$C$59*'datos de entrada'!$F$23*(1-($F$80+$E$80+$D$80))+$K$243</f>
        <v>0</v>
      </c>
      <c r="P167" s="523">
        <f>+'datos de entrada'!$F23*(D$59+($F$80+$E$80+$D$80)*(C$59-D$59))</f>
        <v>0</v>
      </c>
      <c r="Q167" s="523">
        <f>+'datos de entrada'!$F23*(E$59+($F$80+$E$80+$D$80)*(D$59-E$59))</f>
        <v>0</v>
      </c>
      <c r="R167" s="523">
        <f>+'datos de entrada'!$F23*(F$59+($F$80+$E$80+$D$80)*(E$59-F$59))</f>
        <v>0</v>
      </c>
    </row>
    <row r="168" spans="1:18" ht="15" customHeight="1">
      <c r="A168" s="533" t="s">
        <v>197</v>
      </c>
      <c r="F168" s="523">
        <f>B38*'datos de entrada'!$G$23</f>
        <v>0</v>
      </c>
      <c r="G168" s="523">
        <f>C38*'datos de entrada'!$G$23</f>
        <v>0</v>
      </c>
      <c r="H168" s="523">
        <f>D38*'datos de entrada'!$G$23</f>
        <v>0</v>
      </c>
      <c r="I168" s="523">
        <f>E38*'datos de entrada'!$G$23</f>
        <v>0</v>
      </c>
      <c r="J168" s="523">
        <f>F38*'datos de entrada'!$G$23</f>
        <v>0</v>
      </c>
      <c r="K168" s="523">
        <f>G38*'datos de entrada'!$G$23</f>
        <v>0</v>
      </c>
      <c r="L168" s="523">
        <f>H38*'datos de entrada'!$G$23</f>
        <v>0</v>
      </c>
      <c r="M168" s="523">
        <f>I38*'datos de entrada'!$G$23</f>
        <v>0</v>
      </c>
      <c r="N168" s="523">
        <f t="shared" si="18"/>
        <v>0</v>
      </c>
      <c r="O168" s="523">
        <f>$C$59*'datos de entrada'!$G$23*(1-($D$80+$E$80+$F$80+$C$80))+$K$244</f>
        <v>0</v>
      </c>
      <c r="P168" s="523">
        <f>+'datos de entrada'!$G23*(D$59+($F$80+$E$80+$D$80+$C$80)*(C$59-D$59))</f>
        <v>0</v>
      </c>
      <c r="Q168" s="523">
        <f>+'datos de entrada'!$G23*(E$59+($F$80+$E$80+$D$80+$C$80)*(D$59-E$59))</f>
        <v>0</v>
      </c>
      <c r="R168" s="523">
        <f>+'datos de entrada'!$G23*(F$59+($F$80+$E$80+$D$80+$C$80)*(E$59-F$59))</f>
        <v>0</v>
      </c>
    </row>
    <row r="169" spans="1:18" ht="15" customHeight="1">
      <c r="A169" s="533" t="s">
        <v>198</v>
      </c>
      <c r="G169" s="523">
        <f>B38*'datos de entrada'!$H$23</f>
        <v>0</v>
      </c>
      <c r="H169" s="523">
        <f>C38*'datos de entrada'!$H$23</f>
        <v>0</v>
      </c>
      <c r="I169" s="523">
        <f>D38*'datos de entrada'!$H$23</f>
        <v>0</v>
      </c>
      <c r="J169" s="523">
        <f>E38*'datos de entrada'!$H$23</f>
        <v>0</v>
      </c>
      <c r="K169" s="523">
        <f>F38*'datos de entrada'!$H$23</f>
        <v>0</v>
      </c>
      <c r="L169" s="523">
        <f>G38*'datos de entrada'!$H$23</f>
        <v>0</v>
      </c>
      <c r="M169" s="523">
        <f>H38*'datos de entrada'!$H$23</f>
        <v>0</v>
      </c>
      <c r="N169" s="523">
        <f t="shared" si="18"/>
        <v>0</v>
      </c>
      <c r="O169" s="523">
        <f>$C$59*'datos de entrada'!$H$23*(1-($B$80+$C$80+$D$80+$E$80+$F$80))+$K$245</f>
        <v>0</v>
      </c>
      <c r="P169" s="523">
        <f>+'datos de entrada'!$H23*(D$59+($F$80+$E$80+$D$80+$C$80+$B$80)*(C$59-D$59))</f>
        <v>0</v>
      </c>
      <c r="Q169" s="523">
        <f>+'datos de entrada'!$H23*(E$59+($F$80+$E$80+$D$80+$C$80+$B$80)*(D$59-E$59))</f>
        <v>0</v>
      </c>
      <c r="R169" s="523">
        <f>+'datos de entrada'!$H23*(F$59+($F$80+$E$80+$D$80+$C$80+$B$80)*(E$59-F$59))</f>
        <v>0</v>
      </c>
    </row>
    <row r="170" spans="1:18" ht="15" customHeight="1">
      <c r="A170" s="533"/>
    </row>
    <row r="171" spans="1:18" ht="15" customHeight="1">
      <c r="A171" s="522" t="str">
        <f>+A20</f>
        <v/>
      </c>
    </row>
    <row r="172" spans="1:18" ht="15" customHeight="1">
      <c r="A172" s="533" t="s">
        <v>193</v>
      </c>
      <c r="B172" s="523">
        <f>B$39*'datos de entrada'!$C$24</f>
        <v>0</v>
      </c>
      <c r="C172" s="523">
        <f>C$39*'datos de entrada'!$C$24</f>
        <v>0</v>
      </c>
      <c r="D172" s="523">
        <f>D$39*'datos de entrada'!$C$24</f>
        <v>0</v>
      </c>
      <c r="E172" s="523">
        <f>E$39*'datos de entrada'!$C$24</f>
        <v>0</v>
      </c>
      <c r="F172" s="523">
        <f>F$39*'datos de entrada'!$C$24</f>
        <v>0</v>
      </c>
      <c r="G172" s="523">
        <f>G$39*'datos de entrada'!$C$24</f>
        <v>0</v>
      </c>
      <c r="H172" s="523">
        <f>H$39*'datos de entrada'!$C$24</f>
        <v>0</v>
      </c>
      <c r="I172" s="523">
        <f>I$39*'datos de entrada'!$C$24</f>
        <v>0</v>
      </c>
      <c r="J172" s="523">
        <f>J$39*'datos de entrada'!$C$24</f>
        <v>0</v>
      </c>
      <c r="K172" s="523">
        <f>K$39*'datos de entrada'!$C$24</f>
        <v>0</v>
      </c>
      <c r="L172" s="523">
        <f>L$39*'datos de entrada'!$C$24</f>
        <v>0</v>
      </c>
      <c r="M172" s="523">
        <f>M$39*'datos de entrada'!$C$24</f>
        <v>0</v>
      </c>
      <c r="N172" s="523">
        <f t="shared" ref="N172:N177" si="19">SUM(B172:M172)</f>
        <v>0</v>
      </c>
      <c r="O172" s="523">
        <f>C$60*'datos de entrada'!$C$24</f>
        <v>0</v>
      </c>
      <c r="P172" s="523">
        <f>D$60*'datos de entrada'!$C$24</f>
        <v>0</v>
      </c>
      <c r="Q172" s="523">
        <f>E$60*'datos de entrada'!$C$24</f>
        <v>0</v>
      </c>
      <c r="R172" s="523">
        <f>F$60*'datos de entrada'!$C$24</f>
        <v>0</v>
      </c>
    </row>
    <row r="173" spans="1:18" ht="15" customHeight="1">
      <c r="A173" s="533" t="s">
        <v>194</v>
      </c>
      <c r="C173" s="523">
        <f>B39*'datos de entrada'!$D$24</f>
        <v>0</v>
      </c>
      <c r="D173" s="523">
        <f>C39*'datos de entrada'!$D$24</f>
        <v>0</v>
      </c>
      <c r="E173" s="523">
        <f>D39*'datos de entrada'!$D$24</f>
        <v>0</v>
      </c>
      <c r="F173" s="523">
        <f>E39*'datos de entrada'!$D$24</f>
        <v>0</v>
      </c>
      <c r="G173" s="523">
        <f>F39*'datos de entrada'!$D$24</f>
        <v>0</v>
      </c>
      <c r="H173" s="523">
        <f>G39*'datos de entrada'!$D$24</f>
        <v>0</v>
      </c>
      <c r="I173" s="523">
        <f>H39*'datos de entrada'!$D$24</f>
        <v>0</v>
      </c>
      <c r="J173" s="523">
        <f>I39*'datos de entrada'!$D$24</f>
        <v>0</v>
      </c>
      <c r="K173" s="523">
        <f>J39*'datos de entrada'!$D$24</f>
        <v>0</v>
      </c>
      <c r="L173" s="523">
        <f>K39*'datos de entrada'!$D$24</f>
        <v>0</v>
      </c>
      <c r="M173" s="523">
        <f>L39*'datos de entrada'!$D$24</f>
        <v>0</v>
      </c>
      <c r="N173" s="523">
        <f t="shared" si="19"/>
        <v>0</v>
      </c>
      <c r="O173" s="523">
        <f>$C$60*'datos de entrada'!$D$24*(1-$F$81)+$L$241</f>
        <v>0</v>
      </c>
      <c r="P173" s="523">
        <f>+'datos de entrada'!$D24*(D$60+($F$81)*(C$60-D$60))</f>
        <v>0</v>
      </c>
      <c r="Q173" s="523">
        <f>+'datos de entrada'!$D24*(E$60+($F$81)*(D$60-E$60))</f>
        <v>0</v>
      </c>
      <c r="R173" s="523">
        <f>+'datos de entrada'!$D24*(F$60+($F$81)*(E$60-F$60))</f>
        <v>0</v>
      </c>
    </row>
    <row r="174" spans="1:18" ht="15" customHeight="1">
      <c r="A174" s="533" t="s">
        <v>195</v>
      </c>
      <c r="D174" s="523">
        <f>B39*'datos de entrada'!$E$24</f>
        <v>0</v>
      </c>
      <c r="E174" s="523">
        <f>C39*'datos de entrada'!$E$24</f>
        <v>0</v>
      </c>
      <c r="F174" s="523">
        <f>D39*'datos de entrada'!$E$24</f>
        <v>0</v>
      </c>
      <c r="G174" s="523">
        <f>E39*'datos de entrada'!$E$24</f>
        <v>0</v>
      </c>
      <c r="H174" s="523">
        <f>F39*'datos de entrada'!$E$24</f>
        <v>0</v>
      </c>
      <c r="I174" s="523">
        <f>G39*'datos de entrada'!$E$24</f>
        <v>0</v>
      </c>
      <c r="J174" s="523">
        <f>H39*'datos de entrada'!$E$24</f>
        <v>0</v>
      </c>
      <c r="K174" s="523">
        <f>I39*'datos de entrada'!$E$24</f>
        <v>0</v>
      </c>
      <c r="L174" s="523">
        <f>J39*'datos de entrada'!$E$24</f>
        <v>0</v>
      </c>
      <c r="M174" s="523">
        <f>K39*'datos de entrada'!$E$24</f>
        <v>0</v>
      </c>
      <c r="N174" s="523">
        <f t="shared" si="19"/>
        <v>0</v>
      </c>
      <c r="O174" s="523">
        <f>$C$60*'datos de entrada'!$E$24*(1-($F$81+$E$81))+$L$242</f>
        <v>0</v>
      </c>
      <c r="P174" s="523">
        <f>+'datos de entrada'!$E24*(D$60+($F$81+$E$81)*(C$60-D$60))</f>
        <v>0</v>
      </c>
      <c r="Q174" s="523">
        <f>+'datos de entrada'!$E24*(E$60+($F$81+$E$81)*(D$60-E$60))</f>
        <v>0</v>
      </c>
      <c r="R174" s="523">
        <f>+'datos de entrada'!$E24*(F$60+($F$81+$E$81)*(E$60-F$60))</f>
        <v>0</v>
      </c>
    </row>
    <row r="175" spans="1:18" ht="15" customHeight="1">
      <c r="A175" s="533" t="s">
        <v>196</v>
      </c>
      <c r="E175" s="523">
        <f>B39*'datos de entrada'!$F$24</f>
        <v>0</v>
      </c>
      <c r="F175" s="523">
        <f>C39*'datos de entrada'!$F$24</f>
        <v>0</v>
      </c>
      <c r="G175" s="523">
        <f>D39*'datos de entrada'!$F$24</f>
        <v>0</v>
      </c>
      <c r="H175" s="523">
        <f>E39*'datos de entrada'!$F$24</f>
        <v>0</v>
      </c>
      <c r="I175" s="523">
        <f>F39*'datos de entrada'!$F$24</f>
        <v>0</v>
      </c>
      <c r="J175" s="523">
        <f>G39*'datos de entrada'!$F$24</f>
        <v>0</v>
      </c>
      <c r="K175" s="523">
        <f>H39*'datos de entrada'!$F$24</f>
        <v>0</v>
      </c>
      <c r="L175" s="523">
        <f>I39*'datos de entrada'!$F$24</f>
        <v>0</v>
      </c>
      <c r="M175" s="523">
        <f>J39*'datos de entrada'!$F$24</f>
        <v>0</v>
      </c>
      <c r="N175" s="523">
        <f t="shared" si="19"/>
        <v>0</v>
      </c>
      <c r="O175" s="523">
        <f>$C$60*'datos de entrada'!$F$24*(1-($F$81+$E$81+$D$81))+$L$243</f>
        <v>0</v>
      </c>
      <c r="P175" s="523">
        <f>+'datos de entrada'!$F24*(D$60+($F$81+$E$81+$D$81)*(C$60-D$60))</f>
        <v>0</v>
      </c>
      <c r="Q175" s="523">
        <f>+'datos de entrada'!$F24*(E$60+($F$81+$E$81+$D$81)*(D$60-E$60))</f>
        <v>0</v>
      </c>
      <c r="R175" s="523">
        <f>+'datos de entrada'!$F24*(F$60+($F$81+$E$81+$D$81)*(E$60-F$60))</f>
        <v>0</v>
      </c>
    </row>
    <row r="176" spans="1:18" ht="15" customHeight="1">
      <c r="A176" s="533" t="s">
        <v>197</v>
      </c>
      <c r="F176" s="523">
        <f>B39*'datos de entrada'!$G$24</f>
        <v>0</v>
      </c>
      <c r="G176" s="523">
        <f>C39*'datos de entrada'!$G$24</f>
        <v>0</v>
      </c>
      <c r="H176" s="523">
        <f>D39*'datos de entrada'!$G$24</f>
        <v>0</v>
      </c>
      <c r="I176" s="523">
        <f>E39*'datos de entrada'!$G$24</f>
        <v>0</v>
      </c>
      <c r="J176" s="523">
        <f>F39*'datos de entrada'!$G$24</f>
        <v>0</v>
      </c>
      <c r="K176" s="523">
        <f>G39*'datos de entrada'!$G$24</f>
        <v>0</v>
      </c>
      <c r="L176" s="523">
        <f>H39*'datos de entrada'!$G$24</f>
        <v>0</v>
      </c>
      <c r="M176" s="523">
        <f>I39*'datos de entrada'!$G$24</f>
        <v>0</v>
      </c>
      <c r="N176" s="523">
        <f t="shared" si="19"/>
        <v>0</v>
      </c>
      <c r="O176" s="523">
        <f>$C$60*'datos de entrada'!$G$24*(1-($D$81+$E$81+$F$81+$C$81))+$L$244</f>
        <v>0</v>
      </c>
      <c r="P176" s="523">
        <f>+'datos de entrada'!$G24*(D$60+($F$81+$E$81+$D$81+$C$81)*(C$60-D$60))</f>
        <v>0</v>
      </c>
      <c r="Q176" s="523">
        <f>+'datos de entrada'!$G24*(E$60+($F$81+$E$81+$D$81+$C$81)*(D$60-E$60))</f>
        <v>0</v>
      </c>
      <c r="R176" s="523">
        <f>+'datos de entrada'!$G24*(F$60+($F$81+$E$81+$D$81+$C$81)*(E$60-F$60))</f>
        <v>0</v>
      </c>
    </row>
    <row r="177" spans="1:18" ht="15" customHeight="1">
      <c r="A177" s="533" t="s">
        <v>198</v>
      </c>
      <c r="G177" s="523">
        <f>B39*'datos de entrada'!$H$24</f>
        <v>0</v>
      </c>
      <c r="H177" s="523">
        <f>C39*'datos de entrada'!$H$24</f>
        <v>0</v>
      </c>
      <c r="I177" s="523">
        <f>D39*'datos de entrada'!$H$24</f>
        <v>0</v>
      </c>
      <c r="J177" s="523">
        <f>E39*'datos de entrada'!$H$24</f>
        <v>0</v>
      </c>
      <c r="K177" s="523">
        <f>F39*'datos de entrada'!$H$24</f>
        <v>0</v>
      </c>
      <c r="L177" s="523">
        <f>G39*'datos de entrada'!$H$24</f>
        <v>0</v>
      </c>
      <c r="M177" s="523">
        <f>H39*'datos de entrada'!$H$24</f>
        <v>0</v>
      </c>
      <c r="N177" s="523">
        <f t="shared" si="19"/>
        <v>0</v>
      </c>
      <c r="O177" s="523">
        <f>$C$60*'datos de entrada'!$H$24*(1-($B$81+$C$81+$D$81+$E$81+$F$81))+$L$245</f>
        <v>0</v>
      </c>
      <c r="P177" s="523">
        <f>+'datos de entrada'!$H24*(D$60+($F$81+$E$81+$D$81+$C$81+$B$81)*(C$60-D$60))</f>
        <v>0</v>
      </c>
      <c r="Q177" s="523">
        <f>+'datos de entrada'!$H24*(E$60+($F$81+$E$81+$D$81+$C$81+$B$81)*(D$60-E$60))</f>
        <v>0</v>
      </c>
      <c r="R177" s="523">
        <f>+'datos de entrada'!$H24*(F$60+($F$81+$E$81+$D$81+$C$81+$B$81)*(E$60-F$60))</f>
        <v>0</v>
      </c>
    </row>
    <row r="178" spans="1:18" ht="15" customHeight="1">
      <c r="A178" s="533"/>
    </row>
    <row r="179" spans="1:18" ht="15" customHeight="1">
      <c r="A179" s="522" t="str">
        <f>+A21</f>
        <v/>
      </c>
    </row>
    <row r="180" spans="1:18" ht="15" customHeight="1">
      <c r="A180" s="533" t="s">
        <v>193</v>
      </c>
      <c r="B180" s="523">
        <f>B$40*'datos de entrada'!$C$25</f>
        <v>0</v>
      </c>
      <c r="C180" s="523">
        <f>C$40*'datos de entrada'!$C$25</f>
        <v>0</v>
      </c>
      <c r="D180" s="523">
        <f>D$40*'datos de entrada'!$C$25</f>
        <v>0</v>
      </c>
      <c r="E180" s="523">
        <f>E$40*'datos de entrada'!$C$25</f>
        <v>0</v>
      </c>
      <c r="F180" s="523">
        <f>F$40*'datos de entrada'!$C$25</f>
        <v>0</v>
      </c>
      <c r="G180" s="523">
        <f>G$40*'datos de entrada'!$C$25</f>
        <v>0</v>
      </c>
      <c r="H180" s="523">
        <f>H$40*'datos de entrada'!$C$25</f>
        <v>0</v>
      </c>
      <c r="I180" s="523">
        <f>I$40*'datos de entrada'!$C$25</f>
        <v>0</v>
      </c>
      <c r="J180" s="523">
        <f>J$40*'datos de entrada'!$C$25</f>
        <v>0</v>
      </c>
      <c r="K180" s="523">
        <f>K$40*'datos de entrada'!$C$25</f>
        <v>0</v>
      </c>
      <c r="L180" s="523">
        <f>L$40*'datos de entrada'!$C$25</f>
        <v>0</v>
      </c>
      <c r="M180" s="523">
        <f>M$40*'datos de entrada'!$C$25</f>
        <v>0</v>
      </c>
      <c r="N180" s="523">
        <f t="shared" ref="N180:N185" si="20">SUM(B180:M180)</f>
        <v>0</v>
      </c>
      <c r="O180" s="523">
        <f>C$61*'datos de entrada'!$C$25</f>
        <v>0</v>
      </c>
      <c r="P180" s="523">
        <f>D$61*'datos de entrada'!$C$25</f>
        <v>0</v>
      </c>
      <c r="Q180" s="523">
        <f>E$61*'datos de entrada'!$C$25</f>
        <v>0</v>
      </c>
      <c r="R180" s="523">
        <f>F$61*'datos de entrada'!$C$25</f>
        <v>0</v>
      </c>
    </row>
    <row r="181" spans="1:18" ht="15" customHeight="1">
      <c r="A181" s="533" t="s">
        <v>194</v>
      </c>
      <c r="C181" s="523">
        <f>B40*'datos de entrada'!$D$25</f>
        <v>0</v>
      </c>
      <c r="D181" s="523">
        <f>C40*'datos de entrada'!$D$25</f>
        <v>0</v>
      </c>
      <c r="E181" s="523">
        <f>D40*'datos de entrada'!$D$25</f>
        <v>0</v>
      </c>
      <c r="F181" s="523">
        <f>E40*'datos de entrada'!$D$25</f>
        <v>0</v>
      </c>
      <c r="G181" s="523">
        <f>F40*'datos de entrada'!$D$25</f>
        <v>0</v>
      </c>
      <c r="H181" s="523">
        <f>G40*'datos de entrada'!$D$25</f>
        <v>0</v>
      </c>
      <c r="I181" s="523">
        <f>H40*'datos de entrada'!$D$25</f>
        <v>0</v>
      </c>
      <c r="J181" s="523">
        <f>I40*'datos de entrada'!$D$25</f>
        <v>0</v>
      </c>
      <c r="K181" s="523">
        <f>J40*'datos de entrada'!$D$25</f>
        <v>0</v>
      </c>
      <c r="L181" s="523">
        <f>K40*'datos de entrada'!$D$25</f>
        <v>0</v>
      </c>
      <c r="M181" s="523">
        <f>L40*'datos de entrada'!$D$25</f>
        <v>0</v>
      </c>
      <c r="N181" s="523">
        <f t="shared" si="20"/>
        <v>0</v>
      </c>
      <c r="O181" s="523">
        <f>$C$61*'datos de entrada'!$D$25*(1-$F$82)+$M$241</f>
        <v>0</v>
      </c>
      <c r="P181" s="523">
        <f>+'datos de entrada'!$D25*(D$61+($F$82)*(C$61-D$61))</f>
        <v>0</v>
      </c>
      <c r="Q181" s="523">
        <f>+'datos de entrada'!$D25*(E$61+($F$82)*(D$61-E$61))</f>
        <v>0</v>
      </c>
      <c r="R181" s="523">
        <f>+'datos de entrada'!$D25*(F$61+($F$82)*(E$61-F$61))</f>
        <v>0</v>
      </c>
    </row>
    <row r="182" spans="1:18" ht="15" customHeight="1">
      <c r="A182" s="533" t="s">
        <v>195</v>
      </c>
      <c r="D182" s="523">
        <f>B40*'datos de entrada'!$E$25</f>
        <v>0</v>
      </c>
      <c r="E182" s="523">
        <f>C40*'datos de entrada'!$E$25</f>
        <v>0</v>
      </c>
      <c r="F182" s="523">
        <f>D40*'datos de entrada'!$E$25</f>
        <v>0</v>
      </c>
      <c r="G182" s="523">
        <f>E40*'datos de entrada'!$E$25</f>
        <v>0</v>
      </c>
      <c r="H182" s="523">
        <f>F40*'datos de entrada'!$E$25</f>
        <v>0</v>
      </c>
      <c r="I182" s="523">
        <f>G40*'datos de entrada'!$E$25</f>
        <v>0</v>
      </c>
      <c r="J182" s="523">
        <f>H40*'datos de entrada'!$E$25</f>
        <v>0</v>
      </c>
      <c r="K182" s="523">
        <f>I40*'datos de entrada'!$E$25</f>
        <v>0</v>
      </c>
      <c r="L182" s="523">
        <f>J40*'datos de entrada'!$E$25</f>
        <v>0</v>
      </c>
      <c r="M182" s="523">
        <f>K40*'datos de entrada'!$E$25</f>
        <v>0</v>
      </c>
      <c r="N182" s="523">
        <f t="shared" si="20"/>
        <v>0</v>
      </c>
      <c r="O182" s="523">
        <f>$C$61*'datos de entrada'!$E$25*(1-($F$82+$E$82))+$M$242</f>
        <v>0</v>
      </c>
      <c r="P182" s="523">
        <f>+'datos de entrada'!$E25*(D$61+($F$82+$E$82)*(C$61-D$61))</f>
        <v>0</v>
      </c>
      <c r="Q182" s="523">
        <f>+'datos de entrada'!$E25*(E$61+($F$82+$E$82)*(D$61-E$61))</f>
        <v>0</v>
      </c>
      <c r="R182" s="523">
        <f>+'datos de entrada'!$E25*(F$61+($F$82+$E$82)*(E$61-F$61))</f>
        <v>0</v>
      </c>
    </row>
    <row r="183" spans="1:18" ht="15" customHeight="1">
      <c r="A183" s="533" t="s">
        <v>196</v>
      </c>
      <c r="E183" s="523">
        <f>B40*'datos de entrada'!$F$25</f>
        <v>0</v>
      </c>
      <c r="F183" s="523">
        <f>C40*'datos de entrada'!$F$25</f>
        <v>0</v>
      </c>
      <c r="G183" s="523">
        <f>D40*'datos de entrada'!$F$25</f>
        <v>0</v>
      </c>
      <c r="H183" s="523">
        <f>E40*'datos de entrada'!$F$25</f>
        <v>0</v>
      </c>
      <c r="I183" s="523">
        <f>F40*'datos de entrada'!$F$25</f>
        <v>0</v>
      </c>
      <c r="J183" s="523">
        <f>G40*'datos de entrada'!$F$25</f>
        <v>0</v>
      </c>
      <c r="K183" s="523">
        <f>H40*'datos de entrada'!$F$25</f>
        <v>0</v>
      </c>
      <c r="L183" s="523">
        <f>I40*'datos de entrada'!$F$25</f>
        <v>0</v>
      </c>
      <c r="M183" s="523">
        <f>J40*'datos de entrada'!$F$25</f>
        <v>0</v>
      </c>
      <c r="N183" s="523">
        <f t="shared" si="20"/>
        <v>0</v>
      </c>
      <c r="O183" s="523">
        <f>$C$61*'datos de entrada'!$F$25*(1-($F$82+$E$82+$D$82))+$M$243</f>
        <v>0</v>
      </c>
      <c r="P183" s="523">
        <f>+'datos de entrada'!$F25*(D$61+($F$82+$E$82+$D$82)*(C$61-D$61))</f>
        <v>0</v>
      </c>
      <c r="Q183" s="523">
        <f>+'datos de entrada'!$F25*(E$61+($F$82+$E$82+$D$82)*(D$61-E$61))</f>
        <v>0</v>
      </c>
      <c r="R183" s="523">
        <f>+'datos de entrada'!$F25*(F$61+($F$82+$E$82+$D$82)*(E$61-F$61))</f>
        <v>0</v>
      </c>
    </row>
    <row r="184" spans="1:18" ht="15" customHeight="1">
      <c r="A184" s="533" t="s">
        <v>197</v>
      </c>
      <c r="F184" s="523">
        <f>B40*'datos de entrada'!$G$25</f>
        <v>0</v>
      </c>
      <c r="G184" s="523">
        <f>C40*'datos de entrada'!$G$25</f>
        <v>0</v>
      </c>
      <c r="H184" s="523">
        <f>D40*'datos de entrada'!$G$25</f>
        <v>0</v>
      </c>
      <c r="I184" s="523">
        <f>E40*'datos de entrada'!$G$25</f>
        <v>0</v>
      </c>
      <c r="J184" s="523">
        <f>F40*'datos de entrada'!$G$25</f>
        <v>0</v>
      </c>
      <c r="K184" s="523">
        <f>G40*'datos de entrada'!$G$25</f>
        <v>0</v>
      </c>
      <c r="L184" s="523">
        <f>H40*'datos de entrada'!$G$25</f>
        <v>0</v>
      </c>
      <c r="M184" s="523">
        <f>I40*'datos de entrada'!$G$25</f>
        <v>0</v>
      </c>
      <c r="N184" s="523">
        <f t="shared" si="20"/>
        <v>0</v>
      </c>
      <c r="O184" s="523">
        <f>$C$61*'datos de entrada'!$G$25*(1-($D$82+$E$82+$F$82+$C$82))+$M$244</f>
        <v>0</v>
      </c>
      <c r="P184" s="523">
        <f>+'datos de entrada'!$G25*(D$61+($F$82+$E$82+$D$82+$C$82)*(C$61-D$61))</f>
        <v>0</v>
      </c>
      <c r="Q184" s="523">
        <f>+'datos de entrada'!$G25*(E$61+($F$82+$E$82+$D$82+$C$82)*(D$61-E$61))</f>
        <v>0</v>
      </c>
      <c r="R184" s="523">
        <f>+'datos de entrada'!$G25*(F$61+($F$82+$E$82+$D$82+$C$82)*(E$61-F$61))</f>
        <v>0</v>
      </c>
    </row>
    <row r="185" spans="1:18" ht="15" customHeight="1">
      <c r="A185" s="533" t="s">
        <v>198</v>
      </c>
      <c r="G185" s="523">
        <f>B40*'datos de entrada'!$H$25</f>
        <v>0</v>
      </c>
      <c r="H185" s="523">
        <f>C40*'datos de entrada'!$H$25</f>
        <v>0</v>
      </c>
      <c r="I185" s="523">
        <f>D40*'datos de entrada'!$H$25</f>
        <v>0</v>
      </c>
      <c r="J185" s="523">
        <f>E40*'datos de entrada'!$H$25</f>
        <v>0</v>
      </c>
      <c r="K185" s="523">
        <f>F40*'datos de entrada'!$H$25</f>
        <v>0</v>
      </c>
      <c r="L185" s="523">
        <f>G40*'datos de entrada'!$H$25</f>
        <v>0</v>
      </c>
      <c r="M185" s="523">
        <f>H40*'datos de entrada'!$H$25</f>
        <v>0</v>
      </c>
      <c r="N185" s="523">
        <f t="shared" si="20"/>
        <v>0</v>
      </c>
      <c r="O185" s="523">
        <f>$C$61*'datos de entrada'!$H$25*(1-($B$82+$C$82+$D$82+$E$82+$F$82))+$M$245</f>
        <v>0</v>
      </c>
      <c r="P185" s="523">
        <f>+'datos de entrada'!$H25*(D$61+($F$82+$E$82+$D$82+$C$82+$B$82)*(C$61-D$61))</f>
        <v>0</v>
      </c>
      <c r="Q185" s="523">
        <f>+'datos de entrada'!$H25*(E$61+($F$82+$E$82+$D$82+$C$82+$B$82)*(D$61-E$61))</f>
        <v>0</v>
      </c>
      <c r="R185" s="523">
        <f>+'datos de entrada'!$H25*(F$61+($F$82+$E$82+$D$82+$C$82+$B$82)*(E$61-F$61))</f>
        <v>0</v>
      </c>
    </row>
    <row r="186" spans="1:18" ht="15" customHeight="1">
      <c r="A186" s="533" t="s">
        <v>49</v>
      </c>
      <c r="B186" s="523">
        <f t="shared" ref="B186:R191" si="21">B92+B100+B108+B116+B124+B132+B140+B180+B148+B156+B164+B172</f>
        <v>2187000</v>
      </c>
      <c r="C186" s="523">
        <f t="shared" si="21"/>
        <v>2551500</v>
      </c>
      <c r="D186" s="523">
        <f t="shared" si="21"/>
        <v>2551500</v>
      </c>
      <c r="E186" s="523">
        <f t="shared" si="21"/>
        <v>2551500</v>
      </c>
      <c r="F186" s="523">
        <f t="shared" si="21"/>
        <v>3645000</v>
      </c>
      <c r="G186" s="523">
        <f t="shared" si="21"/>
        <v>3280500</v>
      </c>
      <c r="H186" s="523">
        <f t="shared" si="21"/>
        <v>2916000</v>
      </c>
      <c r="I186" s="523">
        <f t="shared" si="21"/>
        <v>2916000</v>
      </c>
      <c r="J186" s="523">
        <f t="shared" si="21"/>
        <v>2916000</v>
      </c>
      <c r="K186" s="523">
        <f t="shared" si="21"/>
        <v>3645000</v>
      </c>
      <c r="L186" s="523">
        <f t="shared" si="21"/>
        <v>5103000</v>
      </c>
      <c r="M186" s="523">
        <f t="shared" si="21"/>
        <v>2187000</v>
      </c>
      <c r="N186" s="523">
        <f t="shared" si="21"/>
        <v>36450000</v>
      </c>
      <c r="O186" s="523">
        <f t="shared" si="21"/>
        <v>41417433</v>
      </c>
      <c r="P186" s="523">
        <f t="shared" si="21"/>
        <v>48446104.590000004</v>
      </c>
      <c r="Q186" s="523">
        <f t="shared" si="21"/>
        <v>49899487.727700002</v>
      </c>
      <c r="R186" s="523">
        <f t="shared" si="21"/>
        <v>51396472.359531</v>
      </c>
    </row>
    <row r="187" spans="1:18" ht="15" customHeight="1">
      <c r="A187" s="533"/>
      <c r="B187" s="523">
        <f t="shared" si="21"/>
        <v>0</v>
      </c>
      <c r="C187" s="523">
        <f t="shared" si="21"/>
        <v>0</v>
      </c>
      <c r="D187" s="523">
        <f t="shared" si="21"/>
        <v>0</v>
      </c>
      <c r="E187" s="523">
        <f t="shared" si="21"/>
        <v>0</v>
      </c>
      <c r="F187" s="523">
        <f t="shared" si="21"/>
        <v>0</v>
      </c>
      <c r="G187" s="523">
        <f t="shared" si="21"/>
        <v>0</v>
      </c>
      <c r="H187" s="523">
        <f t="shared" si="21"/>
        <v>0</v>
      </c>
      <c r="I187" s="523">
        <f t="shared" si="21"/>
        <v>0</v>
      </c>
      <c r="J187" s="523">
        <f t="shared" si="21"/>
        <v>0</v>
      </c>
      <c r="K187" s="523">
        <f t="shared" si="21"/>
        <v>0</v>
      </c>
      <c r="L187" s="523">
        <f t="shared" si="21"/>
        <v>0</v>
      </c>
      <c r="M187" s="523">
        <f t="shared" si="21"/>
        <v>0</v>
      </c>
      <c r="N187" s="523">
        <f t="shared" si="21"/>
        <v>0</v>
      </c>
      <c r="O187" s="523">
        <f t="shared" si="21"/>
        <v>0</v>
      </c>
      <c r="P187" s="523">
        <f t="shared" si="21"/>
        <v>0</v>
      </c>
      <c r="Q187" s="523">
        <f t="shared" si="21"/>
        <v>0</v>
      </c>
      <c r="R187" s="523">
        <f t="shared" si="21"/>
        <v>0</v>
      </c>
    </row>
    <row r="188" spans="1:18" ht="15" customHeight="1">
      <c r="A188" s="533"/>
      <c r="B188" s="523">
        <f t="shared" si="21"/>
        <v>0</v>
      </c>
      <c r="C188" s="523">
        <f t="shared" si="21"/>
        <v>0</v>
      </c>
      <c r="D188" s="523">
        <f t="shared" si="21"/>
        <v>0</v>
      </c>
      <c r="E188" s="523">
        <f t="shared" si="21"/>
        <v>0</v>
      </c>
      <c r="F188" s="523">
        <f t="shared" si="21"/>
        <v>0</v>
      </c>
      <c r="G188" s="523">
        <f t="shared" si="21"/>
        <v>0</v>
      </c>
      <c r="H188" s="523">
        <f t="shared" si="21"/>
        <v>0</v>
      </c>
      <c r="I188" s="523">
        <f t="shared" si="21"/>
        <v>0</v>
      </c>
      <c r="J188" s="523">
        <f t="shared" si="21"/>
        <v>0</v>
      </c>
      <c r="K188" s="523">
        <f t="shared" si="21"/>
        <v>0</v>
      </c>
      <c r="L188" s="523">
        <f t="shared" si="21"/>
        <v>0</v>
      </c>
      <c r="M188" s="523">
        <f t="shared" si="21"/>
        <v>0</v>
      </c>
      <c r="N188" s="523">
        <f t="shared" si="21"/>
        <v>0</v>
      </c>
      <c r="O188" s="523">
        <f t="shared" si="21"/>
        <v>0</v>
      </c>
      <c r="P188" s="523">
        <f t="shared" si="21"/>
        <v>0</v>
      </c>
      <c r="Q188" s="523">
        <f t="shared" si="21"/>
        <v>0</v>
      </c>
      <c r="R188" s="523">
        <f t="shared" si="21"/>
        <v>0</v>
      </c>
    </row>
    <row r="189" spans="1:18" ht="15" customHeight="1">
      <c r="A189" s="533"/>
      <c r="B189" s="523">
        <f t="shared" si="21"/>
        <v>0</v>
      </c>
      <c r="C189" s="523">
        <f t="shared" si="21"/>
        <v>0</v>
      </c>
      <c r="D189" s="523">
        <f t="shared" si="21"/>
        <v>0</v>
      </c>
      <c r="E189" s="523">
        <f t="shared" si="21"/>
        <v>17496000</v>
      </c>
      <c r="F189" s="523">
        <f t="shared" si="21"/>
        <v>20412000</v>
      </c>
      <c r="G189" s="523">
        <f t="shared" si="21"/>
        <v>20412000</v>
      </c>
      <c r="H189" s="523">
        <f t="shared" si="21"/>
        <v>20412000</v>
      </c>
      <c r="I189" s="523">
        <f t="shared" si="21"/>
        <v>29160000</v>
      </c>
      <c r="J189" s="523">
        <f t="shared" si="21"/>
        <v>26244000</v>
      </c>
      <c r="K189" s="523">
        <f t="shared" si="21"/>
        <v>23328000</v>
      </c>
      <c r="L189" s="523">
        <f t="shared" si="21"/>
        <v>23328000</v>
      </c>
      <c r="M189" s="523">
        <f t="shared" si="21"/>
        <v>23328000</v>
      </c>
      <c r="N189" s="523">
        <f t="shared" si="21"/>
        <v>204120000</v>
      </c>
      <c r="O189" s="523">
        <f t="shared" si="21"/>
        <v>319417624.79999995</v>
      </c>
      <c r="P189" s="523">
        <f t="shared" si="21"/>
        <v>370700024.90400004</v>
      </c>
      <c r="Q189" s="523">
        <f t="shared" si="21"/>
        <v>395707782.29112005</v>
      </c>
      <c r="R189" s="523">
        <f t="shared" si="21"/>
        <v>407579015.7598536</v>
      </c>
    </row>
    <row r="190" spans="1:18" ht="15" customHeight="1">
      <c r="A190" s="533"/>
      <c r="B190" s="523">
        <f t="shared" si="21"/>
        <v>0</v>
      </c>
      <c r="C190" s="523">
        <f t="shared" si="21"/>
        <v>0</v>
      </c>
      <c r="D190" s="523">
        <f t="shared" si="21"/>
        <v>0</v>
      </c>
      <c r="E190" s="523">
        <f t="shared" si="21"/>
        <v>0</v>
      </c>
      <c r="F190" s="523">
        <f t="shared" si="21"/>
        <v>2187000</v>
      </c>
      <c r="G190" s="523">
        <f t="shared" si="21"/>
        <v>2551500</v>
      </c>
      <c r="H190" s="523">
        <f t="shared" si="21"/>
        <v>2551500</v>
      </c>
      <c r="I190" s="523">
        <f t="shared" si="21"/>
        <v>2551500</v>
      </c>
      <c r="J190" s="523">
        <f t="shared" si="21"/>
        <v>3645000</v>
      </c>
      <c r="K190" s="523">
        <f t="shared" si="21"/>
        <v>3280500</v>
      </c>
      <c r="L190" s="523">
        <f t="shared" si="21"/>
        <v>2916000</v>
      </c>
      <c r="M190" s="523">
        <f t="shared" si="21"/>
        <v>2916000</v>
      </c>
      <c r="N190" s="523">
        <f t="shared" si="21"/>
        <v>22599000</v>
      </c>
      <c r="O190" s="523">
        <f t="shared" si="21"/>
        <v>39529808.459999993</v>
      </c>
      <c r="P190" s="523">
        <f t="shared" si="21"/>
        <v>45775209.385800004</v>
      </c>
      <c r="Q190" s="523">
        <f t="shared" si="21"/>
        <v>49347202.135374002</v>
      </c>
      <c r="R190" s="523">
        <f t="shared" si="21"/>
        <v>50827618.199435219</v>
      </c>
    </row>
    <row r="191" spans="1:18" ht="15" customHeight="1">
      <c r="A191" s="533"/>
      <c r="B191" s="523">
        <f t="shared" si="21"/>
        <v>0</v>
      </c>
      <c r="C191" s="523">
        <f t="shared" si="21"/>
        <v>0</v>
      </c>
      <c r="D191" s="523">
        <f t="shared" si="21"/>
        <v>0</v>
      </c>
      <c r="E191" s="523">
        <f t="shared" si="21"/>
        <v>0</v>
      </c>
      <c r="F191" s="523">
        <f t="shared" si="21"/>
        <v>0</v>
      </c>
      <c r="G191" s="523">
        <f t="shared" si="21"/>
        <v>0</v>
      </c>
      <c r="H191" s="523">
        <f t="shared" si="21"/>
        <v>0</v>
      </c>
      <c r="I191" s="523">
        <f t="shared" si="21"/>
        <v>0</v>
      </c>
      <c r="J191" s="523">
        <f t="shared" si="21"/>
        <v>0</v>
      </c>
      <c r="K191" s="523">
        <f t="shared" si="21"/>
        <v>0</v>
      </c>
      <c r="L191" s="523">
        <f t="shared" si="21"/>
        <v>0</v>
      </c>
      <c r="M191" s="523">
        <f t="shared" si="21"/>
        <v>0</v>
      </c>
      <c r="N191" s="523">
        <f t="shared" si="21"/>
        <v>0</v>
      </c>
      <c r="O191" s="523">
        <f t="shared" si="21"/>
        <v>0</v>
      </c>
      <c r="P191" s="523">
        <f t="shared" si="21"/>
        <v>0</v>
      </c>
      <c r="Q191" s="523">
        <f t="shared" si="21"/>
        <v>0</v>
      </c>
      <c r="R191" s="523">
        <f t="shared" si="21"/>
        <v>0</v>
      </c>
    </row>
    <row r="192" spans="1:18" ht="15" customHeight="1">
      <c r="A192" s="522" t="s">
        <v>49</v>
      </c>
      <c r="B192" s="523">
        <f t="shared" ref="B192:R192" si="22">SUM(B186:B191)</f>
        <v>2187000</v>
      </c>
      <c r="C192" s="523">
        <f t="shared" si="22"/>
        <v>2551500</v>
      </c>
      <c r="D192" s="523">
        <f t="shared" si="22"/>
        <v>2551500</v>
      </c>
      <c r="E192" s="523">
        <f t="shared" si="22"/>
        <v>20047500</v>
      </c>
      <c r="F192" s="523">
        <f t="shared" si="22"/>
        <v>26244000</v>
      </c>
      <c r="G192" s="523">
        <f t="shared" si="22"/>
        <v>26244000</v>
      </c>
      <c r="H192" s="523">
        <f t="shared" si="22"/>
        <v>25879500</v>
      </c>
      <c r="I192" s="523">
        <f t="shared" si="22"/>
        <v>34627500</v>
      </c>
      <c r="J192" s="523">
        <f t="shared" si="22"/>
        <v>32805000</v>
      </c>
      <c r="K192" s="523">
        <f t="shared" si="22"/>
        <v>30253500</v>
      </c>
      <c r="L192" s="523">
        <f t="shared" si="22"/>
        <v>31347000</v>
      </c>
      <c r="M192" s="523">
        <f t="shared" si="22"/>
        <v>28431000</v>
      </c>
      <c r="N192" s="523">
        <f t="shared" si="22"/>
        <v>263169000</v>
      </c>
      <c r="O192" s="523">
        <f t="shared" si="22"/>
        <v>400364866.25999993</v>
      </c>
      <c r="P192" s="523">
        <f t="shared" si="22"/>
        <v>464921338.87980008</v>
      </c>
      <c r="Q192" s="523">
        <f t="shared" si="22"/>
        <v>494954472.15419406</v>
      </c>
      <c r="R192" s="523">
        <f t="shared" si="22"/>
        <v>509803106.31881982</v>
      </c>
    </row>
    <row r="193" spans="1:18" ht="15" customHeight="1">
      <c r="A193" s="524" t="s">
        <v>46</v>
      </c>
      <c r="B193" s="524" t="s">
        <v>46</v>
      </c>
      <c r="C193" s="524" t="s">
        <v>46</v>
      </c>
      <c r="D193" s="524" t="s">
        <v>46</v>
      </c>
      <c r="E193" s="524" t="s">
        <v>46</v>
      </c>
      <c r="F193" s="524" t="s">
        <v>46</v>
      </c>
      <c r="G193" s="524" t="s">
        <v>46</v>
      </c>
      <c r="H193" s="524" t="s">
        <v>46</v>
      </c>
      <c r="I193" s="524" t="s">
        <v>46</v>
      </c>
      <c r="J193" s="524" t="s">
        <v>46</v>
      </c>
      <c r="K193" s="524" t="s">
        <v>46</v>
      </c>
      <c r="L193" s="524" t="s">
        <v>46</v>
      </c>
      <c r="M193" s="524" t="s">
        <v>46</v>
      </c>
      <c r="N193" s="524" t="s">
        <v>46</v>
      </c>
      <c r="O193" s="524" t="s">
        <v>46</v>
      </c>
      <c r="P193" s="524" t="s">
        <v>46</v>
      </c>
      <c r="Q193" s="524" t="s">
        <v>46</v>
      </c>
      <c r="R193" s="524" t="s">
        <v>46</v>
      </c>
    </row>
    <row r="196" spans="1:18" ht="15" customHeight="1">
      <c r="A196" s="522" t="s">
        <v>199</v>
      </c>
    </row>
    <row r="197" spans="1:18" ht="15" customHeight="1">
      <c r="A197" s="524" t="s">
        <v>46</v>
      </c>
      <c r="B197" s="524" t="s">
        <v>46</v>
      </c>
      <c r="C197" s="524" t="s">
        <v>46</v>
      </c>
      <c r="D197" s="524" t="s">
        <v>46</v>
      </c>
      <c r="E197" s="524" t="s">
        <v>46</v>
      </c>
      <c r="F197" s="524" t="s">
        <v>46</v>
      </c>
      <c r="G197" s="524" t="s">
        <v>46</v>
      </c>
      <c r="H197" s="524" t="s">
        <v>46</v>
      </c>
      <c r="I197" s="524" t="s">
        <v>46</v>
      </c>
      <c r="J197" s="524" t="s">
        <v>46</v>
      </c>
      <c r="K197" s="524" t="s">
        <v>46</v>
      </c>
      <c r="L197" s="524" t="s">
        <v>46</v>
      </c>
      <c r="M197" s="524" t="s">
        <v>46</v>
      </c>
      <c r="N197" s="524" t="s">
        <v>46</v>
      </c>
      <c r="O197" s="524" t="s">
        <v>46</v>
      </c>
      <c r="P197" s="524" t="s">
        <v>46</v>
      </c>
      <c r="Q197" s="524" t="s">
        <v>46</v>
      </c>
      <c r="R197" s="524" t="s">
        <v>46</v>
      </c>
    </row>
    <row r="198" spans="1:18" ht="15" customHeight="1">
      <c r="B198" s="522" t="s">
        <v>606</v>
      </c>
      <c r="C198" s="522" t="s">
        <v>607</v>
      </c>
      <c r="D198" s="522" t="s">
        <v>608</v>
      </c>
      <c r="E198" s="522" t="s">
        <v>609</v>
      </c>
      <c r="F198" s="522" t="s">
        <v>610</v>
      </c>
      <c r="G198" s="522" t="s">
        <v>611</v>
      </c>
      <c r="H198" s="522" t="s">
        <v>612</v>
      </c>
      <c r="I198" s="522" t="s">
        <v>613</v>
      </c>
      <c r="J198" s="522" t="s">
        <v>614</v>
      </c>
      <c r="K198" s="522" t="s">
        <v>615</v>
      </c>
      <c r="L198" s="522" t="s">
        <v>616</v>
      </c>
      <c r="M198" s="522" t="s">
        <v>617</v>
      </c>
      <c r="N198" s="522" t="s">
        <v>692</v>
      </c>
      <c r="O198" s="522" t="s">
        <v>693</v>
      </c>
      <c r="P198" s="522" t="s">
        <v>694</v>
      </c>
      <c r="Q198" s="522" t="s">
        <v>186</v>
      </c>
      <c r="R198" s="522" t="s">
        <v>187</v>
      </c>
    </row>
    <row r="199" spans="1:18" ht="15" customHeight="1">
      <c r="A199" s="524" t="s">
        <v>605</v>
      </c>
      <c r="B199" s="524" t="s">
        <v>605</v>
      </c>
      <c r="C199" s="524" t="s">
        <v>605</v>
      </c>
      <c r="D199" s="524" t="s">
        <v>605</v>
      </c>
      <c r="E199" s="524" t="s">
        <v>605</v>
      </c>
      <c r="F199" s="524" t="s">
        <v>605</v>
      </c>
      <c r="G199" s="524" t="s">
        <v>605</v>
      </c>
      <c r="H199" s="524" t="s">
        <v>605</v>
      </c>
      <c r="I199" s="524" t="s">
        <v>605</v>
      </c>
      <c r="J199" s="524" t="s">
        <v>605</v>
      </c>
      <c r="K199" s="524" t="s">
        <v>605</v>
      </c>
      <c r="L199" s="524" t="s">
        <v>605</v>
      </c>
      <c r="M199" s="524" t="s">
        <v>605</v>
      </c>
      <c r="N199" s="524" t="s">
        <v>605</v>
      </c>
      <c r="O199" s="524" t="s">
        <v>605</v>
      </c>
      <c r="P199" s="524" t="s">
        <v>605</v>
      </c>
      <c r="Q199" s="524" t="s">
        <v>605</v>
      </c>
      <c r="R199" s="524" t="s">
        <v>605</v>
      </c>
    </row>
    <row r="200" spans="1:18" ht="15" customHeight="1">
      <c r="A200" s="523" t="str">
        <f t="shared" ref="A200:A211" si="23">A10</f>
        <v>CAMISETAS</v>
      </c>
      <c r="B200" s="523">
        <f t="shared" ref="B200:R200" si="24">SUM(B92:B97)</f>
        <v>2187000</v>
      </c>
      <c r="C200" s="523">
        <f t="shared" si="24"/>
        <v>2551500</v>
      </c>
      <c r="D200" s="523">
        <f t="shared" si="24"/>
        <v>2551500</v>
      </c>
      <c r="E200" s="523">
        <f t="shared" si="24"/>
        <v>20047500</v>
      </c>
      <c r="F200" s="523">
        <f t="shared" si="24"/>
        <v>26244000</v>
      </c>
      <c r="G200" s="523">
        <f t="shared" si="24"/>
        <v>26244000</v>
      </c>
      <c r="H200" s="523">
        <f t="shared" si="24"/>
        <v>25879500</v>
      </c>
      <c r="I200" s="523">
        <f t="shared" si="24"/>
        <v>34627500</v>
      </c>
      <c r="J200" s="523">
        <f t="shared" si="24"/>
        <v>32805000</v>
      </c>
      <c r="K200" s="523">
        <f t="shared" si="24"/>
        <v>30253500</v>
      </c>
      <c r="L200" s="523">
        <f t="shared" si="24"/>
        <v>31347000</v>
      </c>
      <c r="M200" s="523">
        <f t="shared" si="24"/>
        <v>28431000</v>
      </c>
      <c r="N200" s="523">
        <f t="shared" si="24"/>
        <v>263169000</v>
      </c>
      <c r="O200" s="523">
        <f t="shared" si="24"/>
        <v>400364866.25999993</v>
      </c>
      <c r="P200" s="523">
        <f t="shared" si="24"/>
        <v>464921338.87980008</v>
      </c>
      <c r="Q200" s="523">
        <f t="shared" si="24"/>
        <v>494954472.15419406</v>
      </c>
      <c r="R200" s="523">
        <f t="shared" si="24"/>
        <v>509803106.31881982</v>
      </c>
    </row>
    <row r="201" spans="1:18" ht="15" customHeight="1">
      <c r="A201" s="523" t="str">
        <f t="shared" si="23"/>
        <v/>
      </c>
      <c r="B201" s="523">
        <f t="shared" ref="B201:R201" si="25">SUM(B100:B105)</f>
        <v>0</v>
      </c>
      <c r="C201" s="523">
        <f t="shared" si="25"/>
        <v>0</v>
      </c>
      <c r="D201" s="523">
        <f t="shared" si="25"/>
        <v>0</v>
      </c>
      <c r="E201" s="523">
        <f t="shared" si="25"/>
        <v>0</v>
      </c>
      <c r="F201" s="523">
        <f t="shared" si="25"/>
        <v>0</v>
      </c>
      <c r="G201" s="523">
        <f t="shared" si="25"/>
        <v>0</v>
      </c>
      <c r="H201" s="523">
        <f t="shared" si="25"/>
        <v>0</v>
      </c>
      <c r="I201" s="523">
        <f t="shared" si="25"/>
        <v>0</v>
      </c>
      <c r="J201" s="523">
        <f t="shared" si="25"/>
        <v>0</v>
      </c>
      <c r="K201" s="523">
        <f t="shared" si="25"/>
        <v>0</v>
      </c>
      <c r="L201" s="523">
        <f t="shared" si="25"/>
        <v>0</v>
      </c>
      <c r="M201" s="523">
        <f t="shared" si="25"/>
        <v>0</v>
      </c>
      <c r="N201" s="523">
        <f t="shared" si="25"/>
        <v>0</v>
      </c>
      <c r="O201" s="523">
        <f t="shared" si="25"/>
        <v>0</v>
      </c>
      <c r="P201" s="523">
        <f t="shared" si="25"/>
        <v>0</v>
      </c>
      <c r="Q201" s="523">
        <f t="shared" si="25"/>
        <v>0</v>
      </c>
      <c r="R201" s="523">
        <f t="shared" si="25"/>
        <v>0</v>
      </c>
    </row>
    <row r="202" spans="1:18" ht="15" customHeight="1">
      <c r="A202" s="523" t="str">
        <f t="shared" si="23"/>
        <v/>
      </c>
      <c r="B202" s="523">
        <f t="shared" ref="B202:R202" si="26">SUM(B108:B113)</f>
        <v>0</v>
      </c>
      <c r="C202" s="523">
        <f t="shared" si="26"/>
        <v>0</v>
      </c>
      <c r="D202" s="523">
        <f t="shared" si="26"/>
        <v>0</v>
      </c>
      <c r="E202" s="523">
        <f t="shared" si="26"/>
        <v>0</v>
      </c>
      <c r="F202" s="523">
        <f t="shared" si="26"/>
        <v>0</v>
      </c>
      <c r="G202" s="523">
        <f t="shared" si="26"/>
        <v>0</v>
      </c>
      <c r="H202" s="523">
        <f t="shared" si="26"/>
        <v>0</v>
      </c>
      <c r="I202" s="523">
        <f t="shared" si="26"/>
        <v>0</v>
      </c>
      <c r="J202" s="523">
        <f t="shared" si="26"/>
        <v>0</v>
      </c>
      <c r="K202" s="523">
        <f t="shared" si="26"/>
        <v>0</v>
      </c>
      <c r="L202" s="523">
        <f t="shared" si="26"/>
        <v>0</v>
      </c>
      <c r="M202" s="523">
        <f t="shared" si="26"/>
        <v>0</v>
      </c>
      <c r="N202" s="523">
        <f t="shared" si="26"/>
        <v>0</v>
      </c>
      <c r="O202" s="523">
        <f t="shared" si="26"/>
        <v>0</v>
      </c>
      <c r="P202" s="523">
        <f t="shared" si="26"/>
        <v>0</v>
      </c>
      <c r="Q202" s="523">
        <f t="shared" si="26"/>
        <v>0</v>
      </c>
      <c r="R202" s="523">
        <f t="shared" si="26"/>
        <v>0</v>
      </c>
    </row>
    <row r="203" spans="1:18" ht="15" customHeight="1">
      <c r="A203" s="523" t="str">
        <f t="shared" si="23"/>
        <v/>
      </c>
      <c r="B203" s="523">
        <f t="shared" ref="B203:R203" si="27">SUM(B116:B121)</f>
        <v>0</v>
      </c>
      <c r="C203" s="523">
        <f t="shared" si="27"/>
        <v>0</v>
      </c>
      <c r="D203" s="523">
        <f t="shared" si="27"/>
        <v>0</v>
      </c>
      <c r="E203" s="523">
        <f t="shared" si="27"/>
        <v>0</v>
      </c>
      <c r="F203" s="523">
        <f t="shared" si="27"/>
        <v>0</v>
      </c>
      <c r="G203" s="523">
        <f t="shared" si="27"/>
        <v>0</v>
      </c>
      <c r="H203" s="523">
        <f t="shared" si="27"/>
        <v>0</v>
      </c>
      <c r="I203" s="523">
        <f t="shared" si="27"/>
        <v>0</v>
      </c>
      <c r="J203" s="523">
        <f t="shared" si="27"/>
        <v>0</v>
      </c>
      <c r="K203" s="523">
        <f t="shared" si="27"/>
        <v>0</v>
      </c>
      <c r="L203" s="523">
        <f t="shared" si="27"/>
        <v>0</v>
      </c>
      <c r="M203" s="523">
        <f t="shared" si="27"/>
        <v>0</v>
      </c>
      <c r="N203" s="523">
        <f t="shared" si="27"/>
        <v>0</v>
      </c>
      <c r="O203" s="523">
        <f t="shared" si="27"/>
        <v>0</v>
      </c>
      <c r="P203" s="523">
        <f t="shared" si="27"/>
        <v>0</v>
      </c>
      <c r="Q203" s="523">
        <f t="shared" si="27"/>
        <v>0</v>
      </c>
      <c r="R203" s="523">
        <f t="shared" si="27"/>
        <v>0</v>
      </c>
    </row>
    <row r="204" spans="1:18" ht="15" customHeight="1">
      <c r="A204" s="523" t="str">
        <f t="shared" si="23"/>
        <v/>
      </c>
      <c r="B204" s="523">
        <f t="shared" ref="B204:R204" si="28">SUM(B124:B129)</f>
        <v>0</v>
      </c>
      <c r="C204" s="523">
        <f t="shared" si="28"/>
        <v>0</v>
      </c>
      <c r="D204" s="523">
        <f t="shared" si="28"/>
        <v>0</v>
      </c>
      <c r="E204" s="523">
        <f t="shared" si="28"/>
        <v>0</v>
      </c>
      <c r="F204" s="523">
        <f t="shared" si="28"/>
        <v>0</v>
      </c>
      <c r="G204" s="523">
        <f t="shared" si="28"/>
        <v>0</v>
      </c>
      <c r="H204" s="523">
        <f t="shared" si="28"/>
        <v>0</v>
      </c>
      <c r="I204" s="523">
        <f t="shared" si="28"/>
        <v>0</v>
      </c>
      <c r="J204" s="523">
        <f t="shared" si="28"/>
        <v>0</v>
      </c>
      <c r="K204" s="523">
        <f t="shared" si="28"/>
        <v>0</v>
      </c>
      <c r="L204" s="523">
        <f t="shared" si="28"/>
        <v>0</v>
      </c>
      <c r="M204" s="523">
        <f t="shared" si="28"/>
        <v>0</v>
      </c>
      <c r="N204" s="523">
        <f t="shared" si="28"/>
        <v>0</v>
      </c>
      <c r="O204" s="523">
        <f t="shared" si="28"/>
        <v>0</v>
      </c>
      <c r="P204" s="523">
        <f t="shared" si="28"/>
        <v>0</v>
      </c>
      <c r="Q204" s="523">
        <f t="shared" si="28"/>
        <v>0</v>
      </c>
      <c r="R204" s="523">
        <f t="shared" si="28"/>
        <v>0</v>
      </c>
    </row>
    <row r="205" spans="1:18" ht="15" customHeight="1">
      <c r="A205" s="523" t="str">
        <f t="shared" si="23"/>
        <v/>
      </c>
      <c r="B205" s="523">
        <f t="shared" ref="B205:R205" si="29">SUM(B132:B137)</f>
        <v>0</v>
      </c>
      <c r="C205" s="523">
        <f t="shared" si="29"/>
        <v>0</v>
      </c>
      <c r="D205" s="523">
        <f t="shared" si="29"/>
        <v>0</v>
      </c>
      <c r="E205" s="523">
        <f t="shared" si="29"/>
        <v>0</v>
      </c>
      <c r="F205" s="523">
        <f t="shared" si="29"/>
        <v>0</v>
      </c>
      <c r="G205" s="523">
        <f t="shared" si="29"/>
        <v>0</v>
      </c>
      <c r="H205" s="523">
        <f t="shared" si="29"/>
        <v>0</v>
      </c>
      <c r="I205" s="523">
        <f t="shared" si="29"/>
        <v>0</v>
      </c>
      <c r="J205" s="523">
        <f t="shared" si="29"/>
        <v>0</v>
      </c>
      <c r="K205" s="523">
        <f t="shared" si="29"/>
        <v>0</v>
      </c>
      <c r="L205" s="523">
        <f t="shared" si="29"/>
        <v>0</v>
      </c>
      <c r="M205" s="523">
        <f t="shared" si="29"/>
        <v>0</v>
      </c>
      <c r="N205" s="523">
        <f t="shared" si="29"/>
        <v>0</v>
      </c>
      <c r="O205" s="523">
        <f t="shared" si="29"/>
        <v>0</v>
      </c>
      <c r="P205" s="523">
        <f t="shared" si="29"/>
        <v>0</v>
      </c>
      <c r="Q205" s="523">
        <f t="shared" si="29"/>
        <v>0</v>
      </c>
      <c r="R205" s="523">
        <f t="shared" si="29"/>
        <v>0</v>
      </c>
    </row>
    <row r="206" spans="1:18" ht="15" customHeight="1">
      <c r="A206" s="523" t="str">
        <f t="shared" si="23"/>
        <v/>
      </c>
      <c r="B206" s="523">
        <f>SUM(B140:B145)</f>
        <v>0</v>
      </c>
      <c r="C206" s="523">
        <f t="shared" ref="C206:M206" si="30">SUM(C140:C145)</f>
        <v>0</v>
      </c>
      <c r="D206" s="523">
        <f t="shared" si="30"/>
        <v>0</v>
      </c>
      <c r="E206" s="523">
        <f t="shared" si="30"/>
        <v>0</v>
      </c>
      <c r="F206" s="523">
        <f t="shared" si="30"/>
        <v>0</v>
      </c>
      <c r="G206" s="523">
        <f t="shared" si="30"/>
        <v>0</v>
      </c>
      <c r="H206" s="523">
        <f t="shared" si="30"/>
        <v>0</v>
      </c>
      <c r="I206" s="523">
        <f t="shared" si="30"/>
        <v>0</v>
      </c>
      <c r="J206" s="523">
        <f t="shared" si="30"/>
        <v>0</v>
      </c>
      <c r="K206" s="523">
        <f t="shared" si="30"/>
        <v>0</v>
      </c>
      <c r="L206" s="523">
        <f t="shared" si="30"/>
        <v>0</v>
      </c>
      <c r="M206" s="523">
        <f t="shared" si="30"/>
        <v>0</v>
      </c>
      <c r="N206" s="523">
        <f>SUM(N140:N145)</f>
        <v>0</v>
      </c>
      <c r="O206" s="523">
        <f>SUM(O140:O145)</f>
        <v>0</v>
      </c>
      <c r="P206" s="523">
        <f>SUM(P140:P145)</f>
        <v>0</v>
      </c>
      <c r="Q206" s="523">
        <f>SUM(Q140:Q145)</f>
        <v>0</v>
      </c>
      <c r="R206" s="523">
        <f>SUM(R140:R145)</f>
        <v>0</v>
      </c>
    </row>
    <row r="207" spans="1:18" ht="15" customHeight="1">
      <c r="A207" s="523" t="str">
        <f t="shared" si="23"/>
        <v/>
      </c>
      <c r="B207" s="523">
        <f>SUM(B148:B153)</f>
        <v>0</v>
      </c>
      <c r="C207" s="523">
        <f t="shared" ref="C207:M207" si="31">SUM(C148:C153)</f>
        <v>0</v>
      </c>
      <c r="D207" s="523">
        <f t="shared" si="31"/>
        <v>0</v>
      </c>
      <c r="E207" s="523">
        <f t="shared" si="31"/>
        <v>0</v>
      </c>
      <c r="F207" s="523">
        <f t="shared" si="31"/>
        <v>0</v>
      </c>
      <c r="G207" s="523">
        <f t="shared" si="31"/>
        <v>0</v>
      </c>
      <c r="H207" s="523">
        <f t="shared" si="31"/>
        <v>0</v>
      </c>
      <c r="I207" s="523">
        <f t="shared" si="31"/>
        <v>0</v>
      </c>
      <c r="J207" s="523">
        <f t="shared" si="31"/>
        <v>0</v>
      </c>
      <c r="K207" s="523">
        <f t="shared" si="31"/>
        <v>0</v>
      </c>
      <c r="L207" s="523">
        <f t="shared" si="31"/>
        <v>0</v>
      </c>
      <c r="M207" s="523">
        <f t="shared" si="31"/>
        <v>0</v>
      </c>
      <c r="N207" s="523">
        <f>SUM(N148:N153)</f>
        <v>0</v>
      </c>
      <c r="O207" s="523">
        <f>SUM(O148:O153)</f>
        <v>0</v>
      </c>
      <c r="P207" s="523">
        <f>SUM(P148:P153)</f>
        <v>0</v>
      </c>
      <c r="Q207" s="523">
        <f>SUM(Q148:Q153)</f>
        <v>0</v>
      </c>
      <c r="R207" s="523">
        <f>SUM(R148:R153)</f>
        <v>0</v>
      </c>
    </row>
    <row r="208" spans="1:18" ht="15" customHeight="1">
      <c r="A208" s="523" t="str">
        <f t="shared" si="23"/>
        <v/>
      </c>
      <c r="B208" s="523">
        <f>SUM(B156:B161)</f>
        <v>0</v>
      </c>
      <c r="C208" s="523">
        <f t="shared" ref="C208:M208" si="32">SUM(C156:C161)</f>
        <v>0</v>
      </c>
      <c r="D208" s="523">
        <f t="shared" si="32"/>
        <v>0</v>
      </c>
      <c r="E208" s="523">
        <f t="shared" si="32"/>
        <v>0</v>
      </c>
      <c r="F208" s="523">
        <f t="shared" si="32"/>
        <v>0</v>
      </c>
      <c r="G208" s="523">
        <f t="shared" si="32"/>
        <v>0</v>
      </c>
      <c r="H208" s="523">
        <f t="shared" si="32"/>
        <v>0</v>
      </c>
      <c r="I208" s="523">
        <f t="shared" si="32"/>
        <v>0</v>
      </c>
      <c r="J208" s="523">
        <f t="shared" si="32"/>
        <v>0</v>
      </c>
      <c r="K208" s="523">
        <f t="shared" si="32"/>
        <v>0</v>
      </c>
      <c r="L208" s="523">
        <f t="shared" si="32"/>
        <v>0</v>
      </c>
      <c r="M208" s="523">
        <f t="shared" si="32"/>
        <v>0</v>
      </c>
      <c r="N208" s="523">
        <f>SUM(N156:N161)</f>
        <v>0</v>
      </c>
      <c r="O208" s="523">
        <f>SUM(O156:O161)</f>
        <v>0</v>
      </c>
      <c r="P208" s="523">
        <f>SUM(P156:P161)</f>
        <v>0</v>
      </c>
      <c r="Q208" s="523">
        <f>SUM(Q156:Q161)</f>
        <v>0</v>
      </c>
      <c r="R208" s="523">
        <f>SUM(R156:R161)</f>
        <v>0</v>
      </c>
    </row>
    <row r="209" spans="1:18" ht="15" customHeight="1">
      <c r="A209" s="523" t="str">
        <f t="shared" si="23"/>
        <v/>
      </c>
      <c r="B209" s="523">
        <f>SUM(B164:B169)</f>
        <v>0</v>
      </c>
      <c r="C209" s="523">
        <f t="shared" ref="C209:M209" si="33">SUM(C164:C169)</f>
        <v>0</v>
      </c>
      <c r="D209" s="523">
        <f t="shared" si="33"/>
        <v>0</v>
      </c>
      <c r="E209" s="523">
        <f t="shared" si="33"/>
        <v>0</v>
      </c>
      <c r="F209" s="523">
        <f t="shared" si="33"/>
        <v>0</v>
      </c>
      <c r="G209" s="523">
        <f t="shared" si="33"/>
        <v>0</v>
      </c>
      <c r="H209" s="523">
        <f t="shared" si="33"/>
        <v>0</v>
      </c>
      <c r="I209" s="523">
        <f t="shared" si="33"/>
        <v>0</v>
      </c>
      <c r="J209" s="523">
        <f t="shared" si="33"/>
        <v>0</v>
      </c>
      <c r="K209" s="523">
        <f t="shared" si="33"/>
        <v>0</v>
      </c>
      <c r="L209" s="523">
        <f t="shared" si="33"/>
        <v>0</v>
      </c>
      <c r="M209" s="523">
        <f t="shared" si="33"/>
        <v>0</v>
      </c>
      <c r="N209" s="523">
        <f>SUM(N164:N169)</f>
        <v>0</v>
      </c>
      <c r="O209" s="523">
        <f>SUM(O164:O169)</f>
        <v>0</v>
      </c>
      <c r="P209" s="523">
        <f>SUM(P164:P169)</f>
        <v>0</v>
      </c>
      <c r="Q209" s="523">
        <f>SUM(Q164:Q169)</f>
        <v>0</v>
      </c>
      <c r="R209" s="523">
        <f>SUM(R164:R169)</f>
        <v>0</v>
      </c>
    </row>
    <row r="210" spans="1:18" ht="15" customHeight="1">
      <c r="A210" s="523" t="str">
        <f t="shared" si="23"/>
        <v/>
      </c>
      <c r="B210" s="523">
        <f>SUM(B172:B177)</f>
        <v>0</v>
      </c>
      <c r="C210" s="523">
        <f t="shared" ref="C210:M210" si="34">SUM(C172:C177)</f>
        <v>0</v>
      </c>
      <c r="D210" s="523">
        <f t="shared" si="34"/>
        <v>0</v>
      </c>
      <c r="E210" s="523">
        <f t="shared" si="34"/>
        <v>0</v>
      </c>
      <c r="F210" s="523">
        <f t="shared" si="34"/>
        <v>0</v>
      </c>
      <c r="G210" s="523">
        <f t="shared" si="34"/>
        <v>0</v>
      </c>
      <c r="H210" s="523">
        <f t="shared" si="34"/>
        <v>0</v>
      </c>
      <c r="I210" s="523">
        <f t="shared" si="34"/>
        <v>0</v>
      </c>
      <c r="J210" s="523">
        <f t="shared" si="34"/>
        <v>0</v>
      </c>
      <c r="K210" s="523">
        <f t="shared" si="34"/>
        <v>0</v>
      </c>
      <c r="L210" s="523">
        <f t="shared" si="34"/>
        <v>0</v>
      </c>
      <c r="M210" s="523">
        <f t="shared" si="34"/>
        <v>0</v>
      </c>
      <c r="N210" s="523">
        <f>SUM(N172:N177)</f>
        <v>0</v>
      </c>
      <c r="O210" s="523">
        <f>SUM(O172:O177)</f>
        <v>0</v>
      </c>
      <c r="P210" s="523">
        <f>SUM(P172:P177)</f>
        <v>0</v>
      </c>
      <c r="Q210" s="523">
        <f>SUM(Q172:Q177)</f>
        <v>0</v>
      </c>
      <c r="R210" s="523">
        <f>SUM(R172:R177)</f>
        <v>0</v>
      </c>
    </row>
    <row r="211" spans="1:18" ht="15" customHeight="1">
      <c r="A211" s="523" t="str">
        <f t="shared" si="23"/>
        <v/>
      </c>
      <c r="B211" s="523">
        <f>SUM(B180:B185)</f>
        <v>0</v>
      </c>
      <c r="C211" s="523">
        <f t="shared" ref="C211:M211" si="35">SUM(C180:C185)</f>
        <v>0</v>
      </c>
      <c r="D211" s="523">
        <f t="shared" si="35"/>
        <v>0</v>
      </c>
      <c r="E211" s="523">
        <f t="shared" si="35"/>
        <v>0</v>
      </c>
      <c r="F211" s="523">
        <f t="shared" si="35"/>
        <v>0</v>
      </c>
      <c r="G211" s="523">
        <f t="shared" si="35"/>
        <v>0</v>
      </c>
      <c r="H211" s="523">
        <f t="shared" si="35"/>
        <v>0</v>
      </c>
      <c r="I211" s="523">
        <f t="shared" si="35"/>
        <v>0</v>
      </c>
      <c r="J211" s="523">
        <f t="shared" si="35"/>
        <v>0</v>
      </c>
      <c r="K211" s="523">
        <f t="shared" si="35"/>
        <v>0</v>
      </c>
      <c r="L211" s="523">
        <f t="shared" si="35"/>
        <v>0</v>
      </c>
      <c r="M211" s="523">
        <f t="shared" si="35"/>
        <v>0</v>
      </c>
      <c r="N211" s="523">
        <f>SUM(N180:N185)</f>
        <v>0</v>
      </c>
      <c r="O211" s="523">
        <f>SUM(O180:O185)</f>
        <v>0</v>
      </c>
      <c r="P211" s="523">
        <f>SUM(P180:P185)</f>
        <v>0</v>
      </c>
      <c r="Q211" s="523">
        <f>SUM(Q180:Q185)</f>
        <v>0</v>
      </c>
      <c r="R211" s="523">
        <f>SUM(R180:R185)</f>
        <v>0</v>
      </c>
    </row>
    <row r="212" spans="1:18" ht="15" customHeight="1">
      <c r="A212" s="524" t="s">
        <v>605</v>
      </c>
      <c r="B212" s="524" t="s">
        <v>605</v>
      </c>
      <c r="C212" s="524" t="s">
        <v>605</v>
      </c>
      <c r="D212" s="524" t="s">
        <v>605</v>
      </c>
      <c r="E212" s="524" t="s">
        <v>605</v>
      </c>
      <c r="F212" s="524" t="s">
        <v>605</v>
      </c>
      <c r="G212" s="524" t="s">
        <v>605</v>
      </c>
      <c r="H212" s="524" t="s">
        <v>605</v>
      </c>
      <c r="I212" s="524" t="s">
        <v>605</v>
      </c>
      <c r="J212" s="524" t="s">
        <v>605</v>
      </c>
      <c r="K212" s="524" t="s">
        <v>605</v>
      </c>
      <c r="L212" s="524" t="s">
        <v>605</v>
      </c>
      <c r="M212" s="524" t="s">
        <v>605</v>
      </c>
      <c r="N212" s="524" t="s">
        <v>605</v>
      </c>
      <c r="O212" s="524" t="s">
        <v>605</v>
      </c>
      <c r="P212" s="524" t="s">
        <v>605</v>
      </c>
      <c r="Q212" s="524" t="s">
        <v>605</v>
      </c>
      <c r="R212" s="524" t="s">
        <v>605</v>
      </c>
    </row>
    <row r="213" spans="1:18" ht="15" customHeight="1">
      <c r="A213" s="522" t="s">
        <v>49</v>
      </c>
      <c r="B213" s="523">
        <f t="shared" ref="B213:R213" si="36">SUM(B200:B211)</f>
        <v>2187000</v>
      </c>
      <c r="C213" s="523">
        <f t="shared" si="36"/>
        <v>2551500</v>
      </c>
      <c r="D213" s="523">
        <f t="shared" si="36"/>
        <v>2551500</v>
      </c>
      <c r="E213" s="523">
        <f t="shared" si="36"/>
        <v>20047500</v>
      </c>
      <c r="F213" s="523">
        <f t="shared" si="36"/>
        <v>26244000</v>
      </c>
      <c r="G213" s="523">
        <f t="shared" si="36"/>
        <v>26244000</v>
      </c>
      <c r="H213" s="523">
        <f t="shared" si="36"/>
        <v>25879500</v>
      </c>
      <c r="I213" s="523">
        <f t="shared" si="36"/>
        <v>34627500</v>
      </c>
      <c r="J213" s="523">
        <f t="shared" si="36"/>
        <v>32805000</v>
      </c>
      <c r="K213" s="523">
        <f t="shared" si="36"/>
        <v>30253500</v>
      </c>
      <c r="L213" s="523">
        <f t="shared" si="36"/>
        <v>31347000</v>
      </c>
      <c r="M213" s="523">
        <f t="shared" si="36"/>
        <v>28431000</v>
      </c>
      <c r="N213" s="523">
        <f t="shared" si="36"/>
        <v>263169000</v>
      </c>
      <c r="O213" s="523">
        <f t="shared" si="36"/>
        <v>400364866.25999993</v>
      </c>
      <c r="P213" s="523">
        <f t="shared" si="36"/>
        <v>464921338.87980008</v>
      </c>
      <c r="Q213" s="523">
        <f t="shared" si="36"/>
        <v>494954472.15419406</v>
      </c>
      <c r="R213" s="523">
        <f t="shared" si="36"/>
        <v>509803106.31881982</v>
      </c>
    </row>
    <row r="214" spans="1:18" ht="15" customHeight="1">
      <c r="A214" s="524" t="s">
        <v>46</v>
      </c>
      <c r="B214" s="524" t="s">
        <v>46</v>
      </c>
      <c r="C214" s="524" t="s">
        <v>46</v>
      </c>
      <c r="D214" s="524" t="s">
        <v>46</v>
      </c>
      <c r="E214" s="524" t="s">
        <v>46</v>
      </c>
      <c r="F214" s="524" t="s">
        <v>46</v>
      </c>
      <c r="G214" s="524" t="s">
        <v>46</v>
      </c>
      <c r="H214" s="524" t="s">
        <v>46</v>
      </c>
      <c r="I214" s="524" t="s">
        <v>46</v>
      </c>
      <c r="J214" s="524" t="s">
        <v>46</v>
      </c>
      <c r="K214" s="524" t="s">
        <v>46</v>
      </c>
      <c r="L214" s="524" t="s">
        <v>46</v>
      </c>
      <c r="M214" s="524" t="s">
        <v>46</v>
      </c>
      <c r="N214" s="524" t="s">
        <v>46</v>
      </c>
      <c r="O214" s="524" t="s">
        <v>46</v>
      </c>
      <c r="P214" s="524" t="s">
        <v>46</v>
      </c>
      <c r="Q214" s="524" t="s">
        <v>46</v>
      </c>
      <c r="R214" s="524" t="s">
        <v>46</v>
      </c>
    </row>
    <row r="216" spans="1:18" ht="15" customHeight="1">
      <c r="A216" s="522" t="s">
        <v>200</v>
      </c>
    </row>
    <row r="217" spans="1:18" ht="15" customHeight="1">
      <c r="A217" s="524" t="s">
        <v>46</v>
      </c>
      <c r="B217" s="524" t="s">
        <v>46</v>
      </c>
      <c r="C217" s="524" t="s">
        <v>46</v>
      </c>
      <c r="D217" s="524" t="s">
        <v>46</v>
      </c>
      <c r="E217" s="524" t="s">
        <v>46</v>
      </c>
      <c r="F217" s="524" t="s">
        <v>46</v>
      </c>
      <c r="G217" s="524" t="s">
        <v>46</v>
      </c>
      <c r="H217" s="524" t="s">
        <v>46</v>
      </c>
      <c r="I217" s="524" t="s">
        <v>46</v>
      </c>
      <c r="J217" s="524" t="s">
        <v>46</v>
      </c>
      <c r="K217" s="524" t="s">
        <v>46</v>
      </c>
      <c r="L217" s="524" t="s">
        <v>46</v>
      </c>
      <c r="M217" s="524" t="s">
        <v>46</v>
      </c>
      <c r="N217" s="524" t="s">
        <v>46</v>
      </c>
      <c r="O217" s="524" t="s">
        <v>46</v>
      </c>
      <c r="P217" s="524" t="s">
        <v>46</v>
      </c>
      <c r="Q217" s="524" t="s">
        <v>46</v>
      </c>
      <c r="R217" s="524" t="s">
        <v>46</v>
      </c>
    </row>
    <row r="218" spans="1:18" ht="15" customHeight="1">
      <c r="A218" s="522" t="s">
        <v>575</v>
      </c>
      <c r="B218" s="522" t="s">
        <v>606</v>
      </c>
      <c r="C218" s="522" t="s">
        <v>607</v>
      </c>
      <c r="D218" s="522" t="s">
        <v>608</v>
      </c>
      <c r="E218" s="522" t="s">
        <v>609</v>
      </c>
      <c r="F218" s="522" t="s">
        <v>610</v>
      </c>
      <c r="G218" s="522" t="s">
        <v>611</v>
      </c>
      <c r="H218" s="522" t="s">
        <v>612</v>
      </c>
      <c r="I218" s="522" t="s">
        <v>613</v>
      </c>
      <c r="J218" s="522" t="s">
        <v>614</v>
      </c>
      <c r="K218" s="522" t="s">
        <v>615</v>
      </c>
      <c r="L218" s="522" t="s">
        <v>616</v>
      </c>
      <c r="M218" s="522" t="s">
        <v>617</v>
      </c>
      <c r="N218" s="522" t="s">
        <v>692</v>
      </c>
      <c r="O218" s="522" t="s">
        <v>693</v>
      </c>
      <c r="P218" s="522" t="s">
        <v>694</v>
      </c>
      <c r="Q218" s="522" t="s">
        <v>186</v>
      </c>
      <c r="R218" s="522" t="s">
        <v>187</v>
      </c>
    </row>
    <row r="219" spans="1:18" ht="15" customHeight="1">
      <c r="A219" s="524" t="s">
        <v>605</v>
      </c>
      <c r="B219" s="524" t="s">
        <v>605</v>
      </c>
      <c r="C219" s="524" t="s">
        <v>605</v>
      </c>
      <c r="D219" s="524" t="s">
        <v>605</v>
      </c>
      <c r="E219" s="524" t="s">
        <v>605</v>
      </c>
      <c r="F219" s="524" t="s">
        <v>605</v>
      </c>
      <c r="G219" s="524" t="s">
        <v>605</v>
      </c>
      <c r="H219" s="524" t="s">
        <v>605</v>
      </c>
      <c r="I219" s="524" t="s">
        <v>605</v>
      </c>
      <c r="J219" s="524" t="s">
        <v>605</v>
      </c>
      <c r="K219" s="524" t="s">
        <v>605</v>
      </c>
      <c r="L219" s="524" t="s">
        <v>605</v>
      </c>
      <c r="M219" s="524" t="s">
        <v>605</v>
      </c>
      <c r="N219" s="524" t="s">
        <v>605</v>
      </c>
      <c r="O219" s="524" t="s">
        <v>605</v>
      </c>
      <c r="P219" s="524" t="s">
        <v>605</v>
      </c>
      <c r="Q219" s="524" t="s">
        <v>605</v>
      </c>
      <c r="R219" s="524" t="s">
        <v>605</v>
      </c>
    </row>
    <row r="220" spans="1:18" ht="15" customHeight="1">
      <c r="A220" s="523" t="str">
        <f t="shared" ref="A220:A231" si="37">A10</f>
        <v>CAMISETAS</v>
      </c>
      <c r="B220" s="523">
        <f>B29*'datos de entrada'!C14</f>
        <v>2187000</v>
      </c>
      <c r="C220" s="523">
        <f>C29*'datos de entrada'!C14+B29*'datos de entrada'!D14</f>
        <v>2551500</v>
      </c>
      <c r="D220" s="523">
        <f>D29*'datos de entrada'!C14+C29*'datos de entrada'!D14+B29*'datos de entrada'!E14</f>
        <v>2551500</v>
      </c>
      <c r="E220" s="523">
        <f>E29*'datos de entrada'!C14+D29*'datos de entrada'!D14+C29*'datos de entrada'!E14+B29*'datos de entrada'!F14</f>
        <v>20047500</v>
      </c>
      <c r="F220" s="523">
        <f>F29*'datos de entrada'!C14+E29*'datos de entrada'!D14+D29*'datos de entrada'!E14+C29*'datos de entrada'!F14+B29*'datos de entrada'!G14</f>
        <v>26244000</v>
      </c>
      <c r="G220" s="523">
        <f>G29*'datos de entrada'!C14+F29*'datos de entrada'!D14+E29*'datos de entrada'!E14+D29*'datos de entrada'!F14+C29*'datos de entrada'!G14+B29*'datos de entrada'!H14</f>
        <v>26244000</v>
      </c>
      <c r="H220" s="523">
        <f>H29*'datos de entrada'!C14+G29*'datos de entrada'!D14+F29*'datos de entrada'!E14+E29*'datos de entrada'!F14+D29*'datos de entrada'!G14+D29*'datos de entrada'!H14</f>
        <v>25879500</v>
      </c>
      <c r="I220" s="523">
        <f>I29*'datos de entrada'!C14+H29*'datos de entrada'!D14+G29*'datos de entrada'!E14+F29*'datos de entrada'!F14+E29*'datos de entrada'!G14+D29*'datos de entrada'!H14</f>
        <v>34627500</v>
      </c>
      <c r="J220" s="523">
        <f>J29*'datos de entrada'!C14+I29*'datos de entrada'!D14+H29*'datos de entrada'!E14+G29*'datos de entrada'!F14+F29*'datos de entrada'!G14+E29*'datos de entrada'!H14</f>
        <v>32805000</v>
      </c>
      <c r="K220" s="523">
        <f>K29*'datos de entrada'!C14+J29*'datos de entrada'!D14+I29*'datos de entrada'!E14+H29*'datos de entrada'!F14+G29*'datos de entrada'!G14+F29*'datos de entrada'!H14</f>
        <v>30253500</v>
      </c>
      <c r="L220" s="523">
        <f>L29*'datos de entrada'!C14+K29*'datos de entrada'!D14+J29*'datos de entrada'!E14+I29*'datos de entrada'!F14+H29*'datos de entrada'!G14+G29*'datos de entrada'!H14</f>
        <v>31347000</v>
      </c>
      <c r="M220" s="523">
        <f>M29*'datos de entrada'!C14+L29*'datos de entrada'!D14+K29*'datos de entrada'!E14+J29*'datos de entrada'!F14+I29*'datos de entrada'!G14+H29*'datos de entrada'!H14</f>
        <v>28431000</v>
      </c>
      <c r="N220" s="523">
        <f t="shared" ref="N220:N231" si="38">SUM(B220:M220)</f>
        <v>263169000</v>
      </c>
      <c r="O220" s="523">
        <f t="shared" ref="O220:R225" si="39">O200</f>
        <v>400364866.25999993</v>
      </c>
      <c r="P220" s="523">
        <f t="shared" si="39"/>
        <v>464921338.87980008</v>
      </c>
      <c r="Q220" s="523">
        <f t="shared" si="39"/>
        <v>494954472.15419406</v>
      </c>
      <c r="R220" s="523">
        <f t="shared" si="39"/>
        <v>509803106.31881982</v>
      </c>
    </row>
    <row r="221" spans="1:18" ht="15" customHeight="1">
      <c r="A221" s="523" t="str">
        <f t="shared" si="37"/>
        <v/>
      </c>
      <c r="B221" s="523">
        <f>B30*'datos de entrada'!C15</f>
        <v>0</v>
      </c>
      <c r="C221" s="523">
        <f>C30*'datos de entrada'!C15+B30*'datos de entrada'!D15</f>
        <v>0</v>
      </c>
      <c r="D221" s="523">
        <f>D30*'datos de entrada'!C15+C30*'datos de entrada'!D15+B30*'datos de entrada'!E15</f>
        <v>0</v>
      </c>
      <c r="E221" s="523">
        <f>E30*'datos de entrada'!C15+D30*'datos de entrada'!D15+C30*'datos de entrada'!E15+B30*'datos de entrada'!F15</f>
        <v>0</v>
      </c>
      <c r="F221" s="523">
        <f>F30*'datos de entrada'!C15+E30*'datos de entrada'!D15+D30*'datos de entrada'!E15+C30*'datos de entrada'!F15+B30*'datos de entrada'!G15</f>
        <v>0</v>
      </c>
      <c r="G221" s="523">
        <f>G30*'datos de entrada'!C15+F30*'datos de entrada'!D15+E30*'datos de entrada'!E15+D30*'datos de entrada'!F15+C30*'datos de entrada'!G15+B30*'datos de entrada'!H15</f>
        <v>0</v>
      </c>
      <c r="H221" s="523">
        <f>H30*'datos de entrada'!C15+G30*'datos de entrada'!D15+F30*'datos de entrada'!E15+E30*'datos de entrada'!F15+D30*'datos de entrada'!G15+D30*'datos de entrada'!H15</f>
        <v>0</v>
      </c>
      <c r="I221" s="523">
        <f>I30*'datos de entrada'!C15+H30*'datos de entrada'!D15+G30*'datos de entrada'!E15+F30*'datos de entrada'!F15+E30*'datos de entrada'!G15+D30*'datos de entrada'!H15</f>
        <v>0</v>
      </c>
      <c r="J221" s="523">
        <f>J30*'datos de entrada'!C15+I30*'datos de entrada'!D15+H30*'datos de entrada'!E15+G30*'datos de entrada'!F15+F30*'datos de entrada'!G15+E30*'datos de entrada'!H15</f>
        <v>0</v>
      </c>
      <c r="K221" s="523">
        <f>K30*'datos de entrada'!C15+J30*'datos de entrada'!D15+I30*'datos de entrada'!E15+H30*'datos de entrada'!F15+G30*'datos de entrada'!G15+F30*'datos de entrada'!H15</f>
        <v>0</v>
      </c>
      <c r="L221" s="523">
        <f>L30*'datos de entrada'!C15+K30*'datos de entrada'!D15+J30*'datos de entrada'!E15+I30*'datos de entrada'!F15+H30*'datos de entrada'!G15+G30*'datos de entrada'!H15</f>
        <v>0</v>
      </c>
      <c r="M221" s="523">
        <f>M30*'datos de entrada'!C15+L30*'datos de entrada'!D15+K30*'datos de entrada'!E15+J30*'datos de entrada'!F15+I30*'datos de entrada'!G15+H30*'datos de entrada'!H15</f>
        <v>0</v>
      </c>
      <c r="N221" s="523">
        <f t="shared" si="38"/>
        <v>0</v>
      </c>
      <c r="O221" s="523">
        <f t="shared" si="39"/>
        <v>0</v>
      </c>
      <c r="P221" s="523">
        <f t="shared" si="39"/>
        <v>0</v>
      </c>
      <c r="Q221" s="523">
        <f t="shared" si="39"/>
        <v>0</v>
      </c>
      <c r="R221" s="523">
        <f t="shared" si="39"/>
        <v>0</v>
      </c>
    </row>
    <row r="222" spans="1:18" ht="15" customHeight="1">
      <c r="A222" s="523" t="str">
        <f t="shared" si="37"/>
        <v/>
      </c>
      <c r="B222" s="523">
        <f>B31*'datos de entrada'!C16</f>
        <v>0</v>
      </c>
      <c r="C222" s="523">
        <f>C31*'datos de entrada'!C16+B31*'datos de entrada'!D16</f>
        <v>0</v>
      </c>
      <c r="D222" s="523">
        <f>D31*'datos de entrada'!C16+C31*'datos de entrada'!D16+B31*'datos de entrada'!E16</f>
        <v>0</v>
      </c>
      <c r="E222" s="523">
        <f>E31*'datos de entrada'!C16+D31*'datos de entrada'!D16+C31*'datos de entrada'!E16+B31*'datos de entrada'!F16</f>
        <v>0</v>
      </c>
      <c r="F222" s="523">
        <f>F31*'datos de entrada'!C16+E31*'datos de entrada'!D16+D31*'datos de entrada'!E16+C31*'datos de entrada'!F16+B31*'datos de entrada'!G16</f>
        <v>0</v>
      </c>
      <c r="G222" s="523">
        <f>G31*'datos de entrada'!C16+F31*'datos de entrada'!D16+E31*'datos de entrada'!E16+D31*'datos de entrada'!F16+C31*'datos de entrada'!G16+B31*'datos de entrada'!H16</f>
        <v>0</v>
      </c>
      <c r="H222" s="523">
        <f>H31*'datos de entrada'!C16+G31*'datos de entrada'!D16+F31*'datos de entrada'!E16+E31*'datos de entrada'!F16+D31*'datos de entrada'!G16+D31*'datos de entrada'!H16</f>
        <v>0</v>
      </c>
      <c r="I222" s="523">
        <f>I31*'datos de entrada'!C16+H31*'datos de entrada'!D16+G31*'datos de entrada'!E16+F31*'datos de entrada'!F16+E31*'datos de entrada'!G16+D31*'datos de entrada'!H16</f>
        <v>0</v>
      </c>
      <c r="J222" s="523">
        <f>J31*'datos de entrada'!C16+I31*'datos de entrada'!D16+H31*'datos de entrada'!E16+G31*'datos de entrada'!F16+F31*'datos de entrada'!G16+E31*'datos de entrada'!H16</f>
        <v>0</v>
      </c>
      <c r="K222" s="523">
        <f>K31*'datos de entrada'!C16+J31*'datos de entrada'!D16+I31*'datos de entrada'!E16+H31*'datos de entrada'!F16+G31*'datos de entrada'!G16+F31*'datos de entrada'!H16</f>
        <v>0</v>
      </c>
      <c r="L222" s="523">
        <f>L31*'datos de entrada'!C16+K31*'datos de entrada'!D16+J31*'datos de entrada'!E16+I31*'datos de entrada'!F16+H31*'datos de entrada'!G16+G31*'datos de entrada'!H16</f>
        <v>0</v>
      </c>
      <c r="M222" s="523">
        <f>M31*'datos de entrada'!C16+L31*'datos de entrada'!D16+K31*'datos de entrada'!E16+J31*'datos de entrada'!F16+I31*'datos de entrada'!G16+H31*'datos de entrada'!H16</f>
        <v>0</v>
      </c>
      <c r="N222" s="523">
        <f t="shared" si="38"/>
        <v>0</v>
      </c>
      <c r="O222" s="523">
        <f t="shared" si="39"/>
        <v>0</v>
      </c>
      <c r="P222" s="523">
        <f t="shared" si="39"/>
        <v>0</v>
      </c>
      <c r="Q222" s="523">
        <f t="shared" si="39"/>
        <v>0</v>
      </c>
      <c r="R222" s="523">
        <f t="shared" si="39"/>
        <v>0</v>
      </c>
    </row>
    <row r="223" spans="1:18" ht="15" customHeight="1">
      <c r="A223" s="523" t="str">
        <f t="shared" si="37"/>
        <v/>
      </c>
      <c r="B223" s="523">
        <f>B32*'datos de entrada'!C17</f>
        <v>0</v>
      </c>
      <c r="C223" s="523">
        <f>C32*'datos de entrada'!C17+B32*'datos de entrada'!D17</f>
        <v>0</v>
      </c>
      <c r="D223" s="523">
        <f>D32*'datos de entrada'!C17+C32*'datos de entrada'!D17+B32*'datos de entrada'!E17</f>
        <v>0</v>
      </c>
      <c r="E223" s="523">
        <f>E32*'datos de entrada'!C17+D32*'datos de entrada'!D17+C32*'datos de entrada'!E17+B32*'datos de entrada'!F17</f>
        <v>0</v>
      </c>
      <c r="F223" s="523">
        <f>F32*'datos de entrada'!C17+E32*'datos de entrada'!D17+D32*'datos de entrada'!E17+C32*'datos de entrada'!F17+B32*'datos de entrada'!G17</f>
        <v>0</v>
      </c>
      <c r="G223" s="523">
        <f>G32*'datos de entrada'!C17+F32*'datos de entrada'!D17+E32*'datos de entrada'!E17+D32*'datos de entrada'!F17+C32*'datos de entrada'!G17+B32*'datos de entrada'!H17</f>
        <v>0</v>
      </c>
      <c r="H223" s="523">
        <f>H32*'datos de entrada'!C17+G32*'datos de entrada'!D17+F32*'datos de entrada'!E17+E32*'datos de entrada'!F17+D32*'datos de entrada'!G17+D32*'datos de entrada'!H17</f>
        <v>0</v>
      </c>
      <c r="I223" s="523">
        <f>I32*'datos de entrada'!C17+H32*'datos de entrada'!D17+G32*'datos de entrada'!E17+F32*'datos de entrada'!F17+E32*'datos de entrada'!G17+D32*'datos de entrada'!H17</f>
        <v>0</v>
      </c>
      <c r="J223" s="523">
        <f>J32*'datos de entrada'!C17+I32*'datos de entrada'!D17+H32*'datos de entrada'!E17+G32*'datos de entrada'!F17+F32*'datos de entrada'!G17+E32*'datos de entrada'!H17</f>
        <v>0</v>
      </c>
      <c r="K223" s="523">
        <f>K32*'datos de entrada'!C17+J32*'datos de entrada'!D17+I32*'datos de entrada'!E17+H32*'datos de entrada'!F17+G32*'datos de entrada'!G17+F32*'datos de entrada'!H17</f>
        <v>0</v>
      </c>
      <c r="L223" s="523">
        <f>L32*'datos de entrada'!C17+K32*'datos de entrada'!D17+J32*'datos de entrada'!E17+I32*'datos de entrada'!F17+H32*'datos de entrada'!G17+G32*'datos de entrada'!H17</f>
        <v>0</v>
      </c>
      <c r="M223" s="523">
        <f>M32*'datos de entrada'!C17+L32*'datos de entrada'!D17+K32*'datos de entrada'!E17+J32*'datos de entrada'!F17+I32*'datos de entrada'!G17+H32*'datos de entrada'!H17</f>
        <v>0</v>
      </c>
      <c r="N223" s="523">
        <f t="shared" si="38"/>
        <v>0</v>
      </c>
      <c r="O223" s="523">
        <f t="shared" si="39"/>
        <v>0</v>
      </c>
      <c r="P223" s="523">
        <f t="shared" si="39"/>
        <v>0</v>
      </c>
      <c r="Q223" s="523">
        <f t="shared" si="39"/>
        <v>0</v>
      </c>
      <c r="R223" s="523">
        <f t="shared" si="39"/>
        <v>0</v>
      </c>
    </row>
    <row r="224" spans="1:18" ht="15" customHeight="1">
      <c r="A224" s="523" t="str">
        <f t="shared" si="37"/>
        <v/>
      </c>
      <c r="B224" s="523">
        <f>B33*'datos de entrada'!C18</f>
        <v>0</v>
      </c>
      <c r="C224" s="523">
        <f>C33*'datos de entrada'!C18+B33*'datos de entrada'!D18</f>
        <v>0</v>
      </c>
      <c r="D224" s="523">
        <f>D33*'datos de entrada'!C18+C33*'datos de entrada'!D18+B33*'datos de entrada'!E18</f>
        <v>0</v>
      </c>
      <c r="E224" s="523">
        <f>E33*'datos de entrada'!C18+D33*'datos de entrada'!D18+C33*'datos de entrada'!E18+B33*'datos de entrada'!F18</f>
        <v>0</v>
      </c>
      <c r="F224" s="523">
        <f>F33*'datos de entrada'!C18+E33*'datos de entrada'!D18+D33*'datos de entrada'!E18+C33*'datos de entrada'!F18+B33*'datos de entrada'!G18</f>
        <v>0</v>
      </c>
      <c r="G224" s="523">
        <f>G33*'datos de entrada'!C18+F33*'datos de entrada'!D18+E33*'datos de entrada'!E18+D33*'datos de entrada'!F18+C33*'datos de entrada'!G18+B33*'datos de entrada'!H18</f>
        <v>0</v>
      </c>
      <c r="H224" s="523">
        <f>H33*'datos de entrada'!C18+G33*'datos de entrada'!D18+F33*'datos de entrada'!E18+E33*'datos de entrada'!F18+D33*'datos de entrada'!G18+D33*'datos de entrada'!H18</f>
        <v>0</v>
      </c>
      <c r="I224" s="523">
        <f>I33*'datos de entrada'!C18+H33*'datos de entrada'!D18+G33*'datos de entrada'!E18+F33*'datos de entrada'!F18+E33*'datos de entrada'!G18+D33*'datos de entrada'!H18</f>
        <v>0</v>
      </c>
      <c r="J224" s="523">
        <f>J33*'datos de entrada'!C18+I33*'datos de entrada'!D18+H33*'datos de entrada'!E18+G33*'datos de entrada'!F18+F33*'datos de entrada'!G18+E33*'datos de entrada'!H18</f>
        <v>0</v>
      </c>
      <c r="K224" s="523">
        <f>K33*'datos de entrada'!C18+J33*'datos de entrada'!D18+I33*'datos de entrada'!E18+H33*'datos de entrada'!F18+G33*'datos de entrada'!G18+F33*'datos de entrada'!H18</f>
        <v>0</v>
      </c>
      <c r="L224" s="523">
        <f>L33*'datos de entrada'!C18+K33*'datos de entrada'!D18+J33*'datos de entrada'!E18+I33*'datos de entrada'!F18+H33*'datos de entrada'!G18+G33*'datos de entrada'!H18</f>
        <v>0</v>
      </c>
      <c r="M224" s="523">
        <f>M33*'datos de entrada'!C18+L33*'datos de entrada'!D18+K33*'datos de entrada'!E18+J33*'datos de entrada'!F18+I33*'datos de entrada'!G18+H33*'datos de entrada'!H18</f>
        <v>0</v>
      </c>
      <c r="N224" s="523">
        <f t="shared" si="38"/>
        <v>0</v>
      </c>
      <c r="O224" s="523">
        <f t="shared" si="39"/>
        <v>0</v>
      </c>
      <c r="P224" s="523">
        <f t="shared" si="39"/>
        <v>0</v>
      </c>
      <c r="Q224" s="523">
        <f t="shared" si="39"/>
        <v>0</v>
      </c>
      <c r="R224" s="523">
        <f t="shared" si="39"/>
        <v>0</v>
      </c>
    </row>
    <row r="225" spans="1:18" ht="15" customHeight="1">
      <c r="A225" s="523" t="str">
        <f t="shared" si="37"/>
        <v/>
      </c>
      <c r="B225" s="523">
        <f>B34*'datos de entrada'!C19</f>
        <v>0</v>
      </c>
      <c r="C225" s="523">
        <f>C34*'datos de entrada'!C19+B34*'datos de entrada'!D19</f>
        <v>0</v>
      </c>
      <c r="D225" s="523">
        <f>D34*'datos de entrada'!C19+C34*'datos de entrada'!D19+B34*'datos de entrada'!E19</f>
        <v>0</v>
      </c>
      <c r="E225" s="523">
        <f>E34*'datos de entrada'!C19+D34*'datos de entrada'!D19+C34*'datos de entrada'!E19+B34*'datos de entrada'!F19</f>
        <v>0</v>
      </c>
      <c r="F225" s="523">
        <f>F34*'datos de entrada'!C19+E34*'datos de entrada'!D19+D34*'datos de entrada'!E19+C34*'datos de entrada'!F19+B34*'datos de entrada'!G19</f>
        <v>0</v>
      </c>
      <c r="G225" s="523">
        <f>G34*'datos de entrada'!C19+F34*'datos de entrada'!D19+E34*'datos de entrada'!E19+D34*'datos de entrada'!F19+C34*'datos de entrada'!G19+B34*'datos de entrada'!H19</f>
        <v>0</v>
      </c>
      <c r="H225" s="523">
        <f>H34*'datos de entrada'!C19+G34*'datos de entrada'!D19+F34*'datos de entrada'!E19+E34*'datos de entrada'!F19+D34*'datos de entrada'!G19+C34*'datos de entrada'!H19</f>
        <v>0</v>
      </c>
      <c r="I225" s="523">
        <f>I34*'datos de entrada'!C19+H34*'datos de entrada'!D19+G34*'datos de entrada'!E19+F34*'datos de entrada'!F19+E34*'datos de entrada'!G19+D34*'datos de entrada'!H19</f>
        <v>0</v>
      </c>
      <c r="J225" s="523">
        <f>J34*'datos de entrada'!C19+I34*'datos de entrada'!D19+H34*'datos de entrada'!E19+G34*'datos de entrada'!F19+F34*'datos de entrada'!G19+E34*'datos de entrada'!H19</f>
        <v>0</v>
      </c>
      <c r="K225" s="523">
        <f>K34*'datos de entrada'!C19+J34*'datos de entrada'!D19+I34*'datos de entrada'!E19+H34*'datos de entrada'!F19+G34*'datos de entrada'!G19+F34*'datos de entrada'!H19</f>
        <v>0</v>
      </c>
      <c r="L225" s="523">
        <f>L34*'datos de entrada'!C19+K34*'datos de entrada'!D19+J34*'datos de entrada'!E19+I34*'datos de entrada'!F19+H34*'datos de entrada'!G19+G34*'datos de entrada'!H19</f>
        <v>0</v>
      </c>
      <c r="M225" s="523">
        <f>M34*'datos de entrada'!C19+L34*'datos de entrada'!D19+K34*'datos de entrada'!E19+J34*'datos de entrada'!F19+I34*'datos de entrada'!G19+H34*'datos de entrada'!H19</f>
        <v>0</v>
      </c>
      <c r="N225" s="523">
        <f t="shared" si="38"/>
        <v>0</v>
      </c>
      <c r="O225" s="523">
        <f t="shared" si="39"/>
        <v>0</v>
      </c>
      <c r="P225" s="523">
        <f t="shared" si="39"/>
        <v>0</v>
      </c>
      <c r="Q225" s="523">
        <f t="shared" si="39"/>
        <v>0</v>
      </c>
      <c r="R225" s="523">
        <f t="shared" si="39"/>
        <v>0</v>
      </c>
    </row>
    <row r="226" spans="1:18" ht="15" customHeight="1">
      <c r="A226" s="523" t="str">
        <f t="shared" si="37"/>
        <v/>
      </c>
      <c r="B226" s="523">
        <f>B35*'datos de entrada'!C20</f>
        <v>0</v>
      </c>
      <c r="C226" s="523">
        <f>C35*'datos de entrada'!C20+B35*'datos de entrada'!D20</f>
        <v>0</v>
      </c>
      <c r="D226" s="523">
        <f>D35*'datos de entrada'!C20+C35*'datos de entrada'!D20+B35*'datos de entrada'!E20</f>
        <v>0</v>
      </c>
      <c r="E226" s="523">
        <f>E35*'datos de entrada'!C20+D35*'datos de entrada'!D20+C35*'datos de entrada'!E20+B35*'datos de entrada'!F20</f>
        <v>0</v>
      </c>
      <c r="F226" s="523">
        <f>F35*'datos de entrada'!C20+E35*'datos de entrada'!D20+D35*'datos de entrada'!E20+C35*'datos de entrada'!F20+B35*'datos de entrada'!G20</f>
        <v>0</v>
      </c>
      <c r="G226" s="523">
        <f>G35*'datos de entrada'!C20+F35*'datos de entrada'!D20+E35*'datos de entrada'!E20+D35*'datos de entrada'!F20+C35*'datos de entrada'!G20+B35*'datos de entrada'!H20</f>
        <v>0</v>
      </c>
      <c r="H226" s="523">
        <f>H35*'datos de entrada'!C20+G35*'datos de entrada'!D20+F35*'datos de entrada'!E20+E35*'datos de entrada'!F20+D35*'datos de entrada'!G20+C35*'datos de entrada'!H20</f>
        <v>0</v>
      </c>
      <c r="I226" s="523">
        <f>I35*'datos de entrada'!C20+H35*'datos de entrada'!D20+G35*'datos de entrada'!E20+F35*'datos de entrada'!F20+E35*'datos de entrada'!G20+D35*'datos de entrada'!H20</f>
        <v>0</v>
      </c>
      <c r="J226" s="523">
        <f>J35*'datos de entrada'!C20+I35*'datos de entrada'!D20+H35*'datos de entrada'!E20+G35*'datos de entrada'!F20+F35*'datos de entrada'!G20+E35*'datos de entrada'!H20</f>
        <v>0</v>
      </c>
      <c r="K226" s="523">
        <f>K35*'datos de entrada'!C20+J35*'datos de entrada'!D20+I35*'datos de entrada'!E20+H35*'datos de entrada'!F20+G35*'datos de entrada'!G20+F35*'datos de entrada'!H20</f>
        <v>0</v>
      </c>
      <c r="L226" s="523">
        <f>L35*'datos de entrada'!C20+K35*'datos de entrada'!D20+J35*'datos de entrada'!E20+I35*'datos de entrada'!F20+H35*'datos de entrada'!G20+G35*'datos de entrada'!H20</f>
        <v>0</v>
      </c>
      <c r="M226" s="523">
        <f>M35*'datos de entrada'!C20+L35*'datos de entrada'!D20+K35*'datos de entrada'!E20+J35*'datos de entrada'!F20+I35*'datos de entrada'!G20+H35*'datos de entrada'!H20</f>
        <v>0</v>
      </c>
      <c r="N226" s="523">
        <f t="shared" si="38"/>
        <v>0</v>
      </c>
    </row>
    <row r="227" spans="1:18" ht="15" customHeight="1">
      <c r="A227" s="523" t="str">
        <f t="shared" si="37"/>
        <v/>
      </c>
      <c r="B227" s="523">
        <f>B36*'datos de entrada'!C21</f>
        <v>0</v>
      </c>
      <c r="C227" s="523">
        <f>C36*'datos de entrada'!C21+B36*'datos de entrada'!D21</f>
        <v>0</v>
      </c>
      <c r="D227" s="523">
        <f>D36*'datos de entrada'!C21+C36*'datos de entrada'!D21+B36*'datos de entrada'!E21</f>
        <v>0</v>
      </c>
      <c r="E227" s="523">
        <f>E36*'datos de entrada'!C21+D36*'datos de entrada'!D21+C36*'datos de entrada'!E21+B36*'datos de entrada'!F21</f>
        <v>0</v>
      </c>
      <c r="F227" s="523">
        <f>F36*'datos de entrada'!C21+E36*'datos de entrada'!D21+D36*'datos de entrada'!E21+C36*'datos de entrada'!F21+B36*'datos de entrada'!G21</f>
        <v>0</v>
      </c>
      <c r="G227" s="523">
        <f>G36*'datos de entrada'!C21+F36*'datos de entrada'!D21+E36*'datos de entrada'!E21+D36*'datos de entrada'!F21+C36*'datos de entrada'!G21+B36*'datos de entrada'!H21</f>
        <v>0</v>
      </c>
      <c r="H227" s="523">
        <f>H36*'datos de entrada'!C21+G36*'datos de entrada'!D21+F36*'datos de entrada'!E21+E36*'datos de entrada'!F21+D36*'datos de entrada'!G21+C36*'datos de entrada'!H21</f>
        <v>0</v>
      </c>
      <c r="I227" s="523">
        <f>I36*'datos de entrada'!C21+H36*'datos de entrada'!D21+G36*'datos de entrada'!E21+F36*'datos de entrada'!F21+E36*'datos de entrada'!G21+D36*'datos de entrada'!H21</f>
        <v>0</v>
      </c>
      <c r="J227" s="523">
        <f>J36*'datos de entrada'!C21+I36*'datos de entrada'!D21+H36*'datos de entrada'!E21+G36*'datos de entrada'!F21+F36*'datos de entrada'!G21+E36*'datos de entrada'!H21</f>
        <v>0</v>
      </c>
      <c r="K227" s="523">
        <f>K36*'datos de entrada'!C21+J36*'datos de entrada'!D21+I36*'datos de entrada'!E21+H36*'datos de entrada'!F21+G36*'datos de entrada'!G21+F36*'datos de entrada'!H21</f>
        <v>0</v>
      </c>
      <c r="L227" s="523">
        <f>L36*'datos de entrada'!C21+K36*'datos de entrada'!D21+J36*'datos de entrada'!E21+I36*'datos de entrada'!F21+H36*'datos de entrada'!G21+G36*'datos de entrada'!H21</f>
        <v>0</v>
      </c>
      <c r="M227" s="523">
        <f>M36*'datos de entrada'!C21+L36*'datos de entrada'!D21+K36*'datos de entrada'!E21+J36*'datos de entrada'!F21+I36*'datos de entrada'!G21+H36*'datos de entrada'!H21</f>
        <v>0</v>
      </c>
      <c r="N227" s="523">
        <f t="shared" si="38"/>
        <v>0</v>
      </c>
    </row>
    <row r="228" spans="1:18" ht="15" customHeight="1">
      <c r="A228" s="523" t="str">
        <f t="shared" si="37"/>
        <v/>
      </c>
      <c r="B228" s="523">
        <f>B37*'datos de entrada'!C22</f>
        <v>0</v>
      </c>
      <c r="C228" s="523">
        <f>C37*'datos de entrada'!C22+B37*'datos de entrada'!D22</f>
        <v>0</v>
      </c>
      <c r="D228" s="523">
        <f>D37*'datos de entrada'!C22+C37*'datos de entrada'!D22+B37*'datos de entrada'!E22</f>
        <v>0</v>
      </c>
      <c r="E228" s="523">
        <f>E37*'datos de entrada'!C22+D37*'datos de entrada'!D22+C37*'datos de entrada'!E22+B37*'datos de entrada'!F22</f>
        <v>0</v>
      </c>
      <c r="F228" s="523">
        <f>F37*'datos de entrada'!C22+E37*'datos de entrada'!D22+D37*'datos de entrada'!E22+C37*'datos de entrada'!F22+B37*'datos de entrada'!G22</f>
        <v>0</v>
      </c>
      <c r="G228" s="523">
        <f>G37*'datos de entrada'!C22+F37*'datos de entrada'!D22+E37*'datos de entrada'!E22+D37*'datos de entrada'!F22+C37*'datos de entrada'!G22+B37*'datos de entrada'!H22</f>
        <v>0</v>
      </c>
      <c r="H228" s="523">
        <f>H37*'datos de entrada'!C22+G37*'datos de entrada'!D22+F37*'datos de entrada'!E22+E37*'datos de entrada'!F22+D37*'datos de entrada'!G22+C37*'datos de entrada'!H22</f>
        <v>0</v>
      </c>
      <c r="I228" s="523">
        <f>I37*'datos de entrada'!C22+H37*'datos de entrada'!D22+G37*'datos de entrada'!E22+F37*'datos de entrada'!F22+E37*'datos de entrada'!G22+D37*'datos de entrada'!H22</f>
        <v>0</v>
      </c>
      <c r="J228" s="523">
        <f>J37*'datos de entrada'!C22+I37*'datos de entrada'!D22+H37*'datos de entrada'!E22+G37*'datos de entrada'!F22+F37*'datos de entrada'!G22+E37*'datos de entrada'!H22</f>
        <v>0</v>
      </c>
      <c r="K228" s="523">
        <f>K37*'datos de entrada'!C22+J37*'datos de entrada'!D22+I37*'datos de entrada'!E22+H37*'datos de entrada'!F22+G37*'datos de entrada'!G22+F37*'datos de entrada'!H22</f>
        <v>0</v>
      </c>
      <c r="L228" s="523">
        <f>L37*'datos de entrada'!C22+K37*'datos de entrada'!D22+J37*'datos de entrada'!E22+I37*'datos de entrada'!F22+H37*'datos de entrada'!G22+G37*'datos de entrada'!H22</f>
        <v>0</v>
      </c>
      <c r="M228" s="523">
        <f>M37*'datos de entrada'!C22+L37*'datos de entrada'!D22+K37*'datos de entrada'!E22+J37*'datos de entrada'!F22+I37*'datos de entrada'!G22+H37*'datos de entrada'!H22</f>
        <v>0</v>
      </c>
      <c r="N228" s="523">
        <f t="shared" si="38"/>
        <v>0</v>
      </c>
    </row>
    <row r="229" spans="1:18" ht="15" customHeight="1">
      <c r="A229" s="523" t="str">
        <f t="shared" si="37"/>
        <v/>
      </c>
      <c r="B229" s="523">
        <f>B38*'datos de entrada'!C23</f>
        <v>0</v>
      </c>
      <c r="C229" s="523">
        <f>C38*'datos de entrada'!C23+B38*'datos de entrada'!D23</f>
        <v>0</v>
      </c>
      <c r="D229" s="523">
        <f>D38*'datos de entrada'!C23+C38*'datos de entrada'!D23+B38*'datos de entrada'!E23</f>
        <v>0</v>
      </c>
      <c r="E229" s="523">
        <f>E38*'datos de entrada'!C23+D38*'datos de entrada'!D23+C38*'datos de entrada'!E23+B38*'datos de entrada'!F23</f>
        <v>0</v>
      </c>
      <c r="F229" s="523">
        <f>F38*'datos de entrada'!C23+E38*'datos de entrada'!D23+D38*'datos de entrada'!E23+C38*'datos de entrada'!F23+B38*'datos de entrada'!G23</f>
        <v>0</v>
      </c>
      <c r="G229" s="523">
        <f>G38*'datos de entrada'!C23+F38*'datos de entrada'!D23+E38*'datos de entrada'!E23+D38*'datos de entrada'!F23+C38*'datos de entrada'!G23+B38*'datos de entrada'!H23</f>
        <v>0</v>
      </c>
      <c r="H229" s="523">
        <f>H38*'datos de entrada'!C23+G38*'datos de entrada'!D23+F38*'datos de entrada'!E23+E38*'datos de entrada'!F23+D38*'datos de entrada'!G23+C38*'datos de entrada'!H23</f>
        <v>0</v>
      </c>
      <c r="I229" s="523">
        <f>I38*'datos de entrada'!C23+H38*'datos de entrada'!D23+G38*'datos de entrada'!E23+F38*'datos de entrada'!F23+E38*'datos de entrada'!G23+D38*'datos de entrada'!H23</f>
        <v>0</v>
      </c>
      <c r="J229" s="523">
        <f>J38*'datos de entrada'!C23+I38*'datos de entrada'!D23+H38*'datos de entrada'!E23+G38*'datos de entrada'!F23+F38*'datos de entrada'!G23+E38*'datos de entrada'!H23</f>
        <v>0</v>
      </c>
      <c r="K229" s="523">
        <f>K38*'datos de entrada'!C23+J38*'datos de entrada'!D23+I38*'datos de entrada'!E23+H38*'datos de entrada'!F23+G38*'datos de entrada'!G23+F38*'datos de entrada'!H23</f>
        <v>0</v>
      </c>
      <c r="L229" s="523">
        <f>L38*'datos de entrada'!C23+K38*'datos de entrada'!D23+J38*'datos de entrada'!E23+I38*'datos de entrada'!F23+H38*'datos de entrada'!G23+G38*'datos de entrada'!H23</f>
        <v>0</v>
      </c>
      <c r="M229" s="523">
        <f>M38*'datos de entrada'!C23+L38*'datos de entrada'!D23+K38*'datos de entrada'!E23+J38*'datos de entrada'!F23+I38*'datos de entrada'!G23+H38*'datos de entrada'!H23</f>
        <v>0</v>
      </c>
      <c r="N229" s="523">
        <f t="shared" si="38"/>
        <v>0</v>
      </c>
    </row>
    <row r="230" spans="1:18" ht="15" customHeight="1">
      <c r="A230" s="523" t="str">
        <f t="shared" si="37"/>
        <v/>
      </c>
      <c r="B230" s="523">
        <f>B39*'datos de entrada'!C24</f>
        <v>0</v>
      </c>
      <c r="C230" s="523">
        <f>C39*'datos de entrada'!C24+B39*'datos de entrada'!D24</f>
        <v>0</v>
      </c>
      <c r="D230" s="523">
        <f>D39*'datos de entrada'!C24+C39*'datos de entrada'!D24+B39*'datos de entrada'!E24</f>
        <v>0</v>
      </c>
      <c r="E230" s="523">
        <f>E39*'datos de entrada'!C24+D39*'datos de entrada'!D24+C39*'datos de entrada'!E24+B39*'datos de entrada'!F24</f>
        <v>0</v>
      </c>
      <c r="F230" s="523">
        <f>F39*'datos de entrada'!C24+E39*'datos de entrada'!D24+D39*'datos de entrada'!E24+C39*'datos de entrada'!F24+B39*'datos de entrada'!G24</f>
        <v>0</v>
      </c>
      <c r="G230" s="523">
        <f>G39*'datos de entrada'!C24+F39*'datos de entrada'!D24+E39*'datos de entrada'!E24+D39*'datos de entrada'!F24+C39*'datos de entrada'!G24+B39*'datos de entrada'!H24</f>
        <v>0</v>
      </c>
      <c r="H230" s="523">
        <f>H39*'datos de entrada'!C24+G39*'datos de entrada'!D24+F39*'datos de entrada'!E24+E39*'datos de entrada'!F24+D39*'datos de entrada'!G24+C39*'datos de entrada'!H24</f>
        <v>0</v>
      </c>
      <c r="I230" s="523">
        <f>I39*'datos de entrada'!C24+H39*'datos de entrada'!D24+G39*'datos de entrada'!E24+F39*'datos de entrada'!F24+E39*'datos de entrada'!G24+D39*'datos de entrada'!H24</f>
        <v>0</v>
      </c>
      <c r="J230" s="523">
        <f>J39*'datos de entrada'!C24+I39*'datos de entrada'!D24+H39*'datos de entrada'!E24+G39*'datos de entrada'!F24+F39*'datos de entrada'!G24+E39*'datos de entrada'!H24</f>
        <v>0</v>
      </c>
      <c r="K230" s="523">
        <f>K39*'datos de entrada'!C24+J39*'datos de entrada'!D24+I39*'datos de entrada'!E24+H39*'datos de entrada'!F24+G39*'datos de entrada'!G24+F39*'datos de entrada'!H24</f>
        <v>0</v>
      </c>
      <c r="L230" s="523">
        <f>L39*'datos de entrada'!C24+K39*'datos de entrada'!D24+J39*'datos de entrada'!E24+I39*'datos de entrada'!F24+H39*'datos de entrada'!G24+G39*'datos de entrada'!H24</f>
        <v>0</v>
      </c>
      <c r="M230" s="523">
        <f>M39*'datos de entrada'!C24+L39*'datos de entrada'!D24+K39*'datos de entrada'!E24+J39*'datos de entrada'!F24+I39*'datos de entrada'!G24+H39*'datos de entrada'!H24</f>
        <v>0</v>
      </c>
      <c r="N230" s="523">
        <f t="shared" si="38"/>
        <v>0</v>
      </c>
    </row>
    <row r="231" spans="1:18" ht="15" customHeight="1">
      <c r="A231" s="523" t="str">
        <f t="shared" si="37"/>
        <v/>
      </c>
      <c r="B231" s="523">
        <f>B40*'datos de entrada'!C25</f>
        <v>0</v>
      </c>
      <c r="C231" s="523">
        <f>C40*'datos de entrada'!C25+B40*'datos de entrada'!D25</f>
        <v>0</v>
      </c>
      <c r="D231" s="523">
        <f>D40*'datos de entrada'!C25+C40*'datos de entrada'!D25+B40*'datos de entrada'!E25</f>
        <v>0</v>
      </c>
      <c r="E231" s="523">
        <f>E40*'datos de entrada'!C25+D40*'datos de entrada'!D25+C40*'datos de entrada'!E25+B40*'datos de entrada'!F25</f>
        <v>0</v>
      </c>
      <c r="F231" s="523">
        <f>F40*'datos de entrada'!C25+E40*'datos de entrada'!D25+D40*'datos de entrada'!E25+C40*'datos de entrada'!F25+B40*'datos de entrada'!G25</f>
        <v>0</v>
      </c>
      <c r="G231" s="523">
        <f>G40*'datos de entrada'!C25+F40*'datos de entrada'!D25+E40*'datos de entrada'!E25+D40*'datos de entrada'!F25+C40*'datos de entrada'!G25+B40*'datos de entrada'!H25</f>
        <v>0</v>
      </c>
      <c r="H231" s="523">
        <f>H40*'datos de entrada'!C25+G40*'datos de entrada'!D25+F40*'datos de entrada'!E25+E40*'datos de entrada'!F25+D40*'datos de entrada'!G25+C40*'datos de entrada'!H25</f>
        <v>0</v>
      </c>
      <c r="I231" s="523">
        <f>I40*'datos de entrada'!C25+H40*'datos de entrada'!D25+G40*'datos de entrada'!E25+F40*'datos de entrada'!F25+E40*'datos de entrada'!G25+D40*'datos de entrada'!H25</f>
        <v>0</v>
      </c>
      <c r="J231" s="523">
        <f>J40*'datos de entrada'!C25+I40*'datos de entrada'!D25+H40*'datos de entrada'!E25+G40*'datos de entrada'!F25+F40*'datos de entrada'!G25+E40*'datos de entrada'!H25</f>
        <v>0</v>
      </c>
      <c r="K231" s="523">
        <f>K40*'datos de entrada'!C25+J40*'datos de entrada'!D25+I40*'datos de entrada'!E25+H40*'datos de entrada'!F25+G40*'datos de entrada'!G25+F40*'datos de entrada'!H25</f>
        <v>0</v>
      </c>
      <c r="L231" s="523">
        <f>L40*'datos de entrada'!C25+K40*'datos de entrada'!D25+J40*'datos de entrada'!E25+I40*'datos de entrada'!F25+H40*'datos de entrada'!G25+G40*'datos de entrada'!H25</f>
        <v>0</v>
      </c>
      <c r="M231" s="523">
        <f>M40*'datos de entrada'!C25+L40*'datos de entrada'!D25+K40*'datos de entrada'!E25+J40*'datos de entrada'!F25+I40*'datos de entrada'!G25+H40*'datos de entrada'!H25</f>
        <v>0</v>
      </c>
      <c r="N231" s="523">
        <f t="shared" si="38"/>
        <v>0</v>
      </c>
    </row>
    <row r="232" spans="1:18" ht="15" customHeight="1">
      <c r="A232" s="524" t="s">
        <v>605</v>
      </c>
      <c r="B232" s="524" t="s">
        <v>605</v>
      </c>
      <c r="C232" s="524" t="s">
        <v>605</v>
      </c>
      <c r="D232" s="524" t="s">
        <v>605</v>
      </c>
      <c r="E232" s="524" t="s">
        <v>605</v>
      </c>
      <c r="F232" s="524" t="s">
        <v>605</v>
      </c>
      <c r="G232" s="524" t="s">
        <v>605</v>
      </c>
      <c r="H232" s="524" t="s">
        <v>605</v>
      </c>
      <c r="I232" s="524" t="s">
        <v>605</v>
      </c>
      <c r="J232" s="524" t="s">
        <v>605</v>
      </c>
      <c r="K232" s="524" t="s">
        <v>605</v>
      </c>
      <c r="L232" s="524" t="s">
        <v>605</v>
      </c>
      <c r="M232" s="524" t="s">
        <v>605</v>
      </c>
      <c r="N232" s="524" t="s">
        <v>605</v>
      </c>
      <c r="O232" s="524" t="s">
        <v>605</v>
      </c>
      <c r="P232" s="524" t="s">
        <v>605</v>
      </c>
      <c r="Q232" s="524" t="s">
        <v>605</v>
      </c>
      <c r="R232" s="524" t="s">
        <v>605</v>
      </c>
    </row>
    <row r="233" spans="1:18" ht="15" customHeight="1">
      <c r="A233" s="522" t="s">
        <v>49</v>
      </c>
      <c r="B233" s="523">
        <f t="shared" ref="B233:R233" si="40">SUM(B220:B232)</f>
        <v>2187000</v>
      </c>
      <c r="C233" s="523">
        <f t="shared" si="40"/>
        <v>2551500</v>
      </c>
      <c r="D233" s="523">
        <f t="shared" si="40"/>
        <v>2551500</v>
      </c>
      <c r="E233" s="523">
        <f t="shared" si="40"/>
        <v>20047500</v>
      </c>
      <c r="F233" s="523">
        <f t="shared" si="40"/>
        <v>26244000</v>
      </c>
      <c r="G233" s="523">
        <f t="shared" si="40"/>
        <v>26244000</v>
      </c>
      <c r="H233" s="523">
        <f t="shared" si="40"/>
        <v>25879500</v>
      </c>
      <c r="I233" s="523">
        <f t="shared" si="40"/>
        <v>34627500</v>
      </c>
      <c r="J233" s="523">
        <f t="shared" si="40"/>
        <v>32805000</v>
      </c>
      <c r="K233" s="523">
        <f t="shared" si="40"/>
        <v>30253500</v>
      </c>
      <c r="L233" s="523">
        <f t="shared" si="40"/>
        <v>31347000</v>
      </c>
      <c r="M233" s="523">
        <f t="shared" si="40"/>
        <v>28431000</v>
      </c>
      <c r="N233" s="523">
        <f t="shared" si="40"/>
        <v>263169000</v>
      </c>
      <c r="O233" s="523">
        <f t="shared" si="40"/>
        <v>400364866.25999993</v>
      </c>
      <c r="P233" s="523">
        <f t="shared" si="40"/>
        <v>464921338.87980008</v>
      </c>
      <c r="Q233" s="523">
        <f t="shared" si="40"/>
        <v>494954472.15419406</v>
      </c>
      <c r="R233" s="523">
        <f t="shared" si="40"/>
        <v>509803106.31881982</v>
      </c>
    </row>
    <row r="234" spans="1:18" ht="15" customHeight="1">
      <c r="A234" s="524" t="s">
        <v>46</v>
      </c>
      <c r="B234" s="524" t="s">
        <v>46</v>
      </c>
      <c r="C234" s="524" t="s">
        <v>46</v>
      </c>
      <c r="D234" s="524" t="s">
        <v>46</v>
      </c>
      <c r="E234" s="524" t="s">
        <v>46</v>
      </c>
      <c r="F234" s="524" t="s">
        <v>46</v>
      </c>
      <c r="G234" s="524" t="s">
        <v>46</v>
      </c>
      <c r="H234" s="524" t="s">
        <v>46</v>
      </c>
      <c r="I234" s="524" t="s">
        <v>46</v>
      </c>
      <c r="J234" s="524" t="s">
        <v>46</v>
      </c>
      <c r="K234" s="524" t="s">
        <v>46</v>
      </c>
      <c r="L234" s="524" t="s">
        <v>46</v>
      </c>
      <c r="M234" s="524" t="s">
        <v>46</v>
      </c>
      <c r="N234" s="524" t="s">
        <v>46</v>
      </c>
      <c r="O234" s="524" t="s">
        <v>46</v>
      </c>
      <c r="P234" s="524" t="s">
        <v>46</v>
      </c>
      <c r="Q234" s="524" t="s">
        <v>46</v>
      </c>
      <c r="R234" s="524" t="s">
        <v>46</v>
      </c>
    </row>
    <row r="236" spans="1:18" ht="15" customHeight="1">
      <c r="A236" s="522" t="s">
        <v>201</v>
      </c>
    </row>
    <row r="237" spans="1:18" ht="15" customHeight="1">
      <c r="A237" s="524" t="s">
        <v>46</v>
      </c>
      <c r="B237" s="524" t="s">
        <v>46</v>
      </c>
      <c r="C237" s="524" t="s">
        <v>46</v>
      </c>
      <c r="D237" s="524" t="s">
        <v>46</v>
      </c>
      <c r="E237" s="524" t="s">
        <v>46</v>
      </c>
      <c r="F237" s="524" t="s">
        <v>46</v>
      </c>
      <c r="G237" s="524" t="s">
        <v>46</v>
      </c>
      <c r="H237" s="524" t="s">
        <v>46</v>
      </c>
    </row>
    <row r="238" spans="1:18" ht="15" customHeight="1">
      <c r="B238" s="523" t="str">
        <f>A10</f>
        <v>CAMISETAS</v>
      </c>
      <c r="C238" s="523" t="str">
        <f>A11</f>
        <v/>
      </c>
      <c r="D238" s="523" t="str">
        <f>A12</f>
        <v/>
      </c>
      <c r="E238" s="523" t="str">
        <f>A13</f>
        <v/>
      </c>
      <c r="F238" s="523" t="str">
        <f>A14</f>
        <v/>
      </c>
      <c r="G238" s="523" t="str">
        <f>A15</f>
        <v/>
      </c>
      <c r="H238" s="523" t="str">
        <f>+A16</f>
        <v/>
      </c>
      <c r="I238" s="523" t="str">
        <f>+A17</f>
        <v/>
      </c>
      <c r="J238" s="523" t="str">
        <f>+A18</f>
        <v/>
      </c>
      <c r="K238" s="523" t="str">
        <f>+A19</f>
        <v/>
      </c>
      <c r="L238" s="523" t="str">
        <f>+A20</f>
        <v/>
      </c>
      <c r="M238" s="523" t="str">
        <f>+A21</f>
        <v/>
      </c>
      <c r="N238" s="522" t="s">
        <v>49</v>
      </c>
    </row>
    <row r="239" spans="1:18" ht="15" customHeight="1">
      <c r="A239" s="524" t="s">
        <v>605</v>
      </c>
      <c r="B239" s="524" t="s">
        <v>605</v>
      </c>
      <c r="C239" s="524" t="s">
        <v>605</v>
      </c>
      <c r="D239" s="524" t="s">
        <v>605</v>
      </c>
      <c r="E239" s="524" t="s">
        <v>605</v>
      </c>
      <c r="F239" s="524" t="s">
        <v>605</v>
      </c>
      <c r="G239" s="524" t="s">
        <v>605</v>
      </c>
      <c r="H239" s="524"/>
      <c r="I239" s="524"/>
      <c r="J239" s="524"/>
      <c r="K239" s="524"/>
      <c r="L239" s="524"/>
      <c r="M239" s="524"/>
      <c r="N239" s="524" t="s">
        <v>605</v>
      </c>
    </row>
    <row r="240" spans="1:18" ht="15" customHeight="1">
      <c r="A240" s="522" t="s">
        <v>692</v>
      </c>
    </row>
    <row r="241" spans="1:14" ht="15" customHeight="1">
      <c r="A241" s="533" t="s">
        <v>194</v>
      </c>
      <c r="B241" s="523">
        <f>'datos de entrada'!D14*M29</f>
        <v>0</v>
      </c>
      <c r="C241" s="523">
        <f>+'datos de entrada'!D15*M30</f>
        <v>0</v>
      </c>
      <c r="D241" s="523">
        <f>+'datos de entrada'!D16*M31</f>
        <v>0</v>
      </c>
      <c r="E241" s="523">
        <f>+'datos de entrada'!D17*M32</f>
        <v>0</v>
      </c>
      <c r="F241" s="523">
        <f>+'datos de entrada'!D18*M33</f>
        <v>0</v>
      </c>
      <c r="G241" s="523">
        <f>+'datos de entrada'!D19*M34</f>
        <v>0</v>
      </c>
      <c r="H241" s="523">
        <f>+'datos de entrada'!D20*M35</f>
        <v>0</v>
      </c>
      <c r="I241" s="523">
        <f>+'datos de entrada'!D21*M36</f>
        <v>0</v>
      </c>
      <c r="J241" s="523">
        <f>+'datos de entrada'!D22*M37</f>
        <v>0</v>
      </c>
      <c r="K241" s="523">
        <f>+'datos de entrada'!D23*M38</f>
        <v>0</v>
      </c>
      <c r="L241" s="523">
        <f>+'datos de entrada'!D24*M39</f>
        <v>0</v>
      </c>
      <c r="M241" s="523">
        <f>+'datos de entrada'!D25*M40</f>
        <v>0</v>
      </c>
    </row>
    <row r="242" spans="1:14" ht="15" customHeight="1">
      <c r="A242" s="533" t="s">
        <v>195</v>
      </c>
      <c r="B242" s="523">
        <f>+'datos de entrada'!E14*(M29+L29)</f>
        <v>0</v>
      </c>
      <c r="C242" s="523">
        <f>+'datos de entrada'!E15*(L30+M30)</f>
        <v>0</v>
      </c>
      <c r="D242" s="523">
        <f>+'datos de entrada'!E16*(M31+L31)</f>
        <v>0</v>
      </c>
      <c r="E242" s="523">
        <f>+'datos de entrada'!E17*(M32+L32)</f>
        <v>0</v>
      </c>
      <c r="F242" s="523">
        <f>+'datos de entrada'!E18*(M33+L33)</f>
        <v>0</v>
      </c>
      <c r="G242" s="523">
        <f>+'datos de entrada'!E19*(M34+L34)</f>
        <v>0</v>
      </c>
      <c r="H242" s="523">
        <f>+'datos de entrada'!E20*(L35+M35)</f>
        <v>0</v>
      </c>
      <c r="I242" s="523">
        <f>+'datos de entrada'!E21*(M36+L36)</f>
        <v>0</v>
      </c>
      <c r="J242" s="523">
        <f>+'datos de entrada'!E22*(M37+L37)</f>
        <v>0</v>
      </c>
      <c r="K242" s="523">
        <f>+'datos de entrada'!E23*(M38+L38)</f>
        <v>0</v>
      </c>
      <c r="L242" s="523">
        <f>+'datos de entrada'!E24*(M39+L39)</f>
        <v>0</v>
      </c>
      <c r="M242" s="523">
        <f>+'datos de entrada'!E25*(L40+M40)</f>
        <v>0</v>
      </c>
    </row>
    <row r="243" spans="1:14" ht="15" customHeight="1">
      <c r="A243" s="533" t="s">
        <v>196</v>
      </c>
      <c r="B243" s="523">
        <f>+'datos de entrada'!F14*(K29+L29+M29)</f>
        <v>87480000</v>
      </c>
      <c r="C243" s="523">
        <f>+'datos de entrada'!F15*(K30+L30+M30)</f>
        <v>0</v>
      </c>
      <c r="D243" s="523">
        <f>+'datos de entrada'!F16*(K31+L31+M31)</f>
        <v>0</v>
      </c>
      <c r="E243" s="523">
        <f>+'datos de entrada'!F17*(K32+L32+M32)</f>
        <v>0</v>
      </c>
      <c r="F243" s="523">
        <f>+'datos de entrada'!F18*(K33+L33+M33)</f>
        <v>0</v>
      </c>
      <c r="G243" s="523">
        <f>+'datos de entrada'!F19*(K34+L34+M34)</f>
        <v>0</v>
      </c>
      <c r="H243" s="523">
        <f>+'datos de entrada'!F20*(L35+M35+K35)</f>
        <v>0</v>
      </c>
      <c r="I243" s="523">
        <f>+'datos de entrada'!F21*(M36+K36+L36)</f>
        <v>0</v>
      </c>
      <c r="J243" s="523">
        <f>+'datos de entrada'!F22*(M37+L37+K37)</f>
        <v>0</v>
      </c>
      <c r="K243" s="523">
        <f>+'datos de entrada'!F23*(L38+M38+K38)</f>
        <v>0</v>
      </c>
      <c r="L243" s="523">
        <f>+'datos de entrada'!F24*(K39+M39+L39)</f>
        <v>0</v>
      </c>
      <c r="M243" s="523">
        <f>+'datos de entrada'!F25*(L40+M40+K40)</f>
        <v>0</v>
      </c>
    </row>
    <row r="244" spans="1:14" ht="15" customHeight="1">
      <c r="A244" s="533" t="s">
        <v>197</v>
      </c>
      <c r="B244" s="523">
        <f>+'datos de entrada'!G14*(J29+K29+L29+M29)</f>
        <v>13851000</v>
      </c>
      <c r="C244" s="523">
        <f>+'datos de entrada'!G15*(J30+K30+L30+M30)</f>
        <v>0</v>
      </c>
      <c r="D244" s="523">
        <f>+'datos de entrada'!G16*(J31+K31+L31+M31)</f>
        <v>0</v>
      </c>
      <c r="E244" s="523">
        <f>+'datos de entrada'!G17*(J32+K32+L32+M32)</f>
        <v>0</v>
      </c>
      <c r="F244" s="523">
        <f>+'datos de entrada'!G18*(J33+K33+L33+M33)</f>
        <v>0</v>
      </c>
      <c r="G244" s="523">
        <f>+'datos de entrada'!G19*(J34+K34+L34+M34)</f>
        <v>0</v>
      </c>
      <c r="H244" s="523">
        <f>+'datos de entrada'!G20*(K35+L35+M35+J35)</f>
        <v>0</v>
      </c>
      <c r="I244" s="523">
        <f>+'datos de entrada'!G21*(L36+M36+K36+J36)</f>
        <v>0</v>
      </c>
      <c r="J244" s="523">
        <f>+'datos de entrada'!G22*(M37+L37+K37+J37)</f>
        <v>0</v>
      </c>
      <c r="K244" s="523">
        <f>+'datos de entrada'!G23*(L38+M38+J38+K38)</f>
        <v>0</v>
      </c>
      <c r="L244" s="523">
        <f>+'datos de entrada'!G24*(M39+L39+K39+J39)</f>
        <v>0</v>
      </c>
      <c r="M244" s="523">
        <f>+'datos de entrada'!G25*(M40+J40+K40+L40)</f>
        <v>0</v>
      </c>
    </row>
    <row r="245" spans="1:14" ht="15" customHeight="1">
      <c r="A245" s="533" t="s">
        <v>198</v>
      </c>
      <c r="B245" s="523">
        <f>+'datos de entrada'!H14*(I29+J29+K29+L29+M29)</f>
        <v>0</v>
      </c>
      <c r="C245" s="523">
        <f>+'datos de entrada'!H15*(I30+J30+K30+L30+M30)</f>
        <v>0</v>
      </c>
      <c r="D245" s="523">
        <f>+'datos de entrada'!H16*(I31+J31+K31+L31+M31)</f>
        <v>0</v>
      </c>
      <c r="E245" s="523">
        <f>+'datos de entrada'!H17*(I32+J32+K32+L32+M32)</f>
        <v>0</v>
      </c>
      <c r="F245" s="523">
        <f>+'datos de entrada'!H18*(I33+J33+K33+L33+M33)</f>
        <v>0</v>
      </c>
      <c r="G245" s="523">
        <f>+'datos de entrada'!H19*(I34+J34+K34+L34+M34)</f>
        <v>0</v>
      </c>
      <c r="H245" s="523">
        <f>+'datos de entrada'!H20*(J35+K35+L35+M35+I35)</f>
        <v>0</v>
      </c>
      <c r="I245" s="523">
        <f>+'datos de entrada'!H21*(K36+L36+M36+J36+I36)</f>
        <v>0</v>
      </c>
      <c r="J245" s="523">
        <f>+'datos de entrada'!H22*(L37+M37+K37+J37+I37)</f>
        <v>0</v>
      </c>
      <c r="K245" s="523">
        <f>+'datos de entrada'!H23*(M38+L38+K38+J38+I38)</f>
        <v>0</v>
      </c>
      <c r="L245" s="523">
        <f>+'datos de entrada'!H24*(M39+L39+J39+K39+I39)</f>
        <v>0</v>
      </c>
      <c r="M245" s="523">
        <f>+'datos de entrada'!H25*(L40+J40+M40+I40+K40)</f>
        <v>0</v>
      </c>
    </row>
    <row r="246" spans="1:14" ht="15" customHeight="1">
      <c r="A246" s="522" t="s">
        <v>202</v>
      </c>
      <c r="B246" s="523">
        <f t="shared" ref="B246:M246" si="41">SUM(B241:B245)</f>
        <v>101331000</v>
      </c>
      <c r="C246" s="523">
        <f t="shared" si="41"/>
        <v>0</v>
      </c>
      <c r="D246" s="523">
        <f t="shared" si="41"/>
        <v>0</v>
      </c>
      <c r="E246" s="523">
        <f t="shared" si="41"/>
        <v>0</v>
      </c>
      <c r="F246" s="523">
        <f t="shared" si="41"/>
        <v>0</v>
      </c>
      <c r="G246" s="523">
        <f t="shared" si="41"/>
        <v>0</v>
      </c>
      <c r="H246" s="523">
        <f t="shared" si="41"/>
        <v>0</v>
      </c>
      <c r="I246" s="523">
        <f t="shared" si="41"/>
        <v>0</v>
      </c>
      <c r="J246" s="523">
        <f t="shared" si="41"/>
        <v>0</v>
      </c>
      <c r="K246" s="523">
        <f t="shared" si="41"/>
        <v>0</v>
      </c>
      <c r="L246" s="523">
        <f t="shared" si="41"/>
        <v>0</v>
      </c>
      <c r="M246" s="523">
        <f t="shared" si="41"/>
        <v>0</v>
      </c>
      <c r="N246" s="523">
        <f>SUM(B246:M246)</f>
        <v>101331000</v>
      </c>
    </row>
    <row r="247" spans="1:14" ht="15" customHeight="1">
      <c r="A247" s="522" t="s">
        <v>693</v>
      </c>
    </row>
    <row r="248" spans="1:14" ht="15" customHeight="1">
      <c r="A248" s="533" t="s">
        <v>194</v>
      </c>
      <c r="B248" s="523">
        <f>$C$50*'datos de entrada'!D14*(F71)</f>
        <v>0</v>
      </c>
      <c r="C248" s="523">
        <f>$C$51*'datos de entrada'!D15*(F72)</f>
        <v>0</v>
      </c>
      <c r="D248" s="523">
        <f>$C$52*'datos de entrada'!D16*(F73)</f>
        <v>0</v>
      </c>
      <c r="E248" s="523">
        <f>$C$53*'datos de entrada'!D17*(F74)</f>
        <v>0</v>
      </c>
      <c r="F248" s="523">
        <f>$C$54*'datos de entrada'!D18*(F75)</f>
        <v>0</v>
      </c>
      <c r="G248" s="523">
        <f>$C$55*'datos de entrada'!$D$19*($F$76)</f>
        <v>0</v>
      </c>
      <c r="H248" s="523">
        <f>$C$56*'datos de entrada'!$D$20*($F$77)</f>
        <v>0</v>
      </c>
      <c r="I248" s="523">
        <f>$C$57*'datos de entrada'!$D$21*($F$78)</f>
        <v>0</v>
      </c>
      <c r="J248" s="523">
        <f>$C$58*'datos de entrada'!$D$22*($F$79)</f>
        <v>0</v>
      </c>
      <c r="K248" s="523">
        <f>$C$59*'datos de entrada'!$D$23*($F$80)</f>
        <v>0</v>
      </c>
      <c r="L248" s="523">
        <f>$C$60*'datos de entrada'!$D$24*($F$81)</f>
        <v>0</v>
      </c>
      <c r="M248" s="523">
        <f>$C$61*'datos de entrada'!$D$25*($F$82)</f>
        <v>0</v>
      </c>
    </row>
    <row r="249" spans="1:14" ht="15" customHeight="1">
      <c r="A249" s="533" t="s">
        <v>195</v>
      </c>
      <c r="B249" s="523">
        <f>$C$50*'datos de entrada'!E14*(F71+E71)</f>
        <v>0</v>
      </c>
      <c r="C249" s="523">
        <f>$C$51*'datos de entrada'!E15*(F72+E72)</f>
        <v>0</v>
      </c>
      <c r="D249" s="523">
        <f>$C$52*'datos de entrada'!E16*(F73+E73)</f>
        <v>0</v>
      </c>
      <c r="E249" s="523">
        <f>$C$53*'datos de entrada'!E17*(F74+E74)</f>
        <v>0</v>
      </c>
      <c r="F249" s="523">
        <f>$C$54*'datos de entrada'!E18*(F75+E75)</f>
        <v>0</v>
      </c>
      <c r="G249" s="523">
        <f>$C$55*'datos de entrada'!$E$19*($F$76+$E$76)</f>
        <v>0</v>
      </c>
      <c r="H249" s="523">
        <f>$C$56*'datos de entrada'!$E$20*($F$77+$E$77)</f>
        <v>0</v>
      </c>
      <c r="I249" s="523">
        <f>$C$57*'datos de entrada'!$E$21*($F$78+$E$78)</f>
        <v>0</v>
      </c>
      <c r="J249" s="523">
        <f>$C$58*'datos de entrada'!$E$22*($F$79+$E$79)</f>
        <v>0</v>
      </c>
      <c r="K249" s="523">
        <f>$C$59*'datos de entrada'!$E$23*($F$80+$E$80)</f>
        <v>0</v>
      </c>
      <c r="L249" s="523">
        <f>$C$60*'datos de entrada'!$E$24*($F$81+$E$81)</f>
        <v>0</v>
      </c>
      <c r="M249" s="523">
        <f>$C$61*'datos de entrada'!$E$25*($F$82+$E$82)</f>
        <v>0</v>
      </c>
    </row>
    <row r="250" spans="1:14" ht="15" customHeight="1">
      <c r="A250" s="533" t="s">
        <v>196</v>
      </c>
      <c r="B250" s="523">
        <f>$C$50*'datos de entrada'!F14*(F71+E71+D71)</f>
        <v>99401839.200000018</v>
      </c>
      <c r="C250" s="523">
        <f>$C$51*'datos de entrada'!F15*(F72+E72+D72)</f>
        <v>0</v>
      </c>
      <c r="D250" s="523">
        <f>$C$52*'datos de entrada'!F16*(F73+E73+D73)</f>
        <v>0</v>
      </c>
      <c r="E250" s="523">
        <f>$C$53*'datos de entrada'!F17*(F74+E74+D74)</f>
        <v>0</v>
      </c>
      <c r="F250" s="523">
        <f>$C$54*'datos de entrada'!F18*(F75+E75+D75)</f>
        <v>0</v>
      </c>
      <c r="G250" s="523">
        <f>$C$55*'datos de entrada'!$F$19*($F$76+$E$76+$D$76)</f>
        <v>0</v>
      </c>
      <c r="H250" s="523">
        <f>$C$56*'datos de entrada'!$F$20*($F$77+$E$77+$D$77)</f>
        <v>0</v>
      </c>
      <c r="I250" s="523">
        <f>$C$57*'datos de entrada'!$F$21*($F$78+$E$78+$D$78)</f>
        <v>0</v>
      </c>
      <c r="J250" s="523">
        <f>$C$58*'datos de entrada'!$F$22*($F$79+$E$79+$D$79)</f>
        <v>0</v>
      </c>
      <c r="K250" s="523">
        <f>$C$59*'datos de entrada'!$F$23*($F$80+$E$80+$D$80)</f>
        <v>0</v>
      </c>
      <c r="L250" s="523">
        <f>$C$60*'datos de entrada'!$F$24*($F$81+$E$81+$D$81)</f>
        <v>0</v>
      </c>
      <c r="M250" s="523">
        <f>$C$61*'datos de entrada'!$F$25*($F$82+$E$82+$D$82)</f>
        <v>0</v>
      </c>
    </row>
    <row r="251" spans="1:14" ht="15" customHeight="1">
      <c r="A251" s="533" t="s">
        <v>197</v>
      </c>
      <c r="B251" s="523">
        <f>$C$50*'datos de entrada'!G14*(F71+E71+D71+C71)</f>
        <v>15738624.540000003</v>
      </c>
      <c r="C251" s="523">
        <f>$C$51*'datos de entrada'!G15*(F72+E72+D72+C72)</f>
        <v>0</v>
      </c>
      <c r="D251" s="523">
        <f>$C$52*'datos de entrada'!G16*(F73+E73+D73+C73)</f>
        <v>0</v>
      </c>
      <c r="E251" s="523">
        <f>$C$53*'datos de entrada'!G17*(F74+E74+D74+C74)</f>
        <v>0</v>
      </c>
      <c r="F251" s="523">
        <f>$C$54*'datos de entrada'!G18*(F75+E75+D75+C75)</f>
        <v>0</v>
      </c>
      <c r="G251" s="523">
        <f>$C$55*'datos de entrada'!$G$19*($F$76+$E$76+$D$76+C76)</f>
        <v>0</v>
      </c>
      <c r="H251" s="523">
        <f>$C$56*'datos de entrada'!$G$20*($F$77+$E$77+$D$77+C77)</f>
        <v>0</v>
      </c>
      <c r="I251" s="523">
        <f>$C$57*'datos de entrada'!$G$21*($F$78+$E$78+$D$78+C78)</f>
        <v>0</v>
      </c>
      <c r="J251" s="523">
        <f>$C$58*'datos de entrada'!$G$22*($F$79+$E$79+$D$79+C79)</f>
        <v>0</v>
      </c>
      <c r="K251" s="523">
        <f>$C$59*'datos de entrada'!$G$23*($F$80+$E$80+$D$80+C80)</f>
        <v>0</v>
      </c>
      <c r="L251" s="523">
        <f>$C$60*'datos de entrada'!$G$24*($F$81+$E$81+$D$81+C81)</f>
        <v>0</v>
      </c>
      <c r="M251" s="523">
        <f>$C$61*'datos de entrada'!$G$25*($F$82+$E$82+$D$82+C82)</f>
        <v>0</v>
      </c>
    </row>
    <row r="252" spans="1:14" ht="15" customHeight="1">
      <c r="A252" s="533" t="s">
        <v>198</v>
      </c>
      <c r="B252" s="523">
        <f>$C$50*'datos de entrada'!H14*(B71+C71+D71+E71+F71)</f>
        <v>0</v>
      </c>
      <c r="C252" s="523">
        <f>$C$51*'datos de entrada'!H15*(B72+C72+D72+E72+F72)</f>
        <v>0</v>
      </c>
      <c r="D252" s="523">
        <f>$C$52*'datos de entrada'!H16*(F73+E73+D73+C73+B73)</f>
        <v>0</v>
      </c>
      <c r="E252" s="523">
        <f>$C$53*'datos de entrada'!H17*(F74+E74+C74+D74+B74)</f>
        <v>0</v>
      </c>
      <c r="F252" s="523">
        <f>$C$54*'datos de entrada'!H18*(F75+E75+D75+C75+B75)</f>
        <v>0</v>
      </c>
      <c r="G252" s="523">
        <f>$C$55*'datos de entrada'!$H$19*($F$76+$E$76+$D$76+$C$76+$B$76)</f>
        <v>0</v>
      </c>
      <c r="H252" s="523">
        <f>$C$56*'datos de entrada'!$H$20*($F$77+$E$77+$D$77+$C$77+$B$77)</f>
        <v>0</v>
      </c>
      <c r="I252" s="523">
        <f>$C$57*'datos de entrada'!$H$21*($F$78+$E$78+$D$78+$C$78+$B$78)</f>
        <v>0</v>
      </c>
      <c r="J252" s="523">
        <f>$C$58*'datos de entrada'!$H$22*($F$79+$E$79+$D$79+$C$79+$B$79)</f>
        <v>0</v>
      </c>
      <c r="K252" s="523">
        <f>$C$59*'datos de entrada'!$H$23*($F$80+$E$80+$D$80+$C$80+$B$80)</f>
        <v>0</v>
      </c>
      <c r="L252" s="523">
        <f>$C$60*'datos de entrada'!$H$24*($F$81+$E$81+$D$81+$C$81+$B$81)</f>
        <v>0</v>
      </c>
      <c r="M252" s="523">
        <f>$C$61*'datos de entrada'!$H$25*($F$82+$E$82+$D$82+$C$82+$B$82)</f>
        <v>0</v>
      </c>
    </row>
    <row r="253" spans="1:14" ht="15" customHeight="1">
      <c r="A253" s="522" t="s">
        <v>203</v>
      </c>
      <c r="B253" s="523">
        <f t="shared" ref="B253:M253" si="42">SUM(B248:B252)</f>
        <v>115140463.74000002</v>
      </c>
      <c r="C253" s="523">
        <f t="shared" si="42"/>
        <v>0</v>
      </c>
      <c r="D253" s="523">
        <f t="shared" si="42"/>
        <v>0</v>
      </c>
      <c r="E253" s="523">
        <f t="shared" si="42"/>
        <v>0</v>
      </c>
      <c r="F253" s="523">
        <f t="shared" si="42"/>
        <v>0</v>
      </c>
      <c r="G253" s="523">
        <f t="shared" si="42"/>
        <v>0</v>
      </c>
      <c r="H253" s="523">
        <f t="shared" si="42"/>
        <v>0</v>
      </c>
      <c r="I253" s="523">
        <f t="shared" si="42"/>
        <v>0</v>
      </c>
      <c r="J253" s="523">
        <f t="shared" si="42"/>
        <v>0</v>
      </c>
      <c r="K253" s="523">
        <f t="shared" si="42"/>
        <v>0</v>
      </c>
      <c r="L253" s="523">
        <f t="shared" si="42"/>
        <v>0</v>
      </c>
      <c r="M253" s="523">
        <f t="shared" si="42"/>
        <v>0</v>
      </c>
      <c r="N253" s="523">
        <f>SUM(B253:M253)</f>
        <v>115140463.74000002</v>
      </c>
    </row>
    <row r="254" spans="1:14" ht="15" customHeight="1">
      <c r="A254" s="522" t="s">
        <v>694</v>
      </c>
    </row>
    <row r="255" spans="1:14" ht="15" customHeight="1">
      <c r="A255" s="533" t="s">
        <v>194</v>
      </c>
      <c r="B255" s="523">
        <f>+'datos de entrada'!D14*$F$71*$D$50</f>
        <v>0</v>
      </c>
      <c r="C255" s="523">
        <f>+'datos de entrada'!D15*$F$72*$D$51</f>
        <v>0</v>
      </c>
      <c r="D255" s="523">
        <f>+'datos de entrada'!D16*$F$73*$D$52</f>
        <v>0</v>
      </c>
      <c r="E255" s="523">
        <f>+'datos de entrada'!D17*$F$74*$D$53</f>
        <v>0</v>
      </c>
      <c r="F255" s="523">
        <f>+'datos de entrada'!D18*$F$75*$D$54</f>
        <v>0</v>
      </c>
      <c r="G255" s="523">
        <f>+'datos de entrada'!$D$19*$F$76*$D$55</f>
        <v>0</v>
      </c>
      <c r="H255" s="523">
        <f>+'datos de entrada'!$D$20*$F$77*$D$56</f>
        <v>0</v>
      </c>
      <c r="I255" s="523">
        <f>+'datos de entrada'!$D$21*$F$78*$D$57</f>
        <v>0</v>
      </c>
      <c r="J255" s="523">
        <f>+'datos de entrada'!D22*$F$79*$D$58</f>
        <v>0</v>
      </c>
      <c r="K255" s="523">
        <f>+'datos de entrada'!D23*$F$80*$D$59</f>
        <v>0</v>
      </c>
      <c r="L255" s="523">
        <f>+'datos de entrada'!D24*$F$81*$D$60</f>
        <v>0</v>
      </c>
      <c r="M255" s="523">
        <f>+'datos de entrada'!$D$25*$F$82*$D$61</f>
        <v>0</v>
      </c>
    </row>
    <row r="256" spans="1:14" ht="15" customHeight="1">
      <c r="A256" s="533" t="s">
        <v>195</v>
      </c>
      <c r="B256" s="523">
        <f>+'datos de entrada'!E14*($F$71+$E$71)*$D$50</f>
        <v>0</v>
      </c>
      <c r="C256" s="523">
        <f>+'datos de entrada'!E15*($F$72+$E$72)*$D$51</f>
        <v>0</v>
      </c>
      <c r="D256" s="523">
        <f>+'datos de entrada'!E16*($E$73+$F$73)*$D$52</f>
        <v>0</v>
      </c>
      <c r="E256" s="523">
        <f>+'datos de entrada'!E17*($F$74+$E$74)*$D$53</f>
        <v>0</v>
      </c>
      <c r="F256" s="523">
        <f>+'datos de entrada'!E18*($F$75+$E$75)*$D$54</f>
        <v>0</v>
      </c>
      <c r="G256" s="523">
        <f>+'datos de entrada'!$E$19*($F$76+$E$76)*$D$55</f>
        <v>0</v>
      </c>
      <c r="H256" s="523">
        <f>+'datos de entrada'!$E$20*($F$77+$E$77)*$D$56</f>
        <v>0</v>
      </c>
      <c r="I256" s="523">
        <f>+'datos de entrada'!$E$21*($F$78+$E$78)*$D$57</f>
        <v>0</v>
      </c>
      <c r="J256" s="523">
        <f>+'datos de entrada'!E22*($E$79+$F$79)*$D$58</f>
        <v>0</v>
      </c>
      <c r="K256" s="523">
        <f>+'datos de entrada'!E23*($F$80+$E$80)*$D$59</f>
        <v>0</v>
      </c>
      <c r="L256" s="523">
        <f>+'datos de entrada'!E24*($F$81+$E$81)*$D$60</f>
        <v>0</v>
      </c>
      <c r="M256" s="523">
        <f>+'datos de entrada'!$E$25*($F$82+$E$82)*$D$61</f>
        <v>0</v>
      </c>
    </row>
    <row r="257" spans="1:14" ht="15" customHeight="1">
      <c r="A257" s="533" t="s">
        <v>196</v>
      </c>
      <c r="B257" s="523">
        <f>+'datos de entrada'!F14*($F$71+$E$71+$D$71)*$D$50</f>
        <v>116270651.01600002</v>
      </c>
      <c r="C257" s="523">
        <f>+'datos de entrada'!F15*($F$72+$E$72+$D$72)*$D$51</f>
        <v>0</v>
      </c>
      <c r="D257" s="523">
        <f>+'datos de entrada'!F16*($E$73+$F$73+$D$73)*$D$52</f>
        <v>0</v>
      </c>
      <c r="E257" s="523">
        <f>+'datos de entrada'!F17*($F$74+$E$74+$D$74)*$D$53</f>
        <v>0</v>
      </c>
      <c r="F257" s="523">
        <f>+'datos de entrada'!F18*($F$75+$E$75+$D$75)*$D$54</f>
        <v>0</v>
      </c>
      <c r="G257" s="523">
        <f>+'datos de entrada'!F19*($F$76+$E$76+$D$76)*$D$55</f>
        <v>0</v>
      </c>
      <c r="H257" s="523">
        <f>+'datos de entrada'!F20*($F$77+$E$77+$D$77)*$D$56</f>
        <v>0</v>
      </c>
      <c r="I257" s="523">
        <f>+'datos de entrada'!$F$21*($F$78+$E$78+$D$78)*$D$57</f>
        <v>0</v>
      </c>
      <c r="J257" s="523">
        <f>+'datos de entrada'!F22*($E$79+$F$79+$D$79)*$D$58</f>
        <v>0</v>
      </c>
      <c r="K257" s="523">
        <f>+'datos de entrada'!F23*($F$80+$E$80+$D$80)*$D$59</f>
        <v>0</v>
      </c>
      <c r="L257" s="523">
        <f>+'datos de entrada'!F24*($F$81+$E$81+$D$81)*$D$60</f>
        <v>0</v>
      </c>
      <c r="M257" s="523">
        <f>+'datos de entrada'!F25*($F$82+$E$82+$D$82)*$D$61</f>
        <v>0</v>
      </c>
    </row>
    <row r="258" spans="1:14" ht="15" customHeight="1">
      <c r="A258" s="533" t="s">
        <v>197</v>
      </c>
      <c r="B258" s="523">
        <f>+'datos de entrada'!G14*($F$71+$E$71+$D$71+$C$71)*$D$50</f>
        <v>18409519.744200002</v>
      </c>
      <c r="C258" s="523">
        <f>+'datos de entrada'!G15*($F$72+$E$72+$D$72+$C$72)*$D$51</f>
        <v>0</v>
      </c>
      <c r="D258" s="523">
        <f>+'datos de entrada'!G16*($E$73+$F$73+$D$73+$C$73)*$D$52</f>
        <v>0</v>
      </c>
      <c r="E258" s="523">
        <f>+'datos de entrada'!G17*($F$74+$E$74+$D$74+$C$74)*$D$53</f>
        <v>0</v>
      </c>
      <c r="F258" s="523">
        <f>+'datos de entrada'!G18*($F$75+$E$75+$D$75+$C$75)*$D$54</f>
        <v>0</v>
      </c>
      <c r="G258" s="523">
        <f>+'datos de entrada'!$G$19*($F$76+$E$76+$D$76+$C$76)*$D$55</f>
        <v>0</v>
      </c>
      <c r="H258" s="523">
        <f>+'datos de entrada'!$G$20*($F$77+$E$77+$D$77+$C$77)*$D$56</f>
        <v>0</v>
      </c>
      <c r="I258" s="523">
        <f>+'datos de entrada'!$G$21*($F$78+$E$78+$D$78+$C$78)*$D$57</f>
        <v>0</v>
      </c>
      <c r="J258" s="523">
        <f>+'datos de entrada'!G22*($E$79+$F$79+$D$79+$C$79)*$D$58</f>
        <v>0</v>
      </c>
      <c r="K258" s="523">
        <f>+'datos de entrada'!G23*($F$80+$E$80+$D$80+$C$80)*$D$59</f>
        <v>0</v>
      </c>
      <c r="L258" s="523">
        <f>+'datos de entrada'!G24*($F$81+$E$81+$D$81+$C$81)*$D$60</f>
        <v>0</v>
      </c>
      <c r="M258" s="523">
        <f>+'datos de entrada'!$G$25*($F$82+$E$82+$D$82+$C$82)*$D$61</f>
        <v>0</v>
      </c>
    </row>
    <row r="259" spans="1:14" ht="15" customHeight="1">
      <c r="A259" s="533" t="s">
        <v>198</v>
      </c>
      <c r="B259" s="523">
        <f>+'datos de entrada'!H14*($F$71+$E$71+$D$71+$C$71+$B$71)*$D$50</f>
        <v>0</v>
      </c>
      <c r="C259" s="523">
        <f>+'datos de entrada'!H15*($F$72+$E$72+$D$72+$C$72+$B$72)*$D$51</f>
        <v>0</v>
      </c>
      <c r="D259" s="523">
        <f>+'datos de entrada'!H16*($E$73+$F$73+$D$73+$C$73+$B$73)*$D$52</f>
        <v>0</v>
      </c>
      <c r="E259" s="523">
        <f>+'datos de entrada'!H17*($F$74+$E$74+$D$74+$C$74+$B$74)*$D$53</f>
        <v>0</v>
      </c>
      <c r="F259" s="523">
        <f>+'datos de entrada'!H18*($F$75+$E$75+$D$75+$C$75+$B$75)*$D$54</f>
        <v>0</v>
      </c>
      <c r="G259" s="523">
        <f>+'datos de entrada'!$H$19*($F$76+$E$76+$D$76+$C$76+$B$76)*$D$55</f>
        <v>0</v>
      </c>
      <c r="H259" s="523">
        <f>+'datos de entrada'!$H$20*($F$77+$E$77+$D$77+$C$77+$B$77)*$D$56</f>
        <v>0</v>
      </c>
      <c r="I259" s="523">
        <f>+'datos de entrada'!$H$21*($F$78+$E$78+$D$78+$C$78+$B$78)*$D$57</f>
        <v>0</v>
      </c>
      <c r="J259" s="523">
        <f>+'datos de entrada'!H22*($E$79+$F$79+$D$79+$C$79+$B$79)*$D$58</f>
        <v>0</v>
      </c>
      <c r="K259" s="523">
        <f>+'datos de entrada'!H23*($F$80+$E$80+$D$80+$C$80+$B$80)*$D$59</f>
        <v>0</v>
      </c>
      <c r="L259" s="523">
        <f>+'datos de entrada'!H24*($F$81+$E$81+$D$81+$C$81+$B$81)*$D$60</f>
        <v>0</v>
      </c>
      <c r="M259" s="523">
        <f>+'datos de entrada'!$H$25*($F$82+$E$82+$D$82+$C$82+$B$82)*$D$61</f>
        <v>0</v>
      </c>
    </row>
    <row r="260" spans="1:14" ht="15" customHeight="1">
      <c r="A260" s="522" t="s">
        <v>202</v>
      </c>
      <c r="B260" s="523">
        <f t="shared" ref="B260:H260" si="43">SUM(B255:B259)</f>
        <v>134680170.76020002</v>
      </c>
      <c r="C260" s="523">
        <f t="shared" si="43"/>
        <v>0</v>
      </c>
      <c r="D260" s="523">
        <f t="shared" si="43"/>
        <v>0</v>
      </c>
      <c r="E260" s="523">
        <f t="shared" si="43"/>
        <v>0</v>
      </c>
      <c r="F260" s="523">
        <f t="shared" si="43"/>
        <v>0</v>
      </c>
      <c r="G260" s="523">
        <f t="shared" si="43"/>
        <v>0</v>
      </c>
      <c r="H260" s="523">
        <f t="shared" si="43"/>
        <v>0</v>
      </c>
      <c r="I260" s="523">
        <f>SUM(I255:I259)</f>
        <v>0</v>
      </c>
      <c r="J260" s="523">
        <f>SUM(J255:J259)</f>
        <v>0</v>
      </c>
      <c r="K260" s="523">
        <f>SUM(K255:K259)</f>
        <v>0</v>
      </c>
      <c r="L260" s="523">
        <f>SUM(L255:L259)</f>
        <v>0</v>
      </c>
      <c r="M260" s="523">
        <f>SUM(M255:M259)</f>
        <v>0</v>
      </c>
      <c r="N260" s="523">
        <f>SUM(B260:M260)</f>
        <v>134680170.76020002</v>
      </c>
    </row>
    <row r="261" spans="1:14" ht="15" customHeight="1">
      <c r="A261" s="522" t="s">
        <v>186</v>
      </c>
    </row>
    <row r="262" spans="1:14" ht="15" customHeight="1">
      <c r="A262" s="533" t="s">
        <v>194</v>
      </c>
      <c r="B262" s="523">
        <f>+'datos de entrada'!D14*($F$71)*$E$50</f>
        <v>0</v>
      </c>
      <c r="C262" s="523">
        <f>+'datos de entrada'!D15*($F$72)*$E$51</f>
        <v>0</v>
      </c>
      <c r="D262" s="523">
        <f>+'datos de entrada'!D16*($F$73)*$E$52</f>
        <v>0</v>
      </c>
      <c r="E262" s="523">
        <f>+'datos de entrada'!D17*($F$74)*$E$53</f>
        <v>0</v>
      </c>
      <c r="F262" s="523">
        <f>+'datos de entrada'!D18*($F$75)*$E$54</f>
        <v>0</v>
      </c>
      <c r="G262" s="523">
        <f>+'datos de entrada'!D19*($F$76)*$E$55</f>
        <v>0</v>
      </c>
      <c r="H262" s="523">
        <f>+'datos de entrada'!$D$20*($F$77)*$E$56</f>
        <v>0</v>
      </c>
      <c r="I262" s="523">
        <f>+'datos de entrada'!$D$21*$F$78*$E$57</f>
        <v>0</v>
      </c>
      <c r="J262" s="523">
        <f>+'datos de entrada'!D22*($F$79)*$E$58</f>
        <v>0</v>
      </c>
      <c r="K262" s="523">
        <f>+'datos de entrada'!D23*($F80)*$E$59</f>
        <v>0</v>
      </c>
      <c r="L262" s="523">
        <f>+'datos de entrada'!D24*($F$81)*$E$60</f>
        <v>0</v>
      </c>
      <c r="M262" s="523">
        <f>+'datos de entrada'!D25*($F$82)*$E$61</f>
        <v>0</v>
      </c>
    </row>
    <row r="263" spans="1:14" ht="15" customHeight="1">
      <c r="A263" s="533" t="s">
        <v>195</v>
      </c>
      <c r="B263" s="523">
        <f>+'datos de entrada'!E14*($F$71+$E$71)*$E$50</f>
        <v>0</v>
      </c>
      <c r="C263" s="523">
        <f>+'datos de entrada'!E15*($F$72+$E$72)*$E$51</f>
        <v>0</v>
      </c>
      <c r="D263" s="523">
        <f>+'datos de entrada'!E16*($F$73+$E$73)*$E$52</f>
        <v>0</v>
      </c>
      <c r="E263" s="523">
        <f>+'datos de entrada'!E17*($F$74+$E$74)*$E$53</f>
        <v>0</v>
      </c>
      <c r="F263" s="523">
        <f>+'datos de entrada'!E18*($F$75+$E$75)*$E$54</f>
        <v>0</v>
      </c>
      <c r="G263" s="523">
        <f>+'datos de entrada'!E19*($F$76+$E$76)*$E$55</f>
        <v>0</v>
      </c>
      <c r="H263" s="523">
        <f>+'datos de entrada'!$E$20*($F$77+$E$77)*$E$56</f>
        <v>0</v>
      </c>
      <c r="I263" s="523">
        <f>+'datos de entrada'!$E$21*($F$78+$E$78)*$E$57</f>
        <v>0</v>
      </c>
      <c r="J263" s="523">
        <f>+'datos de entrada'!E22*($F$79+$E$79)*$E$58</f>
        <v>0</v>
      </c>
      <c r="K263" s="523">
        <f>+'datos de entrada'!E23*($F$80+$E$80)*$E$59</f>
        <v>0</v>
      </c>
      <c r="L263" s="523">
        <f>+'datos de entrada'!E24*($F$81+$E$81)*$E$60</f>
        <v>0</v>
      </c>
      <c r="M263" s="523">
        <f>+'datos de entrada'!E25*($F$82+$E$82)*$E$61</f>
        <v>0</v>
      </c>
    </row>
    <row r="264" spans="1:14" ht="15" customHeight="1">
      <c r="A264" s="533" t="s">
        <v>196</v>
      </c>
      <c r="B264" s="523">
        <f>+'datos de entrada'!F14*($F$71+$E$71+$D$71)*$E$50</f>
        <v>119758770.54648003</v>
      </c>
      <c r="C264" s="523">
        <f>+'datos de entrada'!F15*($F$72+$E$72+$D$72)*$E$51</f>
        <v>0</v>
      </c>
      <c r="D264" s="523">
        <f>+'datos de entrada'!F16*($F$73+$E$73+$D$73)*$E$52</f>
        <v>0</v>
      </c>
      <c r="E264" s="523">
        <f>+'datos de entrada'!F17*($F$74+$E$74+$D$74)*$E$53</f>
        <v>0</v>
      </c>
      <c r="F264" s="523">
        <f>+'datos de entrada'!F18*($F$75+$E$75+$D$75)*$E$54</f>
        <v>0</v>
      </c>
      <c r="G264" s="523">
        <f>+'datos de entrada'!F19*($F$76+$E$76+$D$76)*$E$55</f>
        <v>0</v>
      </c>
      <c r="H264" s="523">
        <f>+'datos de entrada'!$F$20*($F$77+$E$77+$D$77)*$E$56</f>
        <v>0</v>
      </c>
      <c r="I264" s="523">
        <f>+'datos de entrada'!$F$21*($F$78+$E$78+$D$78)*$E$57</f>
        <v>0</v>
      </c>
      <c r="J264" s="523">
        <f>+'datos de entrada'!F22*($F$79+$E$79+$D$79)*$E$58</f>
        <v>0</v>
      </c>
      <c r="K264" s="523">
        <f>+'datos de entrada'!F23*($F$80+$E$80+$D$80)*$E$59</f>
        <v>0</v>
      </c>
      <c r="L264" s="523">
        <f>+'datos de entrada'!F24*($F$81+$E$81+$D$81)*$E$60</f>
        <v>0</v>
      </c>
      <c r="M264" s="523">
        <f>+'datos de entrada'!F25*($F$82+$E$82+$D$82)*$E$61</f>
        <v>0</v>
      </c>
    </row>
    <row r="265" spans="1:14" ht="15" customHeight="1">
      <c r="A265" s="533" t="s">
        <v>197</v>
      </c>
      <c r="B265" s="523">
        <f>+'datos de entrada'!G14*($F$71+$E$71+$D$71+$C$71)*$E$50</f>
        <v>18961805.336526003</v>
      </c>
      <c r="C265" s="523">
        <f>+'datos de entrada'!G15*($F$72+$E$72+$D$72+$C$72)*$E$51</f>
        <v>0</v>
      </c>
      <c r="D265" s="523">
        <f>+'datos de entrada'!G16*($F$73+$E$73+$D$73+$C$73)*$E$52</f>
        <v>0</v>
      </c>
      <c r="E265" s="523">
        <f>+'datos de entrada'!G17*($F$74+$E$74+$D$74+$C$74)*$E$53</f>
        <v>0</v>
      </c>
      <c r="F265" s="523">
        <f>+'datos de entrada'!G18*($F$75+$E$75+$D$75+$C$75)*$E$54</f>
        <v>0</v>
      </c>
      <c r="G265" s="523">
        <f>+'datos de entrada'!G19*($F$76+$E$76+$D$76+$C$76)*$E$55</f>
        <v>0</v>
      </c>
      <c r="H265" s="523">
        <f>+'datos de entrada'!$G$20*($F$77+$E$77+$D$77+$C$77)*$E$56</f>
        <v>0</v>
      </c>
      <c r="I265" s="523">
        <f>+'datos de entrada'!$G$21*($F$78+$E$78+$D$78+$C$78)*$E$57</f>
        <v>0</v>
      </c>
      <c r="J265" s="523">
        <f>+'datos de entrada'!G22*($F$79+$E$79+$D$79+$C$79)*$E$58</f>
        <v>0</v>
      </c>
      <c r="K265" s="523">
        <f>+'datos de entrada'!G23*($F$80+$E$80+$D$80+$C$80)*$E$59</f>
        <v>0</v>
      </c>
      <c r="L265" s="523">
        <f>+'datos de entrada'!G24*($F$81+$E$81+$D$81+$C$81)*$E$60</f>
        <v>0</v>
      </c>
      <c r="M265" s="523">
        <f>+'datos de entrada'!G25*($F$82+$E$82+$D$82+$C$82)*$E$61</f>
        <v>0</v>
      </c>
    </row>
    <row r="266" spans="1:14" ht="15" customHeight="1">
      <c r="A266" s="533" t="s">
        <v>198</v>
      </c>
      <c r="B266" s="523">
        <f>+'datos de entrada'!H14*($F$71+$E$71+$D$71+$C$71+$B$71)*$E$50</f>
        <v>0</v>
      </c>
      <c r="C266" s="523">
        <f>+'datos de entrada'!H15*($F$72+$E$72+$D$72+$C$72+$B$72)*$E$51</f>
        <v>0</v>
      </c>
      <c r="D266" s="523">
        <f>+'datos de entrada'!H16*($F$73+$E$73+$D$73+$C$73+$B$73)*$E$52</f>
        <v>0</v>
      </c>
      <c r="E266" s="523">
        <f>+'datos de entrada'!H17*($F$74+$E$74+$D$74+$C$74+$B$74)*$E$53</f>
        <v>0</v>
      </c>
      <c r="F266" s="523">
        <f>+'datos de entrada'!H18*($F$75+$E$75+$D$75+$C$75+$B$75)*$E$54</f>
        <v>0</v>
      </c>
      <c r="G266" s="523">
        <f>+'datos de entrada'!H19*($F$76+$E$76+$D$76+$C$76+$B$76)*$E$55</f>
        <v>0</v>
      </c>
      <c r="H266" s="523">
        <f>+'datos de entrada'!$H$20*($F$77+$E$77+$D$77+$C$77+$B$77)*$E$56</f>
        <v>0</v>
      </c>
      <c r="I266" s="523">
        <f>+'datos de entrada'!$H$21*($F$78+$E$78+$D$78+$C$78+$B$78)*$E$57</f>
        <v>0</v>
      </c>
      <c r="J266" s="523">
        <f>+'datos de entrada'!H22*($F$79+$E$79+$D$79+$C$79+$B$79)*$E$58</f>
        <v>0</v>
      </c>
      <c r="K266" s="523">
        <f>+'datos de entrada'!H23*($F$80+$E$80+$D$80+$C$80+$B$80)*$E$59</f>
        <v>0</v>
      </c>
      <c r="L266" s="523">
        <f>+'datos de entrada'!H24*($F$81+$E$81+$D$81+$C$81+$B$81)*$E$60</f>
        <v>0</v>
      </c>
      <c r="M266" s="523">
        <f>+'datos de entrada'!H25*($F$82+$E$82+$D$82+$C$82+$B$82)*$E$61</f>
        <v>0</v>
      </c>
    </row>
    <row r="267" spans="1:14" ht="15" customHeight="1">
      <c r="A267" s="522" t="s">
        <v>203</v>
      </c>
      <c r="B267" s="523">
        <f t="shared" ref="B267:H267" si="44">SUM(B262:B266)</f>
        <v>138720575.88300604</v>
      </c>
      <c r="C267" s="523">
        <f t="shared" si="44"/>
        <v>0</v>
      </c>
      <c r="D267" s="523">
        <f t="shared" si="44"/>
        <v>0</v>
      </c>
      <c r="E267" s="523">
        <f t="shared" si="44"/>
        <v>0</v>
      </c>
      <c r="F267" s="523">
        <f t="shared" si="44"/>
        <v>0</v>
      </c>
      <c r="G267" s="523">
        <f t="shared" si="44"/>
        <v>0</v>
      </c>
      <c r="H267" s="523">
        <f t="shared" si="44"/>
        <v>0</v>
      </c>
      <c r="I267" s="523">
        <f>SUM(I262:I266)</f>
        <v>0</v>
      </c>
      <c r="J267" s="523">
        <f>SUM(J262:J266)</f>
        <v>0</v>
      </c>
      <c r="K267" s="523">
        <f>SUM(K262:K266)</f>
        <v>0</v>
      </c>
      <c r="L267" s="523">
        <f>SUM(L262:L266)</f>
        <v>0</v>
      </c>
      <c r="M267" s="523">
        <f>SUM(M262:M266)</f>
        <v>0</v>
      </c>
      <c r="N267" s="523">
        <f>SUM(B267:M267)</f>
        <v>138720575.88300604</v>
      </c>
    </row>
    <row r="268" spans="1:14" ht="15" customHeight="1">
      <c r="A268" s="522" t="s">
        <v>187</v>
      </c>
    </row>
    <row r="269" spans="1:14" ht="15" customHeight="1">
      <c r="A269" s="533" t="s">
        <v>194</v>
      </c>
      <c r="B269" s="523">
        <f>+'datos de entrada'!D14*($F$71)*$F$50</f>
        <v>0</v>
      </c>
      <c r="C269" s="523">
        <f>+'datos de entrada'!D15*($F$72)*$F$51</f>
        <v>0</v>
      </c>
      <c r="D269" s="523">
        <f>+'datos de entrada'!D16*($F$73)*$F$52</f>
        <v>0</v>
      </c>
      <c r="E269" s="523">
        <f>+'datos de entrada'!D17*($F$74)*$F$53</f>
        <v>0</v>
      </c>
      <c r="F269" s="523">
        <f>+'datos de entrada'!D18*($F$75)*$F$54</f>
        <v>0</v>
      </c>
      <c r="G269" s="523">
        <f>+'datos de entrada'!D19*($F$76)*$F$55</f>
        <v>0</v>
      </c>
      <c r="H269" s="523">
        <f>+'datos de entrada'!$D$20*($F$77)*$F$56</f>
        <v>0</v>
      </c>
      <c r="I269" s="523">
        <f>+'datos de entrada'!D21*($F$78)*$F$57</f>
        <v>0</v>
      </c>
      <c r="J269" s="523">
        <f>+'datos de entrada'!D22*($F$79)*$F$58</f>
        <v>0</v>
      </c>
      <c r="K269" s="523">
        <f>+'datos de entrada'!D23*($F$80)*$F$59</f>
        <v>0</v>
      </c>
      <c r="L269" s="523">
        <f>+'datos de entrada'!D24*($F$81)*$F$60</f>
        <v>0</v>
      </c>
      <c r="M269" s="523">
        <f>+'datos de entrada'!D25*($F$82)*$F$61</f>
        <v>0</v>
      </c>
    </row>
    <row r="270" spans="1:14" ht="15" customHeight="1">
      <c r="A270" s="533" t="s">
        <v>195</v>
      </c>
      <c r="B270" s="523">
        <f>+'datos de entrada'!E14*($F$71+$E$71)*$F$50</f>
        <v>0</v>
      </c>
      <c r="C270" s="523">
        <f>+'datos de entrada'!E15*($F$72+$E$72)*$F$51</f>
        <v>0</v>
      </c>
      <c r="D270" s="523">
        <f>+'datos de entrada'!E16*($F$73+$E$73)*$F$52</f>
        <v>0</v>
      </c>
      <c r="E270" s="523">
        <f>+'datos de entrada'!E17*($F$74+$E$74)*$F$53</f>
        <v>0</v>
      </c>
      <c r="F270" s="523">
        <f>+'datos de entrada'!E18*($F$75+$E$75)*$F$54</f>
        <v>0</v>
      </c>
      <c r="G270" s="523">
        <f>+'datos de entrada'!E19*($F$76+$E$76)*$F$55</f>
        <v>0</v>
      </c>
      <c r="H270" s="523">
        <f>+'datos de entrada'!$E$20*($F$77+$E$77)*$F$56</f>
        <v>0</v>
      </c>
      <c r="I270" s="523">
        <f>+'datos de entrada'!E21*($F$78+$E$78)*$F$57</f>
        <v>0</v>
      </c>
      <c r="J270" s="523">
        <f>+'datos de entrada'!E22*($F$79+$E$79)*$F$58</f>
        <v>0</v>
      </c>
      <c r="K270" s="523">
        <f>+'datos de entrada'!E23*($F$80+$E$80)*$F$59</f>
        <v>0</v>
      </c>
      <c r="L270" s="523">
        <f>+'datos de entrada'!E24*($F$81+$E$81)*$F$60</f>
        <v>0</v>
      </c>
      <c r="M270" s="523">
        <f>+'datos de entrada'!E25*($F$82+$E$82)*$F$61</f>
        <v>0</v>
      </c>
    </row>
    <row r="271" spans="1:14" ht="15" customHeight="1">
      <c r="A271" s="533" t="s">
        <v>196</v>
      </c>
      <c r="B271" s="523">
        <f>+'datos de entrada'!F14*($F$71+$E$71+$D$71)*$F$50</f>
        <v>123351533.66287442</v>
      </c>
      <c r="C271" s="523">
        <f>+'datos de entrada'!F15*($F$72+$E$72+$D$72)*$F$51</f>
        <v>0</v>
      </c>
      <c r="D271" s="523">
        <f>+'datos de entrada'!F16*($F$73+$E$73+$D$73)*$F$52</f>
        <v>0</v>
      </c>
      <c r="E271" s="523">
        <f>+'datos de entrada'!F17*($F$74+$E$74+$D$74)*$F$53</f>
        <v>0</v>
      </c>
      <c r="F271" s="523">
        <f>+'datos de entrada'!F18*($F$75+$E$75+$D$75)*$F$54</f>
        <v>0</v>
      </c>
      <c r="G271" s="523">
        <f>+'datos de entrada'!F19*($F$76+$E$76+$D$76)*$F$55</f>
        <v>0</v>
      </c>
      <c r="H271" s="523">
        <f>+'datos de entrada'!$F$20*($F$77+$E$77+$D$77)*$F$56</f>
        <v>0</v>
      </c>
      <c r="I271" s="523">
        <f>+'datos de entrada'!F21*($F$78+$E$78+$D$78)*$F$57</f>
        <v>0</v>
      </c>
      <c r="J271" s="523">
        <f>+'datos de entrada'!F22*($F$79+$E$79+$D$79)*$F$58</f>
        <v>0</v>
      </c>
      <c r="K271" s="523">
        <f>+'datos de entrada'!F23*($F$80+$E$80+$D$80)*$F$59</f>
        <v>0</v>
      </c>
      <c r="L271" s="523">
        <f>+'datos de entrada'!F24*($F$81+$E$81+$D$81)*$F$60</f>
        <v>0</v>
      </c>
      <c r="M271" s="523">
        <f>+'datos de entrada'!F25*($F$82+$E$82+$D$82)*$F$61</f>
        <v>0</v>
      </c>
    </row>
    <row r="272" spans="1:14" ht="15" customHeight="1">
      <c r="A272" s="533" t="s">
        <v>197</v>
      </c>
      <c r="B272" s="523">
        <f>+'datos de entrada'!G14*($F$71+$E$71+$D$71+$C$71)*$F$50</f>
        <v>19530659.496621784</v>
      </c>
      <c r="C272" s="523">
        <f>+'datos de entrada'!G15*($F$72+$E$72+$D$72+$C$72)*$F$51</f>
        <v>0</v>
      </c>
      <c r="D272" s="523">
        <f>+'datos de entrada'!G16*($F$73+$E$73+$D$73+$C$73)*$F$52</f>
        <v>0</v>
      </c>
      <c r="E272" s="523">
        <f>+'datos de entrada'!G17*($F$74+$E$74+$D$74+$C$74)*$F$53</f>
        <v>0</v>
      </c>
      <c r="F272" s="523">
        <f>+'datos de entrada'!G18*($F$75+$E$75+$D$75+$C$75)*$F$54</f>
        <v>0</v>
      </c>
      <c r="G272" s="523">
        <f>+'datos de entrada'!G19*($F$76+$E$76+$D$76+$C$76)*$F$55</f>
        <v>0</v>
      </c>
      <c r="H272" s="523">
        <f>+'datos de entrada'!$G$20*($F$77+$E$77+$D$77+$C$77)*$F$56</f>
        <v>0</v>
      </c>
      <c r="I272" s="523">
        <f>+'datos de entrada'!G21*($F$78+$E$78+$D$78+$C$78)*$F$57</f>
        <v>0</v>
      </c>
      <c r="J272" s="523">
        <f>+'datos de entrada'!G22*($F$79+$E$79+$D$79+$C$79)*$F$58</f>
        <v>0</v>
      </c>
      <c r="K272" s="523">
        <f>+'datos de entrada'!G23*($F$80+$E$80+$D$80+$C$80)*$F$59</f>
        <v>0</v>
      </c>
      <c r="L272" s="523">
        <f>+'datos de entrada'!G24*($F$81+$E$81+$D$81+$C$81)*$F$60</f>
        <v>0</v>
      </c>
      <c r="M272" s="523">
        <f>+'datos de entrada'!G25*($F$82+$E$82+$D$82+$C$82)*$F$61</f>
        <v>0</v>
      </c>
    </row>
    <row r="273" spans="1:14" ht="15" customHeight="1">
      <c r="A273" s="533" t="s">
        <v>198</v>
      </c>
      <c r="B273" s="523">
        <f>+'datos de entrada'!H14*($F$71+$E$71+$D$71+$C$71+$B$71)*$F$50</f>
        <v>0</v>
      </c>
      <c r="C273" s="523">
        <f>+'datos de entrada'!H15*($F$72+$E$72+$D$72+$C$72+$B$72)*$F$51</f>
        <v>0</v>
      </c>
      <c r="D273" s="523">
        <f>+'datos de entrada'!H16*($F$73+$E$73+$D$73+$C$73+$B$73)*$F$52</f>
        <v>0</v>
      </c>
      <c r="E273" s="523">
        <f>+'datos de entrada'!H17*($F$74+$E$74+$D$74+$C$74+$B$74)*$F$53</f>
        <v>0</v>
      </c>
      <c r="F273" s="523">
        <f>+'datos de entrada'!H18*($F$75+$E$75+$D$75+$C$75+$B$75)*$F$54</f>
        <v>0</v>
      </c>
      <c r="G273" s="523">
        <f>+'datos de entrada'!H19*($F$76+$E$76+$D$76+$C$76+$B$76)*$F$55</f>
        <v>0</v>
      </c>
      <c r="H273" s="523">
        <f>+'datos de entrada'!$H$20*($F$77+$E$77+$D$77+$C$77+$B$77)*$F$56</f>
        <v>0</v>
      </c>
      <c r="I273" s="523">
        <f>+'datos de entrada'!H21*($F$78+$E$78+$D$78+$C$78+$B$78)*$F$57</f>
        <v>0</v>
      </c>
      <c r="J273" s="523">
        <f>+'datos de entrada'!H22*($F$79+$E$79+$D$79+$C$79+$B$79)*$F$58</f>
        <v>0</v>
      </c>
      <c r="K273" s="523">
        <f>+'datos de entrada'!H23*($F$80+$E$80+$D$80+$C$80+$B$80)*$F$59</f>
        <v>0</v>
      </c>
      <c r="L273" s="523">
        <f>+'datos de entrada'!H24*($F$81+$E$81+$D$81+$C$81+$B$81)*$F$60</f>
        <v>0</v>
      </c>
      <c r="M273" s="523">
        <f>+'datos de entrada'!H25*($F$82+$E$82+$D$82+$C$82+$B$82)*$F$61</f>
        <v>0</v>
      </c>
    </row>
    <row r="274" spans="1:14" ht="15" customHeight="1">
      <c r="A274" s="522" t="s">
        <v>203</v>
      </c>
      <c r="B274" s="523">
        <f t="shared" ref="B274:H274" si="45">SUM(B269:B273)</f>
        <v>142882193.15949619</v>
      </c>
      <c r="C274" s="523">
        <f t="shared" si="45"/>
        <v>0</v>
      </c>
      <c r="D274" s="523">
        <f t="shared" si="45"/>
        <v>0</v>
      </c>
      <c r="E274" s="523">
        <f t="shared" si="45"/>
        <v>0</v>
      </c>
      <c r="F274" s="523">
        <f t="shared" si="45"/>
        <v>0</v>
      </c>
      <c r="G274" s="523">
        <f t="shared" si="45"/>
        <v>0</v>
      </c>
      <c r="H274" s="523">
        <f t="shared" si="45"/>
        <v>0</v>
      </c>
      <c r="I274" s="523">
        <f>SUM(I269:I273)</f>
        <v>0</v>
      </c>
      <c r="J274" s="523">
        <f>SUM(J269:J273)</f>
        <v>0</v>
      </c>
      <c r="K274" s="523">
        <f>SUM(K269:K273)</f>
        <v>0</v>
      </c>
      <c r="L274" s="523">
        <f>SUM(L269:L273)</f>
        <v>0</v>
      </c>
      <c r="M274" s="523">
        <f>SUM(M269:M273)</f>
        <v>0</v>
      </c>
      <c r="N274" s="523">
        <f>SUM(B274:M274)</f>
        <v>142882193.15949619</v>
      </c>
    </row>
    <row r="275" spans="1:14" ht="15" customHeight="1">
      <c r="A275" s="524" t="s">
        <v>46</v>
      </c>
      <c r="B275" s="524" t="s">
        <v>46</v>
      </c>
      <c r="C275" s="524" t="s">
        <v>46</v>
      </c>
      <c r="D275" s="524" t="s">
        <v>46</v>
      </c>
      <c r="E275" s="524" t="s">
        <v>46</v>
      </c>
      <c r="F275" s="524" t="s">
        <v>46</v>
      </c>
      <c r="G275" s="524" t="s">
        <v>46</v>
      </c>
      <c r="H275" s="524"/>
      <c r="I275" s="524"/>
      <c r="J275" s="524"/>
      <c r="K275" s="524"/>
      <c r="L275" s="524"/>
      <c r="M275" s="524"/>
      <c r="N275" s="524" t="s">
        <v>46</v>
      </c>
    </row>
    <row r="277" spans="1:14" ht="15" customHeight="1">
      <c r="A277" s="522" t="s">
        <v>204</v>
      </c>
    </row>
    <row r="278" spans="1:14" ht="15" customHeight="1">
      <c r="A278" s="524" t="s">
        <v>46</v>
      </c>
      <c r="B278" s="524" t="s">
        <v>46</v>
      </c>
      <c r="C278" s="524" t="s">
        <v>46</v>
      </c>
      <c r="D278" s="524" t="s">
        <v>46</v>
      </c>
      <c r="E278" s="524" t="s">
        <v>46</v>
      </c>
      <c r="F278" s="524" t="s">
        <v>46</v>
      </c>
      <c r="G278" s="524" t="s">
        <v>46</v>
      </c>
      <c r="H278" s="524" t="s">
        <v>46</v>
      </c>
      <c r="I278" s="524" t="s">
        <v>46</v>
      </c>
      <c r="J278" s="524" t="s">
        <v>46</v>
      </c>
      <c r="K278" s="524" t="s">
        <v>46</v>
      </c>
      <c r="L278" s="524" t="s">
        <v>46</v>
      </c>
      <c r="M278" s="524" t="s">
        <v>46</v>
      </c>
    </row>
    <row r="279" spans="1:14" ht="15" customHeight="1">
      <c r="A279" s="522" t="s">
        <v>205</v>
      </c>
      <c r="B279" s="534">
        <f>+'datos de entrada'!B327</f>
        <v>0</v>
      </c>
    </row>
    <row r="280" spans="1:14" ht="15" customHeight="1">
      <c r="A280" s="522" t="s">
        <v>206</v>
      </c>
      <c r="B280" s="534">
        <f>+'datos de entrada'!B328</f>
        <v>1.304E-2</v>
      </c>
    </row>
    <row r="281" spans="1:14" ht="15" customHeight="1">
      <c r="A281" s="522" t="s">
        <v>207</v>
      </c>
      <c r="B281" s="534">
        <f>B280+B279</f>
        <v>1.304E-2</v>
      </c>
    </row>
    <row r="282" spans="1:14" ht="15" customHeight="1">
      <c r="A282" s="524" t="s">
        <v>605</v>
      </c>
      <c r="B282" s="524" t="s">
        <v>605</v>
      </c>
      <c r="C282" s="524" t="s">
        <v>605</v>
      </c>
      <c r="D282" s="524" t="s">
        <v>605</v>
      </c>
      <c r="E282" s="524" t="s">
        <v>605</v>
      </c>
      <c r="F282" s="524" t="s">
        <v>605</v>
      </c>
      <c r="G282" s="524" t="s">
        <v>605</v>
      </c>
      <c r="H282" s="524" t="s">
        <v>605</v>
      </c>
      <c r="I282" s="524" t="s">
        <v>605</v>
      </c>
      <c r="J282" s="524" t="s">
        <v>605</v>
      </c>
      <c r="K282" s="524" t="s">
        <v>605</v>
      </c>
      <c r="L282" s="524" t="s">
        <v>605</v>
      </c>
      <c r="M282" s="524" t="s">
        <v>605</v>
      </c>
    </row>
    <row r="283" spans="1:14" ht="15" customHeight="1">
      <c r="A283" s="522" t="s">
        <v>575</v>
      </c>
      <c r="B283" s="522" t="s">
        <v>606</v>
      </c>
      <c r="C283" s="522" t="s">
        <v>607</v>
      </c>
      <c r="D283" s="522" t="s">
        <v>608</v>
      </c>
      <c r="E283" s="522" t="s">
        <v>609</v>
      </c>
      <c r="F283" s="522" t="s">
        <v>610</v>
      </c>
      <c r="G283" s="522" t="s">
        <v>611</v>
      </c>
      <c r="H283" s="522" t="s">
        <v>612</v>
      </c>
      <c r="I283" s="522" t="s">
        <v>613</v>
      </c>
      <c r="J283" s="522" t="s">
        <v>614</v>
      </c>
      <c r="K283" s="522" t="s">
        <v>615</v>
      </c>
      <c r="L283" s="522" t="s">
        <v>616</v>
      </c>
      <c r="M283" s="522" t="s">
        <v>617</v>
      </c>
    </row>
    <row r="284" spans="1:14" ht="15" customHeight="1">
      <c r="A284" s="524" t="s">
        <v>605</v>
      </c>
      <c r="B284" s="524" t="s">
        <v>605</v>
      </c>
      <c r="C284" s="524" t="s">
        <v>605</v>
      </c>
      <c r="D284" s="524" t="s">
        <v>605</v>
      </c>
      <c r="E284" s="524" t="s">
        <v>605</v>
      </c>
      <c r="F284" s="524" t="s">
        <v>605</v>
      </c>
      <c r="G284" s="524" t="s">
        <v>605</v>
      </c>
      <c r="H284" s="524" t="s">
        <v>605</v>
      </c>
      <c r="I284" s="524" t="s">
        <v>605</v>
      </c>
      <c r="J284" s="524" t="s">
        <v>605</v>
      </c>
      <c r="K284" s="524" t="s">
        <v>605</v>
      </c>
      <c r="L284" s="524" t="s">
        <v>605</v>
      </c>
      <c r="M284" s="524" t="s">
        <v>605</v>
      </c>
    </row>
    <row r="285" spans="1:14" ht="15" customHeight="1">
      <c r="A285" s="523" t="str">
        <f t="shared" ref="A285:A296" si="46">A10</f>
        <v>CAMISETAS</v>
      </c>
      <c r="B285" s="523">
        <f>B29*$J305</f>
        <v>285184.8</v>
      </c>
      <c r="C285" s="523">
        <f t="shared" ref="C285:M285" si="47">C29*$J305</f>
        <v>332715.59999999998</v>
      </c>
      <c r="D285" s="523">
        <f t="shared" si="47"/>
        <v>332715.59999999998</v>
      </c>
      <c r="E285" s="523">
        <f t="shared" si="47"/>
        <v>332715.59999999998</v>
      </c>
      <c r="F285" s="523">
        <f t="shared" si="47"/>
        <v>475308</v>
      </c>
      <c r="G285" s="523">
        <f t="shared" si="47"/>
        <v>427777.2</v>
      </c>
      <c r="H285" s="523">
        <f t="shared" si="47"/>
        <v>380246.39999999997</v>
      </c>
      <c r="I285" s="523">
        <f t="shared" si="47"/>
        <v>380246.39999999997</v>
      </c>
      <c r="J285" s="523">
        <f t="shared" si="47"/>
        <v>380246.39999999997</v>
      </c>
      <c r="K285" s="523">
        <f t="shared" si="47"/>
        <v>475308</v>
      </c>
      <c r="L285" s="523">
        <f t="shared" si="47"/>
        <v>665431.19999999995</v>
      </c>
      <c r="M285" s="523">
        <f t="shared" si="47"/>
        <v>285184.8</v>
      </c>
    </row>
    <row r="286" spans="1:14" ht="15" customHeight="1">
      <c r="A286" s="523" t="str">
        <f t="shared" si="46"/>
        <v/>
      </c>
      <c r="B286" s="523">
        <f t="shared" ref="B286:M286" si="48">B30*$J306</f>
        <v>0</v>
      </c>
      <c r="C286" s="523">
        <f t="shared" si="48"/>
        <v>0</v>
      </c>
      <c r="D286" s="523">
        <f t="shared" si="48"/>
        <v>0</v>
      </c>
      <c r="E286" s="523">
        <f t="shared" si="48"/>
        <v>0</v>
      </c>
      <c r="F286" s="523">
        <f t="shared" si="48"/>
        <v>0</v>
      </c>
      <c r="G286" s="523">
        <f t="shared" si="48"/>
        <v>0</v>
      </c>
      <c r="H286" s="523">
        <f t="shared" si="48"/>
        <v>0</v>
      </c>
      <c r="I286" s="523">
        <f t="shared" si="48"/>
        <v>0</v>
      </c>
      <c r="J286" s="523">
        <f t="shared" si="48"/>
        <v>0</v>
      </c>
      <c r="K286" s="523">
        <f t="shared" si="48"/>
        <v>0</v>
      </c>
      <c r="L286" s="523">
        <f t="shared" si="48"/>
        <v>0</v>
      </c>
      <c r="M286" s="523">
        <f t="shared" si="48"/>
        <v>0</v>
      </c>
    </row>
    <row r="287" spans="1:14" ht="15" customHeight="1">
      <c r="A287" s="523" t="str">
        <f t="shared" si="46"/>
        <v/>
      </c>
      <c r="B287" s="523">
        <f t="shared" ref="B287:M287" si="49">B31*$J307</f>
        <v>0</v>
      </c>
      <c r="C287" s="523">
        <f t="shared" si="49"/>
        <v>0</v>
      </c>
      <c r="D287" s="523">
        <f t="shared" si="49"/>
        <v>0</v>
      </c>
      <c r="E287" s="523">
        <f t="shared" si="49"/>
        <v>0</v>
      </c>
      <c r="F287" s="523">
        <f t="shared" si="49"/>
        <v>0</v>
      </c>
      <c r="G287" s="523">
        <f t="shared" si="49"/>
        <v>0</v>
      </c>
      <c r="H287" s="523">
        <f t="shared" si="49"/>
        <v>0</v>
      </c>
      <c r="I287" s="523">
        <f t="shared" si="49"/>
        <v>0</v>
      </c>
      <c r="J287" s="523">
        <f t="shared" si="49"/>
        <v>0</v>
      </c>
      <c r="K287" s="523">
        <f t="shared" si="49"/>
        <v>0</v>
      </c>
      <c r="L287" s="523">
        <f t="shared" si="49"/>
        <v>0</v>
      </c>
      <c r="M287" s="523">
        <f t="shared" si="49"/>
        <v>0</v>
      </c>
    </row>
    <row r="288" spans="1:14" ht="15" customHeight="1">
      <c r="A288" s="523" t="str">
        <f t="shared" si="46"/>
        <v/>
      </c>
      <c r="B288" s="523">
        <f t="shared" ref="B288:M288" si="50">B32*$J308</f>
        <v>0</v>
      </c>
      <c r="C288" s="523">
        <f t="shared" si="50"/>
        <v>0</v>
      </c>
      <c r="D288" s="523">
        <f t="shared" si="50"/>
        <v>0</v>
      </c>
      <c r="E288" s="523">
        <f t="shared" si="50"/>
        <v>0</v>
      </c>
      <c r="F288" s="523">
        <f t="shared" si="50"/>
        <v>0</v>
      </c>
      <c r="G288" s="523">
        <f t="shared" si="50"/>
        <v>0</v>
      </c>
      <c r="H288" s="523">
        <f t="shared" si="50"/>
        <v>0</v>
      </c>
      <c r="I288" s="523">
        <f t="shared" si="50"/>
        <v>0</v>
      </c>
      <c r="J288" s="523">
        <f t="shared" si="50"/>
        <v>0</v>
      </c>
      <c r="K288" s="523">
        <f t="shared" si="50"/>
        <v>0</v>
      </c>
      <c r="L288" s="523">
        <f t="shared" si="50"/>
        <v>0</v>
      </c>
      <c r="M288" s="523">
        <f t="shared" si="50"/>
        <v>0</v>
      </c>
    </row>
    <row r="289" spans="1:13" ht="15" customHeight="1">
      <c r="A289" s="523" t="str">
        <f t="shared" si="46"/>
        <v/>
      </c>
      <c r="B289" s="523">
        <f t="shared" ref="B289:M289" si="51">B33*$J309</f>
        <v>0</v>
      </c>
      <c r="C289" s="523">
        <f t="shared" si="51"/>
        <v>0</v>
      </c>
      <c r="D289" s="523">
        <f t="shared" si="51"/>
        <v>0</v>
      </c>
      <c r="E289" s="523">
        <f t="shared" si="51"/>
        <v>0</v>
      </c>
      <c r="F289" s="523">
        <f t="shared" si="51"/>
        <v>0</v>
      </c>
      <c r="G289" s="523">
        <f t="shared" si="51"/>
        <v>0</v>
      </c>
      <c r="H289" s="523">
        <f t="shared" si="51"/>
        <v>0</v>
      </c>
      <c r="I289" s="523">
        <f t="shared" si="51"/>
        <v>0</v>
      </c>
      <c r="J289" s="523">
        <f t="shared" si="51"/>
        <v>0</v>
      </c>
      <c r="K289" s="523">
        <f t="shared" si="51"/>
        <v>0</v>
      </c>
      <c r="L289" s="523">
        <f t="shared" si="51"/>
        <v>0</v>
      </c>
      <c r="M289" s="523">
        <f t="shared" si="51"/>
        <v>0</v>
      </c>
    </row>
    <row r="290" spans="1:13" ht="15" customHeight="1">
      <c r="A290" s="523" t="str">
        <f t="shared" si="46"/>
        <v/>
      </c>
      <c r="B290" s="523">
        <f t="shared" ref="B290:M290" si="52">B34*$J310</f>
        <v>0</v>
      </c>
      <c r="C290" s="523">
        <f t="shared" si="52"/>
        <v>0</v>
      </c>
      <c r="D290" s="523">
        <f t="shared" si="52"/>
        <v>0</v>
      </c>
      <c r="E290" s="523">
        <f t="shared" si="52"/>
        <v>0</v>
      </c>
      <c r="F290" s="523">
        <f t="shared" si="52"/>
        <v>0</v>
      </c>
      <c r="G290" s="523">
        <f t="shared" si="52"/>
        <v>0</v>
      </c>
      <c r="H290" s="523">
        <f t="shared" si="52"/>
        <v>0</v>
      </c>
      <c r="I290" s="523">
        <f t="shared" si="52"/>
        <v>0</v>
      </c>
      <c r="J290" s="523">
        <f t="shared" si="52"/>
        <v>0</v>
      </c>
      <c r="K290" s="523">
        <f t="shared" si="52"/>
        <v>0</v>
      </c>
      <c r="L290" s="523">
        <f t="shared" si="52"/>
        <v>0</v>
      </c>
      <c r="M290" s="523">
        <f t="shared" si="52"/>
        <v>0</v>
      </c>
    </row>
    <row r="291" spans="1:13" ht="15" customHeight="1">
      <c r="A291" s="523" t="str">
        <f t="shared" si="46"/>
        <v/>
      </c>
      <c r="B291" s="523">
        <f t="shared" ref="B291:M291" si="53">B35*$J311</f>
        <v>0</v>
      </c>
      <c r="C291" s="523">
        <f t="shared" si="53"/>
        <v>0</v>
      </c>
      <c r="D291" s="523">
        <f t="shared" si="53"/>
        <v>0</v>
      </c>
      <c r="E291" s="523">
        <f t="shared" si="53"/>
        <v>0</v>
      </c>
      <c r="F291" s="523">
        <f t="shared" si="53"/>
        <v>0</v>
      </c>
      <c r="G291" s="523">
        <f t="shared" si="53"/>
        <v>0</v>
      </c>
      <c r="H291" s="523">
        <f t="shared" si="53"/>
        <v>0</v>
      </c>
      <c r="I291" s="523">
        <f t="shared" si="53"/>
        <v>0</v>
      </c>
      <c r="J291" s="523">
        <f t="shared" si="53"/>
        <v>0</v>
      </c>
      <c r="K291" s="523">
        <f t="shared" si="53"/>
        <v>0</v>
      </c>
      <c r="L291" s="523">
        <f t="shared" si="53"/>
        <v>0</v>
      </c>
      <c r="M291" s="523">
        <f t="shared" si="53"/>
        <v>0</v>
      </c>
    </row>
    <row r="292" spans="1:13" ht="15" customHeight="1">
      <c r="A292" s="523" t="str">
        <f t="shared" si="46"/>
        <v/>
      </c>
      <c r="B292" s="523">
        <f t="shared" ref="B292:M292" si="54">B36*$J312</f>
        <v>0</v>
      </c>
      <c r="C292" s="523">
        <f t="shared" si="54"/>
        <v>0</v>
      </c>
      <c r="D292" s="523">
        <f t="shared" si="54"/>
        <v>0</v>
      </c>
      <c r="E292" s="523">
        <f t="shared" si="54"/>
        <v>0</v>
      </c>
      <c r="F292" s="523">
        <f t="shared" si="54"/>
        <v>0</v>
      </c>
      <c r="G292" s="523">
        <f t="shared" si="54"/>
        <v>0</v>
      </c>
      <c r="H292" s="523">
        <f t="shared" si="54"/>
        <v>0</v>
      </c>
      <c r="I292" s="523">
        <f t="shared" si="54"/>
        <v>0</v>
      </c>
      <c r="J292" s="523">
        <f t="shared" si="54"/>
        <v>0</v>
      </c>
      <c r="K292" s="523">
        <f t="shared" si="54"/>
        <v>0</v>
      </c>
      <c r="L292" s="523">
        <f t="shared" si="54"/>
        <v>0</v>
      </c>
      <c r="M292" s="523">
        <f t="shared" si="54"/>
        <v>0</v>
      </c>
    </row>
    <row r="293" spans="1:13" ht="15" customHeight="1">
      <c r="A293" s="523" t="str">
        <f t="shared" si="46"/>
        <v/>
      </c>
      <c r="B293" s="523">
        <f t="shared" ref="B293:M293" si="55">B37*$J313</f>
        <v>0</v>
      </c>
      <c r="C293" s="523">
        <f t="shared" si="55"/>
        <v>0</v>
      </c>
      <c r="D293" s="523">
        <f t="shared" si="55"/>
        <v>0</v>
      </c>
      <c r="E293" s="523">
        <f t="shared" si="55"/>
        <v>0</v>
      </c>
      <c r="F293" s="523">
        <f t="shared" si="55"/>
        <v>0</v>
      </c>
      <c r="G293" s="523">
        <f t="shared" si="55"/>
        <v>0</v>
      </c>
      <c r="H293" s="523">
        <f t="shared" si="55"/>
        <v>0</v>
      </c>
      <c r="I293" s="523">
        <f t="shared" si="55"/>
        <v>0</v>
      </c>
      <c r="J293" s="523">
        <f t="shared" si="55"/>
        <v>0</v>
      </c>
      <c r="K293" s="523">
        <f t="shared" si="55"/>
        <v>0</v>
      </c>
      <c r="L293" s="523">
        <f t="shared" si="55"/>
        <v>0</v>
      </c>
      <c r="M293" s="523">
        <f t="shared" si="55"/>
        <v>0</v>
      </c>
    </row>
    <row r="294" spans="1:13" ht="15" customHeight="1">
      <c r="A294" s="523" t="str">
        <f t="shared" si="46"/>
        <v/>
      </c>
      <c r="B294" s="523">
        <f t="shared" ref="B294:M294" si="56">B38*$J314</f>
        <v>0</v>
      </c>
      <c r="C294" s="523">
        <f t="shared" si="56"/>
        <v>0</v>
      </c>
      <c r="D294" s="523">
        <f t="shared" si="56"/>
        <v>0</v>
      </c>
      <c r="E294" s="523">
        <f t="shared" si="56"/>
        <v>0</v>
      </c>
      <c r="F294" s="523">
        <f t="shared" si="56"/>
        <v>0</v>
      </c>
      <c r="G294" s="523">
        <f t="shared" si="56"/>
        <v>0</v>
      </c>
      <c r="H294" s="523">
        <f t="shared" si="56"/>
        <v>0</v>
      </c>
      <c r="I294" s="523">
        <f t="shared" si="56"/>
        <v>0</v>
      </c>
      <c r="J294" s="523">
        <f t="shared" si="56"/>
        <v>0</v>
      </c>
      <c r="K294" s="523">
        <f t="shared" si="56"/>
        <v>0</v>
      </c>
      <c r="L294" s="523">
        <f t="shared" si="56"/>
        <v>0</v>
      </c>
      <c r="M294" s="523">
        <f t="shared" si="56"/>
        <v>0</v>
      </c>
    </row>
    <row r="295" spans="1:13" ht="15" customHeight="1">
      <c r="A295" s="523" t="str">
        <f t="shared" si="46"/>
        <v/>
      </c>
      <c r="B295" s="523">
        <f t="shared" ref="B295:M295" si="57">B39*$J315</f>
        <v>0</v>
      </c>
      <c r="C295" s="523">
        <f t="shared" si="57"/>
        <v>0</v>
      </c>
      <c r="D295" s="523">
        <f t="shared" si="57"/>
        <v>0</v>
      </c>
      <c r="E295" s="523">
        <f t="shared" si="57"/>
        <v>0</v>
      </c>
      <c r="F295" s="523">
        <f t="shared" si="57"/>
        <v>0</v>
      </c>
      <c r="G295" s="523">
        <f t="shared" si="57"/>
        <v>0</v>
      </c>
      <c r="H295" s="523">
        <f t="shared" si="57"/>
        <v>0</v>
      </c>
      <c r="I295" s="523">
        <f t="shared" si="57"/>
        <v>0</v>
      </c>
      <c r="J295" s="523">
        <f t="shared" si="57"/>
        <v>0</v>
      </c>
      <c r="K295" s="523">
        <f t="shared" si="57"/>
        <v>0</v>
      </c>
      <c r="L295" s="523">
        <f t="shared" si="57"/>
        <v>0</v>
      </c>
      <c r="M295" s="523">
        <f t="shared" si="57"/>
        <v>0</v>
      </c>
    </row>
    <row r="296" spans="1:13" ht="15" customHeight="1">
      <c r="A296" s="523" t="str">
        <f t="shared" si="46"/>
        <v/>
      </c>
      <c r="B296" s="523">
        <f t="shared" ref="B296:M296" si="58">B40*$J316</f>
        <v>0</v>
      </c>
      <c r="C296" s="523">
        <f t="shared" si="58"/>
        <v>0</v>
      </c>
      <c r="D296" s="523">
        <f t="shared" si="58"/>
        <v>0</v>
      </c>
      <c r="E296" s="523">
        <f t="shared" si="58"/>
        <v>0</v>
      </c>
      <c r="F296" s="523">
        <f t="shared" si="58"/>
        <v>0</v>
      </c>
      <c r="G296" s="523">
        <f t="shared" si="58"/>
        <v>0</v>
      </c>
      <c r="H296" s="523">
        <f t="shared" si="58"/>
        <v>0</v>
      </c>
      <c r="I296" s="523">
        <f t="shared" si="58"/>
        <v>0</v>
      </c>
      <c r="J296" s="523">
        <f t="shared" si="58"/>
        <v>0</v>
      </c>
      <c r="K296" s="523">
        <f t="shared" si="58"/>
        <v>0</v>
      </c>
      <c r="L296" s="523">
        <f t="shared" si="58"/>
        <v>0</v>
      </c>
      <c r="M296" s="523">
        <f t="shared" si="58"/>
        <v>0</v>
      </c>
    </row>
    <row r="297" spans="1:13" ht="15" customHeight="1">
      <c r="A297" s="524" t="s">
        <v>605</v>
      </c>
      <c r="B297" s="524" t="s">
        <v>605</v>
      </c>
      <c r="C297" s="524" t="s">
        <v>605</v>
      </c>
      <c r="D297" s="524" t="s">
        <v>605</v>
      </c>
      <c r="E297" s="524" t="s">
        <v>605</v>
      </c>
      <c r="F297" s="524" t="s">
        <v>605</v>
      </c>
      <c r="G297" s="524" t="s">
        <v>605</v>
      </c>
      <c r="H297" s="524" t="s">
        <v>605</v>
      </c>
      <c r="I297" s="524" t="s">
        <v>605</v>
      </c>
      <c r="J297" s="524" t="s">
        <v>605</v>
      </c>
      <c r="K297" s="524" t="s">
        <v>605</v>
      </c>
      <c r="L297" s="524" t="s">
        <v>605</v>
      </c>
      <c r="M297" s="524" t="s">
        <v>605</v>
      </c>
    </row>
    <row r="298" spans="1:13" ht="15" customHeight="1">
      <c r="A298" s="522" t="s">
        <v>49</v>
      </c>
      <c r="B298" s="523">
        <f t="shared" ref="B298:M298" si="59">SUM(B284:B296)</f>
        <v>285184.8</v>
      </c>
      <c r="C298" s="523">
        <f t="shared" si="59"/>
        <v>332715.59999999998</v>
      </c>
      <c r="D298" s="523">
        <f t="shared" si="59"/>
        <v>332715.59999999998</v>
      </c>
      <c r="E298" s="523">
        <f t="shared" si="59"/>
        <v>332715.59999999998</v>
      </c>
      <c r="F298" s="523">
        <f t="shared" si="59"/>
        <v>475308</v>
      </c>
      <c r="G298" s="523">
        <f t="shared" si="59"/>
        <v>427777.2</v>
      </c>
      <c r="H298" s="523">
        <f t="shared" si="59"/>
        <v>380246.39999999997</v>
      </c>
      <c r="I298" s="523">
        <f t="shared" si="59"/>
        <v>380246.39999999997</v>
      </c>
      <c r="J298" s="523">
        <f t="shared" si="59"/>
        <v>380246.39999999997</v>
      </c>
      <c r="K298" s="523">
        <f t="shared" si="59"/>
        <v>475308</v>
      </c>
      <c r="L298" s="523">
        <f t="shared" si="59"/>
        <v>665431.19999999995</v>
      </c>
      <c r="M298" s="523">
        <f t="shared" si="59"/>
        <v>285184.8</v>
      </c>
    </row>
    <row r="299" spans="1:13" ht="15" customHeight="1">
      <c r="A299" s="524" t="s">
        <v>46</v>
      </c>
      <c r="B299" s="524" t="s">
        <v>46</v>
      </c>
      <c r="C299" s="524" t="s">
        <v>46</v>
      </c>
      <c r="D299" s="524" t="s">
        <v>46</v>
      </c>
      <c r="E299" s="524" t="s">
        <v>46</v>
      </c>
      <c r="F299" s="524" t="s">
        <v>46</v>
      </c>
      <c r="G299" s="524" t="s">
        <v>46</v>
      </c>
      <c r="H299" s="524" t="s">
        <v>46</v>
      </c>
      <c r="I299" s="524" t="s">
        <v>46</v>
      </c>
      <c r="J299" s="524" t="s">
        <v>46</v>
      </c>
      <c r="K299" s="524" t="s">
        <v>46</v>
      </c>
      <c r="L299" s="524" t="s">
        <v>46</v>
      </c>
      <c r="M299" s="524" t="s">
        <v>46</v>
      </c>
    </row>
    <row r="301" spans="1:13" ht="15" customHeight="1">
      <c r="A301" s="522" t="s">
        <v>208</v>
      </c>
    </row>
    <row r="302" spans="1:13" ht="15" customHeight="1">
      <c r="A302" s="524" t="s">
        <v>46</v>
      </c>
      <c r="B302" s="524" t="s">
        <v>46</v>
      </c>
      <c r="C302" s="524" t="s">
        <v>46</v>
      </c>
      <c r="D302" s="524" t="s">
        <v>46</v>
      </c>
      <c r="E302" s="524" t="s">
        <v>46</v>
      </c>
      <c r="F302" s="524" t="s">
        <v>46</v>
      </c>
    </row>
    <row r="303" spans="1:13" ht="15" customHeight="1">
      <c r="A303" s="522" t="s">
        <v>575</v>
      </c>
      <c r="B303" s="522" t="s">
        <v>692</v>
      </c>
      <c r="C303" s="522" t="s">
        <v>693</v>
      </c>
      <c r="D303" s="522" t="s">
        <v>694</v>
      </c>
      <c r="E303" s="522" t="s">
        <v>186</v>
      </c>
      <c r="F303" s="522" t="s">
        <v>187</v>
      </c>
    </row>
    <row r="304" spans="1:13" ht="15" customHeight="1">
      <c r="A304" s="524" t="s">
        <v>605</v>
      </c>
      <c r="B304" s="524" t="s">
        <v>605</v>
      </c>
      <c r="C304" s="524" t="s">
        <v>605</v>
      </c>
      <c r="D304" s="524" t="s">
        <v>605</v>
      </c>
      <c r="E304" s="524" t="s">
        <v>605</v>
      </c>
      <c r="F304" s="524" t="s">
        <v>605</v>
      </c>
    </row>
    <row r="305" spans="1:10" ht="15" customHeight="1">
      <c r="A305" s="523" t="str">
        <f t="shared" ref="A305:A316" si="60">A10</f>
        <v>CAMISETAS</v>
      </c>
      <c r="B305" s="523">
        <f t="shared" ref="B305:F314" si="61">B50*$J305</f>
        <v>4753080</v>
      </c>
      <c r="C305" s="523">
        <f t="shared" si="61"/>
        <v>5400833.2631999999</v>
      </c>
      <c r="D305" s="523">
        <f t="shared" si="61"/>
        <v>6317372.0385359991</v>
      </c>
      <c r="E305" s="523">
        <f t="shared" si="61"/>
        <v>6506893.1996920798</v>
      </c>
      <c r="F305" s="523">
        <f t="shared" si="61"/>
        <v>6702099.9956828421</v>
      </c>
      <c r="H305" s="526">
        <f>+'datos de entrada'!B31</f>
        <v>0</v>
      </c>
      <c r="I305" s="526">
        <f>+B280</f>
        <v>1.304E-2</v>
      </c>
      <c r="J305" s="526">
        <f>+H305+$I$305</f>
        <v>1.304E-2</v>
      </c>
    </row>
    <row r="306" spans="1:10" ht="15" customHeight="1">
      <c r="A306" s="523" t="str">
        <f t="shared" si="60"/>
        <v/>
      </c>
      <c r="B306" s="523">
        <f t="shared" si="61"/>
        <v>0</v>
      </c>
      <c r="C306" s="523">
        <f t="shared" si="61"/>
        <v>0</v>
      </c>
      <c r="D306" s="523">
        <f t="shared" si="61"/>
        <v>0</v>
      </c>
      <c r="E306" s="523">
        <f t="shared" si="61"/>
        <v>0</v>
      </c>
      <c r="F306" s="523">
        <f t="shared" si="61"/>
        <v>0</v>
      </c>
      <c r="H306" s="526">
        <f>+'datos de entrada'!B32</f>
        <v>0</v>
      </c>
      <c r="I306" s="526"/>
      <c r="J306" s="526">
        <f t="shared" ref="J306:J316" si="62">+H306+$I$305</f>
        <v>1.304E-2</v>
      </c>
    </row>
    <row r="307" spans="1:10" ht="15" customHeight="1">
      <c r="A307" s="523" t="str">
        <f t="shared" si="60"/>
        <v/>
      </c>
      <c r="B307" s="523">
        <f t="shared" si="61"/>
        <v>0</v>
      </c>
      <c r="C307" s="523">
        <f t="shared" si="61"/>
        <v>0</v>
      </c>
      <c r="D307" s="523">
        <f t="shared" si="61"/>
        <v>0</v>
      </c>
      <c r="E307" s="523">
        <f t="shared" si="61"/>
        <v>0</v>
      </c>
      <c r="F307" s="523">
        <f t="shared" si="61"/>
        <v>0</v>
      </c>
      <c r="H307" s="526">
        <f>+'datos de entrada'!B33</f>
        <v>0</v>
      </c>
      <c r="I307" s="526"/>
      <c r="J307" s="526">
        <f t="shared" si="62"/>
        <v>1.304E-2</v>
      </c>
    </row>
    <row r="308" spans="1:10" ht="15" customHeight="1">
      <c r="A308" s="523" t="str">
        <f t="shared" si="60"/>
        <v/>
      </c>
      <c r="B308" s="523">
        <f t="shared" si="61"/>
        <v>0</v>
      </c>
      <c r="C308" s="523">
        <f t="shared" si="61"/>
        <v>0</v>
      </c>
      <c r="D308" s="523">
        <f t="shared" si="61"/>
        <v>0</v>
      </c>
      <c r="E308" s="523">
        <f t="shared" si="61"/>
        <v>0</v>
      </c>
      <c r="F308" s="523">
        <f t="shared" si="61"/>
        <v>0</v>
      </c>
      <c r="H308" s="526">
        <f>+'datos de entrada'!B34</f>
        <v>0</v>
      </c>
      <c r="I308" s="526"/>
      <c r="J308" s="526">
        <f t="shared" si="62"/>
        <v>1.304E-2</v>
      </c>
    </row>
    <row r="309" spans="1:10" ht="15" customHeight="1">
      <c r="A309" s="523" t="str">
        <f t="shared" si="60"/>
        <v/>
      </c>
      <c r="B309" s="523">
        <f t="shared" si="61"/>
        <v>0</v>
      </c>
      <c r="C309" s="523">
        <f t="shared" si="61"/>
        <v>0</v>
      </c>
      <c r="D309" s="523">
        <f t="shared" si="61"/>
        <v>0</v>
      </c>
      <c r="E309" s="523">
        <f t="shared" si="61"/>
        <v>0</v>
      </c>
      <c r="F309" s="523">
        <f t="shared" si="61"/>
        <v>0</v>
      </c>
      <c r="H309" s="526">
        <f>+'datos de entrada'!B35</f>
        <v>0</v>
      </c>
      <c r="I309" s="526"/>
      <c r="J309" s="526">
        <f t="shared" si="62"/>
        <v>1.304E-2</v>
      </c>
    </row>
    <row r="310" spans="1:10" ht="15" customHeight="1">
      <c r="A310" s="523" t="str">
        <f t="shared" si="60"/>
        <v/>
      </c>
      <c r="B310" s="523">
        <f t="shared" si="61"/>
        <v>0</v>
      </c>
      <c r="C310" s="523">
        <f t="shared" si="61"/>
        <v>0</v>
      </c>
      <c r="D310" s="523">
        <f t="shared" si="61"/>
        <v>0</v>
      </c>
      <c r="E310" s="523">
        <f t="shared" si="61"/>
        <v>0</v>
      </c>
      <c r="F310" s="523">
        <f t="shared" si="61"/>
        <v>0</v>
      </c>
      <c r="H310" s="526">
        <f>+'datos de entrada'!B36</f>
        <v>0</v>
      </c>
      <c r="I310" s="526"/>
      <c r="J310" s="526">
        <f t="shared" si="62"/>
        <v>1.304E-2</v>
      </c>
    </row>
    <row r="311" spans="1:10" ht="15" customHeight="1">
      <c r="A311" s="523" t="str">
        <f t="shared" si="60"/>
        <v/>
      </c>
      <c r="B311" s="523">
        <f t="shared" si="61"/>
        <v>0</v>
      </c>
      <c r="C311" s="523">
        <f t="shared" si="61"/>
        <v>0</v>
      </c>
      <c r="D311" s="523">
        <f t="shared" si="61"/>
        <v>0</v>
      </c>
      <c r="E311" s="523">
        <f t="shared" si="61"/>
        <v>0</v>
      </c>
      <c r="F311" s="523">
        <f t="shared" si="61"/>
        <v>0</v>
      </c>
      <c r="H311" s="526">
        <f>+'datos de entrada'!B37</f>
        <v>0</v>
      </c>
      <c r="I311" s="526"/>
      <c r="J311" s="526">
        <f t="shared" si="62"/>
        <v>1.304E-2</v>
      </c>
    </row>
    <row r="312" spans="1:10" ht="15" customHeight="1">
      <c r="A312" s="523" t="str">
        <f t="shared" si="60"/>
        <v/>
      </c>
      <c r="B312" s="523">
        <f t="shared" si="61"/>
        <v>0</v>
      </c>
      <c r="C312" s="523">
        <f t="shared" si="61"/>
        <v>0</v>
      </c>
      <c r="D312" s="523">
        <f t="shared" si="61"/>
        <v>0</v>
      </c>
      <c r="E312" s="523">
        <f t="shared" si="61"/>
        <v>0</v>
      </c>
      <c r="F312" s="523">
        <f t="shared" si="61"/>
        <v>0</v>
      </c>
      <c r="H312" s="526">
        <f>+'datos de entrada'!B38</f>
        <v>0</v>
      </c>
      <c r="I312" s="526"/>
      <c r="J312" s="526">
        <f t="shared" si="62"/>
        <v>1.304E-2</v>
      </c>
    </row>
    <row r="313" spans="1:10" ht="15" customHeight="1">
      <c r="A313" s="523" t="str">
        <f t="shared" si="60"/>
        <v/>
      </c>
      <c r="B313" s="523">
        <f t="shared" si="61"/>
        <v>0</v>
      </c>
      <c r="C313" s="523">
        <f t="shared" si="61"/>
        <v>0</v>
      </c>
      <c r="D313" s="523">
        <f t="shared" si="61"/>
        <v>0</v>
      </c>
      <c r="E313" s="523">
        <f t="shared" si="61"/>
        <v>0</v>
      </c>
      <c r="F313" s="523">
        <f t="shared" si="61"/>
        <v>0</v>
      </c>
      <c r="H313" s="526">
        <f>+'datos de entrada'!B39</f>
        <v>0</v>
      </c>
      <c r="I313" s="526"/>
      <c r="J313" s="526">
        <f t="shared" si="62"/>
        <v>1.304E-2</v>
      </c>
    </row>
    <row r="314" spans="1:10" ht="15" customHeight="1">
      <c r="A314" s="523" t="str">
        <f t="shared" si="60"/>
        <v/>
      </c>
      <c r="B314" s="523">
        <f t="shared" si="61"/>
        <v>0</v>
      </c>
      <c r="C314" s="523">
        <f t="shared" si="61"/>
        <v>0</v>
      </c>
      <c r="D314" s="523">
        <f t="shared" si="61"/>
        <v>0</v>
      </c>
      <c r="E314" s="523">
        <f t="shared" si="61"/>
        <v>0</v>
      </c>
      <c r="F314" s="523">
        <f t="shared" si="61"/>
        <v>0</v>
      </c>
      <c r="H314" s="526">
        <f>+'datos de entrada'!B40</f>
        <v>0</v>
      </c>
      <c r="I314" s="526"/>
      <c r="J314" s="526">
        <f t="shared" si="62"/>
        <v>1.304E-2</v>
      </c>
    </row>
    <row r="315" spans="1:10" ht="15" customHeight="1">
      <c r="A315" s="523" t="str">
        <f t="shared" si="60"/>
        <v/>
      </c>
      <c r="B315" s="523">
        <f t="shared" ref="B315:F316" si="63">B60*$J315</f>
        <v>0</v>
      </c>
      <c r="C315" s="523">
        <f t="shared" si="63"/>
        <v>0</v>
      </c>
      <c r="D315" s="523">
        <f t="shared" si="63"/>
        <v>0</v>
      </c>
      <c r="E315" s="523">
        <f t="shared" si="63"/>
        <v>0</v>
      </c>
      <c r="F315" s="523">
        <f t="shared" si="63"/>
        <v>0</v>
      </c>
      <c r="H315" s="526">
        <f>+'datos de entrada'!B41</f>
        <v>0</v>
      </c>
      <c r="I315" s="526"/>
      <c r="J315" s="526">
        <f t="shared" si="62"/>
        <v>1.304E-2</v>
      </c>
    </row>
    <row r="316" spans="1:10" ht="15" customHeight="1">
      <c r="A316" s="523" t="str">
        <f t="shared" si="60"/>
        <v/>
      </c>
      <c r="B316" s="523">
        <f t="shared" si="63"/>
        <v>0</v>
      </c>
      <c r="C316" s="523">
        <f t="shared" si="63"/>
        <v>0</v>
      </c>
      <c r="D316" s="523">
        <f t="shared" si="63"/>
        <v>0</v>
      </c>
      <c r="E316" s="523">
        <f t="shared" si="63"/>
        <v>0</v>
      </c>
      <c r="F316" s="523">
        <f t="shared" si="63"/>
        <v>0</v>
      </c>
      <c r="H316" s="526">
        <f>+'datos de entrada'!B42</f>
        <v>0</v>
      </c>
      <c r="I316" s="526"/>
      <c r="J316" s="526">
        <f t="shared" si="62"/>
        <v>1.304E-2</v>
      </c>
    </row>
    <row r="317" spans="1:10" ht="15" customHeight="1">
      <c r="A317" s="524" t="s">
        <v>605</v>
      </c>
      <c r="B317" s="524" t="s">
        <v>605</v>
      </c>
      <c r="C317" s="524" t="s">
        <v>605</v>
      </c>
      <c r="D317" s="524" t="s">
        <v>605</v>
      </c>
      <c r="E317" s="524" t="s">
        <v>605</v>
      </c>
      <c r="F317" s="524" t="s">
        <v>605</v>
      </c>
    </row>
    <row r="318" spans="1:10" ht="15" customHeight="1">
      <c r="A318" s="522" t="s">
        <v>49</v>
      </c>
      <c r="B318" s="523">
        <f>SUM(B305:B316)</f>
        <v>4753080</v>
      </c>
      <c r="C318" s="523">
        <f>SUM(C305:C316)</f>
        <v>5400833.2631999999</v>
      </c>
      <c r="D318" s="523">
        <f>SUM(D305:D316)</f>
        <v>6317372.0385359991</v>
      </c>
      <c r="E318" s="523">
        <f>SUM(E305:E316)</f>
        <v>6506893.1996920798</v>
      </c>
      <c r="F318" s="523">
        <f>SUM(F305:F316)</f>
        <v>6702099.9956828421</v>
      </c>
    </row>
    <row r="319" spans="1:10" ht="15" customHeight="1">
      <c r="A319" s="524" t="s">
        <v>46</v>
      </c>
      <c r="B319" s="524" t="s">
        <v>46</v>
      </c>
      <c r="C319" s="524" t="s">
        <v>46</v>
      </c>
      <c r="D319" s="524" t="s">
        <v>46</v>
      </c>
      <c r="E319" s="524" t="s">
        <v>46</v>
      </c>
      <c r="F319" s="524" t="s">
        <v>46</v>
      </c>
    </row>
    <row r="321" spans="1:7" ht="15" customHeight="1">
      <c r="A321" s="522" t="s">
        <v>209</v>
      </c>
    </row>
    <row r="322" spans="1:7" ht="15" customHeight="1">
      <c r="A322" s="524" t="s">
        <v>46</v>
      </c>
      <c r="B322" s="524" t="s">
        <v>46</v>
      </c>
      <c r="C322" s="524" t="s">
        <v>46</v>
      </c>
      <c r="D322" s="524" t="s">
        <v>46</v>
      </c>
      <c r="E322" s="524" t="s">
        <v>46</v>
      </c>
      <c r="F322" s="524" t="s">
        <v>46</v>
      </c>
      <c r="G322" s="524" t="s">
        <v>46</v>
      </c>
    </row>
    <row r="323" spans="1:7" ht="15" customHeight="1">
      <c r="A323" s="522" t="s">
        <v>575</v>
      </c>
      <c r="B323" s="522" t="s">
        <v>580</v>
      </c>
      <c r="C323" s="523">
        <v>30</v>
      </c>
      <c r="D323" s="523">
        <v>60</v>
      </c>
      <c r="E323" s="523">
        <v>90</v>
      </c>
      <c r="F323" s="523">
        <v>120</v>
      </c>
      <c r="G323" s="523">
        <v>150</v>
      </c>
    </row>
    <row r="324" spans="1:7" ht="15" customHeight="1">
      <c r="A324" s="524" t="s">
        <v>605</v>
      </c>
      <c r="B324" s="524" t="s">
        <v>605</v>
      </c>
      <c r="C324" s="524" t="s">
        <v>605</v>
      </c>
      <c r="D324" s="524" t="s">
        <v>605</v>
      </c>
      <c r="E324" s="524" t="s">
        <v>605</v>
      </c>
      <c r="F324" s="524" t="s">
        <v>605</v>
      </c>
      <c r="G324" s="524" t="s">
        <v>605</v>
      </c>
    </row>
    <row r="325" spans="1:7" ht="15" customHeight="1">
      <c r="A325" s="523" t="str">
        <f t="shared" ref="A325:A336" si="64">A10</f>
        <v>CAMISETAS</v>
      </c>
      <c r="B325" s="526">
        <f>$N29*'datos de entrada'!C14</f>
        <v>0.1</v>
      </c>
      <c r="C325" s="526">
        <f>$N29*'datos de entrada'!D14</f>
        <v>0</v>
      </c>
      <c r="D325" s="526">
        <f>$N29*'datos de entrada'!E14</f>
        <v>0</v>
      </c>
      <c r="E325" s="526">
        <f>$N29*'datos de entrada'!F14</f>
        <v>0.8</v>
      </c>
      <c r="F325" s="526">
        <f>$N29*'datos de entrada'!G14</f>
        <v>0.1</v>
      </c>
      <c r="G325" s="526">
        <f>$N29*'datos de entrada'!H14</f>
        <v>0</v>
      </c>
    </row>
    <row r="326" spans="1:7" ht="15" customHeight="1">
      <c r="A326" s="523" t="str">
        <f t="shared" si="64"/>
        <v/>
      </c>
      <c r="B326" s="526">
        <f>$N30*'datos de entrada'!C15</f>
        <v>0</v>
      </c>
      <c r="C326" s="526">
        <f>$N30*'datos de entrada'!D15</f>
        <v>0</v>
      </c>
      <c r="D326" s="526">
        <f>$N30*'datos de entrada'!E15</f>
        <v>0</v>
      </c>
      <c r="E326" s="526">
        <f>$N30*'datos de entrada'!F15</f>
        <v>0</v>
      </c>
      <c r="F326" s="526">
        <f>$N30*'datos de entrada'!G15</f>
        <v>0</v>
      </c>
      <c r="G326" s="526">
        <f>$N30*'datos de entrada'!H15</f>
        <v>0</v>
      </c>
    </row>
    <row r="327" spans="1:7" ht="15" customHeight="1">
      <c r="A327" s="523" t="str">
        <f t="shared" si="64"/>
        <v/>
      </c>
      <c r="B327" s="526">
        <f>$N31*'datos de entrada'!C16</f>
        <v>0</v>
      </c>
      <c r="C327" s="526">
        <f>$N31*'datos de entrada'!D16</f>
        <v>0</v>
      </c>
      <c r="D327" s="526">
        <f>$N31*'datos de entrada'!E16</f>
        <v>0</v>
      </c>
      <c r="E327" s="526">
        <f>$N31*'datos de entrada'!F16</f>
        <v>0</v>
      </c>
      <c r="F327" s="526">
        <f>$N31*'datos de entrada'!G16</f>
        <v>0</v>
      </c>
      <c r="G327" s="526">
        <f>$N31*'datos de entrada'!H16</f>
        <v>0</v>
      </c>
    </row>
    <row r="328" spans="1:7" ht="15" customHeight="1">
      <c r="A328" s="523" t="str">
        <f t="shared" si="64"/>
        <v/>
      </c>
      <c r="B328" s="526">
        <f>$N32*'datos de entrada'!C17</f>
        <v>0</v>
      </c>
      <c r="C328" s="526">
        <f>$N32*'datos de entrada'!D17</f>
        <v>0</v>
      </c>
      <c r="D328" s="526">
        <f>$N32*'datos de entrada'!E17</f>
        <v>0</v>
      </c>
      <c r="E328" s="526">
        <f>$N32*'datos de entrada'!F17</f>
        <v>0</v>
      </c>
      <c r="F328" s="526">
        <f>$N32*'datos de entrada'!G17</f>
        <v>0</v>
      </c>
      <c r="G328" s="526">
        <f>$N32*'datos de entrada'!H17</f>
        <v>0</v>
      </c>
    </row>
    <row r="329" spans="1:7" ht="15" customHeight="1">
      <c r="A329" s="523" t="str">
        <f t="shared" si="64"/>
        <v/>
      </c>
      <c r="B329" s="526">
        <f>$N33*'datos de entrada'!C18</f>
        <v>0</v>
      </c>
      <c r="C329" s="526">
        <f>$N33*'datos de entrada'!D18</f>
        <v>0</v>
      </c>
      <c r="D329" s="526">
        <f>$N33*'datos de entrada'!E18</f>
        <v>0</v>
      </c>
      <c r="E329" s="526">
        <f>$N33*'datos de entrada'!F18</f>
        <v>0</v>
      </c>
      <c r="F329" s="526">
        <f>$N33*'datos de entrada'!G18</f>
        <v>0</v>
      </c>
      <c r="G329" s="526">
        <f>$N33*'datos de entrada'!H18</f>
        <v>0</v>
      </c>
    </row>
    <row r="330" spans="1:7" ht="15" customHeight="1">
      <c r="A330" s="523" t="str">
        <f t="shared" si="64"/>
        <v/>
      </c>
      <c r="B330" s="526">
        <f>$N34*'datos de entrada'!C19</f>
        <v>0</v>
      </c>
      <c r="C330" s="526">
        <f>$N34*'datos de entrada'!D19</f>
        <v>0</v>
      </c>
      <c r="D330" s="526">
        <f>$N34*'datos de entrada'!E19</f>
        <v>0</v>
      </c>
      <c r="E330" s="526">
        <f>$N34*'datos de entrada'!F19</f>
        <v>0</v>
      </c>
      <c r="F330" s="526">
        <f>$N34*'datos de entrada'!G19</f>
        <v>0</v>
      </c>
      <c r="G330" s="526">
        <f>$N34*'datos de entrada'!H19</f>
        <v>0</v>
      </c>
    </row>
    <row r="331" spans="1:7" ht="15" customHeight="1">
      <c r="A331" s="523" t="str">
        <f t="shared" si="64"/>
        <v/>
      </c>
      <c r="B331" s="526">
        <f>$N35*'datos de entrada'!C20</f>
        <v>0</v>
      </c>
      <c r="C331" s="526">
        <f>$N35*'datos de entrada'!D20</f>
        <v>0</v>
      </c>
      <c r="D331" s="526">
        <f>$N35*'datos de entrada'!E20</f>
        <v>0</v>
      </c>
      <c r="E331" s="526">
        <f>$N35*'datos de entrada'!F20</f>
        <v>0</v>
      </c>
      <c r="F331" s="526">
        <f>$N35*'datos de entrada'!G20</f>
        <v>0</v>
      </c>
      <c r="G331" s="526">
        <f>$N35*'datos de entrada'!H20</f>
        <v>0</v>
      </c>
    </row>
    <row r="332" spans="1:7" ht="15" customHeight="1">
      <c r="A332" s="523" t="str">
        <f t="shared" si="64"/>
        <v/>
      </c>
      <c r="B332" s="526">
        <f>$N36*'datos de entrada'!C21</f>
        <v>0</v>
      </c>
      <c r="C332" s="526">
        <f>$N36*'datos de entrada'!D21</f>
        <v>0</v>
      </c>
      <c r="D332" s="526">
        <f>$N36*'datos de entrada'!E21</f>
        <v>0</v>
      </c>
      <c r="E332" s="526">
        <f>$N36*'datos de entrada'!F21</f>
        <v>0</v>
      </c>
      <c r="F332" s="526">
        <f>$N36*'datos de entrada'!G21</f>
        <v>0</v>
      </c>
      <c r="G332" s="526">
        <f>$N36*'datos de entrada'!H21</f>
        <v>0</v>
      </c>
    </row>
    <row r="333" spans="1:7" ht="15" customHeight="1">
      <c r="A333" s="523" t="str">
        <f t="shared" si="64"/>
        <v/>
      </c>
      <c r="B333" s="526">
        <f>$N37*'datos de entrada'!C22</f>
        <v>0</v>
      </c>
      <c r="C333" s="526">
        <f>$N37*'datos de entrada'!D22</f>
        <v>0</v>
      </c>
      <c r="D333" s="526">
        <f>$N37*'datos de entrada'!E22</f>
        <v>0</v>
      </c>
      <c r="E333" s="526">
        <f>$N37*'datos de entrada'!F22</f>
        <v>0</v>
      </c>
      <c r="F333" s="526">
        <f>$N37*'datos de entrada'!G22</f>
        <v>0</v>
      </c>
      <c r="G333" s="526">
        <f>$N37*'datos de entrada'!H22</f>
        <v>0</v>
      </c>
    </row>
    <row r="334" spans="1:7" ht="15" customHeight="1">
      <c r="A334" s="523" t="str">
        <f t="shared" si="64"/>
        <v/>
      </c>
      <c r="B334" s="526">
        <f>$N38*'datos de entrada'!C23</f>
        <v>0</v>
      </c>
      <c r="C334" s="526">
        <f>$N38*'datos de entrada'!D23</f>
        <v>0</v>
      </c>
      <c r="D334" s="526">
        <f>$N38*'datos de entrada'!E23</f>
        <v>0</v>
      </c>
      <c r="E334" s="526">
        <f>$N38*'datos de entrada'!F23</f>
        <v>0</v>
      </c>
      <c r="F334" s="526">
        <f>$N38*'datos de entrada'!G23</f>
        <v>0</v>
      </c>
      <c r="G334" s="526">
        <f>$N38*'datos de entrada'!H23</f>
        <v>0</v>
      </c>
    </row>
    <row r="335" spans="1:7" ht="15" customHeight="1">
      <c r="A335" s="523" t="str">
        <f t="shared" si="64"/>
        <v/>
      </c>
      <c r="B335" s="526">
        <f>$N39*'datos de entrada'!C24</f>
        <v>0</v>
      </c>
      <c r="C335" s="526">
        <f>$N39*'datos de entrada'!D24</f>
        <v>0</v>
      </c>
      <c r="D335" s="526">
        <f>$N39*'datos de entrada'!E24</f>
        <v>0</v>
      </c>
      <c r="E335" s="526">
        <f>$N39*'datos de entrada'!F24</f>
        <v>0</v>
      </c>
      <c r="F335" s="526">
        <f>$N39*'datos de entrada'!G24</f>
        <v>0</v>
      </c>
      <c r="G335" s="526">
        <f>$N39*'datos de entrada'!H24</f>
        <v>0</v>
      </c>
    </row>
    <row r="336" spans="1:7" ht="15" customHeight="1">
      <c r="A336" s="523" t="str">
        <f t="shared" si="64"/>
        <v/>
      </c>
      <c r="B336" s="526">
        <f>$N40*'datos de entrada'!C25</f>
        <v>0</v>
      </c>
      <c r="C336" s="526">
        <f>$N40*'datos de entrada'!D25</f>
        <v>0</v>
      </c>
      <c r="D336" s="526">
        <f>$N40*'datos de entrada'!E25</f>
        <v>0</v>
      </c>
      <c r="E336" s="526">
        <f>$N40*'datos de entrada'!F25</f>
        <v>0</v>
      </c>
      <c r="F336" s="526">
        <f>$N40*'datos de entrada'!G25</f>
        <v>0</v>
      </c>
      <c r="G336" s="526">
        <f>$N40*'datos de entrada'!H25</f>
        <v>0</v>
      </c>
    </row>
    <row r="337" spans="1:8" ht="15" customHeight="1">
      <c r="A337" s="524" t="s">
        <v>605</v>
      </c>
      <c r="B337" s="524" t="s">
        <v>605</v>
      </c>
      <c r="C337" s="524" t="s">
        <v>605</v>
      </c>
      <c r="D337" s="524" t="s">
        <v>605</v>
      </c>
      <c r="E337" s="524" t="s">
        <v>605</v>
      </c>
      <c r="F337" s="524" t="s">
        <v>605</v>
      </c>
      <c r="G337" s="524" t="s">
        <v>605</v>
      </c>
    </row>
    <row r="338" spans="1:8" ht="15" customHeight="1">
      <c r="A338" s="522" t="s">
        <v>49</v>
      </c>
      <c r="B338" s="526">
        <f t="shared" ref="B338:G338" si="65">SUM(B325:B337)</f>
        <v>0.1</v>
      </c>
      <c r="C338" s="526">
        <f t="shared" si="65"/>
        <v>0</v>
      </c>
      <c r="D338" s="526">
        <f t="shared" si="65"/>
        <v>0</v>
      </c>
      <c r="E338" s="526">
        <f t="shared" si="65"/>
        <v>0.8</v>
      </c>
      <c r="F338" s="526">
        <f t="shared" si="65"/>
        <v>0.1</v>
      </c>
      <c r="G338" s="526">
        <f t="shared" si="65"/>
        <v>0</v>
      </c>
      <c r="H338" s="523">
        <f>SUM(B338:G338)</f>
        <v>1</v>
      </c>
    </row>
    <row r="339" spans="1:8" ht="15" customHeight="1">
      <c r="A339" s="524" t="s">
        <v>46</v>
      </c>
      <c r="B339" s="524" t="s">
        <v>46</v>
      </c>
      <c r="C339" s="524" t="s">
        <v>46</v>
      </c>
      <c r="D339" s="524" t="s">
        <v>46</v>
      </c>
      <c r="E339" s="524" t="s">
        <v>46</v>
      </c>
      <c r="F339" s="524" t="s">
        <v>46</v>
      </c>
      <c r="G339" s="524" t="s">
        <v>46</v>
      </c>
    </row>
  </sheetData>
  <sheetProtection password="902B" sheet="1" objects="1" scenarios="1"/>
  <phoneticPr fontId="62" type="noConversion"/>
  <pageMargins left="0.75" right="0.75" top="1" bottom="1" header="0" footer="0"/>
  <pageSetup paperSize="9" orientation="portrait" horizontalDpi="0"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2:CN331"/>
  <sheetViews>
    <sheetView topLeftCell="A226" workbookViewId="0">
      <selection activeCell="D250" sqref="D250"/>
    </sheetView>
  </sheetViews>
  <sheetFormatPr baseColWidth="10" defaultColWidth="11" defaultRowHeight="15" customHeight="1"/>
  <cols>
    <col min="1" max="1" width="41.85546875" style="737" customWidth="1"/>
    <col min="2" max="2" width="14.42578125" style="737" customWidth="1"/>
    <col min="3" max="5" width="13.28515625" style="737" customWidth="1"/>
    <col min="6" max="6" width="14.42578125" style="737" customWidth="1"/>
    <col min="7" max="7" width="15.140625" style="737" bestFit="1" customWidth="1"/>
    <col min="8" max="8" width="14.42578125" style="737" customWidth="1"/>
    <col min="9" max="17" width="11" style="737"/>
    <col min="18" max="18" width="11.42578125" style="737" bestFit="1" customWidth="1"/>
    <col min="19" max="26" width="11" style="737"/>
    <col min="27" max="27" width="12" style="737" customWidth="1"/>
    <col min="28" max="16384" width="11" style="737"/>
  </cols>
  <sheetData>
    <row r="2" spans="1:9" ht="15" customHeight="1">
      <c r="A2" s="737" t="s">
        <v>269</v>
      </c>
    </row>
    <row r="4" spans="1:9" ht="15" customHeight="1">
      <c r="A4" s="737" t="s">
        <v>45</v>
      </c>
      <c r="B4" s="738" t="str">
        <f>+'datos de entrada'!B4</f>
        <v>TUBE TEES</v>
      </c>
    </row>
    <row r="5" spans="1:9" ht="15" customHeight="1">
      <c r="C5" s="739"/>
      <c r="D5" s="739"/>
      <c r="E5" s="739"/>
      <c r="F5" s="739"/>
      <c r="G5" s="739"/>
    </row>
    <row r="6" spans="1:9" ht="15" customHeight="1">
      <c r="A6" s="737" t="s">
        <v>210</v>
      </c>
      <c r="C6" s="739"/>
      <c r="D6" s="739"/>
      <c r="E6" s="739"/>
      <c r="F6" s="739"/>
      <c r="G6" s="739"/>
    </row>
    <row r="7" spans="1:9" ht="15" customHeight="1">
      <c r="C7" s="739"/>
      <c r="D7" s="739"/>
      <c r="E7" s="739"/>
      <c r="F7" s="739"/>
      <c r="G7" s="739"/>
    </row>
    <row r="8" spans="1:9" ht="15" customHeight="1">
      <c r="A8" s="737" t="s">
        <v>211</v>
      </c>
      <c r="C8" s="739"/>
      <c r="D8" s="739"/>
      <c r="E8" s="739"/>
      <c r="F8" s="739"/>
      <c r="G8" s="739"/>
    </row>
    <row r="9" spans="1:9" ht="15" customHeight="1">
      <c r="C9" s="739"/>
      <c r="D9" s="739"/>
      <c r="E9" s="739"/>
      <c r="F9" s="739"/>
      <c r="G9" s="739"/>
    </row>
    <row r="10" spans="1:9" ht="15" customHeight="1">
      <c r="A10" s="737" t="s">
        <v>657</v>
      </c>
      <c r="C10" s="739"/>
      <c r="D10" s="739"/>
      <c r="E10" s="739"/>
      <c r="F10" s="739"/>
      <c r="G10" s="739"/>
    </row>
    <row r="11" spans="1:9" ht="15" customHeight="1">
      <c r="A11" s="737" t="s">
        <v>605</v>
      </c>
      <c r="B11" s="737" t="s">
        <v>605</v>
      </c>
      <c r="C11" s="739" t="s">
        <v>605</v>
      </c>
      <c r="D11" s="739" t="s">
        <v>605</v>
      </c>
      <c r="E11" s="739"/>
      <c r="F11" s="739"/>
      <c r="G11" s="739"/>
    </row>
    <row r="12" spans="1:9" ht="15" customHeight="1">
      <c r="A12" s="737" t="s">
        <v>635</v>
      </c>
      <c r="B12" s="737" t="s">
        <v>636</v>
      </c>
      <c r="C12" s="739" t="s">
        <v>212</v>
      </c>
      <c r="D12" s="740" t="s">
        <v>212</v>
      </c>
      <c r="E12" s="739" t="s">
        <v>600</v>
      </c>
      <c r="F12" s="739" t="s">
        <v>601</v>
      </c>
      <c r="G12" s="739" t="s">
        <v>602</v>
      </c>
      <c r="H12" s="737" t="s">
        <v>67</v>
      </c>
      <c r="I12" s="737" t="s">
        <v>68</v>
      </c>
    </row>
    <row r="13" spans="1:9" ht="15" customHeight="1">
      <c r="A13" s="737" t="s">
        <v>605</v>
      </c>
      <c r="B13" s="737" t="s">
        <v>605</v>
      </c>
      <c r="C13" s="739" t="s">
        <v>605</v>
      </c>
      <c r="D13" s="739" t="s">
        <v>60</v>
      </c>
      <c r="E13" s="739">
        <v>1</v>
      </c>
      <c r="F13" s="739">
        <v>2</v>
      </c>
      <c r="G13" s="739">
        <v>3</v>
      </c>
      <c r="H13" s="737">
        <v>4</v>
      </c>
      <c r="I13" s="737">
        <v>5</v>
      </c>
    </row>
    <row r="14" spans="1:9" ht="15" customHeight="1">
      <c r="A14" s="737" t="str">
        <f>+'datos de entrada'!A144</f>
        <v>TERRENOS</v>
      </c>
      <c r="B14" s="737">
        <f ca="1">+'datos de entrada'!B144</f>
        <v>0</v>
      </c>
      <c r="C14" s="739">
        <f>+'datos de entrada'!C144</f>
        <v>100000000</v>
      </c>
      <c r="D14" s="739">
        <f ca="1">+B14/C14</f>
        <v>0</v>
      </c>
      <c r="E14" s="739">
        <f ca="1">IF($C14&gt;0,IF($E$13&lt;=$C14,$B14/$C14,0),$B14/10)</f>
        <v>0</v>
      </c>
      <c r="F14" s="739">
        <f ca="1">IF($C14&gt;0,IF($F$13&lt;=$C14,$B14/$C14,0),$B14/10)</f>
        <v>0</v>
      </c>
      <c r="G14" s="739">
        <f ca="1">IF($C14&gt;0,IF($G$13&lt;=$C14,$B14/$C14,0),$B14/10)</f>
        <v>0</v>
      </c>
      <c r="H14" s="737">
        <f ca="1">IF($C14&gt;0,IF($H$13&lt;=$C14,$B14/$C14,0),$B14/10)</f>
        <v>0</v>
      </c>
      <c r="I14" s="737">
        <f ca="1">IF($C14&gt;0,IF($I$13&lt;=$C14,$B14/$C14,0),$B14/10)</f>
        <v>0</v>
      </c>
    </row>
    <row r="15" spans="1:9" ht="15" customHeight="1">
      <c r="A15" s="737" t="str">
        <f>+'datos de entrada'!A145</f>
        <v>EDIFICIOS</v>
      </c>
      <c r="B15" s="737">
        <f ca="1">+'datos de entrada'!B145</f>
        <v>0</v>
      </c>
      <c r="C15" s="739">
        <f>+'datos de entrada'!C145</f>
        <v>20</v>
      </c>
      <c r="D15" s="739">
        <f t="shared" ref="D15:D24" ca="1" si="0">+B15/C15</f>
        <v>0</v>
      </c>
      <c r="E15" s="739">
        <f t="shared" ref="E15:E24" ca="1" si="1">IF(C15&gt;0,IF($E$13&lt;=$C15,$B15/$C15,0),B15/10)</f>
        <v>0</v>
      </c>
      <c r="F15" s="739">
        <f t="shared" ref="F15:F24" ca="1" si="2">IF($C15&gt;0,IF($F$13&lt;=$C15,$B15/$C15,0),$B15/10)</f>
        <v>0</v>
      </c>
      <c r="G15" s="739">
        <f t="shared" ref="G15:G24" ca="1" si="3">IF($C15&gt;0,IF($G$13&lt;=$C15,$B15/$C15,0),$B15/10)</f>
        <v>0</v>
      </c>
      <c r="H15" s="737">
        <f t="shared" ref="H15:H24" ca="1" si="4">IF($C15&gt;0,IF($H$13&lt;=$C15,$B15/$C15,0),$B15/10)</f>
        <v>0</v>
      </c>
      <c r="I15" s="737">
        <f t="shared" ref="I15:I24" ca="1" si="5">IF($C15&gt;0,IF($I$13&lt;=$C15,$B15/$C15,0),$B15/10)</f>
        <v>0</v>
      </c>
    </row>
    <row r="16" spans="1:9" ht="15" customHeight="1">
      <c r="A16" s="737" t="str">
        <f>+'datos de entrada'!A146</f>
        <v>MAQUINAS</v>
      </c>
      <c r="B16" s="737">
        <f ca="1">+'datos de entrada'!B146</f>
        <v>30800000</v>
      </c>
      <c r="C16" s="739">
        <f>+'datos de entrada'!C146</f>
        <v>10</v>
      </c>
      <c r="D16" s="739">
        <f t="shared" ca="1" si="0"/>
        <v>3080000</v>
      </c>
      <c r="E16" s="739">
        <f t="shared" ca="1" si="1"/>
        <v>3080000</v>
      </c>
      <c r="F16" s="739">
        <f t="shared" ca="1" si="2"/>
        <v>3080000</v>
      </c>
      <c r="G16" s="739">
        <f t="shared" ca="1" si="3"/>
        <v>3080000</v>
      </c>
      <c r="H16" s="737">
        <f t="shared" ca="1" si="4"/>
        <v>3080000</v>
      </c>
      <c r="I16" s="737">
        <f t="shared" ca="1" si="5"/>
        <v>3080000</v>
      </c>
    </row>
    <row r="17" spans="1:9" ht="15" customHeight="1">
      <c r="A17" s="737" t="str">
        <f>+'datos de entrada'!A147</f>
        <v>EQUIPOS</v>
      </c>
      <c r="B17" s="737">
        <f ca="1">+'datos de entrada'!B147</f>
        <v>0</v>
      </c>
      <c r="C17" s="739">
        <f>+'datos de entrada'!C147</f>
        <v>5</v>
      </c>
      <c r="D17" s="739">
        <f t="shared" ca="1" si="0"/>
        <v>0</v>
      </c>
      <c r="E17" s="739">
        <f t="shared" ca="1" si="1"/>
        <v>0</v>
      </c>
      <c r="F17" s="739">
        <f t="shared" ca="1" si="2"/>
        <v>0</v>
      </c>
      <c r="G17" s="739">
        <f t="shared" ca="1" si="3"/>
        <v>0</v>
      </c>
      <c r="H17" s="737">
        <f t="shared" ca="1" si="4"/>
        <v>0</v>
      </c>
      <c r="I17" s="737">
        <f t="shared" ca="1" si="5"/>
        <v>0</v>
      </c>
    </row>
    <row r="18" spans="1:9" ht="15" customHeight="1">
      <c r="A18" s="737" t="str">
        <f>+'datos de entrada'!A148</f>
        <v>VEHICULOS</v>
      </c>
      <c r="B18" s="737">
        <f ca="1">+'datos de entrada'!B148</f>
        <v>8000000</v>
      </c>
      <c r="C18" s="739">
        <f>+'datos de entrada'!C148</f>
        <v>5</v>
      </c>
      <c r="D18" s="739">
        <f t="shared" ca="1" si="0"/>
        <v>1600000</v>
      </c>
      <c r="E18" s="739">
        <f t="shared" ca="1" si="1"/>
        <v>1600000</v>
      </c>
      <c r="F18" s="739">
        <f t="shared" ca="1" si="2"/>
        <v>1600000</v>
      </c>
      <c r="G18" s="739">
        <f t="shared" ca="1" si="3"/>
        <v>1600000</v>
      </c>
      <c r="H18" s="737">
        <f t="shared" ca="1" si="4"/>
        <v>1600000</v>
      </c>
      <c r="I18" s="737">
        <f t="shared" ca="1" si="5"/>
        <v>1600000</v>
      </c>
    </row>
    <row r="19" spans="1:9" ht="15" customHeight="1">
      <c r="A19" s="737" t="str">
        <f>+'datos de entrada'!A149</f>
        <v>MUEBLES Y ENSERES</v>
      </c>
      <c r="B19" s="737">
        <f ca="1">+'datos de entrada'!B149</f>
        <v>8550000</v>
      </c>
      <c r="C19" s="739">
        <f>+'datos de entrada'!C149</f>
        <v>10</v>
      </c>
      <c r="D19" s="739">
        <f t="shared" ca="1" si="0"/>
        <v>855000</v>
      </c>
      <c r="E19" s="739">
        <f t="shared" ca="1" si="1"/>
        <v>855000</v>
      </c>
      <c r="F19" s="739">
        <f t="shared" ca="1" si="2"/>
        <v>855000</v>
      </c>
      <c r="G19" s="739">
        <f t="shared" ca="1" si="3"/>
        <v>855000</v>
      </c>
      <c r="H19" s="737">
        <f t="shared" ca="1" si="4"/>
        <v>855000</v>
      </c>
      <c r="I19" s="737">
        <f t="shared" ca="1" si="5"/>
        <v>855000</v>
      </c>
    </row>
    <row r="20" spans="1:9" ht="15" customHeight="1">
      <c r="A20" s="737" t="str">
        <f>+'datos de entrada'!A150</f>
        <v>HERRAMIENTAS</v>
      </c>
      <c r="B20" s="737">
        <f ca="1">+'datos de entrada'!B150</f>
        <v>0</v>
      </c>
      <c r="C20" s="737">
        <f>+'datos de entrada'!C150</f>
        <v>1</v>
      </c>
      <c r="D20" s="737">
        <f t="shared" ca="1" si="0"/>
        <v>0</v>
      </c>
      <c r="E20" s="737">
        <f t="shared" ca="1" si="1"/>
        <v>0</v>
      </c>
      <c r="F20" s="737">
        <f t="shared" si="2"/>
        <v>0</v>
      </c>
      <c r="G20" s="737">
        <f t="shared" si="3"/>
        <v>0</v>
      </c>
      <c r="H20" s="737">
        <f t="shared" si="4"/>
        <v>0</v>
      </c>
      <c r="I20" s="737">
        <f t="shared" si="5"/>
        <v>0</v>
      </c>
    </row>
    <row r="21" spans="1:9" ht="15" customHeight="1">
      <c r="A21" s="737" t="str">
        <f>+'datos de entrada'!A151</f>
        <v>COMPUTAD. PRODUC.</v>
      </c>
      <c r="B21" s="737">
        <f ca="1">+'datos de entrada'!B151</f>
        <v>0</v>
      </c>
      <c r="C21" s="737">
        <f>+'datos de entrada'!C151</f>
        <v>3</v>
      </c>
      <c r="D21" s="737">
        <f t="shared" ca="1" si="0"/>
        <v>0</v>
      </c>
      <c r="E21" s="737">
        <f t="shared" ca="1" si="1"/>
        <v>0</v>
      </c>
      <c r="F21" s="737">
        <f t="shared" ca="1" si="2"/>
        <v>0</v>
      </c>
      <c r="G21" s="737">
        <f t="shared" ca="1" si="3"/>
        <v>0</v>
      </c>
      <c r="H21" s="737">
        <f t="shared" si="4"/>
        <v>0</v>
      </c>
      <c r="I21" s="737">
        <f t="shared" si="5"/>
        <v>0</v>
      </c>
    </row>
    <row r="22" spans="1:9" ht="15" customHeight="1">
      <c r="A22" s="737" t="str">
        <f>+'datos de entrada'!A152</f>
        <v>COMPUTAD. ADMON.</v>
      </c>
      <c r="B22" s="737">
        <f ca="1">+'datos de entrada'!B152</f>
        <v>0</v>
      </c>
      <c r="C22" s="737">
        <f>+'datos de entrada'!C152</f>
        <v>3</v>
      </c>
      <c r="D22" s="737">
        <f t="shared" ca="1" si="0"/>
        <v>0</v>
      </c>
      <c r="E22" s="737">
        <f t="shared" ca="1" si="1"/>
        <v>0</v>
      </c>
      <c r="F22" s="737">
        <f t="shared" ca="1" si="2"/>
        <v>0</v>
      </c>
      <c r="G22" s="737">
        <f t="shared" ca="1" si="3"/>
        <v>0</v>
      </c>
      <c r="H22" s="737">
        <f t="shared" si="4"/>
        <v>0</v>
      </c>
      <c r="I22" s="737">
        <f t="shared" si="5"/>
        <v>0</v>
      </c>
    </row>
    <row r="23" spans="1:9" ht="15" customHeight="1">
      <c r="A23" s="737">
        <f>+'datos de entrada'!A153</f>
        <v>0</v>
      </c>
      <c r="B23" s="737">
        <f>+'datos de entrada'!B153</f>
        <v>0</v>
      </c>
      <c r="C23" s="737">
        <f>+'datos de entrada'!C153</f>
        <v>0</v>
      </c>
      <c r="D23" s="737" t="e">
        <f t="shared" si="0"/>
        <v>#DIV/0!</v>
      </c>
      <c r="E23" s="737">
        <f t="shared" si="1"/>
        <v>0</v>
      </c>
      <c r="F23" s="737">
        <f t="shared" si="2"/>
        <v>0</v>
      </c>
      <c r="G23" s="737">
        <f t="shared" si="3"/>
        <v>0</v>
      </c>
      <c r="H23" s="737">
        <f t="shared" si="4"/>
        <v>0</v>
      </c>
      <c r="I23" s="737">
        <f t="shared" si="5"/>
        <v>0</v>
      </c>
    </row>
    <row r="24" spans="1:9" ht="15" customHeight="1">
      <c r="A24" s="737">
        <f>+'datos de entrada'!A154</f>
        <v>0</v>
      </c>
      <c r="B24" s="737">
        <f>+'datos de entrada'!B154</f>
        <v>0</v>
      </c>
      <c r="C24" s="737">
        <f>+'datos de entrada'!C154</f>
        <v>0</v>
      </c>
      <c r="D24" s="737" t="e">
        <f t="shared" si="0"/>
        <v>#DIV/0!</v>
      </c>
      <c r="E24" s="737">
        <f t="shared" si="1"/>
        <v>0</v>
      </c>
      <c r="F24" s="737">
        <f t="shared" si="2"/>
        <v>0</v>
      </c>
      <c r="G24" s="737">
        <f t="shared" si="3"/>
        <v>0</v>
      </c>
      <c r="H24" s="737">
        <f t="shared" si="4"/>
        <v>0</v>
      </c>
      <c r="I24" s="737">
        <f t="shared" si="5"/>
        <v>0</v>
      </c>
    </row>
    <row r="25" spans="1:9" ht="15" customHeight="1">
      <c r="A25" s="737" t="s">
        <v>605</v>
      </c>
      <c r="B25" s="737" t="s">
        <v>605</v>
      </c>
      <c r="C25" s="737" t="s">
        <v>605</v>
      </c>
      <c r="D25" s="737" t="s">
        <v>605</v>
      </c>
    </row>
    <row r="26" spans="1:9" ht="15" customHeight="1">
      <c r="A26" s="737" t="s">
        <v>121</v>
      </c>
      <c r="D26" s="737">
        <f ca="1">SUM(B13:B24)</f>
        <v>47350000</v>
      </c>
      <c r="E26" s="737">
        <f ca="1">SUM(E14:E24)</f>
        <v>5535000</v>
      </c>
      <c r="F26" s="737">
        <f ca="1">SUM(F14:F24)</f>
        <v>5535000</v>
      </c>
      <c r="G26" s="737">
        <f ca="1">SUM(G14:G24)</f>
        <v>5535000</v>
      </c>
      <c r="H26" s="737">
        <f ca="1">SUM(H14:H24)</f>
        <v>5535000</v>
      </c>
      <c r="I26" s="737">
        <f ca="1">SUM(I14:I24)</f>
        <v>5535000</v>
      </c>
    </row>
    <row r="28" spans="1:9" ht="15" customHeight="1">
      <c r="A28" s="737" t="s">
        <v>661</v>
      </c>
      <c r="D28" s="737">
        <f>+'datos de entrada'!B196</f>
        <v>70000000</v>
      </c>
    </row>
    <row r="29" spans="1:9" ht="15" customHeight="1">
      <c r="A29" s="737" t="s">
        <v>605</v>
      </c>
      <c r="B29" s="737" t="s">
        <v>605</v>
      </c>
      <c r="C29" s="737" t="s">
        <v>605</v>
      </c>
      <c r="D29" s="737" t="s">
        <v>605</v>
      </c>
    </row>
    <row r="30" spans="1:9" ht="15" customHeight="1">
      <c r="A30" s="737" t="s">
        <v>122</v>
      </c>
      <c r="D30" s="737">
        <f ca="1">D28+D26</f>
        <v>117350000</v>
      </c>
    </row>
    <row r="31" spans="1:9" ht="15" customHeight="1">
      <c r="A31" s="737" t="s">
        <v>605</v>
      </c>
      <c r="B31" s="737" t="s">
        <v>605</v>
      </c>
      <c r="C31" s="737" t="s">
        <v>605</v>
      </c>
      <c r="D31" s="737" t="s">
        <v>605</v>
      </c>
    </row>
    <row r="33" spans="1:13" ht="15" customHeight="1">
      <c r="A33" s="737" t="s">
        <v>123</v>
      </c>
    </row>
    <row r="35" spans="1:13" ht="15" customHeight="1">
      <c r="A35" s="737" t="s">
        <v>657</v>
      </c>
    </row>
    <row r="36" spans="1:13" ht="15" customHeight="1">
      <c r="A36" s="737" t="s">
        <v>605</v>
      </c>
      <c r="B36" s="737" t="s">
        <v>605</v>
      </c>
      <c r="C36" s="737" t="s">
        <v>605</v>
      </c>
      <c r="D36" s="737" t="s">
        <v>605</v>
      </c>
    </row>
    <row r="37" spans="1:13" ht="15" customHeight="1">
      <c r="A37" s="737" t="s">
        <v>635</v>
      </c>
      <c r="B37" s="737" t="s">
        <v>636</v>
      </c>
      <c r="C37" s="737" t="s">
        <v>212</v>
      </c>
      <c r="D37" s="737" t="s">
        <v>213</v>
      </c>
      <c r="E37" s="737" t="s">
        <v>600</v>
      </c>
      <c r="F37" s="737" t="s">
        <v>601</v>
      </c>
      <c r="G37" s="737" t="s">
        <v>602</v>
      </c>
      <c r="H37" s="737" t="s">
        <v>67</v>
      </c>
      <c r="I37" s="737" t="s">
        <v>68</v>
      </c>
      <c r="J37" s="737" t="s">
        <v>214</v>
      </c>
      <c r="K37" s="737" t="s">
        <v>215</v>
      </c>
      <c r="L37" s="737" t="s">
        <v>216</v>
      </c>
      <c r="M37" s="737" t="s">
        <v>645</v>
      </c>
    </row>
    <row r="38" spans="1:13" ht="15" customHeight="1">
      <c r="A38" s="737" t="s">
        <v>605</v>
      </c>
      <c r="B38" s="737" t="s">
        <v>605</v>
      </c>
      <c r="C38" s="737" t="s">
        <v>605</v>
      </c>
      <c r="D38" s="737" t="s">
        <v>60</v>
      </c>
      <c r="E38" s="737">
        <v>1</v>
      </c>
      <c r="F38" s="737">
        <v>2</v>
      </c>
      <c r="G38" s="737">
        <v>3</v>
      </c>
      <c r="H38" s="737">
        <v>4</v>
      </c>
      <c r="I38" s="737">
        <v>5</v>
      </c>
    </row>
    <row r="39" spans="1:13" ht="15" customHeight="1">
      <c r="A39" s="741" t="str">
        <f>+'datos de entrada'!A161</f>
        <v>TERRENOS</v>
      </c>
      <c r="B39" s="741">
        <f ca="1">+'datos de entrada'!B161</f>
        <v>0</v>
      </c>
      <c r="C39" s="741">
        <f>+'datos de entrada'!C161</f>
        <v>1000000</v>
      </c>
      <c r="D39" s="741">
        <f ca="1">+B39/C39</f>
        <v>0</v>
      </c>
      <c r="E39" s="741">
        <f ca="1">IF($C39&gt;0,IF($E$13&lt;=$C39,$B39/$C39,0),$B39/10)</f>
        <v>0</v>
      </c>
      <c r="F39" s="741">
        <f ca="1">IF($C39&gt;0,IF($F$13&lt;=$C39,$B39/$C39,0),$B39/10)</f>
        <v>0</v>
      </c>
      <c r="G39" s="741">
        <f ca="1">IF($C39&gt;0,IF($G$13&lt;=$C39,$B39/$C39,0),$B39/10)</f>
        <v>0</v>
      </c>
      <c r="H39" s="741">
        <f ca="1">IF($C39&gt;0,IF($H$13&lt;=$C39,$B39/$C39,0),$B39/10)</f>
        <v>0</v>
      </c>
      <c r="I39" s="741">
        <f ca="1">IF($C39&gt;0,IF($I$13&lt;=$C39,$B39/$C39,0),$B39/10)</f>
        <v>0</v>
      </c>
      <c r="J39" s="741">
        <f>+'datos de entrada'!$B$206</f>
        <v>0</v>
      </c>
      <c r="K39" s="742">
        <f>+'datos de entrada'!$B$208</f>
        <v>0</v>
      </c>
      <c r="L39" s="741">
        <v>0</v>
      </c>
      <c r="M39" s="741">
        <f>+'datos de entrada'!$B$207</f>
        <v>0</v>
      </c>
    </row>
    <row r="40" spans="1:13" ht="15" customHeight="1">
      <c r="A40" s="741" t="str">
        <f>+'datos de entrada'!A162</f>
        <v>EDIFICIOS</v>
      </c>
      <c r="B40" s="741">
        <f ca="1">+'datos de entrada'!B162</f>
        <v>0</v>
      </c>
      <c r="C40" s="741">
        <f>+'datos de entrada'!C162</f>
        <v>20</v>
      </c>
      <c r="D40" s="741">
        <f t="shared" ref="D40:D49" ca="1" si="6">+B40/C40</f>
        <v>0</v>
      </c>
      <c r="E40" s="741">
        <f t="shared" ref="E40:E49" ca="1" si="7">IF(C40&gt;0,IF($E$13&lt;=$C40,$B40/$C40,0),B40/10)</f>
        <v>0</v>
      </c>
      <c r="F40" s="741">
        <f t="shared" ref="F40:F49" ca="1" si="8">IF($C40&gt;0,IF($F$13&lt;=$C40,$B40/$C40,0),$B40/10)</f>
        <v>0</v>
      </c>
      <c r="G40" s="741">
        <f t="shared" ref="G40:G49" ca="1" si="9">IF($C40&gt;0,IF($G$13&lt;=$C40,$B40/$C40,0),$B40/10)</f>
        <v>0</v>
      </c>
      <c r="H40" s="741">
        <f t="shared" ref="H40:H49" ca="1" si="10">IF($C40&gt;0,IF($H$13&lt;=$C40,$B40/$C40,0),$B40/10)</f>
        <v>0</v>
      </c>
      <c r="I40" s="741">
        <f t="shared" ref="I40:I49" ca="1" si="11">IF($C40&gt;0,IF($I$13&lt;=$C40,$B40/$C40,0),$B40/10)</f>
        <v>0</v>
      </c>
      <c r="J40" s="741">
        <f>+'datos de entrada'!$B$206</f>
        <v>0</v>
      </c>
      <c r="K40" s="742">
        <f>+'datos de entrada'!$B$208</f>
        <v>0</v>
      </c>
      <c r="L40" s="741">
        <v>0</v>
      </c>
      <c r="M40" s="741">
        <f>+'datos de entrada'!$B$207</f>
        <v>0</v>
      </c>
    </row>
    <row r="41" spans="1:13" ht="15" customHeight="1">
      <c r="A41" s="741" t="str">
        <f>+'datos de entrada'!A163</f>
        <v>MAQUINAS</v>
      </c>
      <c r="B41" s="741">
        <f ca="1">+'datos de entrada'!B163</f>
        <v>0</v>
      </c>
      <c r="C41" s="741">
        <f>+'datos de entrada'!C163</f>
        <v>10</v>
      </c>
      <c r="D41" s="741">
        <f t="shared" ca="1" si="6"/>
        <v>0</v>
      </c>
      <c r="E41" s="741">
        <f t="shared" ca="1" si="7"/>
        <v>0</v>
      </c>
      <c r="F41" s="741">
        <f t="shared" ca="1" si="8"/>
        <v>0</v>
      </c>
      <c r="G41" s="741">
        <f t="shared" ca="1" si="9"/>
        <v>0</v>
      </c>
      <c r="H41" s="741">
        <f t="shared" ca="1" si="10"/>
        <v>0</v>
      </c>
      <c r="I41" s="741">
        <f t="shared" ca="1" si="11"/>
        <v>0</v>
      </c>
      <c r="J41" s="741">
        <f>+'datos de entrada'!$B$206</f>
        <v>0</v>
      </c>
      <c r="K41" s="742">
        <f>+'datos de entrada'!$B$208</f>
        <v>0</v>
      </c>
      <c r="L41" s="741">
        <v>0</v>
      </c>
      <c r="M41" s="741">
        <f>+'datos de entrada'!$B$207</f>
        <v>0</v>
      </c>
    </row>
    <row r="42" spans="1:13" ht="15" customHeight="1">
      <c r="A42" s="741" t="str">
        <f>+'datos de entrada'!A164</f>
        <v>EQUIPOS</v>
      </c>
      <c r="B42" s="741">
        <f ca="1">+'datos de entrada'!B164</f>
        <v>0</v>
      </c>
      <c r="C42" s="741">
        <f>+'datos de entrada'!C164</f>
        <v>5</v>
      </c>
      <c r="D42" s="741">
        <f t="shared" ca="1" si="6"/>
        <v>0</v>
      </c>
      <c r="E42" s="741">
        <f t="shared" ca="1" si="7"/>
        <v>0</v>
      </c>
      <c r="F42" s="741">
        <f t="shared" ca="1" si="8"/>
        <v>0</v>
      </c>
      <c r="G42" s="741">
        <f t="shared" ca="1" si="9"/>
        <v>0</v>
      </c>
      <c r="H42" s="741">
        <f t="shared" ca="1" si="10"/>
        <v>0</v>
      </c>
      <c r="I42" s="741">
        <f t="shared" ca="1" si="11"/>
        <v>0</v>
      </c>
      <c r="J42" s="741">
        <f>+'datos de entrada'!$B$206</f>
        <v>0</v>
      </c>
      <c r="K42" s="742">
        <f>+'datos de entrada'!$B$208</f>
        <v>0</v>
      </c>
      <c r="L42" s="741">
        <v>0</v>
      </c>
      <c r="M42" s="741">
        <f>+'datos de entrada'!$B$207</f>
        <v>0</v>
      </c>
    </row>
    <row r="43" spans="1:13" ht="15" customHeight="1">
      <c r="A43" s="741" t="str">
        <f>+'datos de entrada'!A165</f>
        <v>VEHICULOS</v>
      </c>
      <c r="B43" s="741">
        <f ca="1">+'datos de entrada'!B165</f>
        <v>0</v>
      </c>
      <c r="C43" s="741">
        <f>+'datos de entrada'!C165</f>
        <v>5</v>
      </c>
      <c r="D43" s="741">
        <f t="shared" ca="1" si="6"/>
        <v>0</v>
      </c>
      <c r="E43" s="741">
        <f t="shared" ca="1" si="7"/>
        <v>0</v>
      </c>
      <c r="F43" s="741">
        <f t="shared" ca="1" si="8"/>
        <v>0</v>
      </c>
      <c r="G43" s="741">
        <f t="shared" ca="1" si="9"/>
        <v>0</v>
      </c>
      <c r="H43" s="741">
        <f t="shared" ca="1" si="10"/>
        <v>0</v>
      </c>
      <c r="I43" s="741">
        <f t="shared" ca="1" si="11"/>
        <v>0</v>
      </c>
      <c r="J43" s="741">
        <f>+'datos de entrada'!$B$206</f>
        <v>0</v>
      </c>
      <c r="K43" s="742">
        <f>+'datos de entrada'!$B$208</f>
        <v>0</v>
      </c>
      <c r="L43" s="741">
        <v>0</v>
      </c>
      <c r="M43" s="741">
        <f>+'datos de entrada'!$B$207</f>
        <v>0</v>
      </c>
    </row>
    <row r="44" spans="1:13" ht="15" customHeight="1">
      <c r="A44" s="741" t="str">
        <f>+'datos de entrada'!A166</f>
        <v>MUEBLES Y ENSERES</v>
      </c>
      <c r="B44" s="741">
        <f ca="1">+'datos de entrada'!B166</f>
        <v>0</v>
      </c>
      <c r="C44" s="741">
        <f>+'datos de entrada'!C166</f>
        <v>10</v>
      </c>
      <c r="D44" s="741">
        <f t="shared" ca="1" si="6"/>
        <v>0</v>
      </c>
      <c r="E44" s="741">
        <f t="shared" ca="1" si="7"/>
        <v>0</v>
      </c>
      <c r="F44" s="741">
        <f t="shared" ca="1" si="8"/>
        <v>0</v>
      </c>
      <c r="G44" s="741">
        <f t="shared" ca="1" si="9"/>
        <v>0</v>
      </c>
      <c r="H44" s="741">
        <f t="shared" ca="1" si="10"/>
        <v>0</v>
      </c>
      <c r="I44" s="741">
        <f t="shared" ca="1" si="11"/>
        <v>0</v>
      </c>
      <c r="J44" s="741">
        <f>+'datos de entrada'!$B$206</f>
        <v>0</v>
      </c>
      <c r="K44" s="742">
        <f>+'datos de entrada'!$B$208</f>
        <v>0</v>
      </c>
      <c r="L44" s="741">
        <v>0</v>
      </c>
      <c r="M44" s="741">
        <f>+'datos de entrada'!$B$207</f>
        <v>0</v>
      </c>
    </row>
    <row r="45" spans="1:13" ht="15" customHeight="1">
      <c r="A45" s="741" t="str">
        <f>+'datos de entrada'!A167</f>
        <v>HERRAMIENTAS</v>
      </c>
      <c r="B45" s="741">
        <f ca="1">+'datos de entrada'!B167</f>
        <v>0</v>
      </c>
      <c r="C45" s="741">
        <f>+'datos de entrada'!C167</f>
        <v>1</v>
      </c>
      <c r="D45" s="741">
        <f t="shared" ca="1" si="6"/>
        <v>0</v>
      </c>
      <c r="E45" s="741">
        <f t="shared" ca="1" si="7"/>
        <v>0</v>
      </c>
      <c r="F45" s="741">
        <f t="shared" si="8"/>
        <v>0</v>
      </c>
      <c r="G45" s="741">
        <f t="shared" si="9"/>
        <v>0</v>
      </c>
      <c r="H45" s="741">
        <f t="shared" si="10"/>
        <v>0</v>
      </c>
      <c r="I45" s="741">
        <f t="shared" si="11"/>
        <v>0</v>
      </c>
      <c r="J45" s="741">
        <f>+'datos de entrada'!$B$206</f>
        <v>0</v>
      </c>
      <c r="K45" s="742">
        <f>+'datos de entrada'!$B$208</f>
        <v>0</v>
      </c>
      <c r="L45" s="741">
        <v>0</v>
      </c>
      <c r="M45" s="741">
        <f>+'datos de entrada'!$B$207</f>
        <v>0</v>
      </c>
    </row>
    <row r="46" spans="1:13" ht="15" customHeight="1">
      <c r="A46" s="741" t="str">
        <f>+'datos de entrada'!A168</f>
        <v>COMPUTAD. PRODUC.</v>
      </c>
      <c r="B46" s="741">
        <f ca="1">+'datos de entrada'!B168</f>
        <v>0</v>
      </c>
      <c r="C46" s="741">
        <f>+'datos de entrada'!C168</f>
        <v>3</v>
      </c>
      <c r="D46" s="741">
        <f t="shared" ca="1" si="6"/>
        <v>0</v>
      </c>
      <c r="E46" s="741">
        <f t="shared" ca="1" si="7"/>
        <v>0</v>
      </c>
      <c r="F46" s="741">
        <f t="shared" ca="1" si="8"/>
        <v>0</v>
      </c>
      <c r="G46" s="741">
        <f t="shared" ca="1" si="9"/>
        <v>0</v>
      </c>
      <c r="H46" s="741">
        <f t="shared" si="10"/>
        <v>0</v>
      </c>
      <c r="I46" s="741">
        <f t="shared" si="11"/>
        <v>0</v>
      </c>
      <c r="J46" s="741">
        <f>+'datos de entrada'!$B$206</f>
        <v>0</v>
      </c>
      <c r="K46" s="742">
        <f>+'datos de entrada'!$B$208</f>
        <v>0</v>
      </c>
      <c r="L46" s="741">
        <v>0</v>
      </c>
      <c r="M46" s="741">
        <f>+'datos de entrada'!$B$207</f>
        <v>0</v>
      </c>
    </row>
    <row r="47" spans="1:13" ht="15" customHeight="1">
      <c r="A47" s="741" t="str">
        <f>+'datos de entrada'!A169</f>
        <v>COMPUTAD. ADMON.</v>
      </c>
      <c r="B47" s="741">
        <f ca="1">+'datos de entrada'!B169</f>
        <v>0</v>
      </c>
      <c r="C47" s="741">
        <f>+'datos de entrada'!C169</f>
        <v>3</v>
      </c>
      <c r="D47" s="741">
        <f t="shared" ca="1" si="6"/>
        <v>0</v>
      </c>
      <c r="E47" s="741">
        <f t="shared" ca="1" si="7"/>
        <v>0</v>
      </c>
      <c r="F47" s="741">
        <f t="shared" ca="1" si="8"/>
        <v>0</v>
      </c>
      <c r="G47" s="741">
        <f t="shared" ca="1" si="9"/>
        <v>0</v>
      </c>
      <c r="H47" s="741">
        <f t="shared" si="10"/>
        <v>0</v>
      </c>
      <c r="I47" s="741">
        <f t="shared" si="11"/>
        <v>0</v>
      </c>
      <c r="J47" s="741">
        <f>+'datos de entrada'!$B$206</f>
        <v>0</v>
      </c>
      <c r="K47" s="742">
        <f>+'datos de entrada'!$B$208</f>
        <v>0</v>
      </c>
      <c r="L47" s="741">
        <v>0</v>
      </c>
      <c r="M47" s="741">
        <f>+'datos de entrada'!$B$207</f>
        <v>0</v>
      </c>
    </row>
    <row r="48" spans="1:13" ht="15" customHeight="1">
      <c r="A48" s="741">
        <f>+'datos de entrada'!A170</f>
        <v>0</v>
      </c>
      <c r="B48" s="741">
        <f>+'datos de entrada'!B170</f>
        <v>0</v>
      </c>
      <c r="C48" s="741">
        <f>+'datos de entrada'!C170</f>
        <v>0</v>
      </c>
      <c r="D48" s="741" t="e">
        <f t="shared" si="6"/>
        <v>#DIV/0!</v>
      </c>
      <c r="E48" s="741">
        <f t="shared" si="7"/>
        <v>0</v>
      </c>
      <c r="F48" s="741">
        <f t="shared" si="8"/>
        <v>0</v>
      </c>
      <c r="G48" s="741">
        <f t="shared" si="9"/>
        <v>0</v>
      </c>
      <c r="H48" s="741">
        <f t="shared" si="10"/>
        <v>0</v>
      </c>
      <c r="I48" s="741">
        <f t="shared" si="11"/>
        <v>0</v>
      </c>
      <c r="J48" s="741">
        <f>+'datos de entrada'!$B$206</f>
        <v>0</v>
      </c>
      <c r="K48" s="742">
        <f>+'datos de entrada'!$B$208</f>
        <v>0</v>
      </c>
      <c r="L48" s="741">
        <v>0</v>
      </c>
      <c r="M48" s="741">
        <f>+'datos de entrada'!$B$207</f>
        <v>0</v>
      </c>
    </row>
    <row r="49" spans="1:13" ht="15" customHeight="1">
      <c r="A49" s="741">
        <f>+'datos de entrada'!A171</f>
        <v>0</v>
      </c>
      <c r="B49" s="741">
        <f>+'datos de entrada'!B171</f>
        <v>0</v>
      </c>
      <c r="C49" s="741">
        <f>+'datos de entrada'!C171</f>
        <v>0</v>
      </c>
      <c r="D49" s="741" t="e">
        <f t="shared" si="6"/>
        <v>#DIV/0!</v>
      </c>
      <c r="E49" s="741">
        <f t="shared" si="7"/>
        <v>0</v>
      </c>
      <c r="F49" s="741">
        <f t="shared" si="8"/>
        <v>0</v>
      </c>
      <c r="G49" s="741">
        <f t="shared" si="9"/>
        <v>0</v>
      </c>
      <c r="H49" s="741">
        <f t="shared" si="10"/>
        <v>0</v>
      </c>
      <c r="I49" s="741">
        <f t="shared" si="11"/>
        <v>0</v>
      </c>
      <c r="J49" s="741">
        <f>+'datos de entrada'!$B$206</f>
        <v>0</v>
      </c>
      <c r="K49" s="742">
        <f>+'datos de entrada'!$B$208</f>
        <v>0</v>
      </c>
      <c r="L49" s="741">
        <v>0</v>
      </c>
      <c r="M49" s="741">
        <f>+'datos de entrada'!$B$207</f>
        <v>0</v>
      </c>
    </row>
    <row r="50" spans="1:13" ht="15" customHeight="1">
      <c r="A50" s="737" t="s">
        <v>605</v>
      </c>
      <c r="B50" s="737" t="s">
        <v>605</v>
      </c>
      <c r="C50" s="737" t="s">
        <v>605</v>
      </c>
      <c r="D50" s="737" t="s">
        <v>605</v>
      </c>
    </row>
    <row r="51" spans="1:13" s="743" customFormat="1" ht="15" customHeight="1">
      <c r="A51" s="743" t="s">
        <v>124</v>
      </c>
      <c r="D51" s="743">
        <f ca="1">SUM(B36:B49)</f>
        <v>0</v>
      </c>
      <c r="E51" s="743">
        <f ca="1">SUM(E39:E49)</f>
        <v>0</v>
      </c>
      <c r="F51" s="743">
        <f ca="1">SUM(F39:F49)</f>
        <v>0</v>
      </c>
      <c r="G51" s="743">
        <f ca="1">SUM(G39:G49)</f>
        <v>0</v>
      </c>
      <c r="H51" s="743">
        <f ca="1">SUM(H39:H49)</f>
        <v>0</v>
      </c>
      <c r="I51" s="743">
        <f ca="1">SUM(I39:I49)</f>
        <v>0</v>
      </c>
    </row>
    <row r="52" spans="1:13" ht="15" customHeight="1">
      <c r="D52" s="737">
        <f>+'datos de entrada'!B193</f>
        <v>0</v>
      </c>
      <c r="E52" s="737">
        <f>+'datos de entrada'!$B$216</f>
        <v>0</v>
      </c>
      <c r="F52" s="744">
        <f>+'datos de entrada'!$B$218</f>
        <v>0</v>
      </c>
      <c r="G52" s="737">
        <f>+'datos de entrada'!E193</f>
        <v>0</v>
      </c>
      <c r="H52" s="737">
        <f>+'datos de entrada'!$B$217</f>
        <v>0</v>
      </c>
    </row>
    <row r="53" spans="1:13" ht="15" customHeight="1">
      <c r="A53" s="737" t="s">
        <v>661</v>
      </c>
      <c r="D53" s="737">
        <f>+'datos de entrada'!B194</f>
        <v>0</v>
      </c>
      <c r="E53" s="737">
        <f>+'datos de entrada'!$B$216</f>
        <v>0</v>
      </c>
      <c r="F53" s="744">
        <f>+'datos de entrada'!$B$218</f>
        <v>0</v>
      </c>
      <c r="G53" s="737">
        <f>+'datos de entrada'!E194</f>
        <v>0</v>
      </c>
      <c r="H53" s="737">
        <f>+'datos de entrada'!$B$217</f>
        <v>0</v>
      </c>
    </row>
    <row r="54" spans="1:13" ht="15" customHeight="1">
      <c r="A54" s="737" t="s">
        <v>605</v>
      </c>
      <c r="B54" s="737" t="s">
        <v>605</v>
      </c>
      <c r="C54" s="737" t="s">
        <v>605</v>
      </c>
      <c r="D54" s="737">
        <f>+'datos de entrada'!$B$195</f>
        <v>0</v>
      </c>
      <c r="E54" s="737">
        <f>+'datos de entrada'!$B$216</f>
        <v>0</v>
      </c>
      <c r="F54" s="744">
        <f>+'datos de entrada'!$B$218</f>
        <v>0</v>
      </c>
      <c r="G54" s="737">
        <f>+'datos de entrada'!E195</f>
        <v>0</v>
      </c>
      <c r="H54" s="737">
        <f>+'datos de entrada'!$B$217</f>
        <v>0</v>
      </c>
    </row>
    <row r="55" spans="1:13" ht="15" customHeight="1">
      <c r="A55" s="737" t="s">
        <v>122</v>
      </c>
      <c r="D55" s="737">
        <f ca="1">+D56+D51</f>
        <v>0</v>
      </c>
    </row>
    <row r="56" spans="1:13" ht="15" customHeight="1">
      <c r="A56" s="737" t="s">
        <v>605</v>
      </c>
      <c r="B56" s="737" t="s">
        <v>605</v>
      </c>
      <c r="C56" s="737" t="s">
        <v>605</v>
      </c>
      <c r="D56" s="737">
        <f>SUM(D52:D54)</f>
        <v>0</v>
      </c>
    </row>
    <row r="58" spans="1:13" ht="15" customHeight="1">
      <c r="A58" s="737" t="s">
        <v>381</v>
      </c>
    </row>
    <row r="60" spans="1:13" ht="15" customHeight="1">
      <c r="A60" s="737" t="s">
        <v>657</v>
      </c>
    </row>
    <row r="61" spans="1:13" ht="15" customHeight="1">
      <c r="A61" s="737" t="s">
        <v>605</v>
      </c>
      <c r="B61" s="737" t="s">
        <v>605</v>
      </c>
      <c r="C61" s="737" t="s">
        <v>605</v>
      </c>
      <c r="D61" s="737" t="s">
        <v>605</v>
      </c>
    </row>
    <row r="62" spans="1:13" ht="15" customHeight="1">
      <c r="A62" s="737" t="s">
        <v>635</v>
      </c>
      <c r="B62" s="737" t="s">
        <v>636</v>
      </c>
      <c r="C62" s="737" t="s">
        <v>212</v>
      </c>
      <c r="D62" s="737" t="s">
        <v>213</v>
      </c>
      <c r="E62" s="737" t="s">
        <v>600</v>
      </c>
      <c r="F62" s="737" t="s">
        <v>601</v>
      </c>
      <c r="G62" s="737" t="s">
        <v>602</v>
      </c>
      <c r="H62" s="737" t="s">
        <v>67</v>
      </c>
      <c r="I62" s="737" t="s">
        <v>68</v>
      </c>
    </row>
    <row r="63" spans="1:13" ht="15" customHeight="1">
      <c r="A63" s="737" t="s">
        <v>605</v>
      </c>
      <c r="B63" s="737" t="s">
        <v>605</v>
      </c>
      <c r="C63" s="737" t="s">
        <v>605</v>
      </c>
      <c r="D63" s="737" t="s">
        <v>605</v>
      </c>
      <c r="E63" s="737">
        <v>1</v>
      </c>
      <c r="F63" s="737">
        <v>2</v>
      </c>
      <c r="G63" s="737">
        <v>3</v>
      </c>
      <c r="H63" s="737">
        <v>4</v>
      </c>
      <c r="I63" s="737">
        <v>5</v>
      </c>
    </row>
    <row r="64" spans="1:13" ht="15" customHeight="1">
      <c r="A64" s="737" t="str">
        <f>+'datos de entrada'!A178</f>
        <v>TERRENOS</v>
      </c>
      <c r="B64" s="737">
        <f ca="1">+'datos de entrada'!B178</f>
        <v>0</v>
      </c>
      <c r="C64" s="737">
        <f>+'datos de entrada'!C178</f>
        <v>1000000</v>
      </c>
      <c r="D64" s="737">
        <f ca="1">+B64/C64</f>
        <v>0</v>
      </c>
      <c r="E64" s="737">
        <f ca="1">IF($C64&gt;0,IF($E$13&lt;=$C64,$B64/$C64,0),$B64/10)</f>
        <v>0</v>
      </c>
      <c r="F64" s="737">
        <f ca="1">IF($C64&gt;0,IF($F$13&lt;=$C64,$B64/$C64,0),$B64/10)</f>
        <v>0</v>
      </c>
      <c r="G64" s="737">
        <f ca="1">IF($C64&gt;0,IF($G$13&lt;=$C64,$B64/$C64,0),$B64/10)</f>
        <v>0</v>
      </c>
      <c r="H64" s="737">
        <f ca="1">IF($C64&gt;0,IF($H$13&lt;=$C64,$B64/$C64,0),$B64/10)</f>
        <v>0</v>
      </c>
      <c r="I64" s="737">
        <f ca="1">IF($C64&gt;0,IF($I$13&lt;=$C64,$B64/$C64,0),$B64/10)</f>
        <v>0</v>
      </c>
    </row>
    <row r="65" spans="1:9" ht="15" customHeight="1">
      <c r="A65" s="737" t="str">
        <f>+'datos de entrada'!A179</f>
        <v>EDIFICIOS</v>
      </c>
      <c r="B65" s="737">
        <f ca="1">+'datos de entrada'!B179</f>
        <v>0</v>
      </c>
      <c r="C65" s="737">
        <f>+'datos de entrada'!C179</f>
        <v>20</v>
      </c>
      <c r="D65" s="737">
        <f t="shared" ref="D65:D74" ca="1" si="12">+B65/C65</f>
        <v>0</v>
      </c>
      <c r="E65" s="737">
        <f t="shared" ref="E65:E74" ca="1" si="13">IF(C65&gt;0,IF($E$13&lt;=$C65,$B65/$C65,0),B65/10)</f>
        <v>0</v>
      </c>
      <c r="F65" s="737">
        <f t="shared" ref="F65:F74" ca="1" si="14">IF($C65&gt;0,IF($F$13&lt;=$C65,$B65/$C65,0),$B65/10)</f>
        <v>0</v>
      </c>
      <c r="G65" s="737">
        <f t="shared" ref="G65:G74" ca="1" si="15">IF($C65&gt;0,IF($G$13&lt;=$C65,$B65/$C65,0),$B65/10)</f>
        <v>0</v>
      </c>
      <c r="H65" s="737">
        <f t="shared" ref="H65:H74" ca="1" si="16">IF($C65&gt;0,IF($H$13&lt;=$C65,$B65/$C65,0),$B65/10)</f>
        <v>0</v>
      </c>
      <c r="I65" s="737">
        <f t="shared" ref="I65:I74" ca="1" si="17">IF($C65&gt;0,IF($I$13&lt;=$C65,$B65/$C65,0),$B65/10)</f>
        <v>0</v>
      </c>
    </row>
    <row r="66" spans="1:9" ht="15" customHeight="1">
      <c r="A66" s="737" t="str">
        <f>+'datos de entrada'!A180</f>
        <v>MAQUINAS</v>
      </c>
      <c r="B66" s="737">
        <f ca="1">+'datos de entrada'!B180</f>
        <v>0</v>
      </c>
      <c r="C66" s="737">
        <f>+'datos de entrada'!C180</f>
        <v>10</v>
      </c>
      <c r="D66" s="737">
        <f t="shared" ca="1" si="12"/>
        <v>0</v>
      </c>
      <c r="E66" s="737">
        <f t="shared" ca="1" si="13"/>
        <v>0</v>
      </c>
      <c r="F66" s="737">
        <f t="shared" ca="1" si="14"/>
        <v>0</v>
      </c>
      <c r="G66" s="737">
        <f t="shared" ca="1" si="15"/>
        <v>0</v>
      </c>
      <c r="H66" s="737">
        <f t="shared" ca="1" si="16"/>
        <v>0</v>
      </c>
      <c r="I66" s="737">
        <f t="shared" ca="1" si="17"/>
        <v>0</v>
      </c>
    </row>
    <row r="67" spans="1:9" ht="15" customHeight="1">
      <c r="A67" s="737" t="str">
        <f>+'datos de entrada'!A181</f>
        <v>EQUIPOS</v>
      </c>
      <c r="B67" s="737">
        <f ca="1">+'datos de entrada'!B181</f>
        <v>0</v>
      </c>
      <c r="C67" s="737">
        <f>+'datos de entrada'!C181</f>
        <v>5</v>
      </c>
      <c r="D67" s="737">
        <f t="shared" ca="1" si="12"/>
        <v>0</v>
      </c>
      <c r="E67" s="737">
        <f t="shared" ca="1" si="13"/>
        <v>0</v>
      </c>
      <c r="F67" s="737">
        <f t="shared" ca="1" si="14"/>
        <v>0</v>
      </c>
      <c r="G67" s="737">
        <f t="shared" ca="1" si="15"/>
        <v>0</v>
      </c>
      <c r="H67" s="737">
        <f t="shared" ca="1" si="16"/>
        <v>0</v>
      </c>
      <c r="I67" s="737">
        <f t="shared" ca="1" si="17"/>
        <v>0</v>
      </c>
    </row>
    <row r="68" spans="1:9" ht="15" customHeight="1">
      <c r="A68" s="737" t="str">
        <f>+'datos de entrada'!A182</f>
        <v>VEHICULOS</v>
      </c>
      <c r="B68" s="737">
        <f ca="1">+'datos de entrada'!B182</f>
        <v>0</v>
      </c>
      <c r="C68" s="737">
        <f>+'datos de entrada'!C182</f>
        <v>5</v>
      </c>
      <c r="D68" s="737">
        <f t="shared" ca="1" si="12"/>
        <v>0</v>
      </c>
      <c r="E68" s="737">
        <f t="shared" ca="1" si="13"/>
        <v>0</v>
      </c>
      <c r="F68" s="737">
        <f t="shared" ca="1" si="14"/>
        <v>0</v>
      </c>
      <c r="G68" s="737">
        <f t="shared" ca="1" si="15"/>
        <v>0</v>
      </c>
      <c r="H68" s="737">
        <f t="shared" ca="1" si="16"/>
        <v>0</v>
      </c>
      <c r="I68" s="737">
        <f t="shared" ca="1" si="17"/>
        <v>0</v>
      </c>
    </row>
    <row r="69" spans="1:9" ht="15" customHeight="1">
      <c r="A69" s="737" t="str">
        <f>+'datos de entrada'!A183</f>
        <v>MUEBLES Y ENSERES</v>
      </c>
      <c r="B69" s="737">
        <f ca="1">+'datos de entrada'!B183</f>
        <v>0</v>
      </c>
      <c r="C69" s="737">
        <f>+'datos de entrada'!C183</f>
        <v>10</v>
      </c>
      <c r="D69" s="737">
        <f t="shared" ca="1" si="12"/>
        <v>0</v>
      </c>
      <c r="E69" s="737">
        <f t="shared" ca="1" si="13"/>
        <v>0</v>
      </c>
      <c r="F69" s="737">
        <f t="shared" ca="1" si="14"/>
        <v>0</v>
      </c>
      <c r="G69" s="737">
        <f t="shared" ca="1" si="15"/>
        <v>0</v>
      </c>
      <c r="H69" s="737">
        <f t="shared" ca="1" si="16"/>
        <v>0</v>
      </c>
      <c r="I69" s="737">
        <f t="shared" ca="1" si="17"/>
        <v>0</v>
      </c>
    </row>
    <row r="70" spans="1:9" ht="15" customHeight="1">
      <c r="A70" s="737" t="str">
        <f>+'datos de entrada'!A184</f>
        <v>HERRAMIENTAS</v>
      </c>
      <c r="B70" s="737">
        <f ca="1">+'datos de entrada'!B184</f>
        <v>0</v>
      </c>
      <c r="C70" s="737">
        <f>+'datos de entrada'!C184</f>
        <v>1</v>
      </c>
      <c r="D70" s="737">
        <f t="shared" ca="1" si="12"/>
        <v>0</v>
      </c>
      <c r="E70" s="737">
        <f t="shared" ca="1" si="13"/>
        <v>0</v>
      </c>
      <c r="F70" s="737">
        <f t="shared" si="14"/>
        <v>0</v>
      </c>
      <c r="G70" s="737">
        <f t="shared" si="15"/>
        <v>0</v>
      </c>
      <c r="H70" s="737">
        <f t="shared" si="16"/>
        <v>0</v>
      </c>
      <c r="I70" s="737">
        <f t="shared" si="17"/>
        <v>0</v>
      </c>
    </row>
    <row r="71" spans="1:9" ht="15" customHeight="1">
      <c r="A71" s="737" t="str">
        <f>+'datos de entrada'!A185</f>
        <v>COMPUTAD. PRODUC.</v>
      </c>
      <c r="B71" s="737">
        <f ca="1">+'datos de entrada'!B185</f>
        <v>0</v>
      </c>
      <c r="C71" s="737">
        <f>+'datos de entrada'!C185</f>
        <v>3</v>
      </c>
      <c r="D71" s="737">
        <f t="shared" ca="1" si="12"/>
        <v>0</v>
      </c>
      <c r="E71" s="737">
        <f t="shared" ca="1" si="13"/>
        <v>0</v>
      </c>
      <c r="F71" s="737">
        <f t="shared" ca="1" si="14"/>
        <v>0</v>
      </c>
      <c r="G71" s="737">
        <f t="shared" ca="1" si="15"/>
        <v>0</v>
      </c>
      <c r="H71" s="737">
        <f t="shared" si="16"/>
        <v>0</v>
      </c>
      <c r="I71" s="737">
        <f t="shared" si="17"/>
        <v>0</v>
      </c>
    </row>
    <row r="72" spans="1:9" ht="15" customHeight="1">
      <c r="A72" s="737" t="str">
        <f>+'datos de entrada'!A186</f>
        <v>COMPUTAD. ADMON.</v>
      </c>
      <c r="B72" s="737">
        <f ca="1">+'datos de entrada'!B186</f>
        <v>0</v>
      </c>
      <c r="C72" s="737">
        <f>+'datos de entrada'!C186</f>
        <v>3</v>
      </c>
      <c r="D72" s="737">
        <f t="shared" ca="1" si="12"/>
        <v>0</v>
      </c>
      <c r="E72" s="737">
        <f t="shared" ca="1" si="13"/>
        <v>0</v>
      </c>
      <c r="F72" s="737">
        <f t="shared" ca="1" si="14"/>
        <v>0</v>
      </c>
      <c r="G72" s="737">
        <f t="shared" ca="1" si="15"/>
        <v>0</v>
      </c>
      <c r="H72" s="737">
        <f t="shared" si="16"/>
        <v>0</v>
      </c>
      <c r="I72" s="737">
        <f t="shared" si="17"/>
        <v>0</v>
      </c>
    </row>
    <row r="73" spans="1:9" ht="15" customHeight="1">
      <c r="A73" s="737">
        <f>+'datos de entrada'!A187</f>
        <v>0</v>
      </c>
      <c r="B73" s="737">
        <f>+'datos de entrada'!B187</f>
        <v>0</v>
      </c>
      <c r="C73" s="737">
        <f>+'datos de entrada'!C187</f>
        <v>0</v>
      </c>
      <c r="D73" s="737" t="e">
        <f t="shared" si="12"/>
        <v>#DIV/0!</v>
      </c>
      <c r="E73" s="737">
        <f t="shared" si="13"/>
        <v>0</v>
      </c>
      <c r="F73" s="737">
        <f t="shared" si="14"/>
        <v>0</v>
      </c>
      <c r="G73" s="737">
        <f t="shared" si="15"/>
        <v>0</v>
      </c>
      <c r="H73" s="737">
        <f t="shared" si="16"/>
        <v>0</v>
      </c>
      <c r="I73" s="737">
        <f t="shared" si="17"/>
        <v>0</v>
      </c>
    </row>
    <row r="74" spans="1:9" ht="15" customHeight="1">
      <c r="A74" s="737">
        <f>+'datos de entrada'!A188</f>
        <v>0</v>
      </c>
      <c r="B74" s="737">
        <f>+'datos de entrada'!B188</f>
        <v>0</v>
      </c>
      <c r="C74" s="737">
        <f>+'datos de entrada'!C188</f>
        <v>0</v>
      </c>
      <c r="D74" s="737" t="e">
        <f t="shared" si="12"/>
        <v>#DIV/0!</v>
      </c>
      <c r="E74" s="737">
        <f t="shared" si="13"/>
        <v>0</v>
      </c>
      <c r="F74" s="737">
        <f t="shared" si="14"/>
        <v>0</v>
      </c>
      <c r="G74" s="737">
        <f t="shared" si="15"/>
        <v>0</v>
      </c>
      <c r="H74" s="737">
        <f t="shared" si="16"/>
        <v>0</v>
      </c>
      <c r="I74" s="737">
        <f t="shared" si="17"/>
        <v>0</v>
      </c>
    </row>
    <row r="75" spans="1:9" ht="15" customHeight="1">
      <c r="A75" s="737" t="s">
        <v>605</v>
      </c>
      <c r="B75" s="737" t="s">
        <v>605</v>
      </c>
      <c r="C75" s="737" t="s">
        <v>605</v>
      </c>
      <c r="D75" s="737" t="s">
        <v>605</v>
      </c>
    </row>
    <row r="76" spans="1:9" ht="15" customHeight="1">
      <c r="A76" s="737" t="s">
        <v>382</v>
      </c>
      <c r="D76" s="737">
        <f ca="1">SUM(B61:B74)</f>
        <v>0</v>
      </c>
      <c r="E76" s="737">
        <f ca="1">SUM(E64:E74)</f>
        <v>0</v>
      </c>
      <c r="F76" s="737">
        <f ca="1">SUM(F64:F74)</f>
        <v>0</v>
      </c>
      <c r="G76" s="737">
        <f ca="1">SUM(G64:G74)</f>
        <v>0</v>
      </c>
      <c r="H76" s="737">
        <f ca="1">SUM(H64:H74)</f>
        <v>0</v>
      </c>
      <c r="I76" s="737">
        <f ca="1">SUM(I64:I74)</f>
        <v>0</v>
      </c>
    </row>
    <row r="78" spans="1:9" ht="15" customHeight="1">
      <c r="A78" s="737" t="s">
        <v>661</v>
      </c>
      <c r="D78" s="737">
        <f>+'datos de entrada'!B197</f>
        <v>0</v>
      </c>
    </row>
    <row r="79" spans="1:9" ht="15" customHeight="1">
      <c r="A79" s="737" t="s">
        <v>605</v>
      </c>
      <c r="B79" s="737" t="s">
        <v>605</v>
      </c>
      <c r="C79" s="737" t="s">
        <v>605</v>
      </c>
      <c r="D79" s="737" t="s">
        <v>605</v>
      </c>
    </row>
    <row r="80" spans="1:9" ht="15" customHeight="1">
      <c r="A80" s="737" t="s">
        <v>383</v>
      </c>
      <c r="D80" s="737">
        <f ca="1">D78+D76</f>
        <v>0</v>
      </c>
    </row>
    <row r="81" spans="1:9" ht="15" customHeight="1">
      <c r="A81" s="737" t="s">
        <v>605</v>
      </c>
      <c r="B81" s="737" t="s">
        <v>605</v>
      </c>
      <c r="C81" s="737" t="s">
        <v>605</v>
      </c>
      <c r="D81" s="737" t="s">
        <v>605</v>
      </c>
    </row>
    <row r="84" spans="1:9" ht="15" customHeight="1">
      <c r="A84" s="737" t="s">
        <v>217</v>
      </c>
    </row>
    <row r="85" spans="1:9" ht="15" customHeight="1">
      <c r="A85" s="737" t="s">
        <v>605</v>
      </c>
      <c r="B85" s="737" t="s">
        <v>605</v>
      </c>
      <c r="C85" s="737" t="s">
        <v>605</v>
      </c>
      <c r="D85" s="737" t="s">
        <v>605</v>
      </c>
      <c r="E85" s="737" t="s">
        <v>605</v>
      </c>
      <c r="F85" s="737" t="s">
        <v>605</v>
      </c>
      <c r="G85" s="737" t="s">
        <v>605</v>
      </c>
      <c r="H85" s="737" t="s">
        <v>605</v>
      </c>
      <c r="I85" s="737" t="s">
        <v>605</v>
      </c>
    </row>
    <row r="86" spans="1:9" ht="15" customHeight="1">
      <c r="B86" s="737" t="s">
        <v>47</v>
      </c>
      <c r="D86" s="737" t="s">
        <v>48</v>
      </c>
      <c r="F86" s="737" t="s">
        <v>422</v>
      </c>
      <c r="H86" s="737" t="s">
        <v>49</v>
      </c>
    </row>
    <row r="87" spans="1:9" ht="15" customHeight="1">
      <c r="A87" s="737" t="s">
        <v>605</v>
      </c>
      <c r="B87" s="737" t="s">
        <v>605</v>
      </c>
      <c r="C87" s="737" t="s">
        <v>605</v>
      </c>
      <c r="D87" s="737" t="s">
        <v>605</v>
      </c>
      <c r="E87" s="737" t="s">
        <v>605</v>
      </c>
      <c r="F87" s="737" t="s">
        <v>605</v>
      </c>
      <c r="G87" s="737" t="s">
        <v>605</v>
      </c>
      <c r="H87" s="737" t="s">
        <v>605</v>
      </c>
      <c r="I87" s="737" t="s">
        <v>605</v>
      </c>
    </row>
    <row r="88" spans="1:9" ht="15" customHeight="1">
      <c r="A88" s="737" t="s">
        <v>657</v>
      </c>
      <c r="B88" s="737">
        <f ca="1">D26</f>
        <v>47350000</v>
      </c>
      <c r="C88" s="737">
        <f ca="1">IF(B$91=0,0,+B88/B$91)</f>
        <v>0.40349382190029826</v>
      </c>
      <c r="D88" s="737">
        <f ca="1">D51</f>
        <v>0</v>
      </c>
      <c r="E88" s="737">
        <f ca="1">IF(D$91=0,0,+D88/D$91)</f>
        <v>0</v>
      </c>
      <c r="F88" s="737">
        <f ca="1">D76</f>
        <v>0</v>
      </c>
      <c r="G88" s="737">
        <f ca="1">IF(F$91=0,0,+F88/F$91)</f>
        <v>0</v>
      </c>
      <c r="H88" s="737">
        <f ca="1">B88+D88+F88</f>
        <v>47350000</v>
      </c>
      <c r="I88" s="737">
        <f ca="1">H88/H$91</f>
        <v>0.40349382190029826</v>
      </c>
    </row>
    <row r="89" spans="1:9" ht="15" customHeight="1">
      <c r="A89" s="737" t="s">
        <v>661</v>
      </c>
      <c r="B89" s="737">
        <f>D28</f>
        <v>70000000</v>
      </c>
      <c r="C89" s="737">
        <f ca="1">IF(B$91=0,0,+B89/B$91)</f>
        <v>0.59650617809970174</v>
      </c>
      <c r="D89" s="737">
        <f>D56</f>
        <v>0</v>
      </c>
      <c r="E89" s="737">
        <f ca="1">IF(D$91=0,0,+D89/D$91)</f>
        <v>0</v>
      </c>
      <c r="F89" s="737">
        <f>D78</f>
        <v>0</v>
      </c>
      <c r="G89" s="737">
        <f ca="1">IF(F$91=0,0,+F89/F$91)</f>
        <v>0</v>
      </c>
      <c r="H89" s="737">
        <f>B89+D89+F89</f>
        <v>70000000</v>
      </c>
      <c r="I89" s="737">
        <f ca="1">H89/H$91</f>
        <v>0.59650617809970174</v>
      </c>
    </row>
    <row r="90" spans="1:9" ht="15" customHeight="1">
      <c r="A90" s="737" t="s">
        <v>605</v>
      </c>
      <c r="B90" s="737" t="s">
        <v>605</v>
      </c>
      <c r="C90" s="737" t="s">
        <v>605</v>
      </c>
      <c r="D90" s="737" t="s">
        <v>605</v>
      </c>
      <c r="E90" s="737" t="s">
        <v>605</v>
      </c>
      <c r="F90" s="737" t="s">
        <v>605</v>
      </c>
      <c r="G90" s="737" t="s">
        <v>605</v>
      </c>
      <c r="H90" s="737" t="s">
        <v>605</v>
      </c>
      <c r="I90" s="737" t="s">
        <v>605</v>
      </c>
    </row>
    <row r="91" spans="1:9" ht="15" customHeight="1">
      <c r="B91" s="737">
        <f ca="1">B88+B89</f>
        <v>117350000</v>
      </c>
      <c r="D91" s="737">
        <f ca="1">D88+D89</f>
        <v>0</v>
      </c>
      <c r="F91" s="737">
        <f ca="1">F88+F89</f>
        <v>0</v>
      </c>
      <c r="H91" s="737">
        <f ca="1">H88+H89</f>
        <v>117350000</v>
      </c>
    </row>
    <row r="92" spans="1:9" ht="15" customHeight="1">
      <c r="A92" s="737" t="s">
        <v>605</v>
      </c>
      <c r="B92" s="737" t="s">
        <v>605</v>
      </c>
      <c r="C92" s="737" t="s">
        <v>605</v>
      </c>
      <c r="D92" s="737" t="s">
        <v>605</v>
      </c>
      <c r="E92" s="737" t="s">
        <v>605</v>
      </c>
      <c r="F92" s="737" t="s">
        <v>605</v>
      </c>
      <c r="G92" s="737" t="s">
        <v>605</v>
      </c>
      <c r="H92" s="737" t="s">
        <v>605</v>
      </c>
      <c r="I92" s="737" t="s">
        <v>605</v>
      </c>
    </row>
    <row r="93" spans="1:9" ht="15" customHeight="1">
      <c r="A93" s="737" t="s">
        <v>50</v>
      </c>
      <c r="B93" s="737">
        <f ca="1">B91/$H$91</f>
        <v>1</v>
      </c>
      <c r="D93" s="737">
        <f ca="1">D91/$H$91</f>
        <v>0</v>
      </c>
      <c r="F93" s="737">
        <f ca="1">F91/$H$91</f>
        <v>0</v>
      </c>
      <c r="H93" s="737">
        <f ca="1">H91/$H$91</f>
        <v>1</v>
      </c>
    </row>
    <row r="94" spans="1:9" ht="15" customHeight="1">
      <c r="A94" s="737" t="s">
        <v>605</v>
      </c>
      <c r="B94" s="737" t="s">
        <v>605</v>
      </c>
      <c r="C94" s="737" t="s">
        <v>605</v>
      </c>
      <c r="D94" s="737" t="s">
        <v>605</v>
      </c>
      <c r="E94" s="737" t="s">
        <v>605</v>
      </c>
      <c r="F94" s="737" t="s">
        <v>605</v>
      </c>
      <c r="G94" s="737" t="s">
        <v>605</v>
      </c>
      <c r="H94" s="737" t="s">
        <v>605</v>
      </c>
      <c r="I94" s="737" t="s">
        <v>605</v>
      </c>
    </row>
    <row r="96" spans="1:9" ht="15" customHeight="1">
      <c r="A96" s="737" t="s">
        <v>218</v>
      </c>
    </row>
    <row r="98" spans="1:4" ht="15" customHeight="1">
      <c r="A98" s="737" t="s">
        <v>219</v>
      </c>
    </row>
    <row r="99" spans="1:4" ht="15" customHeight="1">
      <c r="A99" s="737" t="s">
        <v>605</v>
      </c>
      <c r="B99" s="737" t="s">
        <v>605</v>
      </c>
      <c r="C99" s="737" t="s">
        <v>605</v>
      </c>
    </row>
    <row r="100" spans="1:4" ht="15" customHeight="1">
      <c r="B100" s="737" t="s">
        <v>126</v>
      </c>
      <c r="C100" s="737" t="s">
        <v>127</v>
      </c>
    </row>
    <row r="101" spans="1:4" ht="15" customHeight="1">
      <c r="A101" s="737" t="s">
        <v>605</v>
      </c>
      <c r="B101" s="737" t="s">
        <v>605</v>
      </c>
      <c r="C101" s="737" t="s">
        <v>605</v>
      </c>
    </row>
    <row r="102" spans="1:4" ht="15" customHeight="1">
      <c r="A102" s="737" t="s">
        <v>128</v>
      </c>
      <c r="B102" s="737">
        <f>+'datos de entrada'!B204</f>
        <v>0</v>
      </c>
      <c r="C102" s="737">
        <f>+'datos de entrada'!B214</f>
        <v>0</v>
      </c>
    </row>
    <row r="103" spans="1:4" ht="15" customHeight="1">
      <c r="A103" s="737" t="s">
        <v>129</v>
      </c>
      <c r="B103" s="737">
        <f ca="1">SUMIF('datos de entrada'!$F$161:$F$171,0,'datos de entrada'!$B$161:$B$171)</f>
        <v>0</v>
      </c>
      <c r="C103" s="737">
        <f>SUMIF('datos de entrada'!$E$193:$E$195,0,'datos de entrada'!$B$193:$B$195)</f>
        <v>0</v>
      </c>
    </row>
    <row r="104" spans="1:4" ht="15" customHeight="1">
      <c r="A104" s="737" t="s">
        <v>130</v>
      </c>
      <c r="B104" s="737">
        <f ca="1">SUMIF('datos de entrada'!$F$161:$F$171,1,'datos de entrada'!$B$161:$B$171)</f>
        <v>0</v>
      </c>
      <c r="C104" s="737">
        <f>SUMIF('datos de entrada'!$E$193:$E$195,1,'datos de entrada'!$B$193:$B$195)</f>
        <v>0</v>
      </c>
    </row>
    <row r="105" spans="1:4" ht="15" customHeight="1">
      <c r="A105" s="737" t="s">
        <v>131</v>
      </c>
      <c r="B105" s="745">
        <f>+'datos de entrada'!B206</f>
        <v>0</v>
      </c>
      <c r="C105" s="745">
        <f>+'datos de entrada'!B216</f>
        <v>0</v>
      </c>
    </row>
    <row r="106" spans="1:4" ht="15" customHeight="1">
      <c r="A106" s="737" t="s">
        <v>659</v>
      </c>
      <c r="B106" s="745">
        <f>+'datos de entrada'!B207</f>
        <v>0</v>
      </c>
      <c r="C106" s="745">
        <f>+'datos de entrada'!B217</f>
        <v>0</v>
      </c>
    </row>
    <row r="107" spans="1:4" ht="15" customHeight="1">
      <c r="A107" s="737" t="s">
        <v>220</v>
      </c>
      <c r="B107" s="744">
        <f>+'datos de entrada'!B208</f>
        <v>0</v>
      </c>
      <c r="C107" s="744">
        <f>+'datos de entrada'!B218</f>
        <v>0</v>
      </c>
    </row>
    <row r="108" spans="1:4" ht="15" customHeight="1">
      <c r="A108" s="737" t="s">
        <v>133</v>
      </c>
      <c r="B108" s="744">
        <f>POWER((1+B107/12),12)-1</f>
        <v>0</v>
      </c>
      <c r="C108" s="744">
        <f>POWER((1+C107/12),12)-1</f>
        <v>0</v>
      </c>
    </row>
    <row r="109" spans="1:4" ht="15" customHeight="1">
      <c r="A109" s="737" t="s">
        <v>134</v>
      </c>
      <c r="B109" s="744">
        <f>+B107/12</f>
        <v>0</v>
      </c>
      <c r="C109" s="744">
        <f>+C107/12</f>
        <v>0</v>
      </c>
      <c r="D109" s="744">
        <f>+C109*12</f>
        <v>0</v>
      </c>
    </row>
    <row r="110" spans="1:4" ht="15" customHeight="1">
      <c r="A110" s="737" t="s">
        <v>221</v>
      </c>
      <c r="B110" s="744">
        <f>+'datos de entrada'!B209</f>
        <v>0</v>
      </c>
      <c r="C110" s="744">
        <f>+'datos de entrada'!B219</f>
        <v>0</v>
      </c>
    </row>
    <row r="111" spans="1:4" ht="15" customHeight="1">
      <c r="A111" s="737" t="s">
        <v>605</v>
      </c>
      <c r="B111" s="737" t="s">
        <v>605</v>
      </c>
      <c r="C111" s="737" t="s">
        <v>605</v>
      </c>
    </row>
    <row r="113" spans="1:92" ht="15" customHeight="1">
      <c r="A113" s="737" t="s">
        <v>222</v>
      </c>
      <c r="D113" s="737" t="e">
        <f ca="1">PMT(J117/12,I117-H117,L117)</f>
        <v>#NUM!</v>
      </c>
    </row>
    <row r="114" spans="1:92" ht="15" customHeight="1">
      <c r="A114" s="737" t="s">
        <v>223</v>
      </c>
      <c r="G114" s="737" t="s">
        <v>388</v>
      </c>
      <c r="M114" s="737" t="s">
        <v>418</v>
      </c>
      <c r="S114" s="737" t="s">
        <v>390</v>
      </c>
      <c r="Y114" s="737" t="s">
        <v>391</v>
      </c>
      <c r="AE114" s="737" t="s">
        <v>392</v>
      </c>
      <c r="AK114" s="737" t="s">
        <v>393</v>
      </c>
      <c r="AQ114" s="737" t="s">
        <v>394</v>
      </c>
      <c r="AW114" s="737" t="s">
        <v>385</v>
      </c>
      <c r="BC114" s="746">
        <v>1</v>
      </c>
      <c r="BI114" s="737">
        <v>2</v>
      </c>
      <c r="BO114" s="737">
        <v>3</v>
      </c>
    </row>
    <row r="115" spans="1:92" ht="15" customHeight="1">
      <c r="A115" s="737" t="s">
        <v>605</v>
      </c>
      <c r="B115" s="737" t="s">
        <v>605</v>
      </c>
      <c r="C115" s="737" t="s">
        <v>605</v>
      </c>
      <c r="D115" s="737" t="s">
        <v>605</v>
      </c>
      <c r="E115" s="737" t="s">
        <v>605</v>
      </c>
      <c r="F115" s="737" t="s">
        <v>605</v>
      </c>
      <c r="G115" s="737" t="s">
        <v>216</v>
      </c>
      <c r="H115" s="737" t="s">
        <v>645</v>
      </c>
      <c r="I115" s="737" t="s">
        <v>224</v>
      </c>
      <c r="J115" s="737" t="s">
        <v>643</v>
      </c>
      <c r="L115" s="737" t="s">
        <v>647</v>
      </c>
      <c r="M115" s="737" t="s">
        <v>216</v>
      </c>
      <c r="N115" s="737" t="s">
        <v>645</v>
      </c>
      <c r="O115" s="737" t="s">
        <v>224</v>
      </c>
      <c r="P115" s="737" t="s">
        <v>643</v>
      </c>
      <c r="R115" s="737" t="s">
        <v>647</v>
      </c>
      <c r="S115" s="737" t="s">
        <v>216</v>
      </c>
      <c r="T115" s="737" t="s">
        <v>645</v>
      </c>
      <c r="U115" s="737" t="s">
        <v>224</v>
      </c>
      <c r="V115" s="737" t="s">
        <v>643</v>
      </c>
      <c r="X115" s="737" t="s">
        <v>647</v>
      </c>
      <c r="Y115" s="737" t="s">
        <v>216</v>
      </c>
      <c r="Z115" s="737" t="s">
        <v>645</v>
      </c>
      <c r="AA115" s="737" t="s">
        <v>224</v>
      </c>
      <c r="AB115" s="737" t="s">
        <v>643</v>
      </c>
      <c r="AD115" s="737" t="s">
        <v>647</v>
      </c>
      <c r="AE115" s="737" t="s">
        <v>216</v>
      </c>
      <c r="AF115" s="737" t="s">
        <v>645</v>
      </c>
      <c r="AG115" s="737" t="s">
        <v>224</v>
      </c>
      <c r="AH115" s="737" t="s">
        <v>643</v>
      </c>
      <c r="AJ115" s="737" t="s">
        <v>647</v>
      </c>
      <c r="AK115" s="737" t="s">
        <v>216</v>
      </c>
      <c r="AL115" s="737" t="s">
        <v>645</v>
      </c>
      <c r="AM115" s="737" t="s">
        <v>224</v>
      </c>
      <c r="AN115" s="737" t="s">
        <v>643</v>
      </c>
      <c r="AP115" s="737" t="s">
        <v>647</v>
      </c>
      <c r="AQ115" s="737" t="s">
        <v>216</v>
      </c>
      <c r="AR115" s="737" t="s">
        <v>645</v>
      </c>
      <c r="AS115" s="737" t="s">
        <v>224</v>
      </c>
      <c r="AT115" s="737" t="s">
        <v>643</v>
      </c>
      <c r="AV115" s="737" t="s">
        <v>647</v>
      </c>
      <c r="AW115" s="737" t="s">
        <v>216</v>
      </c>
      <c r="AX115" s="737" t="s">
        <v>645</v>
      </c>
      <c r="AY115" s="737" t="s">
        <v>224</v>
      </c>
      <c r="AZ115" s="737" t="s">
        <v>643</v>
      </c>
      <c r="BB115" s="737" t="s">
        <v>647</v>
      </c>
      <c r="BC115" s="737" t="s">
        <v>216</v>
      </c>
      <c r="BD115" s="737" t="s">
        <v>645</v>
      </c>
      <c r="BE115" s="737" t="s">
        <v>224</v>
      </c>
      <c r="BF115" s="737" t="s">
        <v>643</v>
      </c>
      <c r="BH115" s="737" t="s">
        <v>647</v>
      </c>
      <c r="BI115" s="737" t="s">
        <v>216</v>
      </c>
      <c r="BJ115" s="737" t="s">
        <v>645</v>
      </c>
      <c r="BK115" s="737" t="s">
        <v>224</v>
      </c>
      <c r="BL115" s="737" t="s">
        <v>643</v>
      </c>
      <c r="BN115" s="737" t="s">
        <v>647</v>
      </c>
      <c r="BO115" s="737" t="s">
        <v>216</v>
      </c>
      <c r="BP115" s="737" t="s">
        <v>645</v>
      </c>
      <c r="BQ115" s="737" t="s">
        <v>224</v>
      </c>
      <c r="BR115" s="737" t="s">
        <v>643</v>
      </c>
      <c r="BT115" s="737" t="s">
        <v>647</v>
      </c>
    </row>
    <row r="116" spans="1:92" ht="15" customHeight="1">
      <c r="A116" s="737" t="s">
        <v>62</v>
      </c>
      <c r="B116" s="737" t="s">
        <v>141</v>
      </c>
      <c r="C116" s="737" t="s">
        <v>137</v>
      </c>
      <c r="D116" s="737" t="s">
        <v>138</v>
      </c>
      <c r="E116" s="737" t="s">
        <v>142</v>
      </c>
      <c r="F116" s="737" t="s">
        <v>136</v>
      </c>
      <c r="G116" s="747" t="s">
        <v>62</v>
      </c>
      <c r="H116" s="747" t="s">
        <v>141</v>
      </c>
      <c r="I116" s="747" t="s">
        <v>137</v>
      </c>
      <c r="J116" s="747" t="s">
        <v>138</v>
      </c>
      <c r="K116" s="747" t="s">
        <v>142</v>
      </c>
      <c r="L116" s="747" t="s">
        <v>136</v>
      </c>
      <c r="M116" s="748" t="s">
        <v>62</v>
      </c>
      <c r="N116" s="748" t="s">
        <v>141</v>
      </c>
      <c r="O116" s="748" t="s">
        <v>137</v>
      </c>
      <c r="P116" s="748" t="s">
        <v>138</v>
      </c>
      <c r="Q116" s="748" t="s">
        <v>142</v>
      </c>
      <c r="R116" s="748" t="s">
        <v>136</v>
      </c>
      <c r="S116" s="749" t="s">
        <v>62</v>
      </c>
      <c r="T116" s="749" t="s">
        <v>141</v>
      </c>
      <c r="U116" s="749" t="s">
        <v>137</v>
      </c>
      <c r="V116" s="749" t="s">
        <v>138</v>
      </c>
      <c r="W116" s="749" t="s">
        <v>142</v>
      </c>
      <c r="X116" s="749" t="s">
        <v>136</v>
      </c>
      <c r="Y116" s="741" t="s">
        <v>62</v>
      </c>
      <c r="Z116" s="741" t="s">
        <v>141</v>
      </c>
      <c r="AA116" s="741" t="s">
        <v>137</v>
      </c>
      <c r="AB116" s="741" t="s">
        <v>138</v>
      </c>
      <c r="AC116" s="741" t="s">
        <v>142</v>
      </c>
      <c r="AD116" s="741" t="s">
        <v>136</v>
      </c>
      <c r="AE116" s="741" t="s">
        <v>62</v>
      </c>
      <c r="AF116" s="741" t="s">
        <v>141</v>
      </c>
      <c r="AG116" s="741" t="s">
        <v>137</v>
      </c>
      <c r="AH116" s="741" t="s">
        <v>138</v>
      </c>
      <c r="AI116" s="741" t="s">
        <v>142</v>
      </c>
      <c r="AJ116" s="741" t="s">
        <v>136</v>
      </c>
      <c r="AK116" s="741" t="s">
        <v>62</v>
      </c>
      <c r="AL116" s="741" t="s">
        <v>141</v>
      </c>
      <c r="AM116" s="741" t="s">
        <v>137</v>
      </c>
      <c r="AN116" s="741" t="s">
        <v>138</v>
      </c>
      <c r="AO116" s="741" t="s">
        <v>142</v>
      </c>
      <c r="AP116" s="741" t="s">
        <v>136</v>
      </c>
      <c r="AQ116" s="741" t="s">
        <v>62</v>
      </c>
      <c r="AR116" s="741" t="s">
        <v>141</v>
      </c>
      <c r="AS116" s="741" t="s">
        <v>137</v>
      </c>
      <c r="AT116" s="741" t="s">
        <v>138</v>
      </c>
      <c r="AU116" s="741" t="s">
        <v>142</v>
      </c>
      <c r="AV116" s="741" t="s">
        <v>136</v>
      </c>
      <c r="AW116" s="741" t="s">
        <v>62</v>
      </c>
      <c r="AX116" s="741" t="s">
        <v>141</v>
      </c>
      <c r="AY116" s="741" t="s">
        <v>137</v>
      </c>
      <c r="AZ116" s="741" t="s">
        <v>138</v>
      </c>
      <c r="BA116" s="741" t="s">
        <v>142</v>
      </c>
      <c r="BB116" s="741" t="s">
        <v>136</v>
      </c>
      <c r="BC116" s="741" t="s">
        <v>62</v>
      </c>
      <c r="BD116" s="741" t="s">
        <v>141</v>
      </c>
      <c r="BE116" s="741" t="s">
        <v>137</v>
      </c>
      <c r="BF116" s="741" t="s">
        <v>138</v>
      </c>
      <c r="BG116" s="741" t="s">
        <v>142</v>
      </c>
      <c r="BH116" s="741" t="s">
        <v>136</v>
      </c>
      <c r="BI116" s="741" t="s">
        <v>62</v>
      </c>
      <c r="BJ116" s="741" t="s">
        <v>141</v>
      </c>
      <c r="BK116" s="741" t="s">
        <v>137</v>
      </c>
      <c r="BL116" s="741" t="s">
        <v>138</v>
      </c>
      <c r="BM116" s="741" t="s">
        <v>142</v>
      </c>
      <c r="BN116" s="741" t="s">
        <v>136</v>
      </c>
      <c r="BO116" s="741" t="s">
        <v>62</v>
      </c>
      <c r="BP116" s="741" t="s">
        <v>141</v>
      </c>
      <c r="BQ116" s="741" t="s">
        <v>137</v>
      </c>
      <c r="BR116" s="741" t="s">
        <v>138</v>
      </c>
      <c r="BS116" s="741" t="s">
        <v>142</v>
      </c>
      <c r="BT116" s="741" t="s">
        <v>136</v>
      </c>
      <c r="BU116" s="750"/>
      <c r="BV116" s="750"/>
      <c r="BW116" s="750"/>
      <c r="BX116" s="750"/>
      <c r="BY116" s="750"/>
      <c r="BZ116" s="750"/>
      <c r="CA116" s="750"/>
      <c r="CB116" s="750"/>
      <c r="CC116" s="750"/>
      <c r="CD116" s="750"/>
      <c r="CE116" s="750"/>
      <c r="CF116" s="750"/>
      <c r="CG116" s="750"/>
      <c r="CH116" s="750"/>
      <c r="CI116" s="750"/>
      <c r="CJ116" s="750"/>
      <c r="CK116" s="750"/>
      <c r="CL116" s="750"/>
      <c r="CM116" s="750"/>
      <c r="CN116" s="750"/>
    </row>
    <row r="117" spans="1:92" ht="15" customHeight="1">
      <c r="A117" s="737" t="s">
        <v>605</v>
      </c>
      <c r="B117" s="737" t="s">
        <v>605</v>
      </c>
      <c r="C117" s="737" t="s">
        <v>605</v>
      </c>
      <c r="D117" s="737" t="s">
        <v>605</v>
      </c>
      <c r="E117" s="737" t="s">
        <v>605</v>
      </c>
      <c r="F117" s="737" t="s">
        <v>605</v>
      </c>
      <c r="G117" s="747">
        <f>+L39</f>
        <v>0</v>
      </c>
      <c r="H117" s="747">
        <f>+$M$39</f>
        <v>0</v>
      </c>
      <c r="I117" s="747">
        <f>+$J$39</f>
        <v>0</v>
      </c>
      <c r="J117" s="751">
        <f>+K39</f>
        <v>0</v>
      </c>
      <c r="K117" s="747"/>
      <c r="L117" s="747">
        <f ca="1">+L118</f>
        <v>0</v>
      </c>
      <c r="M117" s="748">
        <f>+L40</f>
        <v>0</v>
      </c>
      <c r="N117" s="748">
        <f>+M40</f>
        <v>0</v>
      </c>
      <c r="O117" s="748">
        <f>+J40</f>
        <v>0</v>
      </c>
      <c r="P117" s="752">
        <f>+K40</f>
        <v>0</v>
      </c>
      <c r="Q117" s="748"/>
      <c r="R117" s="748">
        <f ca="1">+R118</f>
        <v>0</v>
      </c>
      <c r="S117" s="749">
        <f>+L41</f>
        <v>0</v>
      </c>
      <c r="T117" s="749">
        <f>+M41</f>
        <v>0</v>
      </c>
      <c r="U117" s="749">
        <f>+J41</f>
        <v>0</v>
      </c>
      <c r="V117" s="753">
        <f>+K41</f>
        <v>0</v>
      </c>
      <c r="W117" s="749"/>
      <c r="X117" s="749">
        <f ca="1">+X118</f>
        <v>0</v>
      </c>
      <c r="Y117" s="741">
        <f>+L42</f>
        <v>0</v>
      </c>
      <c r="Z117" s="741">
        <f>+M42</f>
        <v>0</v>
      </c>
      <c r="AA117" s="741">
        <f>+J42</f>
        <v>0</v>
      </c>
      <c r="AB117" s="742">
        <f>+K42</f>
        <v>0</v>
      </c>
      <c r="AC117" s="741"/>
      <c r="AD117" s="741">
        <f ca="1">+AD118</f>
        <v>0</v>
      </c>
      <c r="AE117" s="741">
        <f>+L43</f>
        <v>0</v>
      </c>
      <c r="AF117" s="741">
        <f>+M43</f>
        <v>0</v>
      </c>
      <c r="AG117" s="741">
        <f>+J43</f>
        <v>0</v>
      </c>
      <c r="AH117" s="742">
        <f>+K43</f>
        <v>0</v>
      </c>
      <c r="AI117" s="741"/>
      <c r="AJ117" s="741">
        <f ca="1">+AJ118</f>
        <v>0</v>
      </c>
      <c r="AK117" s="741">
        <f>+L44</f>
        <v>0</v>
      </c>
      <c r="AL117" s="741">
        <f>+M44</f>
        <v>0</v>
      </c>
      <c r="AM117" s="741">
        <f>+J44</f>
        <v>0</v>
      </c>
      <c r="AN117" s="742">
        <f>+K44</f>
        <v>0</v>
      </c>
      <c r="AO117" s="741"/>
      <c r="AP117" s="741">
        <f ca="1">+AP118</f>
        <v>0</v>
      </c>
      <c r="AQ117" s="741">
        <f>+L45</f>
        <v>0</v>
      </c>
      <c r="AR117" s="741">
        <f>+M45</f>
        <v>0</v>
      </c>
      <c r="AS117" s="741">
        <f>+J45</f>
        <v>0</v>
      </c>
      <c r="AT117" s="742">
        <f>+K45</f>
        <v>0</v>
      </c>
      <c r="AU117" s="741"/>
      <c r="AV117" s="741">
        <f ca="1">+AV118</f>
        <v>0</v>
      </c>
      <c r="AW117" s="741">
        <f>+L46</f>
        <v>0</v>
      </c>
      <c r="AX117" s="741">
        <f>+M46</f>
        <v>0</v>
      </c>
      <c r="AY117" s="741">
        <f>+J46</f>
        <v>0</v>
      </c>
      <c r="AZ117" s="742">
        <f>+K46</f>
        <v>0</v>
      </c>
      <c r="BA117" s="741"/>
      <c r="BB117" s="741">
        <f ca="1">+BB118</f>
        <v>0</v>
      </c>
      <c r="BC117" s="741">
        <f>+L47</f>
        <v>0</v>
      </c>
      <c r="BD117" s="741">
        <f>+M47</f>
        <v>0</v>
      </c>
      <c r="BE117" s="741">
        <f>+J47</f>
        <v>0</v>
      </c>
      <c r="BF117" s="742">
        <f>+K47</f>
        <v>0</v>
      </c>
      <c r="BG117" s="742"/>
      <c r="BH117" s="741">
        <f>+BH118</f>
        <v>0</v>
      </c>
      <c r="BI117" s="741">
        <f>+L48</f>
        <v>0</v>
      </c>
      <c r="BJ117" s="741">
        <f>+M48</f>
        <v>0</v>
      </c>
      <c r="BK117" s="741">
        <f>+J48</f>
        <v>0</v>
      </c>
      <c r="BL117" s="742">
        <f>+K48</f>
        <v>0</v>
      </c>
      <c r="BM117" s="741"/>
      <c r="BN117" s="741">
        <f>+BN118</f>
        <v>0</v>
      </c>
      <c r="BO117" s="741">
        <f>+L49</f>
        <v>0</v>
      </c>
      <c r="BP117" s="741">
        <f>+M49</f>
        <v>0</v>
      </c>
      <c r="BQ117" s="741">
        <f>+J49</f>
        <v>0</v>
      </c>
      <c r="BR117" s="742">
        <f>+K49</f>
        <v>0</v>
      </c>
      <c r="BS117" s="741"/>
      <c r="BT117" s="741">
        <f>+BT118</f>
        <v>0</v>
      </c>
      <c r="BU117" s="750"/>
      <c r="BV117" s="750"/>
      <c r="BW117" s="750"/>
      <c r="BX117" s="750"/>
      <c r="BY117" s="750"/>
      <c r="BZ117" s="750"/>
      <c r="CA117" s="750"/>
      <c r="CB117" s="750"/>
      <c r="CC117" s="750"/>
      <c r="CD117" s="750"/>
      <c r="CE117" s="750"/>
      <c r="CF117" s="750"/>
      <c r="CG117" s="750"/>
      <c r="CH117" s="750"/>
      <c r="CI117" s="750"/>
      <c r="CJ117" s="750"/>
      <c r="CK117" s="750"/>
      <c r="CL117" s="750"/>
      <c r="CM117" s="750"/>
      <c r="CN117" s="750"/>
    </row>
    <row r="118" spans="1:92" ht="15" customHeight="1">
      <c r="F118" s="737">
        <f ca="1">+L118+R118+X118+AD118+AJ118+AP118+AV118+BB118+BH118+BN118+BT118</f>
        <v>0</v>
      </c>
      <c r="G118" s="747"/>
      <c r="H118" s="747"/>
      <c r="I118" s="754">
        <f ca="1">IF(L117=0,0,IF(G117=1,(L117/(I117-H117)),IF(G117=0,-PMT(J117/12,(I117-H117),L117),0)))</f>
        <v>0</v>
      </c>
      <c r="J118" s="747"/>
      <c r="K118" s="747"/>
      <c r="L118" s="755">
        <f ca="1">+'inversion af'!C115</f>
        <v>0</v>
      </c>
      <c r="M118" s="748"/>
      <c r="N118" s="748"/>
      <c r="O118" s="756">
        <f ca="1">IF(R117=0,0,IF(M117=1,(R117/(O117-N117)),IF(M117=0,-PMT(P117/12,(O117-N117),R117),0)))</f>
        <v>0</v>
      </c>
      <c r="P118" s="748"/>
      <c r="Q118" s="748"/>
      <c r="R118" s="755">
        <f ca="1">+'inversion af'!D115</f>
        <v>0</v>
      </c>
      <c r="S118" s="749"/>
      <c r="T118" s="749"/>
      <c r="U118" s="749">
        <f ca="1">IF(X117=0,0,IF(S117=1,(X117/(U117-T117)),IF(S117=0,-PMT(V117/12,(U117-T117),X117),0)))</f>
        <v>0</v>
      </c>
      <c r="V118" s="749"/>
      <c r="W118" s="749"/>
      <c r="X118" s="755">
        <f ca="1">+'inversion af'!E115</f>
        <v>0</v>
      </c>
      <c r="Y118" s="741"/>
      <c r="Z118" s="741"/>
      <c r="AA118" s="741">
        <f ca="1">IF(AD117=0,0,IF(Y117=1,(AD117/(AA117-Z117)),IF(Y117=0,-PMT(AB117/12,(AA117-Z117),AD117),0)))</f>
        <v>0</v>
      </c>
      <c r="AB118" s="741"/>
      <c r="AC118" s="741"/>
      <c r="AD118" s="755">
        <f ca="1">+'inversion af'!F115</f>
        <v>0</v>
      </c>
      <c r="AE118" s="741"/>
      <c r="AF118" s="741"/>
      <c r="AG118" s="741">
        <f ca="1">IF(AJ117=0,0,IF(AE117=1,(AJ117/(AG117-AF117)),IF(AE117=0,-PMT(AH117/12,(AG117-AF117),AJ117),0)))</f>
        <v>0</v>
      </c>
      <c r="AH118" s="741"/>
      <c r="AI118" s="741"/>
      <c r="AJ118" s="755">
        <f ca="1">+'inversion af'!G115</f>
        <v>0</v>
      </c>
      <c r="AK118" s="741"/>
      <c r="AL118" s="741"/>
      <c r="AM118" s="741">
        <f ca="1">IF(AP117=0,0,IF(AK117=1,(AP117/(AM117-AL117)),IF(AK117=0,-PMT(AN117/12,(AM117-AL117),AP117),0)))</f>
        <v>0</v>
      </c>
      <c r="AN118" s="741"/>
      <c r="AO118" s="741"/>
      <c r="AP118" s="755">
        <f ca="1">+'inversion af'!H115</f>
        <v>0</v>
      </c>
      <c r="AQ118" s="741"/>
      <c r="AR118" s="741"/>
      <c r="AS118" s="741">
        <f ca="1">IF(AV117=0,0,IF(AQ117=1,(AV117/(AS117-AR117)),IF(AQ117=0,-PMT(AT117/12,(AS117-AR117),AV117),0)))</f>
        <v>0</v>
      </c>
      <c r="AT118" s="741"/>
      <c r="AU118" s="741"/>
      <c r="AV118" s="755">
        <f ca="1">+'inversion af'!I115</f>
        <v>0</v>
      </c>
      <c r="AW118" s="741"/>
      <c r="AX118" s="741"/>
      <c r="AY118" s="741">
        <f ca="1">IF(BB117=0,0,IF(AW117=1,(BB117/(AY117-AX117)),IF(AW117=0,-PMT(AZ117/12,(AY117-AX117),BB117),0)))</f>
        <v>0</v>
      </c>
      <c r="AZ118" s="741"/>
      <c r="BA118" s="741"/>
      <c r="BB118" s="755">
        <f ca="1">+'inversion af'!J115</f>
        <v>0</v>
      </c>
      <c r="BC118" s="741"/>
      <c r="BD118" s="741"/>
      <c r="BE118" s="741">
        <f>IF(BH117=0,0,IF(BC117=1,(BH117/(BE117-BD117)),IF(BC117=0,-PMT(BF117/12,(BE117-BD117),BH117),0)))</f>
        <v>0</v>
      </c>
      <c r="BF118" s="741"/>
      <c r="BG118" s="741"/>
      <c r="BH118" s="741"/>
      <c r="BI118" s="741"/>
      <c r="BJ118" s="741"/>
      <c r="BK118" s="741">
        <f>IF(BN117=0,0,IF(BI117=1,(BN117/(BK117-BJ117)),IF(BI117=0,-PMT(BL117/12,(BK117-BJ117),BN117),0)))</f>
        <v>0</v>
      </c>
      <c r="BL118" s="741"/>
      <c r="BM118" s="741"/>
      <c r="BN118" s="741">
        <f>+$B$48</f>
        <v>0</v>
      </c>
      <c r="BO118" s="741"/>
      <c r="BP118" s="741"/>
      <c r="BQ118" s="741">
        <f>IF(BT117=0,0,IF(BO117=1,(BT117/(BQ117-BP117)),IF(BO117=0,-PMT(BR117/12,(BQ117-BP117),BT117),0)))</f>
        <v>0</v>
      </c>
      <c r="BR118" s="741"/>
      <c r="BS118" s="741"/>
      <c r="BT118" s="741">
        <f>+$B$49</f>
        <v>0</v>
      </c>
      <c r="BU118" s="750"/>
      <c r="BV118" s="750"/>
      <c r="BW118" s="750"/>
      <c r="BX118" s="750"/>
      <c r="BY118" s="750"/>
      <c r="BZ118" s="750"/>
      <c r="CA118" s="750"/>
      <c r="CB118" s="750"/>
      <c r="CC118" s="750"/>
      <c r="CD118" s="750"/>
      <c r="CE118" s="750"/>
      <c r="CF118" s="750"/>
      <c r="CG118" s="750"/>
      <c r="CH118" s="750"/>
      <c r="CI118" s="750"/>
      <c r="CJ118" s="750"/>
      <c r="CK118" s="750"/>
      <c r="CL118" s="750"/>
      <c r="CM118" s="750"/>
      <c r="CN118" s="750"/>
    </row>
    <row r="119" spans="1:92" ht="15" customHeight="1">
      <c r="A119" s="737">
        <v>1</v>
      </c>
      <c r="B119" s="737">
        <f t="shared" ref="B119:F121" ca="1" si="18">+H119</f>
        <v>0</v>
      </c>
      <c r="C119" s="737">
        <f t="shared" ca="1" si="18"/>
        <v>0</v>
      </c>
      <c r="D119" s="737">
        <f t="shared" si="18"/>
        <v>0</v>
      </c>
      <c r="E119" s="737">
        <f t="shared" si="18"/>
        <v>0</v>
      </c>
      <c r="F119" s="737">
        <f t="shared" ca="1" si="18"/>
        <v>0</v>
      </c>
      <c r="G119" s="747">
        <v>1</v>
      </c>
      <c r="H119" s="757">
        <f ca="1">IF(L118=0,0,IF(G119&gt;I$117,0,J119+I119))</f>
        <v>0</v>
      </c>
      <c r="I119" s="747">
        <f ca="1">IF(L$118=0,0,IF(G119&gt;I$117,0,IF(G$117=1,IF(H$117=0,I$118,IF(H$117&lt;G119,I$118,0)),IF(H$117=0,I$118-J119,IF(H$117&gt;=G119,0,I$118-J119)))))</f>
        <v>0</v>
      </c>
      <c r="J119" s="747">
        <f>IF(G119&gt;I$117,0,L118*J$117/12)</f>
        <v>0</v>
      </c>
      <c r="K119" s="747"/>
      <c r="L119" s="747">
        <f ca="1">+L118-I119</f>
        <v>0</v>
      </c>
      <c r="M119" s="747">
        <v>1</v>
      </c>
      <c r="N119" s="757">
        <f ca="1">IF(R118=0,0,IF(M119&gt;O$117,0,P119+O119))</f>
        <v>0</v>
      </c>
      <c r="O119" s="747">
        <f ca="1">IF(R$118=0,0,IF(M119&gt;O$117,0,IF(M$117=1,IF(N$117=0,O$118,IF(N$117&lt;M119,O$118,0)),IF(N$117=0,O$118-P119,IF(N$117&gt;=M119,0,O$118-P119)))))</f>
        <v>0</v>
      </c>
      <c r="P119" s="747">
        <f>IF(M119&gt;O$117,0,R118*P$117/12)</f>
        <v>0</v>
      </c>
      <c r="Q119" s="747"/>
      <c r="R119" s="747">
        <f ca="1">+R118-O119</f>
        <v>0</v>
      </c>
      <c r="S119" s="747">
        <v>1</v>
      </c>
      <c r="T119" s="757">
        <f ca="1">IF(X118=0,0,IF(S119&gt;U$117,0,V119+U119))</f>
        <v>0</v>
      </c>
      <c r="U119" s="747">
        <f ca="1">IF(X$118=0,0,IF(S119&gt;U$117,0,IF(S$117=1,IF(T$117=0,U$118,IF(T$117&lt;S119,U$118,0)),IF(T$117=0,U$118-V119,IF(T$117&gt;=S119,0,U$118-V119)))))</f>
        <v>0</v>
      </c>
      <c r="V119" s="747">
        <f>IF(S119&gt;U$117,0,X118*V$117/12)</f>
        <v>0</v>
      </c>
      <c r="W119" s="747"/>
      <c r="X119" s="747">
        <f ca="1">+X118-U119</f>
        <v>0</v>
      </c>
      <c r="Y119" s="747">
        <v>1</v>
      </c>
      <c r="Z119" s="757">
        <f ca="1">IF(AD118=0,0,IF(Y119&gt;AA$117,0,AB119+AA119))</f>
        <v>0</v>
      </c>
      <c r="AA119" s="747">
        <f ca="1">IF(AD$118=0,0,IF(Y119&gt;AA$117,0,IF(Y$117=1,IF(Z$117=0,AA$118,IF(Z$117&lt;Y119,AA$118,0)),IF(Z$117=0,AA$118-AB119,IF(Z$117&gt;=Y119,0,AA$118-AB119)))))</f>
        <v>0</v>
      </c>
      <c r="AB119" s="747">
        <f>IF(Y119&gt;AA$117,0,AD118*AB$117/12)</f>
        <v>0</v>
      </c>
      <c r="AC119" s="747"/>
      <c r="AD119" s="747">
        <f ca="1">+AD118-AA119</f>
        <v>0</v>
      </c>
      <c r="AE119" s="747">
        <v>1</v>
      </c>
      <c r="AF119" s="757">
        <f ca="1">IF(AJ118=0,0,IF(AE119&gt;AG$117,0,AH119+AG119))</f>
        <v>0</v>
      </c>
      <c r="AG119" s="747">
        <f ca="1">IF(AJ$118=0,0,IF(AE119&gt;AG$117,0,IF(AE$117=1,IF(AF$117=0,AG$118,IF(AF$117&lt;AE119,AG$118,0)),IF(AF$117=0,AG$118-AH119,IF(AF$117&gt;=AE119,0,AG$118-AH119)))))</f>
        <v>0</v>
      </c>
      <c r="AH119" s="747">
        <f>IF(AE119&gt;AG$117,0,AJ118*AH$117/12)</f>
        <v>0</v>
      </c>
      <c r="AI119" s="747"/>
      <c r="AJ119" s="747">
        <f ca="1">+AJ118-AG119</f>
        <v>0</v>
      </c>
      <c r="AK119" s="747">
        <v>1</v>
      </c>
      <c r="AL119" s="757">
        <f ca="1">IF(AP118=0,0,IF(AK119&gt;AM$117,0,AN119+AM119))</f>
        <v>0</v>
      </c>
      <c r="AM119" s="747">
        <f ca="1">IF(AP$118=0,0,IF(AK119&gt;AM$117,0,IF(AK$117=1,IF(AL$117=0,AM$118,IF(AL$117&lt;AK119,AM$118,0)),IF(AL$117=0,AM$118-AN119,IF(AL$117&gt;=AK119,0,AM$118-AN119)))))</f>
        <v>0</v>
      </c>
      <c r="AN119" s="747">
        <f>IF(AK119&gt;AM$117,0,AP118*AN$117/12)</f>
        <v>0</v>
      </c>
      <c r="AO119" s="747"/>
      <c r="AP119" s="747">
        <f ca="1">+AP118-AM119</f>
        <v>0</v>
      </c>
      <c r="AQ119" s="747">
        <v>1</v>
      </c>
      <c r="AR119" s="757">
        <f ca="1">IF(AV118=0,0,IF(AQ119&gt;AS$117,0,AT119+AS119))</f>
        <v>0</v>
      </c>
      <c r="AS119" s="747">
        <f ca="1">IF(AV$118=0,0,IF(AQ119&gt;AS$117,0,IF(AQ$117=1,IF(AR$117=0,AS$118,IF(AR$117&lt;AQ119,AS$118,0)),IF(AR$117=0,AS$118-AT119,IF(AR$117&gt;=AQ119,0,AS$118-AT119)))))</f>
        <v>0</v>
      </c>
      <c r="AT119" s="747">
        <f>IF(AQ119&gt;AS$117,0,AV118*AT$117/12)</f>
        <v>0</v>
      </c>
      <c r="AU119" s="747"/>
      <c r="AV119" s="747">
        <f ca="1">+AV118-AS119</f>
        <v>0</v>
      </c>
      <c r="AW119" s="747">
        <v>1</v>
      </c>
      <c r="AX119" s="757">
        <f ca="1">IF(BB118=0,0,IF(AW119&gt;AY$117,0,AZ119+AY119))</f>
        <v>0</v>
      </c>
      <c r="AY119" s="747">
        <f ca="1">IF(BB$118=0,0,IF(AW119&gt;AY$117,0,IF(AW$117=1,IF(AX$117=0,AY$118,IF(AX$117&lt;AW119,AY$118,0)),IF(AX$117=0,AY$118-AZ119,IF(AX$117&gt;=AW119,0,AY$118-AZ119)))))</f>
        <v>0</v>
      </c>
      <c r="AZ119" s="747">
        <f>IF(AW119&gt;AY$117,0,BB118*AZ$117/12)</f>
        <v>0</v>
      </c>
      <c r="BA119" s="747"/>
      <c r="BB119" s="747">
        <f ca="1">+BB118-AY119</f>
        <v>0</v>
      </c>
      <c r="BC119" s="747">
        <v>1</v>
      </c>
      <c r="BD119" s="747">
        <f>IF(BH118=0,0,IF(BC119&gt;BE$117,0,BF119+BE119))</f>
        <v>0</v>
      </c>
      <c r="BE119" s="747">
        <f>IF(BH$118=0,0,IF(BC119&gt;BE$117,0,IF(BC$117=1,IF(BD$117=0,BE$118,IF(BD$117&lt;BC119,BE$118,0)),IF(BD$117=0,BE$118-BF119,IF(BD$117&gt;=BC119,0,BE$118-BF119)))))</f>
        <v>0</v>
      </c>
      <c r="BF119" s="747">
        <f>IF(BC119&gt;BE$117,0,BH118*BF$117/12)</f>
        <v>0</v>
      </c>
      <c r="BG119" s="747"/>
      <c r="BH119" s="747">
        <f>+BH118-BE119</f>
        <v>0</v>
      </c>
      <c r="BI119" s="747">
        <v>1</v>
      </c>
      <c r="BJ119" s="747">
        <f>IF(BN118=0,0,IF(BI119&gt;BK$117,0,BL119+BK119))</f>
        <v>0</v>
      </c>
      <c r="BK119" s="747">
        <f>IF(BN$118=0,0,IF(BI119&gt;BK$117,0,IF(BI$117=1,IF(BJ$117=0,BK$118,IF(BJ$117&lt;BI119,BK$118,0)),IF(BJ$117=0,BK$118-BL119,IF(BJ$117&gt;=BI119,0,BK$118-BL119)))))</f>
        <v>0</v>
      </c>
      <c r="BL119" s="747">
        <f>IF(BI119&gt;BK$117,0,BN118*BL$117/12)</f>
        <v>0</v>
      </c>
      <c r="BM119" s="747"/>
      <c r="BN119" s="747">
        <f>+BN118-BK119</f>
        <v>0</v>
      </c>
      <c r="BO119" s="747">
        <v>1</v>
      </c>
      <c r="BP119" s="747">
        <f>IF(BT118=0,0,IF(BO119&gt;BQ$117,0,BR119+BQ119))</f>
        <v>0</v>
      </c>
      <c r="BQ119" s="747">
        <f>IF(BT$118=0,0,IF(BO119&gt;BQ$117,0,IF(BO$117=1,IF(BP$117=0,BQ$118,IF(BP$117&lt;BO119,BQ$118,0)),IF(BP$117=0,BQ$118-BR119,IF(BP$117&gt;=BO119,0,BQ$118-BR119)))))</f>
        <v>0</v>
      </c>
      <c r="BR119" s="747">
        <f>IF(BO119&gt;BQ$117,0,BT118*BR$117/12)</f>
        <v>0</v>
      </c>
      <c r="BS119" s="747"/>
      <c r="BT119" s="747">
        <f>+BT118-BQ119</f>
        <v>0</v>
      </c>
      <c r="BU119" s="750"/>
      <c r="BV119" s="750"/>
      <c r="BW119" s="750"/>
      <c r="BX119" s="750"/>
      <c r="BY119" s="750"/>
      <c r="BZ119" s="750"/>
      <c r="CA119" s="750"/>
      <c r="CB119" s="750"/>
      <c r="CC119" s="750"/>
      <c r="CD119" s="750"/>
      <c r="CE119" s="750"/>
      <c r="CF119" s="750"/>
      <c r="CG119" s="750"/>
      <c r="CH119" s="750"/>
      <c r="CI119" s="750"/>
      <c r="CJ119" s="750"/>
      <c r="CK119" s="750"/>
      <c r="CL119" s="750"/>
      <c r="CM119" s="750"/>
      <c r="CN119" s="750"/>
    </row>
    <row r="120" spans="1:92" ht="15" customHeight="1">
      <c r="A120" s="737">
        <v>2</v>
      </c>
      <c r="B120" s="737">
        <f t="shared" ca="1" si="18"/>
        <v>0</v>
      </c>
      <c r="C120" s="737">
        <f t="shared" ca="1" si="18"/>
        <v>0</v>
      </c>
      <c r="D120" s="737">
        <f t="shared" si="18"/>
        <v>0</v>
      </c>
      <c r="E120" s="737">
        <f t="shared" si="18"/>
        <v>0</v>
      </c>
      <c r="F120" s="737">
        <f t="shared" ca="1" si="18"/>
        <v>0</v>
      </c>
      <c r="G120" s="747">
        <v>2</v>
      </c>
      <c r="H120" s="747">
        <f t="shared" ref="H120:H178" ca="1" si="19">IF(L119=0,0,IF(G120&gt;I$117,0,J120+I120))</f>
        <v>0</v>
      </c>
      <c r="I120" s="747">
        <f t="shared" ref="I120:I178" ca="1" si="20">IF(L$118=0,0,IF(G120&gt;I$117,0,IF(G$117=1,IF(H$117=0,I$118,IF(H$117&lt;G120,I$118,0)),IF(H$117=0,I$118-J120,IF(H$117&gt;=G120,0,I$118-J120)))))</f>
        <v>0</v>
      </c>
      <c r="J120" s="747">
        <f t="shared" ref="J120:J178" si="21">IF(G120&gt;I$117,0,L119*J$117/12)</f>
        <v>0</v>
      </c>
      <c r="K120" s="747"/>
      <c r="L120" s="747">
        <f ca="1">+L119-I120</f>
        <v>0</v>
      </c>
      <c r="M120" s="747">
        <v>2</v>
      </c>
      <c r="N120" s="747">
        <f t="shared" ref="N120:N178" ca="1" si="22">IF(R119=0,0,IF(M120&gt;O$117,0,P120+O120))</f>
        <v>0</v>
      </c>
      <c r="O120" s="747">
        <f t="shared" ref="O120:O178" ca="1" si="23">IF(R$118=0,0,IF(M120&gt;O$117,0,IF(M$117=1,IF(N$117=0,O$118,IF(N$117&lt;M120,O$118,0)),IF(N$117=0,O$118-P120,IF(N$117&gt;=M120,0,O$118-P120)))))</f>
        <v>0</v>
      </c>
      <c r="P120" s="747">
        <f t="shared" ref="P120:P178" si="24">IF(M120&gt;O$117,0,R119*P$117/12)</f>
        <v>0</v>
      </c>
      <c r="Q120" s="748"/>
      <c r="R120" s="747">
        <f t="shared" ref="R120:R178" ca="1" si="25">+R119-O120</f>
        <v>0</v>
      </c>
      <c r="S120" s="747">
        <v>2</v>
      </c>
      <c r="T120" s="747">
        <f t="shared" ref="T120:T178" ca="1" si="26">IF(X119=0,0,IF(S120&gt;U$117,0,V120+U120))</f>
        <v>0</v>
      </c>
      <c r="U120" s="747">
        <f t="shared" ref="U120:U178" ca="1" si="27">IF(X$118=0,0,IF(S120&gt;U$117,0,IF(S$117=1,IF(T$117=0,U$118,IF(T$117&lt;S120,U$118,0)),IF(T$117=0,U$118-V120,IF(T$117&gt;=S120,0,U$118-V120)))))</f>
        <v>0</v>
      </c>
      <c r="V120" s="747">
        <f t="shared" ref="V120:V178" si="28">IF(S120&gt;U$117,0,X119*V$117/12)</f>
        <v>0</v>
      </c>
      <c r="W120" s="749"/>
      <c r="X120" s="747">
        <f t="shared" ref="X120:X178" ca="1" si="29">+X119-U120</f>
        <v>0</v>
      </c>
      <c r="Y120" s="747">
        <v>2</v>
      </c>
      <c r="Z120" s="747">
        <f t="shared" ref="Z120:Z178" ca="1" si="30">IF(AD119=0,0,IF(Y120&gt;AA$117,0,AB120+AA120))</f>
        <v>0</v>
      </c>
      <c r="AA120" s="747">
        <f t="shared" ref="AA120:AA178" ca="1" si="31">IF(AD$118=0,0,IF(Y120&gt;AA$117,0,IF(Y$117=1,IF(Z$117=0,AA$118,IF(Z$117&lt;Y120,AA$118,0)),IF(Z$117=0,AA$118-AB120,IF(Z$117&gt;=Y120,0,AA$118-AB120)))))</f>
        <v>0</v>
      </c>
      <c r="AB120" s="747">
        <f t="shared" ref="AB120:AB178" si="32">IF(Y120&gt;AA$117,0,AD119*AB$117/12)</f>
        <v>0</v>
      </c>
      <c r="AC120" s="747"/>
      <c r="AD120" s="747">
        <f t="shared" ref="AD120:AD178" ca="1" si="33">+AD119-AA120</f>
        <v>0</v>
      </c>
      <c r="AE120" s="747">
        <v>2</v>
      </c>
      <c r="AF120" s="747">
        <f t="shared" ref="AF120:AF178" ca="1" si="34">IF(AJ119=0,0,IF(AE120&gt;AG$117,0,AH120+AG120))</f>
        <v>0</v>
      </c>
      <c r="AG120" s="747">
        <f t="shared" ref="AG120:AG178" ca="1" si="35">IF(AJ$118=0,0,IF(AE120&gt;AG$117,0,IF(AE$117=1,IF(AF$117=0,AG$118,IF(AF$117&lt;AE120,AG$118,0)),IF(AF$117=0,AG$118-AH120,IF(AF$117&gt;=AE120,0,AG$118-AH120)))))</f>
        <v>0</v>
      </c>
      <c r="AH120" s="747">
        <f t="shared" ref="AH120:AH178" si="36">IF(AE120&gt;AG$117,0,AJ119*AH$117/12)</f>
        <v>0</v>
      </c>
      <c r="AI120" s="741"/>
      <c r="AJ120" s="747">
        <f t="shared" ref="AJ120:AJ178" ca="1" si="37">+AJ119-AG120</f>
        <v>0</v>
      </c>
      <c r="AK120" s="747">
        <v>2</v>
      </c>
      <c r="AL120" s="747">
        <f t="shared" ref="AL120:AL178" ca="1" si="38">IF(AP119=0,0,IF(AK120&gt;AM$117,0,AN120+AM120))</f>
        <v>0</v>
      </c>
      <c r="AM120" s="747">
        <f t="shared" ref="AM120:AM178" ca="1" si="39">IF(AP$118=0,0,IF(AK120&gt;AM$117,0,IF(AK$117=1,IF(AL$117=0,AM$118,IF(AL$117&lt;AK120,AM$118,0)),IF(AL$117=0,AM$118-AN120,IF(AL$117&gt;=AK120,0,AM$118-AN120)))))</f>
        <v>0</v>
      </c>
      <c r="AN120" s="747">
        <f t="shared" ref="AN120:AN178" si="40">IF(AK120&gt;AM$117,0,AP119*AN$117/12)</f>
        <v>0</v>
      </c>
      <c r="AO120" s="741"/>
      <c r="AP120" s="747">
        <f t="shared" ref="AP120:AP178" ca="1" si="41">+AP119-AM120</f>
        <v>0</v>
      </c>
      <c r="AQ120" s="747">
        <v>2</v>
      </c>
      <c r="AR120" s="747">
        <f t="shared" ref="AR120:AR178" ca="1" si="42">IF(AV119=0,0,IF(AQ120&gt;AS$117,0,AT120+AS120))</f>
        <v>0</v>
      </c>
      <c r="AS120" s="747">
        <f t="shared" ref="AS120:AS178" ca="1" si="43">IF(AV$118=0,0,IF(AQ120&gt;AS$117,0,IF(AQ$117=1,IF(AR$117=0,AS$118,IF(AR$117&lt;AQ120,AS$118,0)),IF(AR$117=0,AS$118-AT120,IF(AR$117&gt;=AQ120,0,AS$118-AT120)))))</f>
        <v>0</v>
      </c>
      <c r="AT120" s="747">
        <f t="shared" ref="AT120:AT178" si="44">IF(AQ120&gt;AS$117,0,AV119*AT$117/12)</f>
        <v>0</v>
      </c>
      <c r="AU120" s="741"/>
      <c r="AV120" s="747">
        <f t="shared" ref="AV120:AV178" ca="1" si="45">+AV119-AS120</f>
        <v>0</v>
      </c>
      <c r="AW120" s="747">
        <v>2</v>
      </c>
      <c r="AX120" s="747">
        <f t="shared" ref="AX120:AX178" ca="1" si="46">IF(BB119=0,0,IF(AW120&gt;AY$117,0,AZ120+AY120))</f>
        <v>0</v>
      </c>
      <c r="AY120" s="747">
        <f t="shared" ref="AY120:AY178" ca="1" si="47">IF(BB$118=0,0,IF(AW120&gt;AY$117,0,IF(AW$117=1,IF(AX$117=0,AY$118,IF(AX$117&lt;AW120,AY$118,0)),IF(AX$117=0,AY$118-AZ120,IF(AX$117&gt;=AW120,0,AY$118-AZ120)))))</f>
        <v>0</v>
      </c>
      <c r="AZ120" s="747">
        <f t="shared" ref="AZ120:AZ178" si="48">IF(AW120&gt;AY$117,0,BB119*AZ$117/12)</f>
        <v>0</v>
      </c>
      <c r="BA120" s="741"/>
      <c r="BB120" s="747">
        <f t="shared" ref="BB120:BB178" ca="1" si="49">+BB119-AY120</f>
        <v>0</v>
      </c>
      <c r="BC120" s="747">
        <v>2</v>
      </c>
      <c r="BD120" s="747">
        <f t="shared" ref="BD120:BD178" si="50">IF(BH119=0,0,IF(BC120&gt;BE$117,0,BF120+BE120))</f>
        <v>0</v>
      </c>
      <c r="BE120" s="747">
        <f t="shared" ref="BE120:BE178" si="51">IF(BH$118=0,0,IF(BC120&gt;BE$117,0,IF(BC$117=1,IF(BD$117=0,BE$118,IF(BD$117&lt;BC120,BE$118,0)),IF(BD$117=0,BE$118-BF120,IF(BD$117&gt;=BC120,0,BE$118-BF120)))))</f>
        <v>0</v>
      </c>
      <c r="BF120" s="747">
        <f t="shared" ref="BF120:BF178" si="52">IF(BC120&gt;BE$117,0,BH119*BF$117/12)</f>
        <v>0</v>
      </c>
      <c r="BG120" s="741"/>
      <c r="BH120" s="747">
        <f t="shared" ref="BH120:BH178" si="53">+BH119-BE120</f>
        <v>0</v>
      </c>
      <c r="BI120" s="747">
        <v>2</v>
      </c>
      <c r="BJ120" s="747">
        <f t="shared" ref="BJ120:BJ178" si="54">IF(BN119=0,0,IF(BI120&gt;BK$117,0,BL120+BK120))</f>
        <v>0</v>
      </c>
      <c r="BK120" s="747">
        <f t="shared" ref="BK120:BK178" si="55">IF(BN$118=0,0,IF(BI120&gt;BK$117,0,IF(BI$117=1,IF(BJ$117=0,BK$118,IF(BJ$117&lt;BI120,BK$118,0)),IF(BJ$117=0,BK$118-BL120,IF(BJ$117&gt;=BI120,0,BK$118-BL120)))))</f>
        <v>0</v>
      </c>
      <c r="BL120" s="747">
        <f t="shared" ref="BL120:BL178" si="56">IF(BI120&gt;BK$117,0,BN119*BL$117/12)</f>
        <v>0</v>
      </c>
      <c r="BM120" s="741"/>
      <c r="BN120" s="747">
        <f t="shared" ref="BN120:BN178" si="57">+BN119-BK120</f>
        <v>0</v>
      </c>
      <c r="BO120" s="747">
        <v>2</v>
      </c>
      <c r="BP120" s="747">
        <f t="shared" ref="BP120:BP178" si="58">IF(BT119=0,0,IF(BO120&gt;BQ$117,0,BR120+BQ120))</f>
        <v>0</v>
      </c>
      <c r="BQ120" s="747">
        <f t="shared" ref="BQ120:BQ178" si="59">IF(BT$118=0,0,IF(BO120&gt;BQ$117,0,IF(BO$117=1,IF(BP$117=0,BQ$118,IF(BP$117&lt;BO120,BQ$118,0)),IF(BP$117=0,BQ$118-BR120,IF(BP$117&gt;=BO120,0,BQ$118-BR120)))))</f>
        <v>0</v>
      </c>
      <c r="BR120" s="747">
        <f t="shared" ref="BR120:BR178" si="60">IF(BO120&gt;BQ$117,0,BT119*BR$117/12)</f>
        <v>0</v>
      </c>
      <c r="BS120" s="741"/>
      <c r="BT120" s="747">
        <f t="shared" ref="BT120:BT178" si="61">+BT119-BQ120</f>
        <v>0</v>
      </c>
      <c r="BU120" s="750"/>
      <c r="BV120" s="750"/>
      <c r="BW120" s="750"/>
      <c r="BX120" s="750"/>
      <c r="BY120" s="750"/>
      <c r="BZ120" s="750"/>
      <c r="CA120" s="750"/>
      <c r="CB120" s="750"/>
      <c r="CC120" s="750"/>
      <c r="CD120" s="750"/>
      <c r="CE120" s="750"/>
      <c r="CF120" s="750"/>
      <c r="CG120" s="750"/>
      <c r="CH120" s="750"/>
      <c r="CI120" s="750"/>
      <c r="CJ120" s="750"/>
      <c r="CK120" s="750"/>
      <c r="CL120" s="750"/>
      <c r="CM120" s="750"/>
      <c r="CN120" s="750"/>
    </row>
    <row r="121" spans="1:92" ht="15" customHeight="1">
      <c r="A121" s="737">
        <v>3</v>
      </c>
      <c r="B121" s="737">
        <f t="shared" ca="1" si="18"/>
        <v>0</v>
      </c>
      <c r="C121" s="737">
        <f t="shared" ca="1" si="18"/>
        <v>0</v>
      </c>
      <c r="D121" s="737">
        <f t="shared" si="18"/>
        <v>0</v>
      </c>
      <c r="E121" s="737">
        <f t="shared" si="18"/>
        <v>0</v>
      </c>
      <c r="F121" s="737">
        <f t="shared" ca="1" si="18"/>
        <v>0</v>
      </c>
      <c r="G121" s="747">
        <v>3</v>
      </c>
      <c r="H121" s="747">
        <f t="shared" ca="1" si="19"/>
        <v>0</v>
      </c>
      <c r="I121" s="747">
        <f t="shared" ca="1" si="20"/>
        <v>0</v>
      </c>
      <c r="J121" s="747">
        <f t="shared" si="21"/>
        <v>0</v>
      </c>
      <c r="K121" s="747"/>
      <c r="L121" s="747">
        <f t="shared" ref="L121:L178" ca="1" si="62">+L120-I121</f>
        <v>0</v>
      </c>
      <c r="M121" s="747">
        <v>3</v>
      </c>
      <c r="N121" s="747">
        <f t="shared" ca="1" si="22"/>
        <v>0</v>
      </c>
      <c r="O121" s="747">
        <f t="shared" ca="1" si="23"/>
        <v>0</v>
      </c>
      <c r="P121" s="747">
        <f t="shared" si="24"/>
        <v>0</v>
      </c>
      <c r="Q121" s="748"/>
      <c r="R121" s="747">
        <f t="shared" ca="1" si="25"/>
        <v>0</v>
      </c>
      <c r="S121" s="747">
        <v>3</v>
      </c>
      <c r="T121" s="747">
        <f t="shared" ca="1" si="26"/>
        <v>0</v>
      </c>
      <c r="U121" s="747">
        <f t="shared" ca="1" si="27"/>
        <v>0</v>
      </c>
      <c r="V121" s="747">
        <f t="shared" si="28"/>
        <v>0</v>
      </c>
      <c r="W121" s="749"/>
      <c r="X121" s="747">
        <f t="shared" ca="1" si="29"/>
        <v>0</v>
      </c>
      <c r="Y121" s="747">
        <v>3</v>
      </c>
      <c r="Z121" s="747">
        <f t="shared" ca="1" si="30"/>
        <v>0</v>
      </c>
      <c r="AA121" s="747">
        <f t="shared" ca="1" si="31"/>
        <v>0</v>
      </c>
      <c r="AB121" s="747">
        <f t="shared" si="32"/>
        <v>0</v>
      </c>
      <c r="AC121" s="747"/>
      <c r="AD121" s="747">
        <f t="shared" ca="1" si="33"/>
        <v>0</v>
      </c>
      <c r="AE121" s="747">
        <v>3</v>
      </c>
      <c r="AF121" s="747">
        <f t="shared" ca="1" si="34"/>
        <v>0</v>
      </c>
      <c r="AG121" s="747">
        <f t="shared" ca="1" si="35"/>
        <v>0</v>
      </c>
      <c r="AH121" s="747">
        <f t="shared" si="36"/>
        <v>0</v>
      </c>
      <c r="AI121" s="741"/>
      <c r="AJ121" s="747">
        <f t="shared" ca="1" si="37"/>
        <v>0</v>
      </c>
      <c r="AK121" s="747">
        <v>3</v>
      </c>
      <c r="AL121" s="747">
        <f t="shared" ca="1" si="38"/>
        <v>0</v>
      </c>
      <c r="AM121" s="747">
        <f t="shared" ca="1" si="39"/>
        <v>0</v>
      </c>
      <c r="AN121" s="747">
        <f t="shared" si="40"/>
        <v>0</v>
      </c>
      <c r="AO121" s="741"/>
      <c r="AP121" s="747">
        <f t="shared" ca="1" si="41"/>
        <v>0</v>
      </c>
      <c r="AQ121" s="747">
        <v>3</v>
      </c>
      <c r="AR121" s="747">
        <f t="shared" ca="1" si="42"/>
        <v>0</v>
      </c>
      <c r="AS121" s="747">
        <f t="shared" ca="1" si="43"/>
        <v>0</v>
      </c>
      <c r="AT121" s="747">
        <f t="shared" si="44"/>
        <v>0</v>
      </c>
      <c r="AU121" s="741"/>
      <c r="AV121" s="747">
        <f t="shared" ca="1" si="45"/>
        <v>0</v>
      </c>
      <c r="AW121" s="747">
        <v>3</v>
      </c>
      <c r="AX121" s="747">
        <f t="shared" ca="1" si="46"/>
        <v>0</v>
      </c>
      <c r="AY121" s="747">
        <f t="shared" ca="1" si="47"/>
        <v>0</v>
      </c>
      <c r="AZ121" s="747">
        <f t="shared" si="48"/>
        <v>0</v>
      </c>
      <c r="BA121" s="741"/>
      <c r="BB121" s="747">
        <f t="shared" ca="1" si="49"/>
        <v>0</v>
      </c>
      <c r="BC121" s="747">
        <v>3</v>
      </c>
      <c r="BD121" s="747">
        <f t="shared" si="50"/>
        <v>0</v>
      </c>
      <c r="BE121" s="747">
        <f t="shared" si="51"/>
        <v>0</v>
      </c>
      <c r="BF121" s="747">
        <f t="shared" si="52"/>
        <v>0</v>
      </c>
      <c r="BG121" s="741"/>
      <c r="BH121" s="747">
        <f t="shared" si="53"/>
        <v>0</v>
      </c>
      <c r="BI121" s="747">
        <v>3</v>
      </c>
      <c r="BJ121" s="747">
        <f t="shared" si="54"/>
        <v>0</v>
      </c>
      <c r="BK121" s="747">
        <f t="shared" si="55"/>
        <v>0</v>
      </c>
      <c r="BL121" s="747">
        <f t="shared" si="56"/>
        <v>0</v>
      </c>
      <c r="BM121" s="741"/>
      <c r="BN121" s="747">
        <f t="shared" si="57"/>
        <v>0</v>
      </c>
      <c r="BO121" s="747">
        <v>3</v>
      </c>
      <c r="BP121" s="747">
        <f t="shared" si="58"/>
        <v>0</v>
      </c>
      <c r="BQ121" s="747">
        <f t="shared" si="59"/>
        <v>0</v>
      </c>
      <c r="BR121" s="747">
        <f t="shared" si="60"/>
        <v>0</v>
      </c>
      <c r="BS121" s="741"/>
      <c r="BT121" s="747">
        <f t="shared" si="61"/>
        <v>0</v>
      </c>
      <c r="BU121" s="750"/>
      <c r="BV121" s="750"/>
      <c r="BW121" s="750"/>
      <c r="BX121" s="750"/>
      <c r="BY121" s="750"/>
      <c r="BZ121" s="750"/>
      <c r="CA121" s="750"/>
      <c r="CB121" s="750"/>
      <c r="CC121" s="750"/>
      <c r="CD121" s="750"/>
      <c r="CE121" s="750"/>
      <c r="CF121" s="750"/>
      <c r="CG121" s="750"/>
      <c r="CH121" s="750"/>
      <c r="CI121" s="750"/>
      <c r="CJ121" s="750"/>
      <c r="CK121" s="750"/>
      <c r="CL121" s="750"/>
      <c r="CM121" s="750"/>
      <c r="CN121" s="750"/>
    </row>
    <row r="122" spans="1:92" ht="15" customHeight="1">
      <c r="A122" s="737">
        <v>4</v>
      </c>
      <c r="B122" s="737">
        <f t="shared" ref="B122:F124" ca="1" si="63">+H122+N119</f>
        <v>0</v>
      </c>
      <c r="C122" s="737">
        <f t="shared" ca="1" si="63"/>
        <v>0</v>
      </c>
      <c r="D122" s="737">
        <f t="shared" si="63"/>
        <v>0</v>
      </c>
      <c r="E122" s="737">
        <f t="shared" si="63"/>
        <v>0</v>
      </c>
      <c r="F122" s="737">
        <f t="shared" ca="1" si="63"/>
        <v>0</v>
      </c>
      <c r="G122" s="747">
        <v>4</v>
      </c>
      <c r="H122" s="747">
        <f t="shared" ca="1" si="19"/>
        <v>0</v>
      </c>
      <c r="I122" s="747">
        <f t="shared" ca="1" si="20"/>
        <v>0</v>
      </c>
      <c r="J122" s="747">
        <f t="shared" si="21"/>
        <v>0</v>
      </c>
      <c r="K122" s="747"/>
      <c r="L122" s="747">
        <f t="shared" ca="1" si="62"/>
        <v>0</v>
      </c>
      <c r="M122" s="747">
        <v>4</v>
      </c>
      <c r="N122" s="747">
        <f t="shared" ca="1" si="22"/>
        <v>0</v>
      </c>
      <c r="O122" s="747">
        <f t="shared" ca="1" si="23"/>
        <v>0</v>
      </c>
      <c r="P122" s="747">
        <f t="shared" si="24"/>
        <v>0</v>
      </c>
      <c r="Q122" s="748"/>
      <c r="R122" s="747">
        <f t="shared" ca="1" si="25"/>
        <v>0</v>
      </c>
      <c r="S122" s="747">
        <v>4</v>
      </c>
      <c r="T122" s="747">
        <f t="shared" ca="1" si="26"/>
        <v>0</v>
      </c>
      <c r="U122" s="747">
        <f t="shared" ca="1" si="27"/>
        <v>0</v>
      </c>
      <c r="V122" s="747">
        <f t="shared" si="28"/>
        <v>0</v>
      </c>
      <c r="W122" s="749"/>
      <c r="X122" s="747">
        <f t="shared" ca="1" si="29"/>
        <v>0</v>
      </c>
      <c r="Y122" s="747">
        <v>4</v>
      </c>
      <c r="Z122" s="747">
        <f t="shared" ca="1" si="30"/>
        <v>0</v>
      </c>
      <c r="AA122" s="747">
        <f t="shared" ca="1" si="31"/>
        <v>0</v>
      </c>
      <c r="AB122" s="747">
        <f t="shared" si="32"/>
        <v>0</v>
      </c>
      <c r="AC122" s="747"/>
      <c r="AD122" s="747">
        <f t="shared" ca="1" si="33"/>
        <v>0</v>
      </c>
      <c r="AE122" s="747">
        <v>4</v>
      </c>
      <c r="AF122" s="747">
        <f t="shared" ca="1" si="34"/>
        <v>0</v>
      </c>
      <c r="AG122" s="747">
        <f t="shared" ca="1" si="35"/>
        <v>0</v>
      </c>
      <c r="AH122" s="747">
        <f t="shared" si="36"/>
        <v>0</v>
      </c>
      <c r="AI122" s="741"/>
      <c r="AJ122" s="747">
        <f t="shared" ca="1" si="37"/>
        <v>0</v>
      </c>
      <c r="AK122" s="747">
        <v>4</v>
      </c>
      <c r="AL122" s="747">
        <f t="shared" ca="1" si="38"/>
        <v>0</v>
      </c>
      <c r="AM122" s="747">
        <f t="shared" ca="1" si="39"/>
        <v>0</v>
      </c>
      <c r="AN122" s="747">
        <f t="shared" si="40"/>
        <v>0</v>
      </c>
      <c r="AO122" s="741"/>
      <c r="AP122" s="747">
        <f t="shared" ca="1" si="41"/>
        <v>0</v>
      </c>
      <c r="AQ122" s="747">
        <v>4</v>
      </c>
      <c r="AR122" s="747">
        <f t="shared" ca="1" si="42"/>
        <v>0</v>
      </c>
      <c r="AS122" s="747">
        <f t="shared" ca="1" si="43"/>
        <v>0</v>
      </c>
      <c r="AT122" s="747">
        <f t="shared" si="44"/>
        <v>0</v>
      </c>
      <c r="AU122" s="741"/>
      <c r="AV122" s="747">
        <f t="shared" ca="1" si="45"/>
        <v>0</v>
      </c>
      <c r="AW122" s="747">
        <v>4</v>
      </c>
      <c r="AX122" s="747">
        <f t="shared" ca="1" si="46"/>
        <v>0</v>
      </c>
      <c r="AY122" s="747">
        <f t="shared" ca="1" si="47"/>
        <v>0</v>
      </c>
      <c r="AZ122" s="747">
        <f t="shared" si="48"/>
        <v>0</v>
      </c>
      <c r="BA122" s="741"/>
      <c r="BB122" s="747">
        <f t="shared" ca="1" si="49"/>
        <v>0</v>
      </c>
      <c r="BC122" s="747">
        <v>4</v>
      </c>
      <c r="BD122" s="747">
        <f t="shared" si="50"/>
        <v>0</v>
      </c>
      <c r="BE122" s="747">
        <f t="shared" si="51"/>
        <v>0</v>
      </c>
      <c r="BF122" s="747">
        <f t="shared" si="52"/>
        <v>0</v>
      </c>
      <c r="BG122" s="741"/>
      <c r="BH122" s="747">
        <f t="shared" si="53"/>
        <v>0</v>
      </c>
      <c r="BI122" s="747">
        <v>4</v>
      </c>
      <c r="BJ122" s="747">
        <f t="shared" si="54"/>
        <v>0</v>
      </c>
      <c r="BK122" s="747">
        <f t="shared" si="55"/>
        <v>0</v>
      </c>
      <c r="BL122" s="747">
        <f t="shared" si="56"/>
        <v>0</v>
      </c>
      <c r="BM122" s="741"/>
      <c r="BN122" s="747">
        <f t="shared" si="57"/>
        <v>0</v>
      </c>
      <c r="BO122" s="747">
        <v>4</v>
      </c>
      <c r="BP122" s="747">
        <f t="shared" si="58"/>
        <v>0</v>
      </c>
      <c r="BQ122" s="747">
        <f t="shared" si="59"/>
        <v>0</v>
      </c>
      <c r="BR122" s="747">
        <f t="shared" si="60"/>
        <v>0</v>
      </c>
      <c r="BS122" s="741"/>
      <c r="BT122" s="747">
        <f t="shared" si="61"/>
        <v>0</v>
      </c>
      <c r="BU122" s="750"/>
      <c r="BV122" s="750"/>
      <c r="BW122" s="750"/>
      <c r="BX122" s="750"/>
      <c r="BY122" s="750"/>
      <c r="BZ122" s="750"/>
      <c r="CA122" s="750"/>
      <c r="CB122" s="750"/>
      <c r="CC122" s="750"/>
      <c r="CD122" s="750"/>
      <c r="CE122" s="750"/>
      <c r="CF122" s="750"/>
      <c r="CG122" s="750"/>
      <c r="CH122" s="750"/>
      <c r="CI122" s="750"/>
      <c r="CJ122" s="750"/>
      <c r="CK122" s="750"/>
      <c r="CL122" s="750"/>
      <c r="CM122" s="750"/>
      <c r="CN122" s="750"/>
    </row>
    <row r="123" spans="1:92" ht="15" customHeight="1">
      <c r="A123" s="737">
        <v>5</v>
      </c>
      <c r="B123" s="737">
        <f t="shared" ca="1" si="63"/>
        <v>0</v>
      </c>
      <c r="C123" s="737">
        <f t="shared" ca="1" si="63"/>
        <v>0</v>
      </c>
      <c r="D123" s="737">
        <f t="shared" si="63"/>
        <v>0</v>
      </c>
      <c r="E123" s="737">
        <f t="shared" si="63"/>
        <v>0</v>
      </c>
      <c r="F123" s="737">
        <f t="shared" ca="1" si="63"/>
        <v>0</v>
      </c>
      <c r="G123" s="747">
        <v>5</v>
      </c>
      <c r="H123" s="747">
        <f t="shared" ca="1" si="19"/>
        <v>0</v>
      </c>
      <c r="I123" s="747">
        <f t="shared" ca="1" si="20"/>
        <v>0</v>
      </c>
      <c r="J123" s="747">
        <f t="shared" si="21"/>
        <v>0</v>
      </c>
      <c r="K123" s="747"/>
      <c r="L123" s="747">
        <f t="shared" ca="1" si="62"/>
        <v>0</v>
      </c>
      <c r="M123" s="747">
        <v>5</v>
      </c>
      <c r="N123" s="747">
        <f t="shared" ca="1" si="22"/>
        <v>0</v>
      </c>
      <c r="O123" s="747">
        <f t="shared" ca="1" si="23"/>
        <v>0</v>
      </c>
      <c r="P123" s="747">
        <f t="shared" si="24"/>
        <v>0</v>
      </c>
      <c r="Q123" s="748"/>
      <c r="R123" s="747">
        <f t="shared" ca="1" si="25"/>
        <v>0</v>
      </c>
      <c r="S123" s="747">
        <v>5</v>
      </c>
      <c r="T123" s="747">
        <f t="shared" ca="1" si="26"/>
        <v>0</v>
      </c>
      <c r="U123" s="747">
        <f t="shared" ca="1" si="27"/>
        <v>0</v>
      </c>
      <c r="V123" s="747">
        <f t="shared" si="28"/>
        <v>0</v>
      </c>
      <c r="W123" s="749"/>
      <c r="X123" s="747">
        <f t="shared" ca="1" si="29"/>
        <v>0</v>
      </c>
      <c r="Y123" s="747">
        <v>5</v>
      </c>
      <c r="Z123" s="747">
        <f t="shared" ca="1" si="30"/>
        <v>0</v>
      </c>
      <c r="AA123" s="747">
        <f t="shared" ca="1" si="31"/>
        <v>0</v>
      </c>
      <c r="AB123" s="747">
        <f t="shared" si="32"/>
        <v>0</v>
      </c>
      <c r="AC123" s="747"/>
      <c r="AD123" s="747">
        <f t="shared" ca="1" si="33"/>
        <v>0</v>
      </c>
      <c r="AE123" s="747">
        <v>5</v>
      </c>
      <c r="AF123" s="747">
        <f t="shared" ca="1" si="34"/>
        <v>0</v>
      </c>
      <c r="AG123" s="747">
        <f t="shared" ca="1" si="35"/>
        <v>0</v>
      </c>
      <c r="AH123" s="747">
        <f t="shared" si="36"/>
        <v>0</v>
      </c>
      <c r="AI123" s="741"/>
      <c r="AJ123" s="747">
        <f t="shared" ca="1" si="37"/>
        <v>0</v>
      </c>
      <c r="AK123" s="747">
        <v>5</v>
      </c>
      <c r="AL123" s="747">
        <f t="shared" ca="1" si="38"/>
        <v>0</v>
      </c>
      <c r="AM123" s="747">
        <f t="shared" ca="1" si="39"/>
        <v>0</v>
      </c>
      <c r="AN123" s="747">
        <f t="shared" si="40"/>
        <v>0</v>
      </c>
      <c r="AO123" s="741"/>
      <c r="AP123" s="747">
        <f t="shared" ca="1" si="41"/>
        <v>0</v>
      </c>
      <c r="AQ123" s="747">
        <v>5</v>
      </c>
      <c r="AR123" s="747">
        <f t="shared" ca="1" si="42"/>
        <v>0</v>
      </c>
      <c r="AS123" s="747">
        <f t="shared" ca="1" si="43"/>
        <v>0</v>
      </c>
      <c r="AT123" s="747">
        <f t="shared" si="44"/>
        <v>0</v>
      </c>
      <c r="AU123" s="741"/>
      <c r="AV123" s="747">
        <f t="shared" ca="1" si="45"/>
        <v>0</v>
      </c>
      <c r="AW123" s="747">
        <v>5</v>
      </c>
      <c r="AX123" s="747">
        <f t="shared" ca="1" si="46"/>
        <v>0</v>
      </c>
      <c r="AY123" s="747">
        <f t="shared" ca="1" si="47"/>
        <v>0</v>
      </c>
      <c r="AZ123" s="747">
        <f t="shared" si="48"/>
        <v>0</v>
      </c>
      <c r="BA123" s="741"/>
      <c r="BB123" s="747">
        <f t="shared" ca="1" si="49"/>
        <v>0</v>
      </c>
      <c r="BC123" s="747">
        <v>5</v>
      </c>
      <c r="BD123" s="747">
        <f t="shared" si="50"/>
        <v>0</v>
      </c>
      <c r="BE123" s="747">
        <f t="shared" si="51"/>
        <v>0</v>
      </c>
      <c r="BF123" s="747">
        <f t="shared" si="52"/>
        <v>0</v>
      </c>
      <c r="BG123" s="741"/>
      <c r="BH123" s="747">
        <f t="shared" si="53"/>
        <v>0</v>
      </c>
      <c r="BI123" s="747">
        <v>5</v>
      </c>
      <c r="BJ123" s="747">
        <f t="shared" si="54"/>
        <v>0</v>
      </c>
      <c r="BK123" s="747">
        <f t="shared" si="55"/>
        <v>0</v>
      </c>
      <c r="BL123" s="747">
        <f t="shared" si="56"/>
        <v>0</v>
      </c>
      <c r="BM123" s="741"/>
      <c r="BN123" s="747">
        <f t="shared" si="57"/>
        <v>0</v>
      </c>
      <c r="BO123" s="747">
        <v>5</v>
      </c>
      <c r="BP123" s="747">
        <f t="shared" si="58"/>
        <v>0</v>
      </c>
      <c r="BQ123" s="747">
        <f t="shared" si="59"/>
        <v>0</v>
      </c>
      <c r="BR123" s="747">
        <f t="shared" si="60"/>
        <v>0</v>
      </c>
      <c r="BS123" s="741"/>
      <c r="BT123" s="747">
        <f t="shared" si="61"/>
        <v>0</v>
      </c>
      <c r="BU123" s="750"/>
      <c r="BV123" s="750"/>
      <c r="BW123" s="750"/>
      <c r="BX123" s="750"/>
      <c r="BY123" s="750"/>
      <c r="BZ123" s="750"/>
      <c r="CA123" s="750"/>
      <c r="CB123" s="750"/>
      <c r="CC123" s="750"/>
      <c r="CD123" s="750"/>
      <c r="CE123" s="750"/>
      <c r="CF123" s="750"/>
      <c r="CG123" s="750"/>
      <c r="CH123" s="750"/>
      <c r="CI123" s="750"/>
      <c r="CJ123" s="750"/>
      <c r="CK123" s="750"/>
      <c r="CL123" s="750"/>
      <c r="CM123" s="750"/>
      <c r="CN123" s="750"/>
    </row>
    <row r="124" spans="1:92" ht="15" customHeight="1">
      <c r="A124" s="737">
        <v>6</v>
      </c>
      <c r="B124" s="737">
        <f t="shared" ca="1" si="63"/>
        <v>0</v>
      </c>
      <c r="C124" s="737">
        <f t="shared" ca="1" si="63"/>
        <v>0</v>
      </c>
      <c r="D124" s="737">
        <f t="shared" si="63"/>
        <v>0</v>
      </c>
      <c r="E124" s="737">
        <f t="shared" si="63"/>
        <v>0</v>
      </c>
      <c r="F124" s="737">
        <f t="shared" ca="1" si="63"/>
        <v>0</v>
      </c>
      <c r="G124" s="747">
        <v>6</v>
      </c>
      <c r="H124" s="747">
        <f t="shared" ca="1" si="19"/>
        <v>0</v>
      </c>
      <c r="I124" s="747">
        <f t="shared" ca="1" si="20"/>
        <v>0</v>
      </c>
      <c r="J124" s="747">
        <f t="shared" si="21"/>
        <v>0</v>
      </c>
      <c r="K124" s="747"/>
      <c r="L124" s="747">
        <f t="shared" ca="1" si="62"/>
        <v>0</v>
      </c>
      <c r="M124" s="747">
        <v>6</v>
      </c>
      <c r="N124" s="747">
        <f t="shared" ca="1" si="22"/>
        <v>0</v>
      </c>
      <c r="O124" s="747">
        <f t="shared" ca="1" si="23"/>
        <v>0</v>
      </c>
      <c r="P124" s="747">
        <f t="shared" si="24"/>
        <v>0</v>
      </c>
      <c r="Q124" s="748"/>
      <c r="R124" s="747">
        <f t="shared" ca="1" si="25"/>
        <v>0</v>
      </c>
      <c r="S124" s="747">
        <v>6</v>
      </c>
      <c r="T124" s="747">
        <f t="shared" ca="1" si="26"/>
        <v>0</v>
      </c>
      <c r="U124" s="747">
        <f t="shared" ca="1" si="27"/>
        <v>0</v>
      </c>
      <c r="V124" s="747">
        <f t="shared" si="28"/>
        <v>0</v>
      </c>
      <c r="W124" s="749"/>
      <c r="X124" s="747">
        <f t="shared" ca="1" si="29"/>
        <v>0</v>
      </c>
      <c r="Y124" s="747">
        <v>6</v>
      </c>
      <c r="Z124" s="747">
        <f t="shared" ca="1" si="30"/>
        <v>0</v>
      </c>
      <c r="AA124" s="747">
        <f t="shared" ca="1" si="31"/>
        <v>0</v>
      </c>
      <c r="AB124" s="747">
        <f t="shared" si="32"/>
        <v>0</v>
      </c>
      <c r="AC124" s="747"/>
      <c r="AD124" s="747">
        <f t="shared" ca="1" si="33"/>
        <v>0</v>
      </c>
      <c r="AE124" s="747">
        <v>6</v>
      </c>
      <c r="AF124" s="747">
        <f t="shared" ca="1" si="34"/>
        <v>0</v>
      </c>
      <c r="AG124" s="747">
        <f t="shared" ca="1" si="35"/>
        <v>0</v>
      </c>
      <c r="AH124" s="747">
        <f t="shared" si="36"/>
        <v>0</v>
      </c>
      <c r="AI124" s="741"/>
      <c r="AJ124" s="747">
        <f t="shared" ca="1" si="37"/>
        <v>0</v>
      </c>
      <c r="AK124" s="747">
        <v>6</v>
      </c>
      <c r="AL124" s="747">
        <f t="shared" ca="1" si="38"/>
        <v>0</v>
      </c>
      <c r="AM124" s="747">
        <f t="shared" ca="1" si="39"/>
        <v>0</v>
      </c>
      <c r="AN124" s="747">
        <f t="shared" si="40"/>
        <v>0</v>
      </c>
      <c r="AO124" s="741"/>
      <c r="AP124" s="747">
        <f t="shared" ca="1" si="41"/>
        <v>0</v>
      </c>
      <c r="AQ124" s="747">
        <v>6</v>
      </c>
      <c r="AR124" s="747">
        <f t="shared" ca="1" si="42"/>
        <v>0</v>
      </c>
      <c r="AS124" s="747">
        <f t="shared" ca="1" si="43"/>
        <v>0</v>
      </c>
      <c r="AT124" s="747">
        <f t="shared" si="44"/>
        <v>0</v>
      </c>
      <c r="AU124" s="741"/>
      <c r="AV124" s="747">
        <f t="shared" ca="1" si="45"/>
        <v>0</v>
      </c>
      <c r="AW124" s="747">
        <v>6</v>
      </c>
      <c r="AX124" s="747">
        <f t="shared" ca="1" si="46"/>
        <v>0</v>
      </c>
      <c r="AY124" s="747">
        <f t="shared" ca="1" si="47"/>
        <v>0</v>
      </c>
      <c r="AZ124" s="747">
        <f t="shared" si="48"/>
        <v>0</v>
      </c>
      <c r="BA124" s="741"/>
      <c r="BB124" s="747">
        <f t="shared" ca="1" si="49"/>
        <v>0</v>
      </c>
      <c r="BC124" s="747">
        <v>6</v>
      </c>
      <c r="BD124" s="747">
        <f t="shared" si="50"/>
        <v>0</v>
      </c>
      <c r="BE124" s="747">
        <f t="shared" si="51"/>
        <v>0</v>
      </c>
      <c r="BF124" s="747">
        <f t="shared" si="52"/>
        <v>0</v>
      </c>
      <c r="BG124" s="741"/>
      <c r="BH124" s="747">
        <f t="shared" si="53"/>
        <v>0</v>
      </c>
      <c r="BI124" s="747">
        <v>6</v>
      </c>
      <c r="BJ124" s="747">
        <f t="shared" si="54"/>
        <v>0</v>
      </c>
      <c r="BK124" s="747">
        <f t="shared" si="55"/>
        <v>0</v>
      </c>
      <c r="BL124" s="747">
        <f t="shared" si="56"/>
        <v>0</v>
      </c>
      <c r="BM124" s="741"/>
      <c r="BN124" s="747">
        <f t="shared" si="57"/>
        <v>0</v>
      </c>
      <c r="BO124" s="747">
        <v>6</v>
      </c>
      <c r="BP124" s="747">
        <f t="shared" si="58"/>
        <v>0</v>
      </c>
      <c r="BQ124" s="747">
        <f t="shared" si="59"/>
        <v>0</v>
      </c>
      <c r="BR124" s="747">
        <f t="shared" si="60"/>
        <v>0</v>
      </c>
      <c r="BS124" s="741"/>
      <c r="BT124" s="747">
        <f t="shared" si="61"/>
        <v>0</v>
      </c>
      <c r="BU124" s="750"/>
      <c r="BV124" s="750"/>
      <c r="BW124" s="750"/>
      <c r="BX124" s="750"/>
      <c r="BY124" s="750"/>
      <c r="BZ124" s="750"/>
      <c r="CA124" s="750"/>
      <c r="CB124" s="750"/>
      <c r="CC124" s="750"/>
      <c r="CD124" s="750"/>
      <c r="CE124" s="750"/>
      <c r="CF124" s="750"/>
      <c r="CG124" s="750"/>
      <c r="CH124" s="750"/>
      <c r="CI124" s="750"/>
      <c r="CJ124" s="750"/>
      <c r="CK124" s="750"/>
      <c r="CL124" s="750"/>
      <c r="CM124" s="750"/>
      <c r="CN124" s="750"/>
    </row>
    <row r="125" spans="1:92" ht="15" customHeight="1">
      <c r="A125" s="737">
        <v>7</v>
      </c>
      <c r="B125" s="737">
        <f t="shared" ref="B125:F127" ca="1" si="64">+H125+N122+T119</f>
        <v>0</v>
      </c>
      <c r="C125" s="737">
        <f t="shared" ca="1" si="64"/>
        <v>0</v>
      </c>
      <c r="D125" s="737">
        <f t="shared" si="64"/>
        <v>0</v>
      </c>
      <c r="E125" s="737">
        <f t="shared" si="64"/>
        <v>0</v>
      </c>
      <c r="F125" s="737">
        <f t="shared" ca="1" si="64"/>
        <v>0</v>
      </c>
      <c r="G125" s="747">
        <v>7</v>
      </c>
      <c r="H125" s="747">
        <f t="shared" ca="1" si="19"/>
        <v>0</v>
      </c>
      <c r="I125" s="747">
        <f t="shared" ca="1" si="20"/>
        <v>0</v>
      </c>
      <c r="J125" s="747">
        <f t="shared" si="21"/>
        <v>0</v>
      </c>
      <c r="K125" s="747"/>
      <c r="L125" s="747">
        <f t="shared" ca="1" si="62"/>
        <v>0</v>
      </c>
      <c r="M125" s="747">
        <v>7</v>
      </c>
      <c r="N125" s="747">
        <f t="shared" ca="1" si="22"/>
        <v>0</v>
      </c>
      <c r="O125" s="747">
        <f t="shared" ca="1" si="23"/>
        <v>0</v>
      </c>
      <c r="P125" s="747">
        <f t="shared" si="24"/>
        <v>0</v>
      </c>
      <c r="Q125" s="748"/>
      <c r="R125" s="747">
        <f t="shared" ca="1" si="25"/>
        <v>0</v>
      </c>
      <c r="S125" s="747">
        <v>7</v>
      </c>
      <c r="T125" s="747">
        <f t="shared" ca="1" si="26"/>
        <v>0</v>
      </c>
      <c r="U125" s="747">
        <f t="shared" ca="1" si="27"/>
        <v>0</v>
      </c>
      <c r="V125" s="747">
        <f t="shared" si="28"/>
        <v>0</v>
      </c>
      <c r="W125" s="749"/>
      <c r="X125" s="747">
        <f t="shared" ca="1" si="29"/>
        <v>0</v>
      </c>
      <c r="Y125" s="747">
        <v>7</v>
      </c>
      <c r="Z125" s="747">
        <f t="shared" ca="1" si="30"/>
        <v>0</v>
      </c>
      <c r="AA125" s="747">
        <f t="shared" ca="1" si="31"/>
        <v>0</v>
      </c>
      <c r="AB125" s="747">
        <f t="shared" si="32"/>
        <v>0</v>
      </c>
      <c r="AC125" s="747"/>
      <c r="AD125" s="747">
        <f t="shared" ca="1" si="33"/>
        <v>0</v>
      </c>
      <c r="AE125" s="747">
        <v>7</v>
      </c>
      <c r="AF125" s="747">
        <f t="shared" ca="1" si="34"/>
        <v>0</v>
      </c>
      <c r="AG125" s="747">
        <f t="shared" ca="1" si="35"/>
        <v>0</v>
      </c>
      <c r="AH125" s="747">
        <f t="shared" si="36"/>
        <v>0</v>
      </c>
      <c r="AI125" s="741"/>
      <c r="AJ125" s="747">
        <f t="shared" ca="1" si="37"/>
        <v>0</v>
      </c>
      <c r="AK125" s="747">
        <v>7</v>
      </c>
      <c r="AL125" s="747">
        <f t="shared" ca="1" si="38"/>
        <v>0</v>
      </c>
      <c r="AM125" s="747">
        <f t="shared" ca="1" si="39"/>
        <v>0</v>
      </c>
      <c r="AN125" s="747">
        <f t="shared" si="40"/>
        <v>0</v>
      </c>
      <c r="AO125" s="741"/>
      <c r="AP125" s="747">
        <f t="shared" ca="1" si="41"/>
        <v>0</v>
      </c>
      <c r="AQ125" s="747">
        <v>7</v>
      </c>
      <c r="AR125" s="747">
        <f t="shared" ca="1" si="42"/>
        <v>0</v>
      </c>
      <c r="AS125" s="747">
        <f t="shared" ca="1" si="43"/>
        <v>0</v>
      </c>
      <c r="AT125" s="747">
        <f t="shared" si="44"/>
        <v>0</v>
      </c>
      <c r="AU125" s="741"/>
      <c r="AV125" s="747">
        <f t="shared" ca="1" si="45"/>
        <v>0</v>
      </c>
      <c r="AW125" s="747">
        <v>7</v>
      </c>
      <c r="AX125" s="747">
        <f t="shared" ca="1" si="46"/>
        <v>0</v>
      </c>
      <c r="AY125" s="747">
        <f t="shared" ca="1" si="47"/>
        <v>0</v>
      </c>
      <c r="AZ125" s="747">
        <f t="shared" si="48"/>
        <v>0</v>
      </c>
      <c r="BA125" s="741"/>
      <c r="BB125" s="747">
        <f t="shared" ca="1" si="49"/>
        <v>0</v>
      </c>
      <c r="BC125" s="747">
        <v>7</v>
      </c>
      <c r="BD125" s="747">
        <f t="shared" si="50"/>
        <v>0</v>
      </c>
      <c r="BE125" s="747">
        <f t="shared" si="51"/>
        <v>0</v>
      </c>
      <c r="BF125" s="747">
        <f t="shared" si="52"/>
        <v>0</v>
      </c>
      <c r="BG125" s="741"/>
      <c r="BH125" s="747">
        <f t="shared" si="53"/>
        <v>0</v>
      </c>
      <c r="BI125" s="747">
        <v>7</v>
      </c>
      <c r="BJ125" s="747">
        <f t="shared" si="54"/>
        <v>0</v>
      </c>
      <c r="BK125" s="747">
        <f t="shared" si="55"/>
        <v>0</v>
      </c>
      <c r="BL125" s="747">
        <f t="shared" si="56"/>
        <v>0</v>
      </c>
      <c r="BM125" s="741"/>
      <c r="BN125" s="747">
        <f t="shared" si="57"/>
        <v>0</v>
      </c>
      <c r="BO125" s="747">
        <v>7</v>
      </c>
      <c r="BP125" s="747">
        <f t="shared" si="58"/>
        <v>0</v>
      </c>
      <c r="BQ125" s="747">
        <f t="shared" si="59"/>
        <v>0</v>
      </c>
      <c r="BR125" s="747">
        <f t="shared" si="60"/>
        <v>0</v>
      </c>
      <c r="BS125" s="741"/>
      <c r="BT125" s="747">
        <f t="shared" si="61"/>
        <v>0</v>
      </c>
      <c r="BU125" s="750"/>
      <c r="BV125" s="750"/>
      <c r="BW125" s="750"/>
      <c r="BX125" s="750"/>
      <c r="BY125" s="750"/>
      <c r="BZ125" s="750"/>
      <c r="CA125" s="750"/>
      <c r="CB125" s="750"/>
      <c r="CC125" s="750"/>
      <c r="CD125" s="750"/>
      <c r="CE125" s="750"/>
      <c r="CF125" s="750"/>
      <c r="CG125" s="750"/>
      <c r="CH125" s="750"/>
      <c r="CI125" s="750"/>
      <c r="CJ125" s="750"/>
      <c r="CK125" s="750"/>
      <c r="CL125" s="750"/>
      <c r="CM125" s="750"/>
      <c r="CN125" s="750"/>
    </row>
    <row r="126" spans="1:92" ht="15" customHeight="1">
      <c r="A126" s="737">
        <v>8</v>
      </c>
      <c r="B126" s="737">
        <f t="shared" ca="1" si="64"/>
        <v>0</v>
      </c>
      <c r="C126" s="737">
        <f t="shared" ca="1" si="64"/>
        <v>0</v>
      </c>
      <c r="D126" s="737">
        <f t="shared" si="64"/>
        <v>0</v>
      </c>
      <c r="E126" s="737">
        <f t="shared" si="64"/>
        <v>0</v>
      </c>
      <c r="F126" s="737">
        <f t="shared" ca="1" si="64"/>
        <v>0</v>
      </c>
      <c r="G126" s="747">
        <v>8</v>
      </c>
      <c r="H126" s="747">
        <f t="shared" ca="1" si="19"/>
        <v>0</v>
      </c>
      <c r="I126" s="747">
        <f t="shared" ca="1" si="20"/>
        <v>0</v>
      </c>
      <c r="J126" s="747">
        <f t="shared" si="21"/>
        <v>0</v>
      </c>
      <c r="K126" s="747"/>
      <c r="L126" s="747">
        <f t="shared" ca="1" si="62"/>
        <v>0</v>
      </c>
      <c r="M126" s="747">
        <v>8</v>
      </c>
      <c r="N126" s="747">
        <f t="shared" ca="1" si="22"/>
        <v>0</v>
      </c>
      <c r="O126" s="747">
        <f t="shared" ca="1" si="23"/>
        <v>0</v>
      </c>
      <c r="P126" s="747">
        <f t="shared" si="24"/>
        <v>0</v>
      </c>
      <c r="Q126" s="748"/>
      <c r="R126" s="747">
        <f t="shared" ca="1" si="25"/>
        <v>0</v>
      </c>
      <c r="S126" s="747">
        <v>8</v>
      </c>
      <c r="T126" s="747">
        <f t="shared" ca="1" si="26"/>
        <v>0</v>
      </c>
      <c r="U126" s="747">
        <f t="shared" ca="1" si="27"/>
        <v>0</v>
      </c>
      <c r="V126" s="747">
        <f t="shared" si="28"/>
        <v>0</v>
      </c>
      <c r="W126" s="749"/>
      <c r="X126" s="747">
        <f t="shared" ca="1" si="29"/>
        <v>0</v>
      </c>
      <c r="Y126" s="747">
        <v>8</v>
      </c>
      <c r="Z126" s="747">
        <f t="shared" ca="1" si="30"/>
        <v>0</v>
      </c>
      <c r="AA126" s="747">
        <f t="shared" ca="1" si="31"/>
        <v>0</v>
      </c>
      <c r="AB126" s="747">
        <f t="shared" si="32"/>
        <v>0</v>
      </c>
      <c r="AC126" s="747"/>
      <c r="AD126" s="747">
        <f t="shared" ca="1" si="33"/>
        <v>0</v>
      </c>
      <c r="AE126" s="747">
        <v>8</v>
      </c>
      <c r="AF126" s="747">
        <f t="shared" ca="1" si="34"/>
        <v>0</v>
      </c>
      <c r="AG126" s="747">
        <f t="shared" ca="1" si="35"/>
        <v>0</v>
      </c>
      <c r="AH126" s="747">
        <f t="shared" si="36"/>
        <v>0</v>
      </c>
      <c r="AI126" s="741"/>
      <c r="AJ126" s="747">
        <f t="shared" ca="1" si="37"/>
        <v>0</v>
      </c>
      <c r="AK126" s="747">
        <v>8</v>
      </c>
      <c r="AL126" s="747">
        <f t="shared" ca="1" si="38"/>
        <v>0</v>
      </c>
      <c r="AM126" s="747">
        <f t="shared" ca="1" si="39"/>
        <v>0</v>
      </c>
      <c r="AN126" s="747">
        <f t="shared" si="40"/>
        <v>0</v>
      </c>
      <c r="AO126" s="741"/>
      <c r="AP126" s="747">
        <f t="shared" ca="1" si="41"/>
        <v>0</v>
      </c>
      <c r="AQ126" s="747">
        <v>8</v>
      </c>
      <c r="AR126" s="747">
        <f t="shared" ca="1" si="42"/>
        <v>0</v>
      </c>
      <c r="AS126" s="747">
        <f t="shared" ca="1" si="43"/>
        <v>0</v>
      </c>
      <c r="AT126" s="747">
        <f t="shared" si="44"/>
        <v>0</v>
      </c>
      <c r="AU126" s="741"/>
      <c r="AV126" s="747">
        <f t="shared" ca="1" si="45"/>
        <v>0</v>
      </c>
      <c r="AW126" s="747">
        <v>8</v>
      </c>
      <c r="AX126" s="747">
        <f t="shared" ca="1" si="46"/>
        <v>0</v>
      </c>
      <c r="AY126" s="747">
        <f t="shared" ca="1" si="47"/>
        <v>0</v>
      </c>
      <c r="AZ126" s="747">
        <f t="shared" si="48"/>
        <v>0</v>
      </c>
      <c r="BA126" s="741"/>
      <c r="BB126" s="747">
        <f t="shared" ca="1" si="49"/>
        <v>0</v>
      </c>
      <c r="BC126" s="747">
        <v>8</v>
      </c>
      <c r="BD126" s="747">
        <f t="shared" si="50"/>
        <v>0</v>
      </c>
      <c r="BE126" s="747">
        <f t="shared" si="51"/>
        <v>0</v>
      </c>
      <c r="BF126" s="747">
        <f t="shared" si="52"/>
        <v>0</v>
      </c>
      <c r="BG126" s="741"/>
      <c r="BH126" s="747">
        <f t="shared" si="53"/>
        <v>0</v>
      </c>
      <c r="BI126" s="747">
        <v>8</v>
      </c>
      <c r="BJ126" s="747">
        <f t="shared" si="54"/>
        <v>0</v>
      </c>
      <c r="BK126" s="747">
        <f t="shared" si="55"/>
        <v>0</v>
      </c>
      <c r="BL126" s="747">
        <f t="shared" si="56"/>
        <v>0</v>
      </c>
      <c r="BM126" s="741"/>
      <c r="BN126" s="747">
        <f t="shared" si="57"/>
        <v>0</v>
      </c>
      <c r="BO126" s="747">
        <v>8</v>
      </c>
      <c r="BP126" s="747">
        <f t="shared" si="58"/>
        <v>0</v>
      </c>
      <c r="BQ126" s="747">
        <f t="shared" si="59"/>
        <v>0</v>
      </c>
      <c r="BR126" s="747">
        <f t="shared" si="60"/>
        <v>0</v>
      </c>
      <c r="BS126" s="741"/>
      <c r="BT126" s="747">
        <f t="shared" si="61"/>
        <v>0</v>
      </c>
      <c r="BU126" s="750"/>
      <c r="BV126" s="750"/>
      <c r="BW126" s="750"/>
      <c r="BX126" s="750"/>
      <c r="BY126" s="750"/>
      <c r="BZ126" s="750"/>
      <c r="CA126" s="750"/>
      <c r="CB126" s="750"/>
      <c r="CC126" s="750"/>
      <c r="CD126" s="750"/>
      <c r="CE126" s="750"/>
      <c r="CF126" s="750"/>
      <c r="CG126" s="750"/>
      <c r="CH126" s="750"/>
      <c r="CI126" s="750"/>
      <c r="CJ126" s="750"/>
      <c r="CK126" s="750"/>
      <c r="CL126" s="750"/>
      <c r="CM126" s="750"/>
      <c r="CN126" s="750"/>
    </row>
    <row r="127" spans="1:92" ht="15" customHeight="1">
      <c r="A127" s="737">
        <v>9</v>
      </c>
      <c r="B127" s="737">
        <f t="shared" ca="1" si="64"/>
        <v>0</v>
      </c>
      <c r="C127" s="737">
        <f t="shared" ca="1" si="64"/>
        <v>0</v>
      </c>
      <c r="D127" s="737">
        <f t="shared" si="64"/>
        <v>0</v>
      </c>
      <c r="E127" s="737">
        <f t="shared" si="64"/>
        <v>0</v>
      </c>
      <c r="F127" s="737">
        <f t="shared" ca="1" si="64"/>
        <v>0</v>
      </c>
      <c r="G127" s="747">
        <v>9</v>
      </c>
      <c r="H127" s="747">
        <f t="shared" ca="1" si="19"/>
        <v>0</v>
      </c>
      <c r="I127" s="747">
        <f t="shared" ca="1" si="20"/>
        <v>0</v>
      </c>
      <c r="J127" s="747">
        <f t="shared" si="21"/>
        <v>0</v>
      </c>
      <c r="K127" s="747"/>
      <c r="L127" s="747">
        <f t="shared" ca="1" si="62"/>
        <v>0</v>
      </c>
      <c r="M127" s="747">
        <v>9</v>
      </c>
      <c r="N127" s="747">
        <f t="shared" ca="1" si="22"/>
        <v>0</v>
      </c>
      <c r="O127" s="747">
        <f t="shared" ca="1" si="23"/>
        <v>0</v>
      </c>
      <c r="P127" s="747">
        <f t="shared" si="24"/>
        <v>0</v>
      </c>
      <c r="Q127" s="748"/>
      <c r="R127" s="747">
        <f t="shared" ca="1" si="25"/>
        <v>0</v>
      </c>
      <c r="S127" s="747">
        <v>9</v>
      </c>
      <c r="T127" s="747">
        <f t="shared" ca="1" si="26"/>
        <v>0</v>
      </c>
      <c r="U127" s="747">
        <f t="shared" ca="1" si="27"/>
        <v>0</v>
      </c>
      <c r="V127" s="747">
        <f t="shared" si="28"/>
        <v>0</v>
      </c>
      <c r="W127" s="749"/>
      <c r="X127" s="747">
        <f t="shared" ca="1" si="29"/>
        <v>0</v>
      </c>
      <c r="Y127" s="747">
        <v>9</v>
      </c>
      <c r="Z127" s="747">
        <f t="shared" ca="1" si="30"/>
        <v>0</v>
      </c>
      <c r="AA127" s="747">
        <f t="shared" ca="1" si="31"/>
        <v>0</v>
      </c>
      <c r="AB127" s="747">
        <f t="shared" si="32"/>
        <v>0</v>
      </c>
      <c r="AC127" s="747"/>
      <c r="AD127" s="747">
        <f t="shared" ca="1" si="33"/>
        <v>0</v>
      </c>
      <c r="AE127" s="747">
        <v>9</v>
      </c>
      <c r="AF127" s="747">
        <f t="shared" ca="1" si="34"/>
        <v>0</v>
      </c>
      <c r="AG127" s="747">
        <f t="shared" ca="1" si="35"/>
        <v>0</v>
      </c>
      <c r="AH127" s="747">
        <f t="shared" si="36"/>
        <v>0</v>
      </c>
      <c r="AI127" s="741"/>
      <c r="AJ127" s="747">
        <f t="shared" ca="1" si="37"/>
        <v>0</v>
      </c>
      <c r="AK127" s="747">
        <v>9</v>
      </c>
      <c r="AL127" s="747">
        <f t="shared" ca="1" si="38"/>
        <v>0</v>
      </c>
      <c r="AM127" s="747">
        <f t="shared" ca="1" si="39"/>
        <v>0</v>
      </c>
      <c r="AN127" s="747">
        <f t="shared" si="40"/>
        <v>0</v>
      </c>
      <c r="AO127" s="741"/>
      <c r="AP127" s="747">
        <f t="shared" ca="1" si="41"/>
        <v>0</v>
      </c>
      <c r="AQ127" s="747">
        <v>9</v>
      </c>
      <c r="AR127" s="747">
        <f t="shared" ca="1" si="42"/>
        <v>0</v>
      </c>
      <c r="AS127" s="747">
        <f t="shared" ca="1" si="43"/>
        <v>0</v>
      </c>
      <c r="AT127" s="747">
        <f t="shared" si="44"/>
        <v>0</v>
      </c>
      <c r="AU127" s="741"/>
      <c r="AV127" s="747">
        <f t="shared" ca="1" si="45"/>
        <v>0</v>
      </c>
      <c r="AW127" s="747">
        <v>9</v>
      </c>
      <c r="AX127" s="747">
        <f t="shared" ca="1" si="46"/>
        <v>0</v>
      </c>
      <c r="AY127" s="747">
        <f t="shared" ca="1" si="47"/>
        <v>0</v>
      </c>
      <c r="AZ127" s="747">
        <f t="shared" si="48"/>
        <v>0</v>
      </c>
      <c r="BA127" s="741"/>
      <c r="BB127" s="747">
        <f t="shared" ca="1" si="49"/>
        <v>0</v>
      </c>
      <c r="BC127" s="747">
        <v>9</v>
      </c>
      <c r="BD127" s="747">
        <f t="shared" si="50"/>
        <v>0</v>
      </c>
      <c r="BE127" s="747">
        <f t="shared" si="51"/>
        <v>0</v>
      </c>
      <c r="BF127" s="747">
        <f t="shared" si="52"/>
        <v>0</v>
      </c>
      <c r="BG127" s="741"/>
      <c r="BH127" s="747">
        <f t="shared" si="53"/>
        <v>0</v>
      </c>
      <c r="BI127" s="747">
        <v>9</v>
      </c>
      <c r="BJ127" s="747">
        <f t="shared" si="54"/>
        <v>0</v>
      </c>
      <c r="BK127" s="747">
        <f t="shared" si="55"/>
        <v>0</v>
      </c>
      <c r="BL127" s="747">
        <f t="shared" si="56"/>
        <v>0</v>
      </c>
      <c r="BM127" s="741"/>
      <c r="BN127" s="747">
        <f t="shared" si="57"/>
        <v>0</v>
      </c>
      <c r="BO127" s="747">
        <v>9</v>
      </c>
      <c r="BP127" s="747">
        <f t="shared" si="58"/>
        <v>0</v>
      </c>
      <c r="BQ127" s="747">
        <f t="shared" si="59"/>
        <v>0</v>
      </c>
      <c r="BR127" s="747">
        <f t="shared" si="60"/>
        <v>0</v>
      </c>
      <c r="BS127" s="741"/>
      <c r="BT127" s="747">
        <f t="shared" si="61"/>
        <v>0</v>
      </c>
      <c r="BU127" s="750"/>
      <c r="BV127" s="750"/>
      <c r="BW127" s="750"/>
      <c r="BX127" s="750"/>
      <c r="BY127" s="750"/>
      <c r="BZ127" s="750"/>
      <c r="CA127" s="750"/>
      <c r="CB127" s="750"/>
      <c r="CC127" s="750"/>
      <c r="CD127" s="750"/>
      <c r="CE127" s="750"/>
      <c r="CF127" s="750"/>
      <c r="CG127" s="750"/>
      <c r="CH127" s="750"/>
      <c r="CI127" s="750"/>
      <c r="CJ127" s="750"/>
      <c r="CK127" s="750"/>
      <c r="CL127" s="750"/>
      <c r="CM127" s="750"/>
      <c r="CN127" s="750"/>
    </row>
    <row r="128" spans="1:92" ht="15" customHeight="1">
      <c r="A128" s="737">
        <v>10</v>
      </c>
      <c r="B128" s="737">
        <f t="shared" ref="B128:F130" ca="1" si="65">+H128+N125+T122+Z119</f>
        <v>0</v>
      </c>
      <c r="C128" s="737">
        <f t="shared" ca="1" si="65"/>
        <v>0</v>
      </c>
      <c r="D128" s="737">
        <f t="shared" si="65"/>
        <v>0</v>
      </c>
      <c r="E128" s="737">
        <f t="shared" si="65"/>
        <v>0</v>
      </c>
      <c r="F128" s="737">
        <f t="shared" ca="1" si="65"/>
        <v>0</v>
      </c>
      <c r="G128" s="747">
        <v>10</v>
      </c>
      <c r="H128" s="747">
        <f t="shared" ca="1" si="19"/>
        <v>0</v>
      </c>
      <c r="I128" s="747">
        <f t="shared" ca="1" si="20"/>
        <v>0</v>
      </c>
      <c r="J128" s="747">
        <f t="shared" si="21"/>
        <v>0</v>
      </c>
      <c r="K128" s="747"/>
      <c r="L128" s="747">
        <f t="shared" ca="1" si="62"/>
        <v>0</v>
      </c>
      <c r="M128" s="747">
        <v>10</v>
      </c>
      <c r="N128" s="747">
        <f t="shared" ca="1" si="22"/>
        <v>0</v>
      </c>
      <c r="O128" s="747">
        <f t="shared" ca="1" si="23"/>
        <v>0</v>
      </c>
      <c r="P128" s="747">
        <f t="shared" si="24"/>
        <v>0</v>
      </c>
      <c r="Q128" s="748"/>
      <c r="R128" s="747">
        <f t="shared" ca="1" si="25"/>
        <v>0</v>
      </c>
      <c r="S128" s="747">
        <v>10</v>
      </c>
      <c r="T128" s="747">
        <f t="shared" ca="1" si="26"/>
        <v>0</v>
      </c>
      <c r="U128" s="747">
        <f t="shared" ca="1" si="27"/>
        <v>0</v>
      </c>
      <c r="V128" s="747">
        <f t="shared" si="28"/>
        <v>0</v>
      </c>
      <c r="W128" s="749"/>
      <c r="X128" s="747">
        <f t="shared" ca="1" si="29"/>
        <v>0</v>
      </c>
      <c r="Y128" s="747">
        <v>10</v>
      </c>
      <c r="Z128" s="747">
        <f t="shared" ca="1" si="30"/>
        <v>0</v>
      </c>
      <c r="AA128" s="747">
        <f t="shared" ca="1" si="31"/>
        <v>0</v>
      </c>
      <c r="AB128" s="747">
        <f t="shared" si="32"/>
        <v>0</v>
      </c>
      <c r="AC128" s="747"/>
      <c r="AD128" s="747">
        <f t="shared" ca="1" si="33"/>
        <v>0</v>
      </c>
      <c r="AE128" s="747">
        <v>10</v>
      </c>
      <c r="AF128" s="747">
        <f t="shared" ca="1" si="34"/>
        <v>0</v>
      </c>
      <c r="AG128" s="747">
        <f t="shared" ca="1" si="35"/>
        <v>0</v>
      </c>
      <c r="AH128" s="747">
        <f t="shared" si="36"/>
        <v>0</v>
      </c>
      <c r="AI128" s="741"/>
      <c r="AJ128" s="747">
        <f t="shared" ca="1" si="37"/>
        <v>0</v>
      </c>
      <c r="AK128" s="747">
        <v>10</v>
      </c>
      <c r="AL128" s="747">
        <f t="shared" ca="1" si="38"/>
        <v>0</v>
      </c>
      <c r="AM128" s="747">
        <f t="shared" ca="1" si="39"/>
        <v>0</v>
      </c>
      <c r="AN128" s="747">
        <f t="shared" si="40"/>
        <v>0</v>
      </c>
      <c r="AO128" s="741"/>
      <c r="AP128" s="747">
        <f t="shared" ca="1" si="41"/>
        <v>0</v>
      </c>
      <c r="AQ128" s="747">
        <v>10</v>
      </c>
      <c r="AR128" s="747">
        <f t="shared" ca="1" si="42"/>
        <v>0</v>
      </c>
      <c r="AS128" s="747">
        <f t="shared" ca="1" si="43"/>
        <v>0</v>
      </c>
      <c r="AT128" s="747">
        <f t="shared" si="44"/>
        <v>0</v>
      </c>
      <c r="AU128" s="741"/>
      <c r="AV128" s="747">
        <f t="shared" ca="1" si="45"/>
        <v>0</v>
      </c>
      <c r="AW128" s="747">
        <v>10</v>
      </c>
      <c r="AX128" s="747">
        <f t="shared" ca="1" si="46"/>
        <v>0</v>
      </c>
      <c r="AY128" s="747">
        <f t="shared" ca="1" si="47"/>
        <v>0</v>
      </c>
      <c r="AZ128" s="747">
        <f t="shared" si="48"/>
        <v>0</v>
      </c>
      <c r="BA128" s="741"/>
      <c r="BB128" s="747">
        <f t="shared" ca="1" si="49"/>
        <v>0</v>
      </c>
      <c r="BC128" s="747">
        <v>10</v>
      </c>
      <c r="BD128" s="747">
        <f t="shared" si="50"/>
        <v>0</v>
      </c>
      <c r="BE128" s="747">
        <f t="shared" si="51"/>
        <v>0</v>
      </c>
      <c r="BF128" s="747">
        <f t="shared" si="52"/>
        <v>0</v>
      </c>
      <c r="BG128" s="741"/>
      <c r="BH128" s="747">
        <f t="shared" si="53"/>
        <v>0</v>
      </c>
      <c r="BI128" s="747">
        <v>10</v>
      </c>
      <c r="BJ128" s="747">
        <f t="shared" si="54"/>
        <v>0</v>
      </c>
      <c r="BK128" s="747">
        <f t="shared" si="55"/>
        <v>0</v>
      </c>
      <c r="BL128" s="747">
        <f t="shared" si="56"/>
        <v>0</v>
      </c>
      <c r="BM128" s="741"/>
      <c r="BN128" s="747">
        <f t="shared" si="57"/>
        <v>0</v>
      </c>
      <c r="BO128" s="747">
        <v>10</v>
      </c>
      <c r="BP128" s="747">
        <f t="shared" si="58"/>
        <v>0</v>
      </c>
      <c r="BQ128" s="747">
        <f t="shared" si="59"/>
        <v>0</v>
      </c>
      <c r="BR128" s="747">
        <f t="shared" si="60"/>
        <v>0</v>
      </c>
      <c r="BS128" s="741"/>
      <c r="BT128" s="747">
        <f t="shared" si="61"/>
        <v>0</v>
      </c>
      <c r="BU128" s="750"/>
      <c r="BV128" s="750"/>
      <c r="BW128" s="750"/>
      <c r="BX128" s="750"/>
      <c r="BY128" s="750"/>
      <c r="BZ128" s="750"/>
      <c r="CA128" s="750"/>
      <c r="CB128" s="750"/>
      <c r="CC128" s="750"/>
      <c r="CD128" s="750"/>
      <c r="CE128" s="750"/>
      <c r="CF128" s="750"/>
      <c r="CG128" s="750"/>
      <c r="CH128" s="750"/>
      <c r="CI128" s="750"/>
      <c r="CJ128" s="750"/>
      <c r="CK128" s="750"/>
      <c r="CL128" s="750"/>
      <c r="CM128" s="750"/>
      <c r="CN128" s="750"/>
    </row>
    <row r="129" spans="1:92" ht="15" customHeight="1">
      <c r="A129" s="737">
        <v>11</v>
      </c>
      <c r="B129" s="737">
        <f t="shared" ca="1" si="65"/>
        <v>0</v>
      </c>
      <c r="C129" s="737">
        <f t="shared" ca="1" si="65"/>
        <v>0</v>
      </c>
      <c r="D129" s="737">
        <f t="shared" si="65"/>
        <v>0</v>
      </c>
      <c r="E129" s="737">
        <f t="shared" si="65"/>
        <v>0</v>
      </c>
      <c r="F129" s="737">
        <f t="shared" ca="1" si="65"/>
        <v>0</v>
      </c>
      <c r="G129" s="747">
        <v>11</v>
      </c>
      <c r="H129" s="747">
        <f t="shared" ca="1" si="19"/>
        <v>0</v>
      </c>
      <c r="I129" s="747">
        <f t="shared" ca="1" si="20"/>
        <v>0</v>
      </c>
      <c r="J129" s="747">
        <f t="shared" si="21"/>
        <v>0</v>
      </c>
      <c r="K129" s="747"/>
      <c r="L129" s="747">
        <f t="shared" ca="1" si="62"/>
        <v>0</v>
      </c>
      <c r="M129" s="747">
        <v>11</v>
      </c>
      <c r="N129" s="747">
        <f t="shared" ca="1" si="22"/>
        <v>0</v>
      </c>
      <c r="O129" s="747">
        <f t="shared" ca="1" si="23"/>
        <v>0</v>
      </c>
      <c r="P129" s="747">
        <f t="shared" si="24"/>
        <v>0</v>
      </c>
      <c r="Q129" s="748"/>
      <c r="R129" s="747">
        <f t="shared" ca="1" si="25"/>
        <v>0</v>
      </c>
      <c r="S129" s="747">
        <v>11</v>
      </c>
      <c r="T129" s="747">
        <f t="shared" ca="1" si="26"/>
        <v>0</v>
      </c>
      <c r="U129" s="747">
        <f t="shared" ca="1" si="27"/>
        <v>0</v>
      </c>
      <c r="V129" s="747">
        <f t="shared" si="28"/>
        <v>0</v>
      </c>
      <c r="W129" s="749"/>
      <c r="X129" s="747">
        <f t="shared" ca="1" si="29"/>
        <v>0</v>
      </c>
      <c r="Y129" s="747">
        <v>11</v>
      </c>
      <c r="Z129" s="747">
        <f t="shared" ca="1" si="30"/>
        <v>0</v>
      </c>
      <c r="AA129" s="747">
        <f t="shared" ca="1" si="31"/>
        <v>0</v>
      </c>
      <c r="AB129" s="747">
        <f t="shared" si="32"/>
        <v>0</v>
      </c>
      <c r="AC129" s="747"/>
      <c r="AD129" s="747">
        <f t="shared" ca="1" si="33"/>
        <v>0</v>
      </c>
      <c r="AE129" s="747">
        <v>11</v>
      </c>
      <c r="AF129" s="747">
        <f t="shared" ca="1" si="34"/>
        <v>0</v>
      </c>
      <c r="AG129" s="747">
        <f t="shared" ca="1" si="35"/>
        <v>0</v>
      </c>
      <c r="AH129" s="747">
        <f t="shared" si="36"/>
        <v>0</v>
      </c>
      <c r="AI129" s="741"/>
      <c r="AJ129" s="747">
        <f t="shared" ca="1" si="37"/>
        <v>0</v>
      </c>
      <c r="AK129" s="747">
        <v>11</v>
      </c>
      <c r="AL129" s="747">
        <f t="shared" ca="1" si="38"/>
        <v>0</v>
      </c>
      <c r="AM129" s="747">
        <f t="shared" ca="1" si="39"/>
        <v>0</v>
      </c>
      <c r="AN129" s="747">
        <f t="shared" si="40"/>
        <v>0</v>
      </c>
      <c r="AO129" s="741"/>
      <c r="AP129" s="747">
        <f t="shared" ca="1" si="41"/>
        <v>0</v>
      </c>
      <c r="AQ129" s="747">
        <v>11</v>
      </c>
      <c r="AR129" s="747">
        <f t="shared" ca="1" si="42"/>
        <v>0</v>
      </c>
      <c r="AS129" s="747">
        <f t="shared" ca="1" si="43"/>
        <v>0</v>
      </c>
      <c r="AT129" s="747">
        <f t="shared" si="44"/>
        <v>0</v>
      </c>
      <c r="AU129" s="741"/>
      <c r="AV129" s="747">
        <f t="shared" ca="1" si="45"/>
        <v>0</v>
      </c>
      <c r="AW129" s="747">
        <v>11</v>
      </c>
      <c r="AX129" s="747">
        <f t="shared" ca="1" si="46"/>
        <v>0</v>
      </c>
      <c r="AY129" s="747">
        <f t="shared" ca="1" si="47"/>
        <v>0</v>
      </c>
      <c r="AZ129" s="747">
        <f t="shared" si="48"/>
        <v>0</v>
      </c>
      <c r="BA129" s="741"/>
      <c r="BB129" s="747">
        <f t="shared" ca="1" si="49"/>
        <v>0</v>
      </c>
      <c r="BC129" s="747">
        <v>11</v>
      </c>
      <c r="BD129" s="747">
        <f t="shared" si="50"/>
        <v>0</v>
      </c>
      <c r="BE129" s="747">
        <f t="shared" si="51"/>
        <v>0</v>
      </c>
      <c r="BF129" s="747">
        <f t="shared" si="52"/>
        <v>0</v>
      </c>
      <c r="BG129" s="741"/>
      <c r="BH129" s="747">
        <f t="shared" si="53"/>
        <v>0</v>
      </c>
      <c r="BI129" s="747">
        <v>11</v>
      </c>
      <c r="BJ129" s="747">
        <f t="shared" si="54"/>
        <v>0</v>
      </c>
      <c r="BK129" s="747">
        <f t="shared" si="55"/>
        <v>0</v>
      </c>
      <c r="BL129" s="747">
        <f t="shared" si="56"/>
        <v>0</v>
      </c>
      <c r="BM129" s="741"/>
      <c r="BN129" s="747">
        <f t="shared" si="57"/>
        <v>0</v>
      </c>
      <c r="BO129" s="747">
        <v>11</v>
      </c>
      <c r="BP129" s="747">
        <f t="shared" si="58"/>
        <v>0</v>
      </c>
      <c r="BQ129" s="747">
        <f t="shared" si="59"/>
        <v>0</v>
      </c>
      <c r="BR129" s="747">
        <f t="shared" si="60"/>
        <v>0</v>
      </c>
      <c r="BS129" s="741"/>
      <c r="BT129" s="747">
        <f t="shared" si="61"/>
        <v>0</v>
      </c>
      <c r="BU129" s="750"/>
      <c r="BV129" s="750"/>
      <c r="BW129" s="750"/>
      <c r="BX129" s="750"/>
      <c r="BY129" s="750"/>
      <c r="BZ129" s="750"/>
      <c r="CA129" s="750"/>
      <c r="CB129" s="750"/>
      <c r="CC129" s="750"/>
      <c r="CD129" s="750"/>
      <c r="CE129" s="750"/>
      <c r="CF129" s="750"/>
      <c r="CG129" s="750"/>
      <c r="CH129" s="750"/>
      <c r="CI129" s="750"/>
      <c r="CJ129" s="750"/>
      <c r="CK129" s="750"/>
      <c r="CL129" s="750"/>
      <c r="CM129" s="750"/>
      <c r="CN129" s="750"/>
    </row>
    <row r="130" spans="1:92" ht="15" customHeight="1">
      <c r="A130" s="737">
        <v>12</v>
      </c>
      <c r="B130" s="737">
        <f t="shared" ca="1" si="65"/>
        <v>0</v>
      </c>
      <c r="C130" s="737">
        <f t="shared" ca="1" si="65"/>
        <v>0</v>
      </c>
      <c r="D130" s="737">
        <f t="shared" si="65"/>
        <v>0</v>
      </c>
      <c r="E130" s="737">
        <f t="shared" si="65"/>
        <v>0</v>
      </c>
      <c r="F130" s="737">
        <f t="shared" ca="1" si="65"/>
        <v>0</v>
      </c>
      <c r="G130" s="747">
        <v>12</v>
      </c>
      <c r="H130" s="747">
        <f t="shared" ca="1" si="19"/>
        <v>0</v>
      </c>
      <c r="I130" s="747">
        <f t="shared" ca="1" si="20"/>
        <v>0</v>
      </c>
      <c r="J130" s="747">
        <f t="shared" si="21"/>
        <v>0</v>
      </c>
      <c r="K130" s="747"/>
      <c r="L130" s="747">
        <f t="shared" ca="1" si="62"/>
        <v>0</v>
      </c>
      <c r="M130" s="747">
        <v>12</v>
      </c>
      <c r="N130" s="747">
        <f t="shared" ca="1" si="22"/>
        <v>0</v>
      </c>
      <c r="O130" s="747">
        <f t="shared" ca="1" si="23"/>
        <v>0</v>
      </c>
      <c r="P130" s="747">
        <f t="shared" si="24"/>
        <v>0</v>
      </c>
      <c r="Q130" s="748"/>
      <c r="R130" s="747">
        <f t="shared" ca="1" si="25"/>
        <v>0</v>
      </c>
      <c r="S130" s="747">
        <v>12</v>
      </c>
      <c r="T130" s="747">
        <f t="shared" ca="1" si="26"/>
        <v>0</v>
      </c>
      <c r="U130" s="747">
        <f t="shared" ca="1" si="27"/>
        <v>0</v>
      </c>
      <c r="V130" s="747">
        <f t="shared" si="28"/>
        <v>0</v>
      </c>
      <c r="W130" s="749"/>
      <c r="X130" s="747">
        <f t="shared" ca="1" si="29"/>
        <v>0</v>
      </c>
      <c r="Y130" s="747">
        <v>12</v>
      </c>
      <c r="Z130" s="747">
        <f t="shared" ca="1" si="30"/>
        <v>0</v>
      </c>
      <c r="AA130" s="747">
        <f t="shared" ca="1" si="31"/>
        <v>0</v>
      </c>
      <c r="AB130" s="747">
        <f t="shared" si="32"/>
        <v>0</v>
      </c>
      <c r="AC130" s="747"/>
      <c r="AD130" s="747">
        <f t="shared" ca="1" si="33"/>
        <v>0</v>
      </c>
      <c r="AE130" s="747">
        <v>12</v>
      </c>
      <c r="AF130" s="747">
        <f t="shared" ca="1" si="34"/>
        <v>0</v>
      </c>
      <c r="AG130" s="747">
        <f t="shared" ca="1" si="35"/>
        <v>0</v>
      </c>
      <c r="AH130" s="747">
        <f t="shared" si="36"/>
        <v>0</v>
      </c>
      <c r="AI130" s="741"/>
      <c r="AJ130" s="747">
        <f t="shared" ca="1" si="37"/>
        <v>0</v>
      </c>
      <c r="AK130" s="747">
        <v>12</v>
      </c>
      <c r="AL130" s="747">
        <f t="shared" ca="1" si="38"/>
        <v>0</v>
      </c>
      <c r="AM130" s="747">
        <f t="shared" ca="1" si="39"/>
        <v>0</v>
      </c>
      <c r="AN130" s="747">
        <f t="shared" si="40"/>
        <v>0</v>
      </c>
      <c r="AO130" s="741"/>
      <c r="AP130" s="747">
        <f t="shared" ca="1" si="41"/>
        <v>0</v>
      </c>
      <c r="AQ130" s="747">
        <v>12</v>
      </c>
      <c r="AR130" s="747">
        <f t="shared" ca="1" si="42"/>
        <v>0</v>
      </c>
      <c r="AS130" s="747">
        <f t="shared" ca="1" si="43"/>
        <v>0</v>
      </c>
      <c r="AT130" s="747">
        <f t="shared" si="44"/>
        <v>0</v>
      </c>
      <c r="AU130" s="741"/>
      <c r="AV130" s="747">
        <f t="shared" ca="1" si="45"/>
        <v>0</v>
      </c>
      <c r="AW130" s="747">
        <v>12</v>
      </c>
      <c r="AX130" s="747">
        <f t="shared" ca="1" si="46"/>
        <v>0</v>
      </c>
      <c r="AY130" s="747">
        <f t="shared" ca="1" si="47"/>
        <v>0</v>
      </c>
      <c r="AZ130" s="747">
        <f t="shared" si="48"/>
        <v>0</v>
      </c>
      <c r="BA130" s="741"/>
      <c r="BB130" s="747">
        <f t="shared" ca="1" si="49"/>
        <v>0</v>
      </c>
      <c r="BC130" s="747">
        <v>12</v>
      </c>
      <c r="BD130" s="747">
        <f t="shared" si="50"/>
        <v>0</v>
      </c>
      <c r="BE130" s="747">
        <f t="shared" si="51"/>
        <v>0</v>
      </c>
      <c r="BF130" s="747">
        <f t="shared" si="52"/>
        <v>0</v>
      </c>
      <c r="BG130" s="741"/>
      <c r="BH130" s="747">
        <f t="shared" si="53"/>
        <v>0</v>
      </c>
      <c r="BI130" s="747">
        <v>12</v>
      </c>
      <c r="BJ130" s="747">
        <f t="shared" si="54"/>
        <v>0</v>
      </c>
      <c r="BK130" s="747">
        <f t="shared" si="55"/>
        <v>0</v>
      </c>
      <c r="BL130" s="747">
        <f t="shared" si="56"/>
        <v>0</v>
      </c>
      <c r="BM130" s="741"/>
      <c r="BN130" s="747">
        <f t="shared" si="57"/>
        <v>0</v>
      </c>
      <c r="BO130" s="747">
        <v>12</v>
      </c>
      <c r="BP130" s="747">
        <f t="shared" si="58"/>
        <v>0</v>
      </c>
      <c r="BQ130" s="747">
        <f t="shared" si="59"/>
        <v>0</v>
      </c>
      <c r="BR130" s="747">
        <f t="shared" si="60"/>
        <v>0</v>
      </c>
      <c r="BS130" s="741"/>
      <c r="BT130" s="747">
        <f t="shared" si="61"/>
        <v>0</v>
      </c>
      <c r="BU130" s="750"/>
      <c r="BV130" s="750"/>
      <c r="BW130" s="750"/>
      <c r="BX130" s="750"/>
      <c r="BY130" s="750"/>
      <c r="BZ130" s="750"/>
      <c r="CA130" s="750"/>
      <c r="CB130" s="750"/>
      <c r="CC130" s="750"/>
      <c r="CD130" s="750"/>
      <c r="CE130" s="750"/>
      <c r="CF130" s="750"/>
      <c r="CG130" s="750"/>
      <c r="CH130" s="750"/>
      <c r="CI130" s="750"/>
      <c r="CJ130" s="750"/>
      <c r="CK130" s="750"/>
      <c r="CL130" s="750"/>
      <c r="CM130" s="750"/>
      <c r="CN130" s="750"/>
    </row>
    <row r="131" spans="1:92" ht="15" customHeight="1">
      <c r="A131" s="737">
        <v>13</v>
      </c>
      <c r="B131" s="737">
        <f t="shared" ref="B131:F136" ca="1" si="66">+H131+N128+T125+Z122+AF119</f>
        <v>0</v>
      </c>
      <c r="C131" s="737">
        <f t="shared" ca="1" si="66"/>
        <v>0</v>
      </c>
      <c r="D131" s="737">
        <f t="shared" si="66"/>
        <v>0</v>
      </c>
      <c r="E131" s="737">
        <f t="shared" si="66"/>
        <v>0</v>
      </c>
      <c r="F131" s="737">
        <f t="shared" ca="1" si="66"/>
        <v>0</v>
      </c>
      <c r="G131" s="747">
        <v>13</v>
      </c>
      <c r="H131" s="747">
        <f t="shared" ca="1" si="19"/>
        <v>0</v>
      </c>
      <c r="I131" s="747">
        <f t="shared" ca="1" si="20"/>
        <v>0</v>
      </c>
      <c r="J131" s="747">
        <f t="shared" si="21"/>
        <v>0</v>
      </c>
      <c r="K131" s="747"/>
      <c r="L131" s="747">
        <f t="shared" ca="1" si="62"/>
        <v>0</v>
      </c>
      <c r="M131" s="747">
        <v>13</v>
      </c>
      <c r="N131" s="747">
        <f t="shared" ca="1" si="22"/>
        <v>0</v>
      </c>
      <c r="O131" s="747">
        <f t="shared" ca="1" si="23"/>
        <v>0</v>
      </c>
      <c r="P131" s="747">
        <f t="shared" si="24"/>
        <v>0</v>
      </c>
      <c r="Q131" s="748"/>
      <c r="R131" s="747">
        <f t="shared" ca="1" si="25"/>
        <v>0</v>
      </c>
      <c r="S131" s="747">
        <v>13</v>
      </c>
      <c r="T131" s="747">
        <f t="shared" ca="1" si="26"/>
        <v>0</v>
      </c>
      <c r="U131" s="747">
        <f t="shared" ca="1" si="27"/>
        <v>0</v>
      </c>
      <c r="V131" s="747">
        <f t="shared" si="28"/>
        <v>0</v>
      </c>
      <c r="W131" s="749"/>
      <c r="X131" s="747">
        <f t="shared" ca="1" si="29"/>
        <v>0</v>
      </c>
      <c r="Y131" s="747">
        <v>13</v>
      </c>
      <c r="Z131" s="747">
        <f t="shared" ca="1" si="30"/>
        <v>0</v>
      </c>
      <c r="AA131" s="747">
        <f t="shared" ca="1" si="31"/>
        <v>0</v>
      </c>
      <c r="AB131" s="747">
        <f t="shared" si="32"/>
        <v>0</v>
      </c>
      <c r="AC131" s="747"/>
      <c r="AD131" s="747">
        <f t="shared" ca="1" si="33"/>
        <v>0</v>
      </c>
      <c r="AE131" s="747">
        <v>13</v>
      </c>
      <c r="AF131" s="747">
        <f t="shared" ca="1" si="34"/>
        <v>0</v>
      </c>
      <c r="AG131" s="747">
        <f t="shared" ca="1" si="35"/>
        <v>0</v>
      </c>
      <c r="AH131" s="747">
        <f t="shared" si="36"/>
        <v>0</v>
      </c>
      <c r="AI131" s="741"/>
      <c r="AJ131" s="747">
        <f t="shared" ca="1" si="37"/>
        <v>0</v>
      </c>
      <c r="AK131" s="747">
        <v>13</v>
      </c>
      <c r="AL131" s="747">
        <f t="shared" ca="1" si="38"/>
        <v>0</v>
      </c>
      <c r="AM131" s="747">
        <f t="shared" ca="1" si="39"/>
        <v>0</v>
      </c>
      <c r="AN131" s="747">
        <f t="shared" si="40"/>
        <v>0</v>
      </c>
      <c r="AO131" s="741"/>
      <c r="AP131" s="747">
        <f t="shared" ca="1" si="41"/>
        <v>0</v>
      </c>
      <c r="AQ131" s="747">
        <v>13</v>
      </c>
      <c r="AR131" s="747">
        <f t="shared" ca="1" si="42"/>
        <v>0</v>
      </c>
      <c r="AS131" s="747">
        <f t="shared" ca="1" si="43"/>
        <v>0</v>
      </c>
      <c r="AT131" s="747">
        <f t="shared" si="44"/>
        <v>0</v>
      </c>
      <c r="AU131" s="741"/>
      <c r="AV131" s="747">
        <f t="shared" ca="1" si="45"/>
        <v>0</v>
      </c>
      <c r="AW131" s="747">
        <v>13</v>
      </c>
      <c r="AX131" s="747">
        <f t="shared" ca="1" si="46"/>
        <v>0</v>
      </c>
      <c r="AY131" s="747">
        <f t="shared" ca="1" si="47"/>
        <v>0</v>
      </c>
      <c r="AZ131" s="747">
        <f t="shared" si="48"/>
        <v>0</v>
      </c>
      <c r="BA131" s="741"/>
      <c r="BB131" s="747">
        <f t="shared" ca="1" si="49"/>
        <v>0</v>
      </c>
      <c r="BC131" s="747">
        <v>13</v>
      </c>
      <c r="BD131" s="747">
        <f t="shared" si="50"/>
        <v>0</v>
      </c>
      <c r="BE131" s="747">
        <f t="shared" si="51"/>
        <v>0</v>
      </c>
      <c r="BF131" s="747">
        <f t="shared" si="52"/>
        <v>0</v>
      </c>
      <c r="BG131" s="741"/>
      <c r="BH131" s="747">
        <f t="shared" si="53"/>
        <v>0</v>
      </c>
      <c r="BI131" s="747">
        <v>13</v>
      </c>
      <c r="BJ131" s="747">
        <f t="shared" si="54"/>
        <v>0</v>
      </c>
      <c r="BK131" s="747">
        <f t="shared" si="55"/>
        <v>0</v>
      </c>
      <c r="BL131" s="747">
        <f t="shared" si="56"/>
        <v>0</v>
      </c>
      <c r="BM131" s="741"/>
      <c r="BN131" s="747">
        <f t="shared" si="57"/>
        <v>0</v>
      </c>
      <c r="BO131" s="747">
        <v>13</v>
      </c>
      <c r="BP131" s="747">
        <f t="shared" si="58"/>
        <v>0</v>
      </c>
      <c r="BQ131" s="747">
        <f t="shared" si="59"/>
        <v>0</v>
      </c>
      <c r="BR131" s="747">
        <f t="shared" si="60"/>
        <v>0</v>
      </c>
      <c r="BS131" s="741"/>
      <c r="BT131" s="747">
        <f t="shared" si="61"/>
        <v>0</v>
      </c>
      <c r="BU131" s="750"/>
      <c r="BV131" s="750"/>
      <c r="BW131" s="750"/>
      <c r="BX131" s="750"/>
      <c r="BY131" s="750"/>
      <c r="BZ131" s="750"/>
      <c r="CA131" s="750"/>
      <c r="CB131" s="750"/>
      <c r="CC131" s="750"/>
      <c r="CD131" s="750"/>
      <c r="CE131" s="750"/>
      <c r="CF131" s="750"/>
      <c r="CG131" s="750"/>
      <c r="CH131" s="750"/>
      <c r="CI131" s="750"/>
      <c r="CJ131" s="750"/>
      <c r="CK131" s="750"/>
      <c r="CL131" s="750"/>
      <c r="CM131" s="750"/>
      <c r="CN131" s="750"/>
    </row>
    <row r="132" spans="1:92" ht="15" customHeight="1">
      <c r="A132" s="737">
        <v>14</v>
      </c>
      <c r="B132" s="737">
        <f t="shared" ca="1" si="66"/>
        <v>0</v>
      </c>
      <c r="C132" s="737">
        <f t="shared" ca="1" si="66"/>
        <v>0</v>
      </c>
      <c r="D132" s="737">
        <f t="shared" si="66"/>
        <v>0</v>
      </c>
      <c r="E132" s="737">
        <f t="shared" si="66"/>
        <v>0</v>
      </c>
      <c r="F132" s="737">
        <f t="shared" ca="1" si="66"/>
        <v>0</v>
      </c>
      <c r="G132" s="747">
        <v>14</v>
      </c>
      <c r="H132" s="747">
        <f t="shared" ca="1" si="19"/>
        <v>0</v>
      </c>
      <c r="I132" s="747">
        <f t="shared" ca="1" si="20"/>
        <v>0</v>
      </c>
      <c r="J132" s="747">
        <f t="shared" si="21"/>
        <v>0</v>
      </c>
      <c r="K132" s="747"/>
      <c r="L132" s="747">
        <f t="shared" ca="1" si="62"/>
        <v>0</v>
      </c>
      <c r="M132" s="747">
        <v>14</v>
      </c>
      <c r="N132" s="747">
        <f t="shared" ca="1" si="22"/>
        <v>0</v>
      </c>
      <c r="O132" s="747">
        <f t="shared" ca="1" si="23"/>
        <v>0</v>
      </c>
      <c r="P132" s="747">
        <f t="shared" si="24"/>
        <v>0</v>
      </c>
      <c r="Q132" s="748"/>
      <c r="R132" s="747">
        <f t="shared" ca="1" si="25"/>
        <v>0</v>
      </c>
      <c r="S132" s="747">
        <v>14</v>
      </c>
      <c r="T132" s="747">
        <f t="shared" ca="1" si="26"/>
        <v>0</v>
      </c>
      <c r="U132" s="747">
        <f t="shared" ca="1" si="27"/>
        <v>0</v>
      </c>
      <c r="V132" s="747">
        <f t="shared" si="28"/>
        <v>0</v>
      </c>
      <c r="W132" s="749"/>
      <c r="X132" s="747">
        <f t="shared" ca="1" si="29"/>
        <v>0</v>
      </c>
      <c r="Y132" s="747">
        <v>14</v>
      </c>
      <c r="Z132" s="747">
        <f t="shared" ca="1" si="30"/>
        <v>0</v>
      </c>
      <c r="AA132" s="747">
        <f t="shared" ca="1" si="31"/>
        <v>0</v>
      </c>
      <c r="AB132" s="747">
        <f t="shared" si="32"/>
        <v>0</v>
      </c>
      <c r="AC132" s="747"/>
      <c r="AD132" s="747">
        <f t="shared" ca="1" si="33"/>
        <v>0</v>
      </c>
      <c r="AE132" s="747">
        <v>14</v>
      </c>
      <c r="AF132" s="747">
        <f t="shared" ca="1" si="34"/>
        <v>0</v>
      </c>
      <c r="AG132" s="747">
        <f t="shared" ca="1" si="35"/>
        <v>0</v>
      </c>
      <c r="AH132" s="747">
        <f t="shared" si="36"/>
        <v>0</v>
      </c>
      <c r="AI132" s="741"/>
      <c r="AJ132" s="747">
        <f t="shared" ca="1" si="37"/>
        <v>0</v>
      </c>
      <c r="AK132" s="747">
        <v>14</v>
      </c>
      <c r="AL132" s="747">
        <f t="shared" ca="1" si="38"/>
        <v>0</v>
      </c>
      <c r="AM132" s="747">
        <f t="shared" ca="1" si="39"/>
        <v>0</v>
      </c>
      <c r="AN132" s="747">
        <f t="shared" si="40"/>
        <v>0</v>
      </c>
      <c r="AO132" s="741"/>
      <c r="AP132" s="747">
        <f t="shared" ca="1" si="41"/>
        <v>0</v>
      </c>
      <c r="AQ132" s="747">
        <v>14</v>
      </c>
      <c r="AR132" s="747">
        <f t="shared" ca="1" si="42"/>
        <v>0</v>
      </c>
      <c r="AS132" s="747">
        <f t="shared" ca="1" si="43"/>
        <v>0</v>
      </c>
      <c r="AT132" s="747">
        <f t="shared" si="44"/>
        <v>0</v>
      </c>
      <c r="AU132" s="741"/>
      <c r="AV132" s="747">
        <f t="shared" ca="1" si="45"/>
        <v>0</v>
      </c>
      <c r="AW132" s="747">
        <v>14</v>
      </c>
      <c r="AX132" s="747">
        <f t="shared" ca="1" si="46"/>
        <v>0</v>
      </c>
      <c r="AY132" s="747">
        <f t="shared" ca="1" si="47"/>
        <v>0</v>
      </c>
      <c r="AZ132" s="747">
        <f t="shared" si="48"/>
        <v>0</v>
      </c>
      <c r="BA132" s="741"/>
      <c r="BB132" s="747">
        <f t="shared" ca="1" si="49"/>
        <v>0</v>
      </c>
      <c r="BC132" s="747">
        <v>14</v>
      </c>
      <c r="BD132" s="747">
        <f t="shared" si="50"/>
        <v>0</v>
      </c>
      <c r="BE132" s="747">
        <f t="shared" si="51"/>
        <v>0</v>
      </c>
      <c r="BF132" s="747">
        <f t="shared" si="52"/>
        <v>0</v>
      </c>
      <c r="BG132" s="741"/>
      <c r="BH132" s="747">
        <f t="shared" si="53"/>
        <v>0</v>
      </c>
      <c r="BI132" s="747">
        <v>14</v>
      </c>
      <c r="BJ132" s="747">
        <f t="shared" si="54"/>
        <v>0</v>
      </c>
      <c r="BK132" s="747">
        <f t="shared" si="55"/>
        <v>0</v>
      </c>
      <c r="BL132" s="747">
        <f t="shared" si="56"/>
        <v>0</v>
      </c>
      <c r="BM132" s="741"/>
      <c r="BN132" s="747">
        <f t="shared" si="57"/>
        <v>0</v>
      </c>
      <c r="BO132" s="747">
        <v>14</v>
      </c>
      <c r="BP132" s="747">
        <f t="shared" si="58"/>
        <v>0</v>
      </c>
      <c r="BQ132" s="747">
        <f t="shared" si="59"/>
        <v>0</v>
      </c>
      <c r="BR132" s="747">
        <f t="shared" si="60"/>
        <v>0</v>
      </c>
      <c r="BS132" s="741"/>
      <c r="BT132" s="747">
        <f t="shared" si="61"/>
        <v>0</v>
      </c>
      <c r="BU132" s="750"/>
      <c r="BV132" s="750"/>
      <c r="BW132" s="750"/>
      <c r="BX132" s="750"/>
      <c r="BY132" s="750"/>
      <c r="BZ132" s="750"/>
      <c r="CA132" s="750"/>
      <c r="CB132" s="750"/>
      <c r="CC132" s="750"/>
      <c r="CD132" s="750"/>
      <c r="CE132" s="750"/>
      <c r="CF132" s="750"/>
      <c r="CG132" s="750"/>
      <c r="CH132" s="750"/>
      <c r="CI132" s="750"/>
      <c r="CJ132" s="750"/>
      <c r="CK132" s="750"/>
      <c r="CL132" s="750"/>
      <c r="CM132" s="750"/>
      <c r="CN132" s="750"/>
    </row>
    <row r="133" spans="1:92" ht="15" customHeight="1">
      <c r="A133" s="737">
        <v>15</v>
      </c>
      <c r="B133" s="737">
        <f t="shared" ca="1" si="66"/>
        <v>0</v>
      </c>
      <c r="C133" s="737">
        <f t="shared" ca="1" si="66"/>
        <v>0</v>
      </c>
      <c r="D133" s="737">
        <f t="shared" si="66"/>
        <v>0</v>
      </c>
      <c r="E133" s="737">
        <f t="shared" si="66"/>
        <v>0</v>
      </c>
      <c r="F133" s="737">
        <f t="shared" ca="1" si="66"/>
        <v>0</v>
      </c>
      <c r="G133" s="747">
        <v>15</v>
      </c>
      <c r="H133" s="747">
        <f t="shared" ca="1" si="19"/>
        <v>0</v>
      </c>
      <c r="I133" s="747">
        <f t="shared" ca="1" si="20"/>
        <v>0</v>
      </c>
      <c r="J133" s="747">
        <f t="shared" si="21"/>
        <v>0</v>
      </c>
      <c r="K133" s="747"/>
      <c r="L133" s="747">
        <f t="shared" ca="1" si="62"/>
        <v>0</v>
      </c>
      <c r="M133" s="747">
        <v>15</v>
      </c>
      <c r="N133" s="747">
        <f t="shared" ca="1" si="22"/>
        <v>0</v>
      </c>
      <c r="O133" s="747">
        <f t="shared" ca="1" si="23"/>
        <v>0</v>
      </c>
      <c r="P133" s="747">
        <f t="shared" si="24"/>
        <v>0</v>
      </c>
      <c r="Q133" s="748"/>
      <c r="R133" s="747">
        <f t="shared" ca="1" si="25"/>
        <v>0</v>
      </c>
      <c r="S133" s="747">
        <v>15</v>
      </c>
      <c r="T133" s="747">
        <f t="shared" ca="1" si="26"/>
        <v>0</v>
      </c>
      <c r="U133" s="747">
        <f t="shared" ca="1" si="27"/>
        <v>0</v>
      </c>
      <c r="V133" s="747">
        <f t="shared" si="28"/>
        <v>0</v>
      </c>
      <c r="W133" s="749"/>
      <c r="X133" s="747">
        <f t="shared" ca="1" si="29"/>
        <v>0</v>
      </c>
      <c r="Y133" s="747">
        <v>15</v>
      </c>
      <c r="Z133" s="747">
        <f t="shared" ca="1" si="30"/>
        <v>0</v>
      </c>
      <c r="AA133" s="747">
        <f t="shared" ca="1" si="31"/>
        <v>0</v>
      </c>
      <c r="AB133" s="747">
        <f t="shared" si="32"/>
        <v>0</v>
      </c>
      <c r="AC133" s="747"/>
      <c r="AD133" s="747">
        <f t="shared" ca="1" si="33"/>
        <v>0</v>
      </c>
      <c r="AE133" s="747">
        <v>15</v>
      </c>
      <c r="AF133" s="747">
        <f t="shared" ca="1" si="34"/>
        <v>0</v>
      </c>
      <c r="AG133" s="747">
        <f t="shared" ca="1" si="35"/>
        <v>0</v>
      </c>
      <c r="AH133" s="747">
        <f t="shared" si="36"/>
        <v>0</v>
      </c>
      <c r="AI133" s="741"/>
      <c r="AJ133" s="747">
        <f t="shared" ca="1" si="37"/>
        <v>0</v>
      </c>
      <c r="AK133" s="747">
        <v>15</v>
      </c>
      <c r="AL133" s="747">
        <f t="shared" ca="1" si="38"/>
        <v>0</v>
      </c>
      <c r="AM133" s="747">
        <f t="shared" ca="1" si="39"/>
        <v>0</v>
      </c>
      <c r="AN133" s="747">
        <f t="shared" si="40"/>
        <v>0</v>
      </c>
      <c r="AO133" s="741"/>
      <c r="AP133" s="747">
        <f t="shared" ca="1" si="41"/>
        <v>0</v>
      </c>
      <c r="AQ133" s="747">
        <v>15</v>
      </c>
      <c r="AR133" s="747">
        <f t="shared" ca="1" si="42"/>
        <v>0</v>
      </c>
      <c r="AS133" s="747">
        <f t="shared" ca="1" si="43"/>
        <v>0</v>
      </c>
      <c r="AT133" s="747">
        <f t="shared" si="44"/>
        <v>0</v>
      </c>
      <c r="AU133" s="741"/>
      <c r="AV133" s="747">
        <f t="shared" ca="1" si="45"/>
        <v>0</v>
      </c>
      <c r="AW133" s="747">
        <v>15</v>
      </c>
      <c r="AX133" s="747">
        <f t="shared" ca="1" si="46"/>
        <v>0</v>
      </c>
      <c r="AY133" s="747">
        <f t="shared" ca="1" si="47"/>
        <v>0</v>
      </c>
      <c r="AZ133" s="747">
        <f t="shared" si="48"/>
        <v>0</v>
      </c>
      <c r="BA133" s="741"/>
      <c r="BB133" s="747">
        <f t="shared" ca="1" si="49"/>
        <v>0</v>
      </c>
      <c r="BC133" s="747">
        <v>15</v>
      </c>
      <c r="BD133" s="747">
        <f t="shared" si="50"/>
        <v>0</v>
      </c>
      <c r="BE133" s="747">
        <f t="shared" si="51"/>
        <v>0</v>
      </c>
      <c r="BF133" s="747">
        <f t="shared" si="52"/>
        <v>0</v>
      </c>
      <c r="BG133" s="741"/>
      <c r="BH133" s="747">
        <f t="shared" si="53"/>
        <v>0</v>
      </c>
      <c r="BI133" s="747">
        <v>15</v>
      </c>
      <c r="BJ133" s="747">
        <f t="shared" si="54"/>
        <v>0</v>
      </c>
      <c r="BK133" s="747">
        <f t="shared" si="55"/>
        <v>0</v>
      </c>
      <c r="BL133" s="747">
        <f t="shared" si="56"/>
        <v>0</v>
      </c>
      <c r="BM133" s="741"/>
      <c r="BN133" s="747">
        <f t="shared" si="57"/>
        <v>0</v>
      </c>
      <c r="BO133" s="747">
        <v>15</v>
      </c>
      <c r="BP133" s="747">
        <f t="shared" si="58"/>
        <v>0</v>
      </c>
      <c r="BQ133" s="747">
        <f t="shared" si="59"/>
        <v>0</v>
      </c>
      <c r="BR133" s="747">
        <f t="shared" si="60"/>
        <v>0</v>
      </c>
      <c r="BS133" s="741"/>
      <c r="BT133" s="747">
        <f t="shared" si="61"/>
        <v>0</v>
      </c>
      <c r="BU133" s="750"/>
      <c r="BV133" s="750"/>
      <c r="BW133" s="750"/>
      <c r="BX133" s="750"/>
      <c r="BY133" s="750"/>
      <c r="BZ133" s="750"/>
      <c r="CA133" s="750"/>
      <c r="CB133" s="750"/>
      <c r="CC133" s="750"/>
      <c r="CD133" s="750"/>
      <c r="CE133" s="750"/>
      <c r="CF133" s="750"/>
      <c r="CG133" s="750"/>
      <c r="CH133" s="750"/>
      <c r="CI133" s="750"/>
      <c r="CJ133" s="750"/>
      <c r="CK133" s="750"/>
      <c r="CL133" s="750"/>
      <c r="CM133" s="750"/>
      <c r="CN133" s="750"/>
    </row>
    <row r="134" spans="1:92" ht="15" customHeight="1">
      <c r="A134" s="737">
        <v>16</v>
      </c>
      <c r="B134" s="737">
        <f t="shared" ca="1" si="66"/>
        <v>0</v>
      </c>
      <c r="C134" s="737">
        <f t="shared" ca="1" si="66"/>
        <v>0</v>
      </c>
      <c r="D134" s="737">
        <f t="shared" si="66"/>
        <v>0</v>
      </c>
      <c r="E134" s="737">
        <f t="shared" si="66"/>
        <v>0</v>
      </c>
      <c r="F134" s="737">
        <f t="shared" ca="1" si="66"/>
        <v>0</v>
      </c>
      <c r="G134" s="747">
        <v>16</v>
      </c>
      <c r="H134" s="747">
        <f t="shared" ca="1" si="19"/>
        <v>0</v>
      </c>
      <c r="I134" s="747">
        <f t="shared" ca="1" si="20"/>
        <v>0</v>
      </c>
      <c r="J134" s="747">
        <f t="shared" si="21"/>
        <v>0</v>
      </c>
      <c r="K134" s="747"/>
      <c r="L134" s="747">
        <f t="shared" ca="1" si="62"/>
        <v>0</v>
      </c>
      <c r="M134" s="747">
        <v>16</v>
      </c>
      <c r="N134" s="747">
        <f t="shared" ca="1" si="22"/>
        <v>0</v>
      </c>
      <c r="O134" s="747">
        <f t="shared" ca="1" si="23"/>
        <v>0</v>
      </c>
      <c r="P134" s="747">
        <f t="shared" si="24"/>
        <v>0</v>
      </c>
      <c r="Q134" s="748"/>
      <c r="R134" s="747">
        <f t="shared" ca="1" si="25"/>
        <v>0</v>
      </c>
      <c r="S134" s="747">
        <v>16</v>
      </c>
      <c r="T134" s="747">
        <f t="shared" ca="1" si="26"/>
        <v>0</v>
      </c>
      <c r="U134" s="747">
        <f t="shared" ca="1" si="27"/>
        <v>0</v>
      </c>
      <c r="V134" s="747">
        <f t="shared" si="28"/>
        <v>0</v>
      </c>
      <c r="W134" s="749"/>
      <c r="X134" s="747">
        <f t="shared" ca="1" si="29"/>
        <v>0</v>
      </c>
      <c r="Y134" s="747">
        <v>16</v>
      </c>
      <c r="Z134" s="747">
        <f t="shared" ca="1" si="30"/>
        <v>0</v>
      </c>
      <c r="AA134" s="747">
        <f t="shared" ca="1" si="31"/>
        <v>0</v>
      </c>
      <c r="AB134" s="747">
        <f t="shared" si="32"/>
        <v>0</v>
      </c>
      <c r="AC134" s="747"/>
      <c r="AD134" s="747">
        <f t="shared" ca="1" si="33"/>
        <v>0</v>
      </c>
      <c r="AE134" s="747">
        <v>16</v>
      </c>
      <c r="AF134" s="747">
        <f t="shared" ca="1" si="34"/>
        <v>0</v>
      </c>
      <c r="AG134" s="747">
        <f t="shared" ca="1" si="35"/>
        <v>0</v>
      </c>
      <c r="AH134" s="747">
        <f t="shared" si="36"/>
        <v>0</v>
      </c>
      <c r="AI134" s="741"/>
      <c r="AJ134" s="747">
        <f t="shared" ca="1" si="37"/>
        <v>0</v>
      </c>
      <c r="AK134" s="747">
        <v>16</v>
      </c>
      <c r="AL134" s="747">
        <f t="shared" ca="1" si="38"/>
        <v>0</v>
      </c>
      <c r="AM134" s="747">
        <f t="shared" ca="1" si="39"/>
        <v>0</v>
      </c>
      <c r="AN134" s="747">
        <f t="shared" si="40"/>
        <v>0</v>
      </c>
      <c r="AO134" s="741"/>
      <c r="AP134" s="747">
        <f t="shared" ca="1" si="41"/>
        <v>0</v>
      </c>
      <c r="AQ134" s="747">
        <v>16</v>
      </c>
      <c r="AR134" s="747">
        <f t="shared" ca="1" si="42"/>
        <v>0</v>
      </c>
      <c r="AS134" s="747">
        <f t="shared" ca="1" si="43"/>
        <v>0</v>
      </c>
      <c r="AT134" s="747">
        <f t="shared" si="44"/>
        <v>0</v>
      </c>
      <c r="AU134" s="741"/>
      <c r="AV134" s="747">
        <f t="shared" ca="1" si="45"/>
        <v>0</v>
      </c>
      <c r="AW134" s="747">
        <v>16</v>
      </c>
      <c r="AX134" s="747">
        <f t="shared" ca="1" si="46"/>
        <v>0</v>
      </c>
      <c r="AY134" s="747">
        <f t="shared" ca="1" si="47"/>
        <v>0</v>
      </c>
      <c r="AZ134" s="747">
        <f t="shared" si="48"/>
        <v>0</v>
      </c>
      <c r="BA134" s="741"/>
      <c r="BB134" s="747">
        <f t="shared" ca="1" si="49"/>
        <v>0</v>
      </c>
      <c r="BC134" s="747">
        <v>16</v>
      </c>
      <c r="BD134" s="747">
        <f t="shared" si="50"/>
        <v>0</v>
      </c>
      <c r="BE134" s="747">
        <f t="shared" si="51"/>
        <v>0</v>
      </c>
      <c r="BF134" s="747">
        <f t="shared" si="52"/>
        <v>0</v>
      </c>
      <c r="BG134" s="741"/>
      <c r="BH134" s="747">
        <f t="shared" si="53"/>
        <v>0</v>
      </c>
      <c r="BI134" s="747">
        <v>16</v>
      </c>
      <c r="BJ134" s="747">
        <f t="shared" si="54"/>
        <v>0</v>
      </c>
      <c r="BK134" s="747">
        <f t="shared" si="55"/>
        <v>0</v>
      </c>
      <c r="BL134" s="747">
        <f t="shared" si="56"/>
        <v>0</v>
      </c>
      <c r="BM134" s="741"/>
      <c r="BN134" s="747">
        <f t="shared" si="57"/>
        <v>0</v>
      </c>
      <c r="BO134" s="747">
        <v>16</v>
      </c>
      <c r="BP134" s="747">
        <f t="shared" si="58"/>
        <v>0</v>
      </c>
      <c r="BQ134" s="747">
        <f t="shared" si="59"/>
        <v>0</v>
      </c>
      <c r="BR134" s="747">
        <f t="shared" si="60"/>
        <v>0</v>
      </c>
      <c r="BS134" s="741"/>
      <c r="BT134" s="747">
        <f t="shared" si="61"/>
        <v>0</v>
      </c>
      <c r="BU134" s="750"/>
      <c r="BV134" s="750"/>
      <c r="BW134" s="750"/>
      <c r="BX134" s="750"/>
      <c r="BY134" s="750"/>
      <c r="BZ134" s="750"/>
      <c r="CA134" s="750"/>
      <c r="CB134" s="750"/>
      <c r="CC134" s="750"/>
      <c r="CD134" s="750"/>
      <c r="CE134" s="750"/>
      <c r="CF134" s="750"/>
      <c r="CG134" s="750"/>
      <c r="CH134" s="750"/>
      <c r="CI134" s="750"/>
      <c r="CJ134" s="750"/>
      <c r="CK134" s="750"/>
      <c r="CL134" s="750"/>
      <c r="CM134" s="750"/>
      <c r="CN134" s="750"/>
    </row>
    <row r="135" spans="1:92" ht="15" customHeight="1">
      <c r="A135" s="737">
        <v>17</v>
      </c>
      <c r="B135" s="737">
        <f t="shared" ca="1" si="66"/>
        <v>0</v>
      </c>
      <c r="C135" s="737">
        <f t="shared" ca="1" si="66"/>
        <v>0</v>
      </c>
      <c r="D135" s="737">
        <f t="shared" si="66"/>
        <v>0</v>
      </c>
      <c r="E135" s="737">
        <f t="shared" si="66"/>
        <v>0</v>
      </c>
      <c r="F135" s="737">
        <f t="shared" ca="1" si="66"/>
        <v>0</v>
      </c>
      <c r="G135" s="747">
        <v>17</v>
      </c>
      <c r="H135" s="747">
        <f t="shared" ca="1" si="19"/>
        <v>0</v>
      </c>
      <c r="I135" s="747">
        <f t="shared" ca="1" si="20"/>
        <v>0</v>
      </c>
      <c r="J135" s="747">
        <f t="shared" si="21"/>
        <v>0</v>
      </c>
      <c r="K135" s="747"/>
      <c r="L135" s="747">
        <f t="shared" ca="1" si="62"/>
        <v>0</v>
      </c>
      <c r="M135" s="747">
        <v>17</v>
      </c>
      <c r="N135" s="747">
        <f t="shared" ca="1" si="22"/>
        <v>0</v>
      </c>
      <c r="O135" s="747">
        <f t="shared" ca="1" si="23"/>
        <v>0</v>
      </c>
      <c r="P135" s="747">
        <f t="shared" si="24"/>
        <v>0</v>
      </c>
      <c r="Q135" s="748"/>
      <c r="R135" s="747">
        <f t="shared" ca="1" si="25"/>
        <v>0</v>
      </c>
      <c r="S135" s="747">
        <v>17</v>
      </c>
      <c r="T135" s="747">
        <f t="shared" ca="1" si="26"/>
        <v>0</v>
      </c>
      <c r="U135" s="747">
        <f t="shared" ca="1" si="27"/>
        <v>0</v>
      </c>
      <c r="V135" s="747">
        <f t="shared" si="28"/>
        <v>0</v>
      </c>
      <c r="W135" s="749"/>
      <c r="X135" s="747">
        <f t="shared" ca="1" si="29"/>
        <v>0</v>
      </c>
      <c r="Y135" s="747">
        <v>17</v>
      </c>
      <c r="Z135" s="747">
        <f t="shared" ca="1" si="30"/>
        <v>0</v>
      </c>
      <c r="AA135" s="747">
        <f t="shared" ca="1" si="31"/>
        <v>0</v>
      </c>
      <c r="AB135" s="747">
        <f t="shared" si="32"/>
        <v>0</v>
      </c>
      <c r="AC135" s="747"/>
      <c r="AD135" s="747">
        <f t="shared" ca="1" si="33"/>
        <v>0</v>
      </c>
      <c r="AE135" s="747">
        <v>17</v>
      </c>
      <c r="AF135" s="747">
        <f t="shared" ca="1" si="34"/>
        <v>0</v>
      </c>
      <c r="AG135" s="747">
        <f t="shared" ca="1" si="35"/>
        <v>0</v>
      </c>
      <c r="AH135" s="747">
        <f t="shared" si="36"/>
        <v>0</v>
      </c>
      <c r="AI135" s="741"/>
      <c r="AJ135" s="747">
        <f t="shared" ca="1" si="37"/>
        <v>0</v>
      </c>
      <c r="AK135" s="747">
        <v>17</v>
      </c>
      <c r="AL135" s="747">
        <f t="shared" ca="1" si="38"/>
        <v>0</v>
      </c>
      <c r="AM135" s="747">
        <f t="shared" ca="1" si="39"/>
        <v>0</v>
      </c>
      <c r="AN135" s="747">
        <f t="shared" si="40"/>
        <v>0</v>
      </c>
      <c r="AO135" s="741"/>
      <c r="AP135" s="747">
        <f t="shared" ca="1" si="41"/>
        <v>0</v>
      </c>
      <c r="AQ135" s="747">
        <v>17</v>
      </c>
      <c r="AR135" s="747">
        <f t="shared" ca="1" si="42"/>
        <v>0</v>
      </c>
      <c r="AS135" s="747">
        <f t="shared" ca="1" si="43"/>
        <v>0</v>
      </c>
      <c r="AT135" s="747">
        <f t="shared" si="44"/>
        <v>0</v>
      </c>
      <c r="AU135" s="741"/>
      <c r="AV135" s="747">
        <f t="shared" ca="1" si="45"/>
        <v>0</v>
      </c>
      <c r="AW135" s="747">
        <v>17</v>
      </c>
      <c r="AX135" s="747">
        <f t="shared" ca="1" si="46"/>
        <v>0</v>
      </c>
      <c r="AY135" s="747">
        <f t="shared" ca="1" si="47"/>
        <v>0</v>
      </c>
      <c r="AZ135" s="747">
        <f t="shared" si="48"/>
        <v>0</v>
      </c>
      <c r="BA135" s="741"/>
      <c r="BB135" s="747">
        <f t="shared" ca="1" si="49"/>
        <v>0</v>
      </c>
      <c r="BC135" s="747">
        <v>17</v>
      </c>
      <c r="BD135" s="747">
        <f t="shared" si="50"/>
        <v>0</v>
      </c>
      <c r="BE135" s="747">
        <f t="shared" si="51"/>
        <v>0</v>
      </c>
      <c r="BF135" s="747">
        <f t="shared" si="52"/>
        <v>0</v>
      </c>
      <c r="BG135" s="741"/>
      <c r="BH135" s="747">
        <f t="shared" si="53"/>
        <v>0</v>
      </c>
      <c r="BI135" s="747">
        <v>17</v>
      </c>
      <c r="BJ135" s="747">
        <f t="shared" si="54"/>
        <v>0</v>
      </c>
      <c r="BK135" s="747">
        <f t="shared" si="55"/>
        <v>0</v>
      </c>
      <c r="BL135" s="747">
        <f t="shared" si="56"/>
        <v>0</v>
      </c>
      <c r="BM135" s="741"/>
      <c r="BN135" s="747">
        <f t="shared" si="57"/>
        <v>0</v>
      </c>
      <c r="BO135" s="747">
        <v>17</v>
      </c>
      <c r="BP135" s="747">
        <f t="shared" si="58"/>
        <v>0</v>
      </c>
      <c r="BQ135" s="747">
        <f t="shared" si="59"/>
        <v>0</v>
      </c>
      <c r="BR135" s="747">
        <f t="shared" si="60"/>
        <v>0</v>
      </c>
      <c r="BS135" s="741"/>
      <c r="BT135" s="747">
        <f t="shared" si="61"/>
        <v>0</v>
      </c>
      <c r="BU135" s="750"/>
      <c r="BV135" s="750"/>
      <c r="BW135" s="750"/>
      <c r="BX135" s="750"/>
      <c r="BY135" s="750"/>
      <c r="BZ135" s="750"/>
      <c r="CA135" s="750"/>
      <c r="CB135" s="750"/>
      <c r="CC135" s="750"/>
      <c r="CD135" s="750"/>
      <c r="CE135" s="750"/>
      <c r="CF135" s="750"/>
      <c r="CG135" s="750"/>
      <c r="CH135" s="750"/>
      <c r="CI135" s="750"/>
      <c r="CJ135" s="750"/>
      <c r="CK135" s="750"/>
      <c r="CL135" s="750"/>
      <c r="CM135" s="750"/>
      <c r="CN135" s="750"/>
    </row>
    <row r="136" spans="1:92" ht="15" customHeight="1">
      <c r="A136" s="737">
        <v>18</v>
      </c>
      <c r="B136" s="737">
        <f t="shared" ca="1" si="66"/>
        <v>0</v>
      </c>
      <c r="C136" s="737">
        <f t="shared" ca="1" si="66"/>
        <v>0</v>
      </c>
      <c r="D136" s="737">
        <f t="shared" si="66"/>
        <v>0</v>
      </c>
      <c r="E136" s="737">
        <f t="shared" si="66"/>
        <v>0</v>
      </c>
      <c r="F136" s="737">
        <f t="shared" ca="1" si="66"/>
        <v>0</v>
      </c>
      <c r="G136" s="747">
        <v>18</v>
      </c>
      <c r="H136" s="747">
        <f t="shared" ca="1" si="19"/>
        <v>0</v>
      </c>
      <c r="I136" s="747">
        <f t="shared" ca="1" si="20"/>
        <v>0</v>
      </c>
      <c r="J136" s="747">
        <f t="shared" si="21"/>
        <v>0</v>
      </c>
      <c r="K136" s="747"/>
      <c r="L136" s="747">
        <f t="shared" ca="1" si="62"/>
        <v>0</v>
      </c>
      <c r="M136" s="747">
        <v>18</v>
      </c>
      <c r="N136" s="747">
        <f t="shared" ca="1" si="22"/>
        <v>0</v>
      </c>
      <c r="O136" s="747">
        <f t="shared" ca="1" si="23"/>
        <v>0</v>
      </c>
      <c r="P136" s="747">
        <f t="shared" si="24"/>
        <v>0</v>
      </c>
      <c r="Q136" s="748"/>
      <c r="R136" s="747">
        <f t="shared" ca="1" si="25"/>
        <v>0</v>
      </c>
      <c r="S136" s="747">
        <v>18</v>
      </c>
      <c r="T136" s="747">
        <f t="shared" ca="1" si="26"/>
        <v>0</v>
      </c>
      <c r="U136" s="747">
        <f t="shared" ca="1" si="27"/>
        <v>0</v>
      </c>
      <c r="V136" s="747">
        <f t="shared" si="28"/>
        <v>0</v>
      </c>
      <c r="W136" s="749"/>
      <c r="X136" s="747">
        <f t="shared" ca="1" si="29"/>
        <v>0</v>
      </c>
      <c r="Y136" s="747">
        <v>18</v>
      </c>
      <c r="Z136" s="747">
        <f t="shared" ca="1" si="30"/>
        <v>0</v>
      </c>
      <c r="AA136" s="747">
        <f t="shared" ca="1" si="31"/>
        <v>0</v>
      </c>
      <c r="AB136" s="747">
        <f t="shared" si="32"/>
        <v>0</v>
      </c>
      <c r="AC136" s="747"/>
      <c r="AD136" s="747">
        <f t="shared" ca="1" si="33"/>
        <v>0</v>
      </c>
      <c r="AE136" s="747">
        <v>18</v>
      </c>
      <c r="AF136" s="747">
        <f t="shared" ca="1" si="34"/>
        <v>0</v>
      </c>
      <c r="AG136" s="747">
        <f t="shared" ca="1" si="35"/>
        <v>0</v>
      </c>
      <c r="AH136" s="747">
        <f t="shared" si="36"/>
        <v>0</v>
      </c>
      <c r="AI136" s="741"/>
      <c r="AJ136" s="747">
        <f t="shared" ca="1" si="37"/>
        <v>0</v>
      </c>
      <c r="AK136" s="747">
        <v>18</v>
      </c>
      <c r="AL136" s="747">
        <f t="shared" ca="1" si="38"/>
        <v>0</v>
      </c>
      <c r="AM136" s="747">
        <f t="shared" ca="1" si="39"/>
        <v>0</v>
      </c>
      <c r="AN136" s="747">
        <f t="shared" si="40"/>
        <v>0</v>
      </c>
      <c r="AO136" s="741"/>
      <c r="AP136" s="747">
        <f t="shared" ca="1" si="41"/>
        <v>0</v>
      </c>
      <c r="AQ136" s="747">
        <v>18</v>
      </c>
      <c r="AR136" s="747">
        <f t="shared" ca="1" si="42"/>
        <v>0</v>
      </c>
      <c r="AS136" s="747">
        <f t="shared" ca="1" si="43"/>
        <v>0</v>
      </c>
      <c r="AT136" s="747">
        <f t="shared" si="44"/>
        <v>0</v>
      </c>
      <c r="AU136" s="741"/>
      <c r="AV136" s="747">
        <f t="shared" ca="1" si="45"/>
        <v>0</v>
      </c>
      <c r="AW136" s="747">
        <v>18</v>
      </c>
      <c r="AX136" s="747">
        <f t="shared" ca="1" si="46"/>
        <v>0</v>
      </c>
      <c r="AY136" s="747">
        <f t="shared" ca="1" si="47"/>
        <v>0</v>
      </c>
      <c r="AZ136" s="747">
        <f t="shared" si="48"/>
        <v>0</v>
      </c>
      <c r="BA136" s="741"/>
      <c r="BB136" s="747">
        <f t="shared" ca="1" si="49"/>
        <v>0</v>
      </c>
      <c r="BC136" s="747">
        <v>18</v>
      </c>
      <c r="BD136" s="747">
        <f t="shared" si="50"/>
        <v>0</v>
      </c>
      <c r="BE136" s="747">
        <f t="shared" si="51"/>
        <v>0</v>
      </c>
      <c r="BF136" s="747">
        <f t="shared" si="52"/>
        <v>0</v>
      </c>
      <c r="BG136" s="741"/>
      <c r="BH136" s="747">
        <f t="shared" si="53"/>
        <v>0</v>
      </c>
      <c r="BI136" s="747">
        <v>18</v>
      </c>
      <c r="BJ136" s="747">
        <f t="shared" si="54"/>
        <v>0</v>
      </c>
      <c r="BK136" s="747">
        <f t="shared" si="55"/>
        <v>0</v>
      </c>
      <c r="BL136" s="747">
        <f t="shared" si="56"/>
        <v>0</v>
      </c>
      <c r="BM136" s="741"/>
      <c r="BN136" s="747">
        <f t="shared" si="57"/>
        <v>0</v>
      </c>
      <c r="BO136" s="747">
        <v>18</v>
      </c>
      <c r="BP136" s="747">
        <f t="shared" si="58"/>
        <v>0</v>
      </c>
      <c r="BQ136" s="747">
        <f t="shared" si="59"/>
        <v>0</v>
      </c>
      <c r="BR136" s="747">
        <f t="shared" si="60"/>
        <v>0</v>
      </c>
      <c r="BS136" s="741"/>
      <c r="BT136" s="747">
        <f t="shared" si="61"/>
        <v>0</v>
      </c>
      <c r="BU136" s="750"/>
      <c r="BV136" s="750"/>
      <c r="BW136" s="750"/>
      <c r="BX136" s="750"/>
      <c r="BY136" s="750"/>
      <c r="BZ136" s="750"/>
      <c r="CA136" s="750"/>
      <c r="CB136" s="750"/>
      <c r="CC136" s="750"/>
      <c r="CD136" s="750"/>
      <c r="CE136" s="750"/>
      <c r="CF136" s="750"/>
      <c r="CG136" s="750"/>
      <c r="CH136" s="750"/>
      <c r="CI136" s="750"/>
      <c r="CJ136" s="750"/>
      <c r="CK136" s="750"/>
      <c r="CL136" s="750"/>
      <c r="CM136" s="750"/>
      <c r="CN136" s="750"/>
    </row>
    <row r="137" spans="1:92" ht="15" customHeight="1">
      <c r="A137" s="737">
        <v>19</v>
      </c>
      <c r="B137" s="737">
        <f t="shared" ref="B137:F142" ca="1" si="67">+H137+N134+T131+Z128+AF125+AL119</f>
        <v>0</v>
      </c>
      <c r="C137" s="737">
        <f t="shared" ca="1" si="67"/>
        <v>0</v>
      </c>
      <c r="D137" s="737">
        <f t="shared" si="67"/>
        <v>0</v>
      </c>
      <c r="E137" s="737">
        <f t="shared" si="67"/>
        <v>0</v>
      </c>
      <c r="F137" s="737">
        <f t="shared" ca="1" si="67"/>
        <v>0</v>
      </c>
      <c r="G137" s="747">
        <v>19</v>
      </c>
      <c r="H137" s="747">
        <f t="shared" ca="1" si="19"/>
        <v>0</v>
      </c>
      <c r="I137" s="747">
        <f t="shared" ca="1" si="20"/>
        <v>0</v>
      </c>
      <c r="J137" s="747">
        <f t="shared" si="21"/>
        <v>0</v>
      </c>
      <c r="K137" s="747"/>
      <c r="L137" s="747">
        <f t="shared" ca="1" si="62"/>
        <v>0</v>
      </c>
      <c r="M137" s="747">
        <v>19</v>
      </c>
      <c r="N137" s="747">
        <f t="shared" ca="1" si="22"/>
        <v>0</v>
      </c>
      <c r="O137" s="747">
        <f t="shared" ca="1" si="23"/>
        <v>0</v>
      </c>
      <c r="P137" s="747">
        <f t="shared" si="24"/>
        <v>0</v>
      </c>
      <c r="Q137" s="748"/>
      <c r="R137" s="747">
        <f t="shared" ca="1" si="25"/>
        <v>0</v>
      </c>
      <c r="S137" s="747">
        <v>19</v>
      </c>
      <c r="T137" s="747">
        <f t="shared" ca="1" si="26"/>
        <v>0</v>
      </c>
      <c r="U137" s="747">
        <f t="shared" ca="1" si="27"/>
        <v>0</v>
      </c>
      <c r="V137" s="747">
        <f t="shared" si="28"/>
        <v>0</v>
      </c>
      <c r="W137" s="749"/>
      <c r="X137" s="747">
        <f t="shared" ca="1" si="29"/>
        <v>0</v>
      </c>
      <c r="Y137" s="747">
        <v>19</v>
      </c>
      <c r="Z137" s="747">
        <f t="shared" ca="1" si="30"/>
        <v>0</v>
      </c>
      <c r="AA137" s="747">
        <f t="shared" ca="1" si="31"/>
        <v>0</v>
      </c>
      <c r="AB137" s="747">
        <f t="shared" si="32"/>
        <v>0</v>
      </c>
      <c r="AC137" s="747"/>
      <c r="AD137" s="747">
        <f t="shared" ca="1" si="33"/>
        <v>0</v>
      </c>
      <c r="AE137" s="747">
        <v>19</v>
      </c>
      <c r="AF137" s="747">
        <f t="shared" ca="1" si="34"/>
        <v>0</v>
      </c>
      <c r="AG137" s="747">
        <f t="shared" ca="1" si="35"/>
        <v>0</v>
      </c>
      <c r="AH137" s="747">
        <f t="shared" si="36"/>
        <v>0</v>
      </c>
      <c r="AI137" s="741"/>
      <c r="AJ137" s="747">
        <f t="shared" ca="1" si="37"/>
        <v>0</v>
      </c>
      <c r="AK137" s="747">
        <v>19</v>
      </c>
      <c r="AL137" s="747">
        <f t="shared" ca="1" si="38"/>
        <v>0</v>
      </c>
      <c r="AM137" s="747">
        <f t="shared" ca="1" si="39"/>
        <v>0</v>
      </c>
      <c r="AN137" s="747">
        <f t="shared" si="40"/>
        <v>0</v>
      </c>
      <c r="AO137" s="741"/>
      <c r="AP137" s="747">
        <f t="shared" ca="1" si="41"/>
        <v>0</v>
      </c>
      <c r="AQ137" s="747">
        <v>19</v>
      </c>
      <c r="AR137" s="747">
        <f t="shared" ca="1" si="42"/>
        <v>0</v>
      </c>
      <c r="AS137" s="747">
        <f t="shared" ca="1" si="43"/>
        <v>0</v>
      </c>
      <c r="AT137" s="747">
        <f t="shared" si="44"/>
        <v>0</v>
      </c>
      <c r="AU137" s="741"/>
      <c r="AV137" s="747">
        <f t="shared" ca="1" si="45"/>
        <v>0</v>
      </c>
      <c r="AW137" s="747">
        <v>19</v>
      </c>
      <c r="AX137" s="747">
        <f t="shared" ca="1" si="46"/>
        <v>0</v>
      </c>
      <c r="AY137" s="747">
        <f t="shared" ca="1" si="47"/>
        <v>0</v>
      </c>
      <c r="AZ137" s="747">
        <f t="shared" si="48"/>
        <v>0</v>
      </c>
      <c r="BA137" s="741"/>
      <c r="BB137" s="747">
        <f t="shared" ca="1" si="49"/>
        <v>0</v>
      </c>
      <c r="BC137" s="747">
        <v>19</v>
      </c>
      <c r="BD137" s="747">
        <f t="shared" si="50"/>
        <v>0</v>
      </c>
      <c r="BE137" s="747">
        <f t="shared" si="51"/>
        <v>0</v>
      </c>
      <c r="BF137" s="747">
        <f t="shared" si="52"/>
        <v>0</v>
      </c>
      <c r="BG137" s="741"/>
      <c r="BH137" s="747">
        <f t="shared" si="53"/>
        <v>0</v>
      </c>
      <c r="BI137" s="747">
        <v>19</v>
      </c>
      <c r="BJ137" s="747">
        <f t="shared" si="54"/>
        <v>0</v>
      </c>
      <c r="BK137" s="747">
        <f t="shared" si="55"/>
        <v>0</v>
      </c>
      <c r="BL137" s="747">
        <f t="shared" si="56"/>
        <v>0</v>
      </c>
      <c r="BM137" s="741"/>
      <c r="BN137" s="747">
        <f t="shared" si="57"/>
        <v>0</v>
      </c>
      <c r="BO137" s="747">
        <v>19</v>
      </c>
      <c r="BP137" s="747">
        <f t="shared" si="58"/>
        <v>0</v>
      </c>
      <c r="BQ137" s="747">
        <f t="shared" si="59"/>
        <v>0</v>
      </c>
      <c r="BR137" s="747">
        <f t="shared" si="60"/>
        <v>0</v>
      </c>
      <c r="BS137" s="741"/>
      <c r="BT137" s="747">
        <f t="shared" si="61"/>
        <v>0</v>
      </c>
      <c r="BU137" s="750"/>
      <c r="BV137" s="750"/>
      <c r="BW137" s="750"/>
      <c r="BX137" s="750"/>
      <c r="BY137" s="750"/>
      <c r="BZ137" s="750"/>
      <c r="CA137" s="750"/>
      <c r="CB137" s="750"/>
      <c r="CC137" s="750"/>
      <c r="CD137" s="750"/>
      <c r="CE137" s="750"/>
      <c r="CF137" s="750"/>
      <c r="CG137" s="750"/>
      <c r="CH137" s="750"/>
      <c r="CI137" s="750"/>
      <c r="CJ137" s="750"/>
      <c r="CK137" s="750"/>
      <c r="CL137" s="750"/>
      <c r="CM137" s="750"/>
      <c r="CN137" s="750"/>
    </row>
    <row r="138" spans="1:92" ht="15" customHeight="1">
      <c r="A138" s="737">
        <v>20</v>
      </c>
      <c r="B138" s="737">
        <f t="shared" ca="1" si="67"/>
        <v>0</v>
      </c>
      <c r="C138" s="737">
        <f t="shared" ca="1" si="67"/>
        <v>0</v>
      </c>
      <c r="D138" s="737">
        <f t="shared" si="67"/>
        <v>0</v>
      </c>
      <c r="E138" s="737">
        <f t="shared" si="67"/>
        <v>0</v>
      </c>
      <c r="F138" s="737">
        <f t="shared" ca="1" si="67"/>
        <v>0</v>
      </c>
      <c r="G138" s="747">
        <v>20</v>
      </c>
      <c r="H138" s="747">
        <f t="shared" ca="1" si="19"/>
        <v>0</v>
      </c>
      <c r="I138" s="747">
        <f t="shared" ca="1" si="20"/>
        <v>0</v>
      </c>
      <c r="J138" s="747">
        <f t="shared" si="21"/>
        <v>0</v>
      </c>
      <c r="K138" s="747"/>
      <c r="L138" s="747">
        <f t="shared" ca="1" si="62"/>
        <v>0</v>
      </c>
      <c r="M138" s="747">
        <v>20</v>
      </c>
      <c r="N138" s="747">
        <f t="shared" ca="1" si="22"/>
        <v>0</v>
      </c>
      <c r="O138" s="747">
        <f t="shared" ca="1" si="23"/>
        <v>0</v>
      </c>
      <c r="P138" s="747">
        <f t="shared" si="24"/>
        <v>0</v>
      </c>
      <c r="Q138" s="748"/>
      <c r="R138" s="747">
        <f t="shared" ca="1" si="25"/>
        <v>0</v>
      </c>
      <c r="S138" s="747">
        <v>20</v>
      </c>
      <c r="T138" s="747">
        <f t="shared" ca="1" si="26"/>
        <v>0</v>
      </c>
      <c r="U138" s="747">
        <f t="shared" ca="1" si="27"/>
        <v>0</v>
      </c>
      <c r="V138" s="747">
        <f t="shared" si="28"/>
        <v>0</v>
      </c>
      <c r="W138" s="749"/>
      <c r="X138" s="747">
        <f t="shared" ca="1" si="29"/>
        <v>0</v>
      </c>
      <c r="Y138" s="747">
        <v>20</v>
      </c>
      <c r="Z138" s="747">
        <f t="shared" ca="1" si="30"/>
        <v>0</v>
      </c>
      <c r="AA138" s="747">
        <f t="shared" ca="1" si="31"/>
        <v>0</v>
      </c>
      <c r="AB138" s="747">
        <f t="shared" si="32"/>
        <v>0</v>
      </c>
      <c r="AC138" s="747"/>
      <c r="AD138" s="747">
        <f t="shared" ca="1" si="33"/>
        <v>0</v>
      </c>
      <c r="AE138" s="747">
        <v>20</v>
      </c>
      <c r="AF138" s="747">
        <f t="shared" ca="1" si="34"/>
        <v>0</v>
      </c>
      <c r="AG138" s="747">
        <f t="shared" ca="1" si="35"/>
        <v>0</v>
      </c>
      <c r="AH138" s="747">
        <f t="shared" si="36"/>
        <v>0</v>
      </c>
      <c r="AI138" s="741"/>
      <c r="AJ138" s="747">
        <f t="shared" ca="1" si="37"/>
        <v>0</v>
      </c>
      <c r="AK138" s="747">
        <v>20</v>
      </c>
      <c r="AL138" s="747">
        <f t="shared" ca="1" si="38"/>
        <v>0</v>
      </c>
      <c r="AM138" s="747">
        <f t="shared" ca="1" si="39"/>
        <v>0</v>
      </c>
      <c r="AN138" s="747">
        <f t="shared" si="40"/>
        <v>0</v>
      </c>
      <c r="AO138" s="741"/>
      <c r="AP138" s="747">
        <f t="shared" ca="1" si="41"/>
        <v>0</v>
      </c>
      <c r="AQ138" s="747">
        <v>20</v>
      </c>
      <c r="AR138" s="747">
        <f t="shared" ca="1" si="42"/>
        <v>0</v>
      </c>
      <c r="AS138" s="747">
        <f t="shared" ca="1" si="43"/>
        <v>0</v>
      </c>
      <c r="AT138" s="747">
        <f t="shared" si="44"/>
        <v>0</v>
      </c>
      <c r="AU138" s="741"/>
      <c r="AV138" s="747">
        <f t="shared" ca="1" si="45"/>
        <v>0</v>
      </c>
      <c r="AW138" s="747">
        <v>20</v>
      </c>
      <c r="AX138" s="747">
        <f t="shared" ca="1" si="46"/>
        <v>0</v>
      </c>
      <c r="AY138" s="747">
        <f t="shared" ca="1" si="47"/>
        <v>0</v>
      </c>
      <c r="AZ138" s="747">
        <f t="shared" si="48"/>
        <v>0</v>
      </c>
      <c r="BA138" s="741"/>
      <c r="BB138" s="747">
        <f t="shared" ca="1" si="49"/>
        <v>0</v>
      </c>
      <c r="BC138" s="747">
        <v>20</v>
      </c>
      <c r="BD138" s="747">
        <f t="shared" si="50"/>
        <v>0</v>
      </c>
      <c r="BE138" s="747">
        <f t="shared" si="51"/>
        <v>0</v>
      </c>
      <c r="BF138" s="747">
        <f t="shared" si="52"/>
        <v>0</v>
      </c>
      <c r="BG138" s="741"/>
      <c r="BH138" s="747">
        <f t="shared" si="53"/>
        <v>0</v>
      </c>
      <c r="BI138" s="747">
        <v>20</v>
      </c>
      <c r="BJ138" s="747">
        <f t="shared" si="54"/>
        <v>0</v>
      </c>
      <c r="BK138" s="747">
        <f t="shared" si="55"/>
        <v>0</v>
      </c>
      <c r="BL138" s="747">
        <f t="shared" si="56"/>
        <v>0</v>
      </c>
      <c r="BM138" s="741"/>
      <c r="BN138" s="747">
        <f t="shared" si="57"/>
        <v>0</v>
      </c>
      <c r="BO138" s="747">
        <v>20</v>
      </c>
      <c r="BP138" s="747">
        <f t="shared" si="58"/>
        <v>0</v>
      </c>
      <c r="BQ138" s="747">
        <f t="shared" si="59"/>
        <v>0</v>
      </c>
      <c r="BR138" s="747">
        <f t="shared" si="60"/>
        <v>0</v>
      </c>
      <c r="BS138" s="741"/>
      <c r="BT138" s="747">
        <f t="shared" si="61"/>
        <v>0</v>
      </c>
      <c r="BU138" s="750"/>
      <c r="BV138" s="750"/>
      <c r="BW138" s="750"/>
      <c r="BX138" s="750"/>
      <c r="BY138" s="750"/>
      <c r="BZ138" s="750"/>
      <c r="CA138" s="750"/>
      <c r="CB138" s="750"/>
      <c r="CC138" s="750"/>
      <c r="CD138" s="750"/>
      <c r="CE138" s="750"/>
      <c r="CF138" s="750"/>
      <c r="CG138" s="750"/>
      <c r="CH138" s="750"/>
      <c r="CI138" s="750"/>
      <c r="CJ138" s="750"/>
      <c r="CK138" s="750"/>
      <c r="CL138" s="750"/>
      <c r="CM138" s="750"/>
      <c r="CN138" s="750"/>
    </row>
    <row r="139" spans="1:92" ht="15" customHeight="1">
      <c r="A139" s="737">
        <v>21</v>
      </c>
      <c r="B139" s="737">
        <f t="shared" ca="1" si="67"/>
        <v>0</v>
      </c>
      <c r="C139" s="737">
        <f t="shared" ca="1" si="67"/>
        <v>0</v>
      </c>
      <c r="D139" s="737">
        <f t="shared" si="67"/>
        <v>0</v>
      </c>
      <c r="E139" s="737">
        <f t="shared" si="67"/>
        <v>0</v>
      </c>
      <c r="F139" s="737">
        <f t="shared" ca="1" si="67"/>
        <v>0</v>
      </c>
      <c r="G139" s="747">
        <v>21</v>
      </c>
      <c r="H139" s="747">
        <f t="shared" ca="1" si="19"/>
        <v>0</v>
      </c>
      <c r="I139" s="747">
        <f t="shared" ca="1" si="20"/>
        <v>0</v>
      </c>
      <c r="J139" s="747">
        <f t="shared" si="21"/>
        <v>0</v>
      </c>
      <c r="K139" s="747"/>
      <c r="L139" s="747">
        <f t="shared" ca="1" si="62"/>
        <v>0</v>
      </c>
      <c r="M139" s="747">
        <v>21</v>
      </c>
      <c r="N139" s="747">
        <f t="shared" ca="1" si="22"/>
        <v>0</v>
      </c>
      <c r="O139" s="747">
        <f t="shared" ca="1" si="23"/>
        <v>0</v>
      </c>
      <c r="P139" s="747">
        <f t="shared" si="24"/>
        <v>0</v>
      </c>
      <c r="Q139" s="748"/>
      <c r="R139" s="747">
        <f t="shared" ca="1" si="25"/>
        <v>0</v>
      </c>
      <c r="S139" s="747">
        <v>21</v>
      </c>
      <c r="T139" s="747">
        <f t="shared" ca="1" si="26"/>
        <v>0</v>
      </c>
      <c r="U139" s="747">
        <f t="shared" ca="1" si="27"/>
        <v>0</v>
      </c>
      <c r="V139" s="747">
        <f t="shared" si="28"/>
        <v>0</v>
      </c>
      <c r="W139" s="749"/>
      <c r="X139" s="747">
        <f t="shared" ca="1" si="29"/>
        <v>0</v>
      </c>
      <c r="Y139" s="747">
        <v>21</v>
      </c>
      <c r="Z139" s="747">
        <f t="shared" ca="1" si="30"/>
        <v>0</v>
      </c>
      <c r="AA139" s="747">
        <f t="shared" ca="1" si="31"/>
        <v>0</v>
      </c>
      <c r="AB139" s="747">
        <f t="shared" si="32"/>
        <v>0</v>
      </c>
      <c r="AC139" s="747"/>
      <c r="AD139" s="747">
        <f t="shared" ca="1" si="33"/>
        <v>0</v>
      </c>
      <c r="AE139" s="747">
        <v>21</v>
      </c>
      <c r="AF139" s="747">
        <f t="shared" ca="1" si="34"/>
        <v>0</v>
      </c>
      <c r="AG139" s="747">
        <f t="shared" ca="1" si="35"/>
        <v>0</v>
      </c>
      <c r="AH139" s="747">
        <f t="shared" si="36"/>
        <v>0</v>
      </c>
      <c r="AI139" s="741"/>
      <c r="AJ139" s="747">
        <f t="shared" ca="1" si="37"/>
        <v>0</v>
      </c>
      <c r="AK139" s="747">
        <v>21</v>
      </c>
      <c r="AL139" s="747">
        <f t="shared" ca="1" si="38"/>
        <v>0</v>
      </c>
      <c r="AM139" s="747">
        <f t="shared" ca="1" si="39"/>
        <v>0</v>
      </c>
      <c r="AN139" s="747">
        <f t="shared" si="40"/>
        <v>0</v>
      </c>
      <c r="AO139" s="741"/>
      <c r="AP139" s="747">
        <f t="shared" ca="1" si="41"/>
        <v>0</v>
      </c>
      <c r="AQ139" s="747">
        <v>21</v>
      </c>
      <c r="AR139" s="747">
        <f t="shared" ca="1" si="42"/>
        <v>0</v>
      </c>
      <c r="AS139" s="747">
        <f t="shared" ca="1" si="43"/>
        <v>0</v>
      </c>
      <c r="AT139" s="747">
        <f t="shared" si="44"/>
        <v>0</v>
      </c>
      <c r="AU139" s="741"/>
      <c r="AV139" s="747">
        <f t="shared" ca="1" si="45"/>
        <v>0</v>
      </c>
      <c r="AW139" s="747">
        <v>21</v>
      </c>
      <c r="AX139" s="747">
        <f t="shared" ca="1" si="46"/>
        <v>0</v>
      </c>
      <c r="AY139" s="747">
        <f t="shared" ca="1" si="47"/>
        <v>0</v>
      </c>
      <c r="AZ139" s="747">
        <f t="shared" si="48"/>
        <v>0</v>
      </c>
      <c r="BA139" s="741"/>
      <c r="BB139" s="747">
        <f t="shared" ca="1" si="49"/>
        <v>0</v>
      </c>
      <c r="BC139" s="747">
        <v>21</v>
      </c>
      <c r="BD139" s="747">
        <f t="shared" si="50"/>
        <v>0</v>
      </c>
      <c r="BE139" s="747">
        <f t="shared" si="51"/>
        <v>0</v>
      </c>
      <c r="BF139" s="747">
        <f t="shared" si="52"/>
        <v>0</v>
      </c>
      <c r="BG139" s="741"/>
      <c r="BH139" s="747">
        <f t="shared" si="53"/>
        <v>0</v>
      </c>
      <c r="BI139" s="747">
        <v>21</v>
      </c>
      <c r="BJ139" s="747">
        <f t="shared" si="54"/>
        <v>0</v>
      </c>
      <c r="BK139" s="747">
        <f t="shared" si="55"/>
        <v>0</v>
      </c>
      <c r="BL139" s="747">
        <f t="shared" si="56"/>
        <v>0</v>
      </c>
      <c r="BM139" s="741"/>
      <c r="BN139" s="747">
        <f t="shared" si="57"/>
        <v>0</v>
      </c>
      <c r="BO139" s="747">
        <v>21</v>
      </c>
      <c r="BP139" s="747">
        <f t="shared" si="58"/>
        <v>0</v>
      </c>
      <c r="BQ139" s="747">
        <f t="shared" si="59"/>
        <v>0</v>
      </c>
      <c r="BR139" s="747">
        <f t="shared" si="60"/>
        <v>0</v>
      </c>
      <c r="BS139" s="741"/>
      <c r="BT139" s="747">
        <f t="shared" si="61"/>
        <v>0</v>
      </c>
      <c r="BU139" s="750"/>
      <c r="BV139" s="750"/>
      <c r="BW139" s="750"/>
      <c r="BX139" s="750"/>
      <c r="BY139" s="750"/>
      <c r="BZ139" s="750"/>
      <c r="CA139" s="750"/>
      <c r="CB139" s="750"/>
      <c r="CC139" s="750"/>
      <c r="CD139" s="750"/>
      <c r="CE139" s="750"/>
      <c r="CF139" s="750"/>
      <c r="CG139" s="750"/>
      <c r="CH139" s="750"/>
      <c r="CI139" s="750"/>
      <c r="CJ139" s="750"/>
      <c r="CK139" s="750"/>
      <c r="CL139" s="750"/>
      <c r="CM139" s="750"/>
      <c r="CN139" s="750"/>
    </row>
    <row r="140" spans="1:92" ht="15" customHeight="1">
      <c r="A140" s="737">
        <v>22</v>
      </c>
      <c r="B140" s="737">
        <f t="shared" ca="1" si="67"/>
        <v>0</v>
      </c>
      <c r="C140" s="737">
        <f t="shared" ca="1" si="67"/>
        <v>0</v>
      </c>
      <c r="D140" s="737">
        <f t="shared" si="67"/>
        <v>0</v>
      </c>
      <c r="E140" s="737">
        <f t="shared" si="67"/>
        <v>0</v>
      </c>
      <c r="F140" s="737">
        <f t="shared" ca="1" si="67"/>
        <v>0</v>
      </c>
      <c r="G140" s="747">
        <v>22</v>
      </c>
      <c r="H140" s="747">
        <f t="shared" ca="1" si="19"/>
        <v>0</v>
      </c>
      <c r="I140" s="747">
        <f t="shared" ca="1" si="20"/>
        <v>0</v>
      </c>
      <c r="J140" s="747">
        <f t="shared" si="21"/>
        <v>0</v>
      </c>
      <c r="K140" s="747"/>
      <c r="L140" s="747">
        <f t="shared" ca="1" si="62"/>
        <v>0</v>
      </c>
      <c r="M140" s="747">
        <v>22</v>
      </c>
      <c r="N140" s="747">
        <f t="shared" ca="1" si="22"/>
        <v>0</v>
      </c>
      <c r="O140" s="747">
        <f t="shared" ca="1" si="23"/>
        <v>0</v>
      </c>
      <c r="P140" s="747">
        <f t="shared" si="24"/>
        <v>0</v>
      </c>
      <c r="Q140" s="748"/>
      <c r="R140" s="747">
        <f t="shared" ca="1" si="25"/>
        <v>0</v>
      </c>
      <c r="S140" s="747">
        <v>22</v>
      </c>
      <c r="T140" s="747">
        <f t="shared" ca="1" si="26"/>
        <v>0</v>
      </c>
      <c r="U140" s="747">
        <f t="shared" ca="1" si="27"/>
        <v>0</v>
      </c>
      <c r="V140" s="747">
        <f t="shared" si="28"/>
        <v>0</v>
      </c>
      <c r="W140" s="749"/>
      <c r="X140" s="747">
        <f t="shared" ca="1" si="29"/>
        <v>0</v>
      </c>
      <c r="Y140" s="747">
        <v>22</v>
      </c>
      <c r="Z140" s="747">
        <f t="shared" ca="1" si="30"/>
        <v>0</v>
      </c>
      <c r="AA140" s="747">
        <f t="shared" ca="1" si="31"/>
        <v>0</v>
      </c>
      <c r="AB140" s="747">
        <f t="shared" si="32"/>
        <v>0</v>
      </c>
      <c r="AC140" s="747"/>
      <c r="AD140" s="747">
        <f t="shared" ca="1" si="33"/>
        <v>0</v>
      </c>
      <c r="AE140" s="747">
        <v>22</v>
      </c>
      <c r="AF140" s="747">
        <f t="shared" ca="1" si="34"/>
        <v>0</v>
      </c>
      <c r="AG140" s="747">
        <f t="shared" ca="1" si="35"/>
        <v>0</v>
      </c>
      <c r="AH140" s="747">
        <f t="shared" si="36"/>
        <v>0</v>
      </c>
      <c r="AI140" s="741"/>
      <c r="AJ140" s="747">
        <f t="shared" ca="1" si="37"/>
        <v>0</v>
      </c>
      <c r="AK140" s="747">
        <v>22</v>
      </c>
      <c r="AL140" s="747">
        <f t="shared" ca="1" si="38"/>
        <v>0</v>
      </c>
      <c r="AM140" s="747">
        <f t="shared" ca="1" si="39"/>
        <v>0</v>
      </c>
      <c r="AN140" s="747">
        <f t="shared" si="40"/>
        <v>0</v>
      </c>
      <c r="AO140" s="741"/>
      <c r="AP140" s="747">
        <f t="shared" ca="1" si="41"/>
        <v>0</v>
      </c>
      <c r="AQ140" s="747">
        <v>22</v>
      </c>
      <c r="AR140" s="747">
        <f t="shared" ca="1" si="42"/>
        <v>0</v>
      </c>
      <c r="AS140" s="747">
        <f t="shared" ca="1" si="43"/>
        <v>0</v>
      </c>
      <c r="AT140" s="747">
        <f t="shared" si="44"/>
        <v>0</v>
      </c>
      <c r="AU140" s="741"/>
      <c r="AV140" s="747">
        <f t="shared" ca="1" si="45"/>
        <v>0</v>
      </c>
      <c r="AW140" s="747">
        <v>22</v>
      </c>
      <c r="AX140" s="747">
        <f t="shared" ca="1" si="46"/>
        <v>0</v>
      </c>
      <c r="AY140" s="747">
        <f t="shared" ca="1" si="47"/>
        <v>0</v>
      </c>
      <c r="AZ140" s="747">
        <f t="shared" si="48"/>
        <v>0</v>
      </c>
      <c r="BA140" s="741"/>
      <c r="BB140" s="747">
        <f t="shared" ca="1" si="49"/>
        <v>0</v>
      </c>
      <c r="BC140" s="747">
        <v>22</v>
      </c>
      <c r="BD140" s="747">
        <f t="shared" si="50"/>
        <v>0</v>
      </c>
      <c r="BE140" s="747">
        <f t="shared" si="51"/>
        <v>0</v>
      </c>
      <c r="BF140" s="747">
        <f t="shared" si="52"/>
        <v>0</v>
      </c>
      <c r="BG140" s="741"/>
      <c r="BH140" s="747">
        <f t="shared" si="53"/>
        <v>0</v>
      </c>
      <c r="BI140" s="747">
        <v>22</v>
      </c>
      <c r="BJ140" s="747">
        <f t="shared" si="54"/>
        <v>0</v>
      </c>
      <c r="BK140" s="747">
        <f t="shared" si="55"/>
        <v>0</v>
      </c>
      <c r="BL140" s="747">
        <f t="shared" si="56"/>
        <v>0</v>
      </c>
      <c r="BM140" s="741"/>
      <c r="BN140" s="747">
        <f t="shared" si="57"/>
        <v>0</v>
      </c>
      <c r="BO140" s="747">
        <v>22</v>
      </c>
      <c r="BP140" s="747">
        <f t="shared" si="58"/>
        <v>0</v>
      </c>
      <c r="BQ140" s="747">
        <f t="shared" si="59"/>
        <v>0</v>
      </c>
      <c r="BR140" s="747">
        <f t="shared" si="60"/>
        <v>0</v>
      </c>
      <c r="BS140" s="741"/>
      <c r="BT140" s="747">
        <f t="shared" si="61"/>
        <v>0</v>
      </c>
      <c r="BU140" s="750"/>
      <c r="BV140" s="750"/>
      <c r="BW140" s="750"/>
      <c r="BX140" s="750"/>
      <c r="BY140" s="750"/>
      <c r="BZ140" s="750"/>
      <c r="CA140" s="750"/>
      <c r="CB140" s="750"/>
      <c r="CC140" s="750"/>
      <c r="CD140" s="750"/>
      <c r="CE140" s="750"/>
      <c r="CF140" s="750"/>
      <c r="CG140" s="750"/>
      <c r="CH140" s="750"/>
      <c r="CI140" s="750"/>
      <c r="CJ140" s="750"/>
      <c r="CK140" s="750"/>
      <c r="CL140" s="750"/>
      <c r="CM140" s="750"/>
      <c r="CN140" s="750"/>
    </row>
    <row r="141" spans="1:92" ht="15" customHeight="1">
      <c r="A141" s="737">
        <v>23</v>
      </c>
      <c r="B141" s="737">
        <f t="shared" ca="1" si="67"/>
        <v>0</v>
      </c>
      <c r="C141" s="737">
        <f t="shared" ca="1" si="67"/>
        <v>0</v>
      </c>
      <c r="D141" s="737">
        <f t="shared" si="67"/>
        <v>0</v>
      </c>
      <c r="E141" s="737">
        <f t="shared" si="67"/>
        <v>0</v>
      </c>
      <c r="F141" s="737">
        <f t="shared" ca="1" si="67"/>
        <v>0</v>
      </c>
      <c r="G141" s="747">
        <v>23</v>
      </c>
      <c r="H141" s="747">
        <f t="shared" ca="1" si="19"/>
        <v>0</v>
      </c>
      <c r="I141" s="747">
        <f t="shared" ca="1" si="20"/>
        <v>0</v>
      </c>
      <c r="J141" s="747">
        <f t="shared" si="21"/>
        <v>0</v>
      </c>
      <c r="K141" s="747"/>
      <c r="L141" s="747">
        <f t="shared" ca="1" si="62"/>
        <v>0</v>
      </c>
      <c r="M141" s="747">
        <v>23</v>
      </c>
      <c r="N141" s="747">
        <f t="shared" ca="1" si="22"/>
        <v>0</v>
      </c>
      <c r="O141" s="747">
        <f t="shared" ca="1" si="23"/>
        <v>0</v>
      </c>
      <c r="P141" s="747">
        <f t="shared" si="24"/>
        <v>0</v>
      </c>
      <c r="Q141" s="748"/>
      <c r="R141" s="747">
        <f t="shared" ca="1" si="25"/>
        <v>0</v>
      </c>
      <c r="S141" s="747">
        <v>23</v>
      </c>
      <c r="T141" s="747">
        <f t="shared" ca="1" si="26"/>
        <v>0</v>
      </c>
      <c r="U141" s="747">
        <f t="shared" ca="1" si="27"/>
        <v>0</v>
      </c>
      <c r="V141" s="747">
        <f t="shared" si="28"/>
        <v>0</v>
      </c>
      <c r="W141" s="749"/>
      <c r="X141" s="747">
        <f t="shared" ca="1" si="29"/>
        <v>0</v>
      </c>
      <c r="Y141" s="747">
        <v>23</v>
      </c>
      <c r="Z141" s="747">
        <f t="shared" ca="1" si="30"/>
        <v>0</v>
      </c>
      <c r="AA141" s="747">
        <f t="shared" ca="1" si="31"/>
        <v>0</v>
      </c>
      <c r="AB141" s="747">
        <f t="shared" si="32"/>
        <v>0</v>
      </c>
      <c r="AC141" s="747"/>
      <c r="AD141" s="747">
        <f t="shared" ca="1" si="33"/>
        <v>0</v>
      </c>
      <c r="AE141" s="747">
        <v>23</v>
      </c>
      <c r="AF141" s="747">
        <f t="shared" ca="1" si="34"/>
        <v>0</v>
      </c>
      <c r="AG141" s="747">
        <f t="shared" ca="1" si="35"/>
        <v>0</v>
      </c>
      <c r="AH141" s="747">
        <f t="shared" si="36"/>
        <v>0</v>
      </c>
      <c r="AI141" s="741"/>
      <c r="AJ141" s="747">
        <f t="shared" ca="1" si="37"/>
        <v>0</v>
      </c>
      <c r="AK141" s="747">
        <v>23</v>
      </c>
      <c r="AL141" s="747">
        <f t="shared" ca="1" si="38"/>
        <v>0</v>
      </c>
      <c r="AM141" s="747">
        <f t="shared" ca="1" si="39"/>
        <v>0</v>
      </c>
      <c r="AN141" s="747">
        <f t="shared" si="40"/>
        <v>0</v>
      </c>
      <c r="AO141" s="741"/>
      <c r="AP141" s="747">
        <f t="shared" ca="1" si="41"/>
        <v>0</v>
      </c>
      <c r="AQ141" s="747">
        <v>23</v>
      </c>
      <c r="AR141" s="747">
        <f t="shared" ca="1" si="42"/>
        <v>0</v>
      </c>
      <c r="AS141" s="747">
        <f t="shared" ca="1" si="43"/>
        <v>0</v>
      </c>
      <c r="AT141" s="747">
        <f t="shared" si="44"/>
        <v>0</v>
      </c>
      <c r="AU141" s="741"/>
      <c r="AV141" s="747">
        <f t="shared" ca="1" si="45"/>
        <v>0</v>
      </c>
      <c r="AW141" s="747">
        <v>23</v>
      </c>
      <c r="AX141" s="747">
        <f t="shared" ca="1" si="46"/>
        <v>0</v>
      </c>
      <c r="AY141" s="747">
        <f t="shared" ca="1" si="47"/>
        <v>0</v>
      </c>
      <c r="AZ141" s="747">
        <f t="shared" si="48"/>
        <v>0</v>
      </c>
      <c r="BA141" s="741"/>
      <c r="BB141" s="747">
        <f t="shared" ca="1" si="49"/>
        <v>0</v>
      </c>
      <c r="BC141" s="747">
        <v>23</v>
      </c>
      <c r="BD141" s="747">
        <f t="shared" si="50"/>
        <v>0</v>
      </c>
      <c r="BE141" s="747">
        <f t="shared" si="51"/>
        <v>0</v>
      </c>
      <c r="BF141" s="747">
        <f t="shared" si="52"/>
        <v>0</v>
      </c>
      <c r="BG141" s="741"/>
      <c r="BH141" s="747">
        <f t="shared" si="53"/>
        <v>0</v>
      </c>
      <c r="BI141" s="747">
        <v>23</v>
      </c>
      <c r="BJ141" s="747">
        <f t="shared" si="54"/>
        <v>0</v>
      </c>
      <c r="BK141" s="747">
        <f t="shared" si="55"/>
        <v>0</v>
      </c>
      <c r="BL141" s="747">
        <f t="shared" si="56"/>
        <v>0</v>
      </c>
      <c r="BM141" s="741"/>
      <c r="BN141" s="747">
        <f t="shared" si="57"/>
        <v>0</v>
      </c>
      <c r="BO141" s="747">
        <v>23</v>
      </c>
      <c r="BP141" s="747">
        <f t="shared" si="58"/>
        <v>0</v>
      </c>
      <c r="BQ141" s="747">
        <f t="shared" si="59"/>
        <v>0</v>
      </c>
      <c r="BR141" s="747">
        <f t="shared" si="60"/>
        <v>0</v>
      </c>
      <c r="BS141" s="741"/>
      <c r="BT141" s="747">
        <f t="shared" si="61"/>
        <v>0</v>
      </c>
      <c r="BU141" s="750"/>
      <c r="BV141" s="750"/>
      <c r="BW141" s="750"/>
      <c r="BX141" s="750"/>
      <c r="BY141" s="750"/>
      <c r="BZ141" s="750"/>
      <c r="CA141" s="750"/>
      <c r="CB141" s="750"/>
      <c r="CC141" s="750"/>
      <c r="CD141" s="750"/>
      <c r="CE141" s="750"/>
      <c r="CF141" s="750"/>
      <c r="CG141" s="750"/>
      <c r="CH141" s="750"/>
      <c r="CI141" s="750"/>
      <c r="CJ141" s="750"/>
      <c r="CK141" s="750"/>
      <c r="CL141" s="750"/>
      <c r="CM141" s="750"/>
      <c r="CN141" s="750"/>
    </row>
    <row r="142" spans="1:92" ht="15" customHeight="1">
      <c r="A142" s="737">
        <v>24</v>
      </c>
      <c r="B142" s="737">
        <f t="shared" ca="1" si="67"/>
        <v>0</v>
      </c>
      <c r="C142" s="737">
        <f t="shared" ca="1" si="67"/>
        <v>0</v>
      </c>
      <c r="D142" s="737">
        <f t="shared" si="67"/>
        <v>0</v>
      </c>
      <c r="E142" s="737">
        <f t="shared" si="67"/>
        <v>0</v>
      </c>
      <c r="F142" s="737">
        <f t="shared" ca="1" si="67"/>
        <v>0</v>
      </c>
      <c r="G142" s="747">
        <v>24</v>
      </c>
      <c r="H142" s="747">
        <f t="shared" ca="1" si="19"/>
        <v>0</v>
      </c>
      <c r="I142" s="747">
        <f t="shared" ca="1" si="20"/>
        <v>0</v>
      </c>
      <c r="J142" s="747">
        <f t="shared" si="21"/>
        <v>0</v>
      </c>
      <c r="K142" s="747"/>
      <c r="L142" s="747">
        <f t="shared" ca="1" si="62"/>
        <v>0</v>
      </c>
      <c r="M142" s="747">
        <v>24</v>
      </c>
      <c r="N142" s="747">
        <f t="shared" ca="1" si="22"/>
        <v>0</v>
      </c>
      <c r="O142" s="747">
        <f t="shared" ca="1" si="23"/>
        <v>0</v>
      </c>
      <c r="P142" s="747">
        <f t="shared" si="24"/>
        <v>0</v>
      </c>
      <c r="Q142" s="748"/>
      <c r="R142" s="747">
        <f t="shared" ca="1" si="25"/>
        <v>0</v>
      </c>
      <c r="S142" s="747">
        <v>24</v>
      </c>
      <c r="T142" s="747">
        <f t="shared" ca="1" si="26"/>
        <v>0</v>
      </c>
      <c r="U142" s="747">
        <f t="shared" ca="1" si="27"/>
        <v>0</v>
      </c>
      <c r="V142" s="747">
        <f t="shared" si="28"/>
        <v>0</v>
      </c>
      <c r="W142" s="749"/>
      <c r="X142" s="747">
        <f t="shared" ca="1" si="29"/>
        <v>0</v>
      </c>
      <c r="Y142" s="747">
        <v>24</v>
      </c>
      <c r="Z142" s="747">
        <f t="shared" ca="1" si="30"/>
        <v>0</v>
      </c>
      <c r="AA142" s="747">
        <f t="shared" ca="1" si="31"/>
        <v>0</v>
      </c>
      <c r="AB142" s="747">
        <f t="shared" si="32"/>
        <v>0</v>
      </c>
      <c r="AC142" s="747"/>
      <c r="AD142" s="747">
        <f t="shared" ca="1" si="33"/>
        <v>0</v>
      </c>
      <c r="AE142" s="747">
        <v>24</v>
      </c>
      <c r="AF142" s="747">
        <f t="shared" ca="1" si="34"/>
        <v>0</v>
      </c>
      <c r="AG142" s="747">
        <f t="shared" ca="1" si="35"/>
        <v>0</v>
      </c>
      <c r="AH142" s="747">
        <f t="shared" si="36"/>
        <v>0</v>
      </c>
      <c r="AI142" s="741"/>
      <c r="AJ142" s="747">
        <f t="shared" ca="1" si="37"/>
        <v>0</v>
      </c>
      <c r="AK142" s="747">
        <v>24</v>
      </c>
      <c r="AL142" s="747">
        <f t="shared" ca="1" si="38"/>
        <v>0</v>
      </c>
      <c r="AM142" s="747">
        <f t="shared" ca="1" si="39"/>
        <v>0</v>
      </c>
      <c r="AN142" s="747">
        <f t="shared" si="40"/>
        <v>0</v>
      </c>
      <c r="AO142" s="741"/>
      <c r="AP142" s="747">
        <f t="shared" ca="1" si="41"/>
        <v>0</v>
      </c>
      <c r="AQ142" s="747">
        <v>24</v>
      </c>
      <c r="AR142" s="747">
        <f t="shared" ca="1" si="42"/>
        <v>0</v>
      </c>
      <c r="AS142" s="747">
        <f t="shared" ca="1" si="43"/>
        <v>0</v>
      </c>
      <c r="AT142" s="747">
        <f t="shared" si="44"/>
        <v>0</v>
      </c>
      <c r="AU142" s="741"/>
      <c r="AV142" s="747">
        <f t="shared" ca="1" si="45"/>
        <v>0</v>
      </c>
      <c r="AW142" s="747">
        <v>24</v>
      </c>
      <c r="AX142" s="747">
        <f t="shared" ca="1" si="46"/>
        <v>0</v>
      </c>
      <c r="AY142" s="747">
        <f t="shared" ca="1" si="47"/>
        <v>0</v>
      </c>
      <c r="AZ142" s="747">
        <f t="shared" si="48"/>
        <v>0</v>
      </c>
      <c r="BA142" s="741"/>
      <c r="BB142" s="747">
        <f t="shared" ca="1" si="49"/>
        <v>0</v>
      </c>
      <c r="BC142" s="747">
        <v>24</v>
      </c>
      <c r="BD142" s="747">
        <f t="shared" si="50"/>
        <v>0</v>
      </c>
      <c r="BE142" s="747">
        <f t="shared" si="51"/>
        <v>0</v>
      </c>
      <c r="BF142" s="747">
        <f t="shared" si="52"/>
        <v>0</v>
      </c>
      <c r="BG142" s="741"/>
      <c r="BH142" s="747">
        <f t="shared" si="53"/>
        <v>0</v>
      </c>
      <c r="BI142" s="747">
        <v>24</v>
      </c>
      <c r="BJ142" s="747">
        <f t="shared" si="54"/>
        <v>0</v>
      </c>
      <c r="BK142" s="747">
        <f t="shared" si="55"/>
        <v>0</v>
      </c>
      <c r="BL142" s="747">
        <f t="shared" si="56"/>
        <v>0</v>
      </c>
      <c r="BM142" s="741"/>
      <c r="BN142" s="747">
        <f t="shared" si="57"/>
        <v>0</v>
      </c>
      <c r="BO142" s="747">
        <v>24</v>
      </c>
      <c r="BP142" s="747">
        <f t="shared" si="58"/>
        <v>0</v>
      </c>
      <c r="BQ142" s="747">
        <f t="shared" si="59"/>
        <v>0</v>
      </c>
      <c r="BR142" s="747">
        <f t="shared" si="60"/>
        <v>0</v>
      </c>
      <c r="BS142" s="741"/>
      <c r="BT142" s="747">
        <f t="shared" si="61"/>
        <v>0</v>
      </c>
      <c r="BU142" s="750"/>
      <c r="BV142" s="750"/>
      <c r="BW142" s="750"/>
      <c r="BX142" s="750"/>
      <c r="BY142" s="750"/>
      <c r="BZ142" s="750"/>
      <c r="CA142" s="750"/>
      <c r="CB142" s="750"/>
      <c r="CC142" s="750"/>
      <c r="CD142" s="750"/>
      <c r="CE142" s="750"/>
      <c r="CF142" s="750"/>
      <c r="CG142" s="750"/>
      <c r="CH142" s="750"/>
      <c r="CI142" s="750"/>
      <c r="CJ142" s="750"/>
      <c r="CK142" s="750"/>
      <c r="CL142" s="750"/>
      <c r="CM142" s="750"/>
      <c r="CN142" s="750"/>
    </row>
    <row r="143" spans="1:92" ht="15" customHeight="1">
      <c r="A143" s="737">
        <v>25</v>
      </c>
      <c r="B143" s="737">
        <f t="shared" ref="B143:F148" ca="1" si="68">+H143+N140+T137+Z134+AF131+AL125+AR119</f>
        <v>0</v>
      </c>
      <c r="C143" s="737">
        <f t="shared" ca="1" si="68"/>
        <v>0</v>
      </c>
      <c r="D143" s="737">
        <f t="shared" si="68"/>
        <v>0</v>
      </c>
      <c r="E143" s="737">
        <f t="shared" si="68"/>
        <v>0</v>
      </c>
      <c r="F143" s="737">
        <f t="shared" ca="1" si="68"/>
        <v>0</v>
      </c>
      <c r="G143" s="747">
        <v>25</v>
      </c>
      <c r="H143" s="747">
        <f t="shared" ca="1" si="19"/>
        <v>0</v>
      </c>
      <c r="I143" s="747">
        <f t="shared" ca="1" si="20"/>
        <v>0</v>
      </c>
      <c r="J143" s="747">
        <f t="shared" si="21"/>
        <v>0</v>
      </c>
      <c r="K143" s="747"/>
      <c r="L143" s="747">
        <f t="shared" ca="1" si="62"/>
        <v>0</v>
      </c>
      <c r="M143" s="747">
        <v>25</v>
      </c>
      <c r="N143" s="747">
        <f t="shared" ca="1" si="22"/>
        <v>0</v>
      </c>
      <c r="O143" s="747">
        <f t="shared" ca="1" si="23"/>
        <v>0</v>
      </c>
      <c r="P143" s="747">
        <f t="shared" si="24"/>
        <v>0</v>
      </c>
      <c r="Q143" s="748"/>
      <c r="R143" s="747">
        <f t="shared" ca="1" si="25"/>
        <v>0</v>
      </c>
      <c r="S143" s="747">
        <v>25</v>
      </c>
      <c r="T143" s="747">
        <f t="shared" ca="1" si="26"/>
        <v>0</v>
      </c>
      <c r="U143" s="747">
        <f t="shared" ca="1" si="27"/>
        <v>0</v>
      </c>
      <c r="V143" s="747">
        <f t="shared" si="28"/>
        <v>0</v>
      </c>
      <c r="W143" s="749"/>
      <c r="X143" s="747">
        <f t="shared" ca="1" si="29"/>
        <v>0</v>
      </c>
      <c r="Y143" s="747">
        <v>25</v>
      </c>
      <c r="Z143" s="747">
        <f t="shared" ca="1" si="30"/>
        <v>0</v>
      </c>
      <c r="AA143" s="747">
        <f t="shared" ca="1" si="31"/>
        <v>0</v>
      </c>
      <c r="AB143" s="747">
        <f t="shared" si="32"/>
        <v>0</v>
      </c>
      <c r="AC143" s="747"/>
      <c r="AD143" s="747">
        <f t="shared" ca="1" si="33"/>
        <v>0</v>
      </c>
      <c r="AE143" s="747">
        <v>25</v>
      </c>
      <c r="AF143" s="747">
        <f t="shared" ca="1" si="34"/>
        <v>0</v>
      </c>
      <c r="AG143" s="747">
        <f t="shared" ca="1" si="35"/>
        <v>0</v>
      </c>
      <c r="AH143" s="747">
        <f t="shared" si="36"/>
        <v>0</v>
      </c>
      <c r="AI143" s="741"/>
      <c r="AJ143" s="747">
        <f t="shared" ca="1" si="37"/>
        <v>0</v>
      </c>
      <c r="AK143" s="747">
        <v>25</v>
      </c>
      <c r="AL143" s="747">
        <f t="shared" ca="1" si="38"/>
        <v>0</v>
      </c>
      <c r="AM143" s="747">
        <f t="shared" ca="1" si="39"/>
        <v>0</v>
      </c>
      <c r="AN143" s="747">
        <f t="shared" si="40"/>
        <v>0</v>
      </c>
      <c r="AO143" s="741"/>
      <c r="AP143" s="747">
        <f t="shared" ca="1" si="41"/>
        <v>0</v>
      </c>
      <c r="AQ143" s="747">
        <v>25</v>
      </c>
      <c r="AR143" s="747">
        <f t="shared" ca="1" si="42"/>
        <v>0</v>
      </c>
      <c r="AS143" s="747">
        <f t="shared" ca="1" si="43"/>
        <v>0</v>
      </c>
      <c r="AT143" s="747">
        <f t="shared" si="44"/>
        <v>0</v>
      </c>
      <c r="AU143" s="741"/>
      <c r="AV143" s="747">
        <f t="shared" ca="1" si="45"/>
        <v>0</v>
      </c>
      <c r="AW143" s="747">
        <v>25</v>
      </c>
      <c r="AX143" s="747">
        <f t="shared" ca="1" si="46"/>
        <v>0</v>
      </c>
      <c r="AY143" s="747">
        <f t="shared" ca="1" si="47"/>
        <v>0</v>
      </c>
      <c r="AZ143" s="747">
        <f t="shared" si="48"/>
        <v>0</v>
      </c>
      <c r="BA143" s="741"/>
      <c r="BB143" s="747">
        <f t="shared" ca="1" si="49"/>
        <v>0</v>
      </c>
      <c r="BC143" s="747">
        <v>25</v>
      </c>
      <c r="BD143" s="747">
        <f t="shared" si="50"/>
        <v>0</v>
      </c>
      <c r="BE143" s="747">
        <f t="shared" si="51"/>
        <v>0</v>
      </c>
      <c r="BF143" s="747">
        <f t="shared" si="52"/>
        <v>0</v>
      </c>
      <c r="BG143" s="741"/>
      <c r="BH143" s="747">
        <f t="shared" si="53"/>
        <v>0</v>
      </c>
      <c r="BI143" s="747">
        <v>25</v>
      </c>
      <c r="BJ143" s="747">
        <f t="shared" si="54"/>
        <v>0</v>
      </c>
      <c r="BK143" s="747">
        <f t="shared" si="55"/>
        <v>0</v>
      </c>
      <c r="BL143" s="747">
        <f t="shared" si="56"/>
        <v>0</v>
      </c>
      <c r="BM143" s="741"/>
      <c r="BN143" s="747">
        <f t="shared" si="57"/>
        <v>0</v>
      </c>
      <c r="BO143" s="747">
        <v>25</v>
      </c>
      <c r="BP143" s="747">
        <f t="shared" si="58"/>
        <v>0</v>
      </c>
      <c r="BQ143" s="747">
        <f t="shared" si="59"/>
        <v>0</v>
      </c>
      <c r="BR143" s="747">
        <f t="shared" si="60"/>
        <v>0</v>
      </c>
      <c r="BS143" s="741"/>
      <c r="BT143" s="747">
        <f t="shared" si="61"/>
        <v>0</v>
      </c>
      <c r="BU143" s="750"/>
      <c r="BV143" s="750"/>
      <c r="BW143" s="750"/>
      <c r="BX143" s="750"/>
      <c r="BY143" s="750"/>
      <c r="BZ143" s="750"/>
      <c r="CA143" s="750"/>
      <c r="CB143" s="750"/>
      <c r="CC143" s="750"/>
      <c r="CD143" s="750"/>
      <c r="CE143" s="750"/>
      <c r="CF143" s="750"/>
      <c r="CG143" s="750"/>
      <c r="CH143" s="750"/>
      <c r="CI143" s="750"/>
      <c r="CJ143" s="750"/>
      <c r="CK143" s="750"/>
      <c r="CL143" s="750"/>
      <c r="CM143" s="750"/>
      <c r="CN143" s="750"/>
    </row>
    <row r="144" spans="1:92" ht="15" customHeight="1">
      <c r="A144" s="737">
        <v>26</v>
      </c>
      <c r="B144" s="737">
        <f t="shared" ca="1" si="68"/>
        <v>0</v>
      </c>
      <c r="C144" s="737">
        <f t="shared" ca="1" si="68"/>
        <v>0</v>
      </c>
      <c r="D144" s="737">
        <f t="shared" si="68"/>
        <v>0</v>
      </c>
      <c r="E144" s="737">
        <f t="shared" si="68"/>
        <v>0</v>
      </c>
      <c r="F144" s="737">
        <f t="shared" ca="1" si="68"/>
        <v>0</v>
      </c>
      <c r="G144" s="747">
        <v>26</v>
      </c>
      <c r="H144" s="747">
        <f t="shared" ca="1" si="19"/>
        <v>0</v>
      </c>
      <c r="I144" s="747">
        <f t="shared" ca="1" si="20"/>
        <v>0</v>
      </c>
      <c r="J144" s="747">
        <f t="shared" si="21"/>
        <v>0</v>
      </c>
      <c r="K144" s="747"/>
      <c r="L144" s="747">
        <f t="shared" ca="1" si="62"/>
        <v>0</v>
      </c>
      <c r="M144" s="747">
        <v>26</v>
      </c>
      <c r="N144" s="747">
        <f t="shared" ca="1" si="22"/>
        <v>0</v>
      </c>
      <c r="O144" s="747">
        <f t="shared" ca="1" si="23"/>
        <v>0</v>
      </c>
      <c r="P144" s="747">
        <f t="shared" si="24"/>
        <v>0</v>
      </c>
      <c r="Q144" s="748"/>
      <c r="R144" s="747">
        <f t="shared" ca="1" si="25"/>
        <v>0</v>
      </c>
      <c r="S144" s="747">
        <v>26</v>
      </c>
      <c r="T144" s="747">
        <f t="shared" ca="1" si="26"/>
        <v>0</v>
      </c>
      <c r="U144" s="747">
        <f t="shared" ca="1" si="27"/>
        <v>0</v>
      </c>
      <c r="V144" s="747">
        <f t="shared" si="28"/>
        <v>0</v>
      </c>
      <c r="W144" s="749"/>
      <c r="X144" s="747">
        <f t="shared" ca="1" si="29"/>
        <v>0</v>
      </c>
      <c r="Y144" s="747">
        <v>26</v>
      </c>
      <c r="Z144" s="747">
        <f t="shared" ca="1" si="30"/>
        <v>0</v>
      </c>
      <c r="AA144" s="747">
        <f t="shared" ca="1" si="31"/>
        <v>0</v>
      </c>
      <c r="AB144" s="747">
        <f t="shared" si="32"/>
        <v>0</v>
      </c>
      <c r="AC144" s="747"/>
      <c r="AD144" s="747">
        <f t="shared" ca="1" si="33"/>
        <v>0</v>
      </c>
      <c r="AE144" s="747">
        <v>26</v>
      </c>
      <c r="AF144" s="747">
        <f t="shared" ca="1" si="34"/>
        <v>0</v>
      </c>
      <c r="AG144" s="747">
        <f t="shared" ca="1" si="35"/>
        <v>0</v>
      </c>
      <c r="AH144" s="747">
        <f t="shared" si="36"/>
        <v>0</v>
      </c>
      <c r="AI144" s="741"/>
      <c r="AJ144" s="747">
        <f t="shared" ca="1" si="37"/>
        <v>0</v>
      </c>
      <c r="AK144" s="747">
        <v>26</v>
      </c>
      <c r="AL144" s="747">
        <f t="shared" ca="1" si="38"/>
        <v>0</v>
      </c>
      <c r="AM144" s="747">
        <f t="shared" ca="1" si="39"/>
        <v>0</v>
      </c>
      <c r="AN144" s="747">
        <f t="shared" si="40"/>
        <v>0</v>
      </c>
      <c r="AO144" s="741"/>
      <c r="AP144" s="747">
        <f t="shared" ca="1" si="41"/>
        <v>0</v>
      </c>
      <c r="AQ144" s="747">
        <v>26</v>
      </c>
      <c r="AR144" s="747">
        <f t="shared" ca="1" si="42"/>
        <v>0</v>
      </c>
      <c r="AS144" s="747">
        <f t="shared" ca="1" si="43"/>
        <v>0</v>
      </c>
      <c r="AT144" s="747">
        <f t="shared" si="44"/>
        <v>0</v>
      </c>
      <c r="AU144" s="741"/>
      <c r="AV144" s="747">
        <f t="shared" ca="1" si="45"/>
        <v>0</v>
      </c>
      <c r="AW144" s="747">
        <v>26</v>
      </c>
      <c r="AX144" s="747">
        <f t="shared" ca="1" si="46"/>
        <v>0</v>
      </c>
      <c r="AY144" s="747">
        <f t="shared" ca="1" si="47"/>
        <v>0</v>
      </c>
      <c r="AZ144" s="747">
        <f t="shared" si="48"/>
        <v>0</v>
      </c>
      <c r="BA144" s="741"/>
      <c r="BB144" s="747">
        <f t="shared" ca="1" si="49"/>
        <v>0</v>
      </c>
      <c r="BC144" s="747">
        <v>26</v>
      </c>
      <c r="BD144" s="747">
        <f t="shared" si="50"/>
        <v>0</v>
      </c>
      <c r="BE144" s="747">
        <f t="shared" si="51"/>
        <v>0</v>
      </c>
      <c r="BF144" s="747">
        <f t="shared" si="52"/>
        <v>0</v>
      </c>
      <c r="BG144" s="741"/>
      <c r="BH144" s="747">
        <f t="shared" si="53"/>
        <v>0</v>
      </c>
      <c r="BI144" s="747">
        <v>26</v>
      </c>
      <c r="BJ144" s="747">
        <f t="shared" si="54"/>
        <v>0</v>
      </c>
      <c r="BK144" s="747">
        <f t="shared" si="55"/>
        <v>0</v>
      </c>
      <c r="BL144" s="747">
        <f t="shared" si="56"/>
        <v>0</v>
      </c>
      <c r="BM144" s="741"/>
      <c r="BN144" s="747">
        <f t="shared" si="57"/>
        <v>0</v>
      </c>
      <c r="BO144" s="747">
        <v>26</v>
      </c>
      <c r="BP144" s="747">
        <f t="shared" si="58"/>
        <v>0</v>
      </c>
      <c r="BQ144" s="747">
        <f t="shared" si="59"/>
        <v>0</v>
      </c>
      <c r="BR144" s="747">
        <f t="shared" si="60"/>
        <v>0</v>
      </c>
      <c r="BS144" s="741"/>
      <c r="BT144" s="747">
        <f t="shared" si="61"/>
        <v>0</v>
      </c>
      <c r="BU144" s="750"/>
      <c r="BV144" s="750"/>
      <c r="BW144" s="750"/>
      <c r="BX144" s="750"/>
      <c r="BY144" s="750"/>
      <c r="BZ144" s="750"/>
      <c r="CA144" s="750"/>
      <c r="CB144" s="750"/>
      <c r="CC144" s="750"/>
      <c r="CD144" s="750"/>
      <c r="CE144" s="750"/>
      <c r="CF144" s="750"/>
      <c r="CG144" s="750"/>
      <c r="CH144" s="750"/>
      <c r="CI144" s="750"/>
      <c r="CJ144" s="750"/>
      <c r="CK144" s="750"/>
      <c r="CL144" s="750"/>
      <c r="CM144" s="750"/>
      <c r="CN144" s="750"/>
    </row>
    <row r="145" spans="1:92" ht="15" customHeight="1">
      <c r="A145" s="737">
        <v>27</v>
      </c>
      <c r="B145" s="737">
        <f t="shared" ca="1" si="68"/>
        <v>0</v>
      </c>
      <c r="C145" s="737">
        <f t="shared" ca="1" si="68"/>
        <v>0</v>
      </c>
      <c r="D145" s="737">
        <f t="shared" si="68"/>
        <v>0</v>
      </c>
      <c r="E145" s="737">
        <f t="shared" si="68"/>
        <v>0</v>
      </c>
      <c r="F145" s="737">
        <f t="shared" ca="1" si="68"/>
        <v>0</v>
      </c>
      <c r="G145" s="747">
        <v>27</v>
      </c>
      <c r="H145" s="747">
        <f t="shared" ca="1" si="19"/>
        <v>0</v>
      </c>
      <c r="I145" s="747">
        <f t="shared" ca="1" si="20"/>
        <v>0</v>
      </c>
      <c r="J145" s="747">
        <f t="shared" si="21"/>
        <v>0</v>
      </c>
      <c r="K145" s="747"/>
      <c r="L145" s="747">
        <f t="shared" ca="1" si="62"/>
        <v>0</v>
      </c>
      <c r="M145" s="747">
        <v>27</v>
      </c>
      <c r="N145" s="747">
        <f t="shared" ca="1" si="22"/>
        <v>0</v>
      </c>
      <c r="O145" s="747">
        <f t="shared" ca="1" si="23"/>
        <v>0</v>
      </c>
      <c r="P145" s="747">
        <f t="shared" si="24"/>
        <v>0</v>
      </c>
      <c r="Q145" s="748"/>
      <c r="R145" s="747">
        <f t="shared" ca="1" si="25"/>
        <v>0</v>
      </c>
      <c r="S145" s="747">
        <v>27</v>
      </c>
      <c r="T145" s="747">
        <f t="shared" ca="1" si="26"/>
        <v>0</v>
      </c>
      <c r="U145" s="747">
        <f t="shared" ca="1" si="27"/>
        <v>0</v>
      </c>
      <c r="V145" s="747">
        <f t="shared" si="28"/>
        <v>0</v>
      </c>
      <c r="W145" s="749"/>
      <c r="X145" s="747">
        <f t="shared" ca="1" si="29"/>
        <v>0</v>
      </c>
      <c r="Y145" s="747">
        <v>27</v>
      </c>
      <c r="Z145" s="747">
        <f t="shared" ca="1" si="30"/>
        <v>0</v>
      </c>
      <c r="AA145" s="747">
        <f t="shared" ca="1" si="31"/>
        <v>0</v>
      </c>
      <c r="AB145" s="747">
        <f t="shared" si="32"/>
        <v>0</v>
      </c>
      <c r="AC145" s="747"/>
      <c r="AD145" s="747">
        <f t="shared" ca="1" si="33"/>
        <v>0</v>
      </c>
      <c r="AE145" s="747">
        <v>27</v>
      </c>
      <c r="AF145" s="747">
        <f t="shared" ca="1" si="34"/>
        <v>0</v>
      </c>
      <c r="AG145" s="747">
        <f t="shared" ca="1" si="35"/>
        <v>0</v>
      </c>
      <c r="AH145" s="747">
        <f t="shared" si="36"/>
        <v>0</v>
      </c>
      <c r="AI145" s="741"/>
      <c r="AJ145" s="747">
        <f t="shared" ca="1" si="37"/>
        <v>0</v>
      </c>
      <c r="AK145" s="747">
        <v>27</v>
      </c>
      <c r="AL145" s="747">
        <f t="shared" ca="1" si="38"/>
        <v>0</v>
      </c>
      <c r="AM145" s="747">
        <f t="shared" ca="1" si="39"/>
        <v>0</v>
      </c>
      <c r="AN145" s="747">
        <f t="shared" si="40"/>
        <v>0</v>
      </c>
      <c r="AO145" s="741"/>
      <c r="AP145" s="747">
        <f t="shared" ca="1" si="41"/>
        <v>0</v>
      </c>
      <c r="AQ145" s="747">
        <v>27</v>
      </c>
      <c r="AR145" s="747">
        <f t="shared" ca="1" si="42"/>
        <v>0</v>
      </c>
      <c r="AS145" s="747">
        <f t="shared" ca="1" si="43"/>
        <v>0</v>
      </c>
      <c r="AT145" s="747">
        <f t="shared" si="44"/>
        <v>0</v>
      </c>
      <c r="AU145" s="741"/>
      <c r="AV145" s="747">
        <f t="shared" ca="1" si="45"/>
        <v>0</v>
      </c>
      <c r="AW145" s="747">
        <v>27</v>
      </c>
      <c r="AX145" s="747">
        <f t="shared" ca="1" si="46"/>
        <v>0</v>
      </c>
      <c r="AY145" s="747">
        <f t="shared" ca="1" si="47"/>
        <v>0</v>
      </c>
      <c r="AZ145" s="747">
        <f t="shared" si="48"/>
        <v>0</v>
      </c>
      <c r="BA145" s="741"/>
      <c r="BB145" s="747">
        <f t="shared" ca="1" si="49"/>
        <v>0</v>
      </c>
      <c r="BC145" s="747">
        <v>27</v>
      </c>
      <c r="BD145" s="747">
        <f t="shared" si="50"/>
        <v>0</v>
      </c>
      <c r="BE145" s="747">
        <f t="shared" si="51"/>
        <v>0</v>
      </c>
      <c r="BF145" s="747">
        <f t="shared" si="52"/>
        <v>0</v>
      </c>
      <c r="BG145" s="741"/>
      <c r="BH145" s="747">
        <f t="shared" si="53"/>
        <v>0</v>
      </c>
      <c r="BI145" s="747">
        <v>27</v>
      </c>
      <c r="BJ145" s="747">
        <f t="shared" si="54"/>
        <v>0</v>
      </c>
      <c r="BK145" s="747">
        <f t="shared" si="55"/>
        <v>0</v>
      </c>
      <c r="BL145" s="747">
        <f t="shared" si="56"/>
        <v>0</v>
      </c>
      <c r="BM145" s="741"/>
      <c r="BN145" s="747">
        <f t="shared" si="57"/>
        <v>0</v>
      </c>
      <c r="BO145" s="747">
        <v>27</v>
      </c>
      <c r="BP145" s="747">
        <f t="shared" si="58"/>
        <v>0</v>
      </c>
      <c r="BQ145" s="747">
        <f t="shared" si="59"/>
        <v>0</v>
      </c>
      <c r="BR145" s="747">
        <f t="shared" si="60"/>
        <v>0</v>
      </c>
      <c r="BS145" s="741"/>
      <c r="BT145" s="747">
        <f t="shared" si="61"/>
        <v>0</v>
      </c>
      <c r="BU145" s="750"/>
      <c r="BV145" s="750"/>
      <c r="BW145" s="750"/>
      <c r="BX145" s="750"/>
      <c r="BY145" s="750"/>
      <c r="BZ145" s="750"/>
      <c r="CA145" s="750"/>
      <c r="CB145" s="750"/>
      <c r="CC145" s="750"/>
      <c r="CD145" s="750"/>
      <c r="CE145" s="750"/>
      <c r="CF145" s="750"/>
      <c r="CG145" s="750"/>
      <c r="CH145" s="750"/>
      <c r="CI145" s="750"/>
      <c r="CJ145" s="750"/>
      <c r="CK145" s="750"/>
      <c r="CL145" s="750"/>
      <c r="CM145" s="750"/>
      <c r="CN145" s="750"/>
    </row>
    <row r="146" spans="1:92" ht="15" customHeight="1">
      <c r="A146" s="737">
        <v>28</v>
      </c>
      <c r="B146" s="737">
        <f t="shared" ca="1" si="68"/>
        <v>0</v>
      </c>
      <c r="C146" s="737">
        <f t="shared" ca="1" si="68"/>
        <v>0</v>
      </c>
      <c r="D146" s="737">
        <f t="shared" si="68"/>
        <v>0</v>
      </c>
      <c r="E146" s="737">
        <f t="shared" si="68"/>
        <v>0</v>
      </c>
      <c r="F146" s="737">
        <f t="shared" ca="1" si="68"/>
        <v>0</v>
      </c>
      <c r="G146" s="747">
        <v>28</v>
      </c>
      <c r="H146" s="747">
        <f t="shared" ca="1" si="19"/>
        <v>0</v>
      </c>
      <c r="I146" s="747">
        <f t="shared" ca="1" si="20"/>
        <v>0</v>
      </c>
      <c r="J146" s="747">
        <f t="shared" si="21"/>
        <v>0</v>
      </c>
      <c r="K146" s="747"/>
      <c r="L146" s="747">
        <f t="shared" ca="1" si="62"/>
        <v>0</v>
      </c>
      <c r="M146" s="747">
        <v>28</v>
      </c>
      <c r="N146" s="747">
        <f t="shared" ca="1" si="22"/>
        <v>0</v>
      </c>
      <c r="O146" s="747">
        <f t="shared" ca="1" si="23"/>
        <v>0</v>
      </c>
      <c r="P146" s="747">
        <f t="shared" si="24"/>
        <v>0</v>
      </c>
      <c r="Q146" s="748"/>
      <c r="R146" s="747">
        <f t="shared" ca="1" si="25"/>
        <v>0</v>
      </c>
      <c r="S146" s="747">
        <v>28</v>
      </c>
      <c r="T146" s="747">
        <f t="shared" ca="1" si="26"/>
        <v>0</v>
      </c>
      <c r="U146" s="747">
        <f t="shared" ca="1" si="27"/>
        <v>0</v>
      </c>
      <c r="V146" s="747">
        <f t="shared" si="28"/>
        <v>0</v>
      </c>
      <c r="W146" s="749"/>
      <c r="X146" s="747">
        <f t="shared" ca="1" si="29"/>
        <v>0</v>
      </c>
      <c r="Y146" s="747">
        <v>28</v>
      </c>
      <c r="Z146" s="747">
        <f t="shared" ca="1" si="30"/>
        <v>0</v>
      </c>
      <c r="AA146" s="747">
        <f t="shared" ca="1" si="31"/>
        <v>0</v>
      </c>
      <c r="AB146" s="747">
        <f t="shared" si="32"/>
        <v>0</v>
      </c>
      <c r="AC146" s="747"/>
      <c r="AD146" s="747">
        <f t="shared" ca="1" si="33"/>
        <v>0</v>
      </c>
      <c r="AE146" s="747">
        <v>28</v>
      </c>
      <c r="AF146" s="747">
        <f t="shared" ca="1" si="34"/>
        <v>0</v>
      </c>
      <c r="AG146" s="747">
        <f t="shared" ca="1" si="35"/>
        <v>0</v>
      </c>
      <c r="AH146" s="747">
        <f t="shared" si="36"/>
        <v>0</v>
      </c>
      <c r="AI146" s="741"/>
      <c r="AJ146" s="747">
        <f t="shared" ca="1" si="37"/>
        <v>0</v>
      </c>
      <c r="AK146" s="747">
        <v>28</v>
      </c>
      <c r="AL146" s="747">
        <f t="shared" ca="1" si="38"/>
        <v>0</v>
      </c>
      <c r="AM146" s="747">
        <f t="shared" ca="1" si="39"/>
        <v>0</v>
      </c>
      <c r="AN146" s="747">
        <f t="shared" si="40"/>
        <v>0</v>
      </c>
      <c r="AO146" s="741"/>
      <c r="AP146" s="747">
        <f t="shared" ca="1" si="41"/>
        <v>0</v>
      </c>
      <c r="AQ146" s="747">
        <v>28</v>
      </c>
      <c r="AR146" s="747">
        <f t="shared" ca="1" si="42"/>
        <v>0</v>
      </c>
      <c r="AS146" s="747">
        <f t="shared" ca="1" si="43"/>
        <v>0</v>
      </c>
      <c r="AT146" s="747">
        <f t="shared" si="44"/>
        <v>0</v>
      </c>
      <c r="AU146" s="741"/>
      <c r="AV146" s="747">
        <f t="shared" ca="1" si="45"/>
        <v>0</v>
      </c>
      <c r="AW146" s="747">
        <v>28</v>
      </c>
      <c r="AX146" s="747">
        <f t="shared" ca="1" si="46"/>
        <v>0</v>
      </c>
      <c r="AY146" s="747">
        <f t="shared" ca="1" si="47"/>
        <v>0</v>
      </c>
      <c r="AZ146" s="747">
        <f t="shared" si="48"/>
        <v>0</v>
      </c>
      <c r="BA146" s="741"/>
      <c r="BB146" s="747">
        <f t="shared" ca="1" si="49"/>
        <v>0</v>
      </c>
      <c r="BC146" s="747">
        <v>28</v>
      </c>
      <c r="BD146" s="747">
        <f t="shared" si="50"/>
        <v>0</v>
      </c>
      <c r="BE146" s="747">
        <f t="shared" si="51"/>
        <v>0</v>
      </c>
      <c r="BF146" s="747">
        <f t="shared" si="52"/>
        <v>0</v>
      </c>
      <c r="BG146" s="741"/>
      <c r="BH146" s="747">
        <f t="shared" si="53"/>
        <v>0</v>
      </c>
      <c r="BI146" s="747">
        <v>28</v>
      </c>
      <c r="BJ146" s="747">
        <f t="shared" si="54"/>
        <v>0</v>
      </c>
      <c r="BK146" s="747">
        <f t="shared" si="55"/>
        <v>0</v>
      </c>
      <c r="BL146" s="747">
        <f t="shared" si="56"/>
        <v>0</v>
      </c>
      <c r="BM146" s="741"/>
      <c r="BN146" s="747">
        <f t="shared" si="57"/>
        <v>0</v>
      </c>
      <c r="BO146" s="747">
        <v>28</v>
      </c>
      <c r="BP146" s="747">
        <f t="shared" si="58"/>
        <v>0</v>
      </c>
      <c r="BQ146" s="747">
        <f t="shared" si="59"/>
        <v>0</v>
      </c>
      <c r="BR146" s="747">
        <f t="shared" si="60"/>
        <v>0</v>
      </c>
      <c r="BS146" s="741"/>
      <c r="BT146" s="747">
        <f t="shared" si="61"/>
        <v>0</v>
      </c>
      <c r="BU146" s="750"/>
      <c r="BV146" s="750"/>
      <c r="BW146" s="750"/>
      <c r="BX146" s="750"/>
      <c r="BY146" s="750"/>
      <c r="BZ146" s="750"/>
      <c r="CA146" s="750"/>
      <c r="CB146" s="750"/>
      <c r="CC146" s="750"/>
      <c r="CD146" s="750"/>
      <c r="CE146" s="750"/>
      <c r="CF146" s="750"/>
      <c r="CG146" s="750"/>
      <c r="CH146" s="750"/>
      <c r="CI146" s="750"/>
      <c r="CJ146" s="750"/>
      <c r="CK146" s="750"/>
      <c r="CL146" s="750"/>
      <c r="CM146" s="750"/>
      <c r="CN146" s="750"/>
    </row>
    <row r="147" spans="1:92" ht="15" customHeight="1">
      <c r="A147" s="737">
        <v>29</v>
      </c>
      <c r="B147" s="737">
        <f t="shared" ca="1" si="68"/>
        <v>0</v>
      </c>
      <c r="C147" s="737">
        <f t="shared" ca="1" si="68"/>
        <v>0</v>
      </c>
      <c r="D147" s="737">
        <f t="shared" si="68"/>
        <v>0</v>
      </c>
      <c r="E147" s="737">
        <f t="shared" si="68"/>
        <v>0</v>
      </c>
      <c r="F147" s="737">
        <f t="shared" ca="1" si="68"/>
        <v>0</v>
      </c>
      <c r="G147" s="747">
        <v>29</v>
      </c>
      <c r="H147" s="747">
        <f t="shared" ca="1" si="19"/>
        <v>0</v>
      </c>
      <c r="I147" s="747">
        <f t="shared" ca="1" si="20"/>
        <v>0</v>
      </c>
      <c r="J147" s="747">
        <f t="shared" si="21"/>
        <v>0</v>
      </c>
      <c r="K147" s="747"/>
      <c r="L147" s="747">
        <f t="shared" ca="1" si="62"/>
        <v>0</v>
      </c>
      <c r="M147" s="747">
        <v>29</v>
      </c>
      <c r="N147" s="747">
        <f t="shared" ca="1" si="22"/>
        <v>0</v>
      </c>
      <c r="O147" s="747">
        <f t="shared" ca="1" si="23"/>
        <v>0</v>
      </c>
      <c r="P147" s="747">
        <f t="shared" si="24"/>
        <v>0</v>
      </c>
      <c r="Q147" s="748"/>
      <c r="R147" s="747">
        <f t="shared" ca="1" si="25"/>
        <v>0</v>
      </c>
      <c r="S147" s="747">
        <v>29</v>
      </c>
      <c r="T147" s="747">
        <f t="shared" ca="1" si="26"/>
        <v>0</v>
      </c>
      <c r="U147" s="747">
        <f t="shared" ca="1" si="27"/>
        <v>0</v>
      </c>
      <c r="V147" s="747">
        <f t="shared" si="28"/>
        <v>0</v>
      </c>
      <c r="W147" s="749"/>
      <c r="X147" s="747">
        <f t="shared" ca="1" si="29"/>
        <v>0</v>
      </c>
      <c r="Y147" s="747">
        <v>29</v>
      </c>
      <c r="Z147" s="747">
        <f t="shared" ca="1" si="30"/>
        <v>0</v>
      </c>
      <c r="AA147" s="747">
        <f t="shared" ca="1" si="31"/>
        <v>0</v>
      </c>
      <c r="AB147" s="747">
        <f t="shared" si="32"/>
        <v>0</v>
      </c>
      <c r="AC147" s="747"/>
      <c r="AD147" s="747">
        <f t="shared" ca="1" si="33"/>
        <v>0</v>
      </c>
      <c r="AE147" s="747">
        <v>29</v>
      </c>
      <c r="AF147" s="747">
        <f t="shared" ca="1" si="34"/>
        <v>0</v>
      </c>
      <c r="AG147" s="747">
        <f t="shared" ca="1" si="35"/>
        <v>0</v>
      </c>
      <c r="AH147" s="747">
        <f t="shared" si="36"/>
        <v>0</v>
      </c>
      <c r="AI147" s="741"/>
      <c r="AJ147" s="747">
        <f t="shared" ca="1" si="37"/>
        <v>0</v>
      </c>
      <c r="AK147" s="747">
        <v>29</v>
      </c>
      <c r="AL147" s="747">
        <f t="shared" ca="1" si="38"/>
        <v>0</v>
      </c>
      <c r="AM147" s="747">
        <f t="shared" ca="1" si="39"/>
        <v>0</v>
      </c>
      <c r="AN147" s="747">
        <f t="shared" si="40"/>
        <v>0</v>
      </c>
      <c r="AO147" s="741"/>
      <c r="AP147" s="747">
        <f t="shared" ca="1" si="41"/>
        <v>0</v>
      </c>
      <c r="AQ147" s="747">
        <v>29</v>
      </c>
      <c r="AR147" s="747">
        <f t="shared" ca="1" si="42"/>
        <v>0</v>
      </c>
      <c r="AS147" s="747">
        <f t="shared" ca="1" si="43"/>
        <v>0</v>
      </c>
      <c r="AT147" s="747">
        <f t="shared" si="44"/>
        <v>0</v>
      </c>
      <c r="AU147" s="741"/>
      <c r="AV147" s="747">
        <f t="shared" ca="1" si="45"/>
        <v>0</v>
      </c>
      <c r="AW147" s="747">
        <v>29</v>
      </c>
      <c r="AX147" s="747">
        <f t="shared" ca="1" si="46"/>
        <v>0</v>
      </c>
      <c r="AY147" s="747">
        <f t="shared" ca="1" si="47"/>
        <v>0</v>
      </c>
      <c r="AZ147" s="747">
        <f t="shared" si="48"/>
        <v>0</v>
      </c>
      <c r="BA147" s="741"/>
      <c r="BB147" s="747">
        <f t="shared" ca="1" si="49"/>
        <v>0</v>
      </c>
      <c r="BC147" s="747">
        <v>29</v>
      </c>
      <c r="BD147" s="747">
        <f t="shared" si="50"/>
        <v>0</v>
      </c>
      <c r="BE147" s="747">
        <f t="shared" si="51"/>
        <v>0</v>
      </c>
      <c r="BF147" s="747">
        <f t="shared" si="52"/>
        <v>0</v>
      </c>
      <c r="BG147" s="741"/>
      <c r="BH147" s="747">
        <f t="shared" si="53"/>
        <v>0</v>
      </c>
      <c r="BI147" s="747">
        <v>29</v>
      </c>
      <c r="BJ147" s="747">
        <f t="shared" si="54"/>
        <v>0</v>
      </c>
      <c r="BK147" s="747">
        <f t="shared" si="55"/>
        <v>0</v>
      </c>
      <c r="BL147" s="747">
        <f t="shared" si="56"/>
        <v>0</v>
      </c>
      <c r="BM147" s="741"/>
      <c r="BN147" s="747">
        <f t="shared" si="57"/>
        <v>0</v>
      </c>
      <c r="BO147" s="747">
        <v>29</v>
      </c>
      <c r="BP147" s="747">
        <f t="shared" si="58"/>
        <v>0</v>
      </c>
      <c r="BQ147" s="747">
        <f t="shared" si="59"/>
        <v>0</v>
      </c>
      <c r="BR147" s="747">
        <f t="shared" si="60"/>
        <v>0</v>
      </c>
      <c r="BS147" s="741"/>
      <c r="BT147" s="747">
        <f t="shared" si="61"/>
        <v>0</v>
      </c>
      <c r="BU147" s="750"/>
      <c r="BV147" s="750"/>
      <c r="BW147" s="750"/>
      <c r="BX147" s="750"/>
      <c r="BY147" s="750"/>
      <c r="BZ147" s="750"/>
      <c r="CA147" s="750"/>
      <c r="CB147" s="750"/>
      <c r="CC147" s="750"/>
      <c r="CD147" s="750"/>
      <c r="CE147" s="750"/>
      <c r="CF147" s="750"/>
      <c r="CG147" s="750"/>
      <c r="CH147" s="750"/>
      <c r="CI147" s="750"/>
      <c r="CJ147" s="750"/>
      <c r="CK147" s="750"/>
      <c r="CL147" s="750"/>
      <c r="CM147" s="750"/>
      <c r="CN147" s="750"/>
    </row>
    <row r="148" spans="1:92" ht="15" customHeight="1">
      <c r="A148" s="737">
        <v>30</v>
      </c>
      <c r="B148" s="737">
        <f t="shared" ca="1" si="68"/>
        <v>0</v>
      </c>
      <c r="C148" s="737">
        <f t="shared" ca="1" si="68"/>
        <v>0</v>
      </c>
      <c r="D148" s="737">
        <f t="shared" si="68"/>
        <v>0</v>
      </c>
      <c r="E148" s="737">
        <f t="shared" si="68"/>
        <v>0</v>
      </c>
      <c r="F148" s="737">
        <f t="shared" ca="1" si="68"/>
        <v>0</v>
      </c>
      <c r="G148" s="747">
        <v>30</v>
      </c>
      <c r="H148" s="747">
        <f t="shared" ca="1" si="19"/>
        <v>0</v>
      </c>
      <c r="I148" s="747">
        <f t="shared" ca="1" si="20"/>
        <v>0</v>
      </c>
      <c r="J148" s="747">
        <f t="shared" si="21"/>
        <v>0</v>
      </c>
      <c r="K148" s="747"/>
      <c r="L148" s="747">
        <f t="shared" ca="1" si="62"/>
        <v>0</v>
      </c>
      <c r="M148" s="747">
        <v>30</v>
      </c>
      <c r="N148" s="747">
        <f t="shared" ca="1" si="22"/>
        <v>0</v>
      </c>
      <c r="O148" s="747">
        <f t="shared" ca="1" si="23"/>
        <v>0</v>
      </c>
      <c r="P148" s="747">
        <f t="shared" si="24"/>
        <v>0</v>
      </c>
      <c r="Q148" s="748"/>
      <c r="R148" s="747">
        <f t="shared" ca="1" si="25"/>
        <v>0</v>
      </c>
      <c r="S148" s="747">
        <v>30</v>
      </c>
      <c r="T148" s="747">
        <f t="shared" ca="1" si="26"/>
        <v>0</v>
      </c>
      <c r="U148" s="747">
        <f t="shared" ca="1" si="27"/>
        <v>0</v>
      </c>
      <c r="V148" s="747">
        <f t="shared" si="28"/>
        <v>0</v>
      </c>
      <c r="W148" s="749"/>
      <c r="X148" s="747">
        <f t="shared" ca="1" si="29"/>
        <v>0</v>
      </c>
      <c r="Y148" s="747">
        <v>30</v>
      </c>
      <c r="Z148" s="747">
        <f t="shared" ca="1" si="30"/>
        <v>0</v>
      </c>
      <c r="AA148" s="747">
        <f t="shared" ca="1" si="31"/>
        <v>0</v>
      </c>
      <c r="AB148" s="747">
        <f t="shared" si="32"/>
        <v>0</v>
      </c>
      <c r="AC148" s="747"/>
      <c r="AD148" s="747">
        <f t="shared" ca="1" si="33"/>
        <v>0</v>
      </c>
      <c r="AE148" s="747">
        <v>30</v>
      </c>
      <c r="AF148" s="747">
        <f t="shared" ca="1" si="34"/>
        <v>0</v>
      </c>
      <c r="AG148" s="747">
        <f t="shared" ca="1" si="35"/>
        <v>0</v>
      </c>
      <c r="AH148" s="747">
        <f t="shared" si="36"/>
        <v>0</v>
      </c>
      <c r="AI148" s="741"/>
      <c r="AJ148" s="747">
        <f t="shared" ca="1" si="37"/>
        <v>0</v>
      </c>
      <c r="AK148" s="747">
        <v>30</v>
      </c>
      <c r="AL148" s="747">
        <f t="shared" ca="1" si="38"/>
        <v>0</v>
      </c>
      <c r="AM148" s="747">
        <f t="shared" ca="1" si="39"/>
        <v>0</v>
      </c>
      <c r="AN148" s="747">
        <f t="shared" si="40"/>
        <v>0</v>
      </c>
      <c r="AO148" s="741"/>
      <c r="AP148" s="747">
        <f t="shared" ca="1" si="41"/>
        <v>0</v>
      </c>
      <c r="AQ148" s="747">
        <v>30</v>
      </c>
      <c r="AR148" s="747">
        <f t="shared" ca="1" si="42"/>
        <v>0</v>
      </c>
      <c r="AS148" s="747">
        <f t="shared" ca="1" si="43"/>
        <v>0</v>
      </c>
      <c r="AT148" s="747">
        <f t="shared" si="44"/>
        <v>0</v>
      </c>
      <c r="AU148" s="741"/>
      <c r="AV148" s="747">
        <f t="shared" ca="1" si="45"/>
        <v>0</v>
      </c>
      <c r="AW148" s="747">
        <v>30</v>
      </c>
      <c r="AX148" s="747">
        <f t="shared" ca="1" si="46"/>
        <v>0</v>
      </c>
      <c r="AY148" s="747">
        <f t="shared" ca="1" si="47"/>
        <v>0</v>
      </c>
      <c r="AZ148" s="747">
        <f t="shared" si="48"/>
        <v>0</v>
      </c>
      <c r="BA148" s="741"/>
      <c r="BB148" s="747">
        <f t="shared" ca="1" si="49"/>
        <v>0</v>
      </c>
      <c r="BC148" s="747">
        <v>30</v>
      </c>
      <c r="BD148" s="747">
        <f t="shared" si="50"/>
        <v>0</v>
      </c>
      <c r="BE148" s="747">
        <f t="shared" si="51"/>
        <v>0</v>
      </c>
      <c r="BF148" s="747">
        <f t="shared" si="52"/>
        <v>0</v>
      </c>
      <c r="BG148" s="741"/>
      <c r="BH148" s="747">
        <f t="shared" si="53"/>
        <v>0</v>
      </c>
      <c r="BI148" s="747">
        <v>30</v>
      </c>
      <c r="BJ148" s="747">
        <f t="shared" si="54"/>
        <v>0</v>
      </c>
      <c r="BK148" s="747">
        <f t="shared" si="55"/>
        <v>0</v>
      </c>
      <c r="BL148" s="747">
        <f t="shared" si="56"/>
        <v>0</v>
      </c>
      <c r="BM148" s="741"/>
      <c r="BN148" s="747">
        <f t="shared" si="57"/>
        <v>0</v>
      </c>
      <c r="BO148" s="747">
        <v>30</v>
      </c>
      <c r="BP148" s="747">
        <f t="shared" si="58"/>
        <v>0</v>
      </c>
      <c r="BQ148" s="747">
        <f t="shared" si="59"/>
        <v>0</v>
      </c>
      <c r="BR148" s="747">
        <f t="shared" si="60"/>
        <v>0</v>
      </c>
      <c r="BS148" s="741"/>
      <c r="BT148" s="747">
        <f t="shared" si="61"/>
        <v>0</v>
      </c>
      <c r="BU148" s="750"/>
      <c r="BV148" s="750"/>
      <c r="BW148" s="750"/>
      <c r="BX148" s="750"/>
      <c r="BY148" s="750"/>
      <c r="BZ148" s="750"/>
      <c r="CA148" s="750"/>
      <c r="CB148" s="750"/>
      <c r="CC148" s="750"/>
      <c r="CD148" s="750"/>
      <c r="CE148" s="750"/>
      <c r="CF148" s="750"/>
      <c r="CG148" s="750"/>
      <c r="CH148" s="750"/>
      <c r="CI148" s="750"/>
      <c r="CJ148" s="750"/>
      <c r="CK148" s="750"/>
      <c r="CL148" s="750"/>
      <c r="CM148" s="750"/>
      <c r="CN148" s="750"/>
    </row>
    <row r="149" spans="1:92" ht="15" customHeight="1">
      <c r="A149" s="737">
        <v>31</v>
      </c>
      <c r="B149" s="737">
        <f ca="1">+H149+N146+T143+Z140+AF137+AL131+AR125+AX119</f>
        <v>0</v>
      </c>
      <c r="C149" s="737">
        <f ca="1">+I149+O146+U143+AA140+AG137+AM131+AS125+AY119</f>
        <v>0</v>
      </c>
      <c r="D149" s="737">
        <f>+J149+P146+V143+AB140+AH137+AN131+AT125+AZ119</f>
        <v>0</v>
      </c>
      <c r="E149" s="737">
        <f>+K149+Q146+W143+AC140+AI137+AO131+AU125+BA119</f>
        <v>0</v>
      </c>
      <c r="F149" s="737">
        <f ca="1">+L149+R146+X143+AD140+AJ137+AP131+AV125+BB119</f>
        <v>0</v>
      </c>
      <c r="G149" s="747">
        <v>31</v>
      </c>
      <c r="H149" s="747">
        <f t="shared" ca="1" si="19"/>
        <v>0</v>
      </c>
      <c r="I149" s="747">
        <f t="shared" ca="1" si="20"/>
        <v>0</v>
      </c>
      <c r="J149" s="747">
        <f t="shared" si="21"/>
        <v>0</v>
      </c>
      <c r="K149" s="747"/>
      <c r="L149" s="747">
        <f t="shared" ca="1" si="62"/>
        <v>0</v>
      </c>
      <c r="M149" s="747">
        <v>31</v>
      </c>
      <c r="N149" s="747">
        <f t="shared" ca="1" si="22"/>
        <v>0</v>
      </c>
      <c r="O149" s="747">
        <f t="shared" ca="1" si="23"/>
        <v>0</v>
      </c>
      <c r="P149" s="747">
        <f t="shared" si="24"/>
        <v>0</v>
      </c>
      <c r="Q149" s="748"/>
      <c r="R149" s="747">
        <f t="shared" ca="1" si="25"/>
        <v>0</v>
      </c>
      <c r="S149" s="747">
        <v>31</v>
      </c>
      <c r="T149" s="747">
        <f t="shared" ca="1" si="26"/>
        <v>0</v>
      </c>
      <c r="U149" s="747">
        <f t="shared" ca="1" si="27"/>
        <v>0</v>
      </c>
      <c r="V149" s="747">
        <f t="shared" si="28"/>
        <v>0</v>
      </c>
      <c r="W149" s="749"/>
      <c r="X149" s="747">
        <f t="shared" ca="1" si="29"/>
        <v>0</v>
      </c>
      <c r="Y149" s="747">
        <v>31</v>
      </c>
      <c r="Z149" s="747">
        <f t="shared" ca="1" si="30"/>
        <v>0</v>
      </c>
      <c r="AA149" s="747">
        <f t="shared" ca="1" si="31"/>
        <v>0</v>
      </c>
      <c r="AB149" s="747">
        <f t="shared" si="32"/>
        <v>0</v>
      </c>
      <c r="AC149" s="747"/>
      <c r="AD149" s="747">
        <f t="shared" ca="1" si="33"/>
        <v>0</v>
      </c>
      <c r="AE149" s="747">
        <v>31</v>
      </c>
      <c r="AF149" s="747">
        <f t="shared" ca="1" si="34"/>
        <v>0</v>
      </c>
      <c r="AG149" s="747">
        <f t="shared" ca="1" si="35"/>
        <v>0</v>
      </c>
      <c r="AH149" s="747">
        <f t="shared" si="36"/>
        <v>0</v>
      </c>
      <c r="AI149" s="741"/>
      <c r="AJ149" s="747">
        <f t="shared" ca="1" si="37"/>
        <v>0</v>
      </c>
      <c r="AK149" s="747">
        <v>31</v>
      </c>
      <c r="AL149" s="747">
        <f t="shared" ca="1" si="38"/>
        <v>0</v>
      </c>
      <c r="AM149" s="747">
        <f t="shared" ca="1" si="39"/>
        <v>0</v>
      </c>
      <c r="AN149" s="747">
        <f t="shared" si="40"/>
        <v>0</v>
      </c>
      <c r="AO149" s="741"/>
      <c r="AP149" s="747">
        <f t="shared" ca="1" si="41"/>
        <v>0</v>
      </c>
      <c r="AQ149" s="747">
        <v>31</v>
      </c>
      <c r="AR149" s="747">
        <f t="shared" ca="1" si="42"/>
        <v>0</v>
      </c>
      <c r="AS149" s="747">
        <f t="shared" ca="1" si="43"/>
        <v>0</v>
      </c>
      <c r="AT149" s="747">
        <f t="shared" si="44"/>
        <v>0</v>
      </c>
      <c r="AU149" s="741"/>
      <c r="AV149" s="747">
        <f t="shared" ca="1" si="45"/>
        <v>0</v>
      </c>
      <c r="AW149" s="747">
        <v>31</v>
      </c>
      <c r="AX149" s="747">
        <f t="shared" ca="1" si="46"/>
        <v>0</v>
      </c>
      <c r="AY149" s="747">
        <f t="shared" ca="1" si="47"/>
        <v>0</v>
      </c>
      <c r="AZ149" s="747">
        <f t="shared" si="48"/>
        <v>0</v>
      </c>
      <c r="BA149" s="741"/>
      <c r="BB149" s="747">
        <f t="shared" ca="1" si="49"/>
        <v>0</v>
      </c>
      <c r="BC149" s="747">
        <v>31</v>
      </c>
      <c r="BD149" s="747">
        <f t="shared" si="50"/>
        <v>0</v>
      </c>
      <c r="BE149" s="747">
        <f t="shared" si="51"/>
        <v>0</v>
      </c>
      <c r="BF149" s="747">
        <f t="shared" si="52"/>
        <v>0</v>
      </c>
      <c r="BG149" s="741"/>
      <c r="BH149" s="747">
        <f t="shared" si="53"/>
        <v>0</v>
      </c>
      <c r="BI149" s="747">
        <v>31</v>
      </c>
      <c r="BJ149" s="747">
        <f t="shared" si="54"/>
        <v>0</v>
      </c>
      <c r="BK149" s="747">
        <f t="shared" si="55"/>
        <v>0</v>
      </c>
      <c r="BL149" s="747">
        <f t="shared" si="56"/>
        <v>0</v>
      </c>
      <c r="BM149" s="741"/>
      <c r="BN149" s="747">
        <f t="shared" si="57"/>
        <v>0</v>
      </c>
      <c r="BO149" s="747">
        <v>31</v>
      </c>
      <c r="BP149" s="747">
        <f t="shared" si="58"/>
        <v>0</v>
      </c>
      <c r="BQ149" s="747">
        <f t="shared" si="59"/>
        <v>0</v>
      </c>
      <c r="BR149" s="747">
        <f t="shared" si="60"/>
        <v>0</v>
      </c>
      <c r="BS149" s="741"/>
      <c r="BT149" s="747">
        <f t="shared" si="61"/>
        <v>0</v>
      </c>
      <c r="BU149" s="750"/>
      <c r="BV149" s="750"/>
      <c r="BW149" s="750"/>
      <c r="BX149" s="750"/>
      <c r="BY149" s="750"/>
      <c r="BZ149" s="750"/>
      <c r="CA149" s="750"/>
      <c r="CB149" s="750"/>
      <c r="CC149" s="750"/>
      <c r="CD149" s="750"/>
      <c r="CE149" s="750"/>
      <c r="CF149" s="750"/>
      <c r="CG149" s="750"/>
      <c r="CH149" s="750"/>
      <c r="CI149" s="750"/>
      <c r="CJ149" s="750"/>
      <c r="CK149" s="750"/>
      <c r="CL149" s="750"/>
      <c r="CM149" s="750"/>
      <c r="CN149" s="750"/>
    </row>
    <row r="150" spans="1:92" ht="15" customHeight="1">
      <c r="A150" s="737">
        <v>32</v>
      </c>
      <c r="B150" s="737">
        <f t="shared" ref="B150:F178" ca="1" si="69">+H150+N147+T144+Z141+AF138+AL132+AR126+AX120</f>
        <v>0</v>
      </c>
      <c r="C150" s="737">
        <f t="shared" ca="1" si="69"/>
        <v>0</v>
      </c>
      <c r="D150" s="737">
        <f t="shared" si="69"/>
        <v>0</v>
      </c>
      <c r="E150" s="737">
        <f t="shared" si="69"/>
        <v>0</v>
      </c>
      <c r="F150" s="737">
        <f t="shared" ca="1" si="69"/>
        <v>0</v>
      </c>
      <c r="G150" s="747">
        <v>32</v>
      </c>
      <c r="H150" s="747">
        <f t="shared" ca="1" si="19"/>
        <v>0</v>
      </c>
      <c r="I150" s="747">
        <f t="shared" ca="1" si="20"/>
        <v>0</v>
      </c>
      <c r="J150" s="747">
        <f t="shared" si="21"/>
        <v>0</v>
      </c>
      <c r="K150" s="747"/>
      <c r="L150" s="747">
        <f t="shared" ca="1" si="62"/>
        <v>0</v>
      </c>
      <c r="M150" s="747">
        <v>32</v>
      </c>
      <c r="N150" s="747">
        <f t="shared" ca="1" si="22"/>
        <v>0</v>
      </c>
      <c r="O150" s="747">
        <f t="shared" ca="1" si="23"/>
        <v>0</v>
      </c>
      <c r="P150" s="747">
        <f t="shared" si="24"/>
        <v>0</v>
      </c>
      <c r="Q150" s="748"/>
      <c r="R150" s="747">
        <f t="shared" ca="1" si="25"/>
        <v>0</v>
      </c>
      <c r="S150" s="747">
        <v>32</v>
      </c>
      <c r="T150" s="747">
        <f t="shared" ca="1" si="26"/>
        <v>0</v>
      </c>
      <c r="U150" s="747">
        <f t="shared" ca="1" si="27"/>
        <v>0</v>
      </c>
      <c r="V150" s="747">
        <f t="shared" si="28"/>
        <v>0</v>
      </c>
      <c r="W150" s="749"/>
      <c r="X150" s="747">
        <f t="shared" ca="1" si="29"/>
        <v>0</v>
      </c>
      <c r="Y150" s="747">
        <v>32</v>
      </c>
      <c r="Z150" s="747">
        <f t="shared" ca="1" si="30"/>
        <v>0</v>
      </c>
      <c r="AA150" s="747">
        <f t="shared" ca="1" si="31"/>
        <v>0</v>
      </c>
      <c r="AB150" s="747">
        <f t="shared" si="32"/>
        <v>0</v>
      </c>
      <c r="AC150" s="747"/>
      <c r="AD150" s="747">
        <f t="shared" ca="1" si="33"/>
        <v>0</v>
      </c>
      <c r="AE150" s="747">
        <v>32</v>
      </c>
      <c r="AF150" s="747">
        <f t="shared" ca="1" si="34"/>
        <v>0</v>
      </c>
      <c r="AG150" s="747">
        <f t="shared" ca="1" si="35"/>
        <v>0</v>
      </c>
      <c r="AH150" s="747">
        <f t="shared" si="36"/>
        <v>0</v>
      </c>
      <c r="AI150" s="741"/>
      <c r="AJ150" s="747">
        <f t="shared" ca="1" si="37"/>
        <v>0</v>
      </c>
      <c r="AK150" s="747">
        <v>32</v>
      </c>
      <c r="AL150" s="747">
        <f t="shared" ca="1" si="38"/>
        <v>0</v>
      </c>
      <c r="AM150" s="747">
        <f t="shared" ca="1" si="39"/>
        <v>0</v>
      </c>
      <c r="AN150" s="747">
        <f t="shared" si="40"/>
        <v>0</v>
      </c>
      <c r="AO150" s="741"/>
      <c r="AP150" s="747">
        <f t="shared" ca="1" si="41"/>
        <v>0</v>
      </c>
      <c r="AQ150" s="747">
        <v>32</v>
      </c>
      <c r="AR150" s="747">
        <f t="shared" ca="1" si="42"/>
        <v>0</v>
      </c>
      <c r="AS150" s="747">
        <f t="shared" ca="1" si="43"/>
        <v>0</v>
      </c>
      <c r="AT150" s="747">
        <f t="shared" si="44"/>
        <v>0</v>
      </c>
      <c r="AU150" s="741"/>
      <c r="AV150" s="747">
        <f t="shared" ca="1" si="45"/>
        <v>0</v>
      </c>
      <c r="AW150" s="747">
        <v>32</v>
      </c>
      <c r="AX150" s="747">
        <f t="shared" ca="1" si="46"/>
        <v>0</v>
      </c>
      <c r="AY150" s="747">
        <f t="shared" ca="1" si="47"/>
        <v>0</v>
      </c>
      <c r="AZ150" s="747">
        <f t="shared" si="48"/>
        <v>0</v>
      </c>
      <c r="BA150" s="741"/>
      <c r="BB150" s="747">
        <f t="shared" ca="1" si="49"/>
        <v>0</v>
      </c>
      <c r="BC150" s="747">
        <v>32</v>
      </c>
      <c r="BD150" s="747">
        <f t="shared" si="50"/>
        <v>0</v>
      </c>
      <c r="BE150" s="747">
        <f t="shared" si="51"/>
        <v>0</v>
      </c>
      <c r="BF150" s="747">
        <f t="shared" si="52"/>
        <v>0</v>
      </c>
      <c r="BG150" s="741"/>
      <c r="BH150" s="747">
        <f t="shared" si="53"/>
        <v>0</v>
      </c>
      <c r="BI150" s="747">
        <v>32</v>
      </c>
      <c r="BJ150" s="747">
        <f t="shared" si="54"/>
        <v>0</v>
      </c>
      <c r="BK150" s="747">
        <f t="shared" si="55"/>
        <v>0</v>
      </c>
      <c r="BL150" s="747">
        <f t="shared" si="56"/>
        <v>0</v>
      </c>
      <c r="BM150" s="741"/>
      <c r="BN150" s="747">
        <f t="shared" si="57"/>
        <v>0</v>
      </c>
      <c r="BO150" s="747">
        <v>32</v>
      </c>
      <c r="BP150" s="747">
        <f t="shared" si="58"/>
        <v>0</v>
      </c>
      <c r="BQ150" s="747">
        <f t="shared" si="59"/>
        <v>0</v>
      </c>
      <c r="BR150" s="747">
        <f t="shared" si="60"/>
        <v>0</v>
      </c>
      <c r="BS150" s="741"/>
      <c r="BT150" s="747">
        <f t="shared" si="61"/>
        <v>0</v>
      </c>
      <c r="BU150" s="750"/>
      <c r="BV150" s="750"/>
      <c r="BW150" s="750"/>
      <c r="BX150" s="750"/>
      <c r="BY150" s="750"/>
      <c r="BZ150" s="750"/>
      <c r="CA150" s="750"/>
      <c r="CB150" s="750"/>
      <c r="CC150" s="750"/>
      <c r="CD150" s="750"/>
      <c r="CE150" s="750"/>
      <c r="CF150" s="750"/>
      <c r="CG150" s="750"/>
      <c r="CH150" s="750"/>
      <c r="CI150" s="750"/>
      <c r="CJ150" s="750"/>
      <c r="CK150" s="750"/>
      <c r="CL150" s="750"/>
      <c r="CM150" s="750"/>
      <c r="CN150" s="750"/>
    </row>
    <row r="151" spans="1:92" ht="15" customHeight="1">
      <c r="A151" s="737">
        <v>33</v>
      </c>
      <c r="B151" s="737">
        <f t="shared" ca="1" si="69"/>
        <v>0</v>
      </c>
      <c r="C151" s="737">
        <f t="shared" ca="1" si="69"/>
        <v>0</v>
      </c>
      <c r="D151" s="737">
        <f t="shared" si="69"/>
        <v>0</v>
      </c>
      <c r="E151" s="737">
        <f t="shared" si="69"/>
        <v>0</v>
      </c>
      <c r="F151" s="737">
        <f t="shared" ca="1" si="69"/>
        <v>0</v>
      </c>
      <c r="G151" s="747">
        <v>33</v>
      </c>
      <c r="H151" s="747">
        <f t="shared" ca="1" si="19"/>
        <v>0</v>
      </c>
      <c r="I151" s="747">
        <f t="shared" ca="1" si="20"/>
        <v>0</v>
      </c>
      <c r="J151" s="747">
        <f t="shared" si="21"/>
        <v>0</v>
      </c>
      <c r="K151" s="747"/>
      <c r="L151" s="747">
        <f t="shared" ca="1" si="62"/>
        <v>0</v>
      </c>
      <c r="M151" s="747">
        <v>33</v>
      </c>
      <c r="N151" s="747">
        <f t="shared" ca="1" si="22"/>
        <v>0</v>
      </c>
      <c r="O151" s="747">
        <f t="shared" ca="1" si="23"/>
        <v>0</v>
      </c>
      <c r="P151" s="747">
        <f t="shared" si="24"/>
        <v>0</v>
      </c>
      <c r="Q151" s="748"/>
      <c r="R151" s="747">
        <f t="shared" ca="1" si="25"/>
        <v>0</v>
      </c>
      <c r="S151" s="747">
        <v>33</v>
      </c>
      <c r="T151" s="747">
        <f t="shared" ca="1" si="26"/>
        <v>0</v>
      </c>
      <c r="U151" s="747">
        <f t="shared" ca="1" si="27"/>
        <v>0</v>
      </c>
      <c r="V151" s="747">
        <f t="shared" si="28"/>
        <v>0</v>
      </c>
      <c r="W151" s="749"/>
      <c r="X151" s="747">
        <f t="shared" ca="1" si="29"/>
        <v>0</v>
      </c>
      <c r="Y151" s="747">
        <v>33</v>
      </c>
      <c r="Z151" s="747">
        <f t="shared" ca="1" si="30"/>
        <v>0</v>
      </c>
      <c r="AA151" s="747">
        <f t="shared" ca="1" si="31"/>
        <v>0</v>
      </c>
      <c r="AB151" s="747">
        <f t="shared" si="32"/>
        <v>0</v>
      </c>
      <c r="AC151" s="747"/>
      <c r="AD151" s="747">
        <f t="shared" ca="1" si="33"/>
        <v>0</v>
      </c>
      <c r="AE151" s="747">
        <v>33</v>
      </c>
      <c r="AF151" s="747">
        <f t="shared" ca="1" si="34"/>
        <v>0</v>
      </c>
      <c r="AG151" s="747">
        <f t="shared" ca="1" si="35"/>
        <v>0</v>
      </c>
      <c r="AH151" s="747">
        <f t="shared" si="36"/>
        <v>0</v>
      </c>
      <c r="AI151" s="741"/>
      <c r="AJ151" s="747">
        <f t="shared" ca="1" si="37"/>
        <v>0</v>
      </c>
      <c r="AK151" s="747">
        <v>33</v>
      </c>
      <c r="AL151" s="747">
        <f t="shared" ca="1" si="38"/>
        <v>0</v>
      </c>
      <c r="AM151" s="747">
        <f t="shared" ca="1" si="39"/>
        <v>0</v>
      </c>
      <c r="AN151" s="747">
        <f t="shared" si="40"/>
        <v>0</v>
      </c>
      <c r="AO151" s="741"/>
      <c r="AP151" s="747">
        <f t="shared" ca="1" si="41"/>
        <v>0</v>
      </c>
      <c r="AQ151" s="747">
        <v>33</v>
      </c>
      <c r="AR151" s="747">
        <f t="shared" ca="1" si="42"/>
        <v>0</v>
      </c>
      <c r="AS151" s="747">
        <f t="shared" ca="1" si="43"/>
        <v>0</v>
      </c>
      <c r="AT151" s="747">
        <f t="shared" si="44"/>
        <v>0</v>
      </c>
      <c r="AU151" s="741"/>
      <c r="AV151" s="747">
        <f t="shared" ca="1" si="45"/>
        <v>0</v>
      </c>
      <c r="AW151" s="747">
        <v>33</v>
      </c>
      <c r="AX151" s="747">
        <f t="shared" ca="1" si="46"/>
        <v>0</v>
      </c>
      <c r="AY151" s="747">
        <f t="shared" ca="1" si="47"/>
        <v>0</v>
      </c>
      <c r="AZ151" s="747">
        <f t="shared" si="48"/>
        <v>0</v>
      </c>
      <c r="BA151" s="741"/>
      <c r="BB151" s="747">
        <f t="shared" ca="1" si="49"/>
        <v>0</v>
      </c>
      <c r="BC151" s="747">
        <v>33</v>
      </c>
      <c r="BD151" s="747">
        <f t="shared" si="50"/>
        <v>0</v>
      </c>
      <c r="BE151" s="747">
        <f t="shared" si="51"/>
        <v>0</v>
      </c>
      <c r="BF151" s="747">
        <f t="shared" si="52"/>
        <v>0</v>
      </c>
      <c r="BG151" s="741"/>
      <c r="BH151" s="747">
        <f t="shared" si="53"/>
        <v>0</v>
      </c>
      <c r="BI151" s="747">
        <v>33</v>
      </c>
      <c r="BJ151" s="747">
        <f t="shared" si="54"/>
        <v>0</v>
      </c>
      <c r="BK151" s="747">
        <f t="shared" si="55"/>
        <v>0</v>
      </c>
      <c r="BL151" s="747">
        <f t="shared" si="56"/>
        <v>0</v>
      </c>
      <c r="BM151" s="741"/>
      <c r="BN151" s="747">
        <f t="shared" si="57"/>
        <v>0</v>
      </c>
      <c r="BO151" s="747">
        <v>33</v>
      </c>
      <c r="BP151" s="747">
        <f t="shared" si="58"/>
        <v>0</v>
      </c>
      <c r="BQ151" s="747">
        <f t="shared" si="59"/>
        <v>0</v>
      </c>
      <c r="BR151" s="747">
        <f t="shared" si="60"/>
        <v>0</v>
      </c>
      <c r="BS151" s="741"/>
      <c r="BT151" s="747">
        <f t="shared" si="61"/>
        <v>0</v>
      </c>
      <c r="BU151" s="750"/>
      <c r="BV151" s="750"/>
      <c r="BW151" s="750"/>
      <c r="BX151" s="750"/>
      <c r="BY151" s="750"/>
      <c r="BZ151" s="750"/>
      <c r="CA151" s="750"/>
      <c r="CB151" s="750"/>
      <c r="CC151" s="750"/>
      <c r="CD151" s="750"/>
      <c r="CE151" s="750"/>
      <c r="CF151" s="750"/>
      <c r="CG151" s="750"/>
      <c r="CH151" s="750"/>
      <c r="CI151" s="750"/>
      <c r="CJ151" s="750"/>
      <c r="CK151" s="750"/>
      <c r="CL151" s="750"/>
      <c r="CM151" s="750"/>
      <c r="CN151" s="750"/>
    </row>
    <row r="152" spans="1:92" ht="15" customHeight="1">
      <c r="A152" s="737">
        <v>34</v>
      </c>
      <c r="B152" s="737">
        <f t="shared" ca="1" si="69"/>
        <v>0</v>
      </c>
      <c r="C152" s="737">
        <f t="shared" ca="1" si="69"/>
        <v>0</v>
      </c>
      <c r="D152" s="737">
        <f t="shared" si="69"/>
        <v>0</v>
      </c>
      <c r="E152" s="737">
        <f t="shared" si="69"/>
        <v>0</v>
      </c>
      <c r="F152" s="737">
        <f t="shared" ca="1" si="69"/>
        <v>0</v>
      </c>
      <c r="G152" s="747">
        <v>34</v>
      </c>
      <c r="H152" s="747">
        <f t="shared" ca="1" si="19"/>
        <v>0</v>
      </c>
      <c r="I152" s="747">
        <f t="shared" ca="1" si="20"/>
        <v>0</v>
      </c>
      <c r="J152" s="747">
        <f t="shared" si="21"/>
        <v>0</v>
      </c>
      <c r="K152" s="747"/>
      <c r="L152" s="747">
        <f t="shared" ca="1" si="62"/>
        <v>0</v>
      </c>
      <c r="M152" s="747">
        <v>34</v>
      </c>
      <c r="N152" s="747">
        <f t="shared" ca="1" si="22"/>
        <v>0</v>
      </c>
      <c r="O152" s="747">
        <f t="shared" ca="1" si="23"/>
        <v>0</v>
      </c>
      <c r="P152" s="747">
        <f t="shared" si="24"/>
        <v>0</v>
      </c>
      <c r="Q152" s="748"/>
      <c r="R152" s="747">
        <f t="shared" ca="1" si="25"/>
        <v>0</v>
      </c>
      <c r="S152" s="747">
        <v>34</v>
      </c>
      <c r="T152" s="747">
        <f t="shared" ca="1" si="26"/>
        <v>0</v>
      </c>
      <c r="U152" s="747">
        <f t="shared" ca="1" si="27"/>
        <v>0</v>
      </c>
      <c r="V152" s="747">
        <f t="shared" si="28"/>
        <v>0</v>
      </c>
      <c r="W152" s="749"/>
      <c r="X152" s="747">
        <f t="shared" ca="1" si="29"/>
        <v>0</v>
      </c>
      <c r="Y152" s="747">
        <v>34</v>
      </c>
      <c r="Z152" s="747">
        <f t="shared" ca="1" si="30"/>
        <v>0</v>
      </c>
      <c r="AA152" s="747">
        <f t="shared" ca="1" si="31"/>
        <v>0</v>
      </c>
      <c r="AB152" s="747">
        <f t="shared" si="32"/>
        <v>0</v>
      </c>
      <c r="AC152" s="747"/>
      <c r="AD152" s="747">
        <f t="shared" ca="1" si="33"/>
        <v>0</v>
      </c>
      <c r="AE152" s="747">
        <v>34</v>
      </c>
      <c r="AF152" s="747">
        <f t="shared" ca="1" si="34"/>
        <v>0</v>
      </c>
      <c r="AG152" s="747">
        <f t="shared" ca="1" si="35"/>
        <v>0</v>
      </c>
      <c r="AH152" s="747">
        <f t="shared" si="36"/>
        <v>0</v>
      </c>
      <c r="AI152" s="741"/>
      <c r="AJ152" s="747">
        <f t="shared" ca="1" si="37"/>
        <v>0</v>
      </c>
      <c r="AK152" s="747">
        <v>34</v>
      </c>
      <c r="AL152" s="747">
        <f t="shared" ca="1" si="38"/>
        <v>0</v>
      </c>
      <c r="AM152" s="747">
        <f t="shared" ca="1" si="39"/>
        <v>0</v>
      </c>
      <c r="AN152" s="747">
        <f t="shared" si="40"/>
        <v>0</v>
      </c>
      <c r="AO152" s="741"/>
      <c r="AP152" s="747">
        <f t="shared" ca="1" si="41"/>
        <v>0</v>
      </c>
      <c r="AQ152" s="747">
        <v>34</v>
      </c>
      <c r="AR152" s="747">
        <f t="shared" ca="1" si="42"/>
        <v>0</v>
      </c>
      <c r="AS152" s="747">
        <f t="shared" ca="1" si="43"/>
        <v>0</v>
      </c>
      <c r="AT152" s="747">
        <f t="shared" si="44"/>
        <v>0</v>
      </c>
      <c r="AU152" s="741"/>
      <c r="AV152" s="747">
        <f t="shared" ca="1" si="45"/>
        <v>0</v>
      </c>
      <c r="AW152" s="747">
        <v>34</v>
      </c>
      <c r="AX152" s="747">
        <f t="shared" ca="1" si="46"/>
        <v>0</v>
      </c>
      <c r="AY152" s="747">
        <f t="shared" ca="1" si="47"/>
        <v>0</v>
      </c>
      <c r="AZ152" s="747">
        <f t="shared" si="48"/>
        <v>0</v>
      </c>
      <c r="BA152" s="741"/>
      <c r="BB152" s="747">
        <f t="shared" ca="1" si="49"/>
        <v>0</v>
      </c>
      <c r="BC152" s="747">
        <v>34</v>
      </c>
      <c r="BD152" s="747">
        <f t="shared" si="50"/>
        <v>0</v>
      </c>
      <c r="BE152" s="747">
        <f t="shared" si="51"/>
        <v>0</v>
      </c>
      <c r="BF152" s="747">
        <f t="shared" si="52"/>
        <v>0</v>
      </c>
      <c r="BG152" s="741"/>
      <c r="BH152" s="747">
        <f t="shared" si="53"/>
        <v>0</v>
      </c>
      <c r="BI152" s="747">
        <v>34</v>
      </c>
      <c r="BJ152" s="747">
        <f t="shared" si="54"/>
        <v>0</v>
      </c>
      <c r="BK152" s="747">
        <f t="shared" si="55"/>
        <v>0</v>
      </c>
      <c r="BL152" s="747">
        <f t="shared" si="56"/>
        <v>0</v>
      </c>
      <c r="BM152" s="741"/>
      <c r="BN152" s="747">
        <f t="shared" si="57"/>
        <v>0</v>
      </c>
      <c r="BO152" s="747">
        <v>34</v>
      </c>
      <c r="BP152" s="747">
        <f t="shared" si="58"/>
        <v>0</v>
      </c>
      <c r="BQ152" s="747">
        <f t="shared" si="59"/>
        <v>0</v>
      </c>
      <c r="BR152" s="747">
        <f t="shared" si="60"/>
        <v>0</v>
      </c>
      <c r="BS152" s="741"/>
      <c r="BT152" s="747">
        <f t="shared" si="61"/>
        <v>0</v>
      </c>
      <c r="BU152" s="750"/>
      <c r="BV152" s="750"/>
      <c r="BW152" s="750"/>
      <c r="BX152" s="750"/>
      <c r="BY152" s="750"/>
      <c r="BZ152" s="750"/>
      <c r="CA152" s="750"/>
      <c r="CB152" s="750"/>
      <c r="CC152" s="750"/>
      <c r="CD152" s="750"/>
      <c r="CE152" s="750"/>
      <c r="CF152" s="750"/>
      <c r="CG152" s="750"/>
      <c r="CH152" s="750"/>
      <c r="CI152" s="750"/>
      <c r="CJ152" s="750"/>
      <c r="CK152" s="750"/>
      <c r="CL152" s="750"/>
      <c r="CM152" s="750"/>
      <c r="CN152" s="750"/>
    </row>
    <row r="153" spans="1:92" ht="15" customHeight="1">
      <c r="A153" s="737">
        <v>35</v>
      </c>
      <c r="B153" s="737">
        <f t="shared" ca="1" si="69"/>
        <v>0</v>
      </c>
      <c r="C153" s="737">
        <f t="shared" ca="1" si="69"/>
        <v>0</v>
      </c>
      <c r="D153" s="737">
        <f t="shared" si="69"/>
        <v>0</v>
      </c>
      <c r="E153" s="737">
        <f t="shared" si="69"/>
        <v>0</v>
      </c>
      <c r="F153" s="737">
        <f t="shared" ca="1" si="69"/>
        <v>0</v>
      </c>
      <c r="G153" s="747">
        <v>35</v>
      </c>
      <c r="H153" s="747">
        <f t="shared" ca="1" si="19"/>
        <v>0</v>
      </c>
      <c r="I153" s="747">
        <f t="shared" ca="1" si="20"/>
        <v>0</v>
      </c>
      <c r="J153" s="747">
        <f t="shared" si="21"/>
        <v>0</v>
      </c>
      <c r="K153" s="747"/>
      <c r="L153" s="747">
        <f t="shared" ca="1" si="62"/>
        <v>0</v>
      </c>
      <c r="M153" s="747">
        <v>35</v>
      </c>
      <c r="N153" s="747">
        <f t="shared" ca="1" si="22"/>
        <v>0</v>
      </c>
      <c r="O153" s="747">
        <f t="shared" ca="1" si="23"/>
        <v>0</v>
      </c>
      <c r="P153" s="747">
        <f t="shared" si="24"/>
        <v>0</v>
      </c>
      <c r="Q153" s="748"/>
      <c r="R153" s="747">
        <f t="shared" ca="1" si="25"/>
        <v>0</v>
      </c>
      <c r="S153" s="747">
        <v>35</v>
      </c>
      <c r="T153" s="747">
        <f t="shared" ca="1" si="26"/>
        <v>0</v>
      </c>
      <c r="U153" s="747">
        <f t="shared" ca="1" si="27"/>
        <v>0</v>
      </c>
      <c r="V153" s="747">
        <f t="shared" si="28"/>
        <v>0</v>
      </c>
      <c r="W153" s="749"/>
      <c r="X153" s="747">
        <f t="shared" ca="1" si="29"/>
        <v>0</v>
      </c>
      <c r="Y153" s="747">
        <v>35</v>
      </c>
      <c r="Z153" s="747">
        <f t="shared" ca="1" si="30"/>
        <v>0</v>
      </c>
      <c r="AA153" s="747">
        <f t="shared" ca="1" si="31"/>
        <v>0</v>
      </c>
      <c r="AB153" s="747">
        <f t="shared" si="32"/>
        <v>0</v>
      </c>
      <c r="AC153" s="747"/>
      <c r="AD153" s="747">
        <f t="shared" ca="1" si="33"/>
        <v>0</v>
      </c>
      <c r="AE153" s="747">
        <v>35</v>
      </c>
      <c r="AF153" s="747">
        <f t="shared" ca="1" si="34"/>
        <v>0</v>
      </c>
      <c r="AG153" s="747">
        <f t="shared" ca="1" si="35"/>
        <v>0</v>
      </c>
      <c r="AH153" s="747">
        <f t="shared" si="36"/>
        <v>0</v>
      </c>
      <c r="AI153" s="741"/>
      <c r="AJ153" s="747">
        <f t="shared" ca="1" si="37"/>
        <v>0</v>
      </c>
      <c r="AK153" s="747">
        <v>35</v>
      </c>
      <c r="AL153" s="747">
        <f t="shared" ca="1" si="38"/>
        <v>0</v>
      </c>
      <c r="AM153" s="747">
        <f t="shared" ca="1" si="39"/>
        <v>0</v>
      </c>
      <c r="AN153" s="747">
        <f t="shared" si="40"/>
        <v>0</v>
      </c>
      <c r="AO153" s="741"/>
      <c r="AP153" s="747">
        <f t="shared" ca="1" si="41"/>
        <v>0</v>
      </c>
      <c r="AQ153" s="747">
        <v>35</v>
      </c>
      <c r="AR153" s="747">
        <f t="shared" ca="1" si="42"/>
        <v>0</v>
      </c>
      <c r="AS153" s="747">
        <f t="shared" ca="1" si="43"/>
        <v>0</v>
      </c>
      <c r="AT153" s="747">
        <f t="shared" si="44"/>
        <v>0</v>
      </c>
      <c r="AU153" s="741"/>
      <c r="AV153" s="747">
        <f t="shared" ca="1" si="45"/>
        <v>0</v>
      </c>
      <c r="AW153" s="747">
        <v>35</v>
      </c>
      <c r="AX153" s="747">
        <f t="shared" ca="1" si="46"/>
        <v>0</v>
      </c>
      <c r="AY153" s="747">
        <f t="shared" ca="1" si="47"/>
        <v>0</v>
      </c>
      <c r="AZ153" s="747">
        <f t="shared" si="48"/>
        <v>0</v>
      </c>
      <c r="BA153" s="741"/>
      <c r="BB153" s="747">
        <f t="shared" ca="1" si="49"/>
        <v>0</v>
      </c>
      <c r="BC153" s="747">
        <v>35</v>
      </c>
      <c r="BD153" s="747">
        <f t="shared" si="50"/>
        <v>0</v>
      </c>
      <c r="BE153" s="747">
        <f t="shared" si="51"/>
        <v>0</v>
      </c>
      <c r="BF153" s="747">
        <f t="shared" si="52"/>
        <v>0</v>
      </c>
      <c r="BG153" s="741"/>
      <c r="BH153" s="747">
        <f t="shared" si="53"/>
        <v>0</v>
      </c>
      <c r="BI153" s="747">
        <v>35</v>
      </c>
      <c r="BJ153" s="747">
        <f t="shared" si="54"/>
        <v>0</v>
      </c>
      <c r="BK153" s="747">
        <f t="shared" si="55"/>
        <v>0</v>
      </c>
      <c r="BL153" s="747">
        <f t="shared" si="56"/>
        <v>0</v>
      </c>
      <c r="BM153" s="741"/>
      <c r="BN153" s="747">
        <f t="shared" si="57"/>
        <v>0</v>
      </c>
      <c r="BO153" s="747">
        <v>35</v>
      </c>
      <c r="BP153" s="747">
        <f t="shared" si="58"/>
        <v>0</v>
      </c>
      <c r="BQ153" s="747">
        <f t="shared" si="59"/>
        <v>0</v>
      </c>
      <c r="BR153" s="747">
        <f t="shared" si="60"/>
        <v>0</v>
      </c>
      <c r="BS153" s="741"/>
      <c r="BT153" s="747">
        <f t="shared" si="61"/>
        <v>0</v>
      </c>
      <c r="BU153" s="750"/>
      <c r="BV153" s="750"/>
      <c r="BW153" s="750"/>
      <c r="BX153" s="750"/>
      <c r="BY153" s="750"/>
      <c r="BZ153" s="750"/>
      <c r="CA153" s="750"/>
      <c r="CB153" s="750"/>
      <c r="CC153" s="750"/>
      <c r="CD153" s="750"/>
      <c r="CE153" s="750"/>
      <c r="CF153" s="750"/>
      <c r="CG153" s="750"/>
      <c r="CH153" s="750"/>
      <c r="CI153" s="750"/>
      <c r="CJ153" s="750"/>
      <c r="CK153" s="750"/>
      <c r="CL153" s="750"/>
      <c r="CM153" s="750"/>
      <c r="CN153" s="750"/>
    </row>
    <row r="154" spans="1:92" ht="15" customHeight="1">
      <c r="A154" s="737">
        <v>36</v>
      </c>
      <c r="B154" s="737">
        <f t="shared" ca="1" si="69"/>
        <v>0</v>
      </c>
      <c r="C154" s="737">
        <f t="shared" ca="1" si="69"/>
        <v>0</v>
      </c>
      <c r="D154" s="737">
        <f t="shared" si="69"/>
        <v>0</v>
      </c>
      <c r="E154" s="737">
        <f t="shared" si="69"/>
        <v>0</v>
      </c>
      <c r="F154" s="737">
        <f t="shared" ca="1" si="69"/>
        <v>0</v>
      </c>
      <c r="G154" s="747">
        <v>36</v>
      </c>
      <c r="H154" s="747">
        <f t="shared" ca="1" si="19"/>
        <v>0</v>
      </c>
      <c r="I154" s="747">
        <f t="shared" ca="1" si="20"/>
        <v>0</v>
      </c>
      <c r="J154" s="747">
        <f t="shared" si="21"/>
        <v>0</v>
      </c>
      <c r="K154" s="747"/>
      <c r="L154" s="747">
        <f t="shared" ca="1" si="62"/>
        <v>0</v>
      </c>
      <c r="M154" s="747">
        <v>36</v>
      </c>
      <c r="N154" s="747">
        <f t="shared" ca="1" si="22"/>
        <v>0</v>
      </c>
      <c r="O154" s="747">
        <f t="shared" ca="1" si="23"/>
        <v>0</v>
      </c>
      <c r="P154" s="747">
        <f t="shared" si="24"/>
        <v>0</v>
      </c>
      <c r="Q154" s="748"/>
      <c r="R154" s="747">
        <f t="shared" ca="1" si="25"/>
        <v>0</v>
      </c>
      <c r="S154" s="747">
        <v>36</v>
      </c>
      <c r="T154" s="747">
        <f t="shared" ca="1" si="26"/>
        <v>0</v>
      </c>
      <c r="U154" s="747">
        <f t="shared" ca="1" si="27"/>
        <v>0</v>
      </c>
      <c r="V154" s="747">
        <f t="shared" si="28"/>
        <v>0</v>
      </c>
      <c r="W154" s="749"/>
      <c r="X154" s="747">
        <f t="shared" ca="1" si="29"/>
        <v>0</v>
      </c>
      <c r="Y154" s="747">
        <v>36</v>
      </c>
      <c r="Z154" s="747">
        <f t="shared" ca="1" si="30"/>
        <v>0</v>
      </c>
      <c r="AA154" s="747">
        <f t="shared" ca="1" si="31"/>
        <v>0</v>
      </c>
      <c r="AB154" s="747">
        <f t="shared" si="32"/>
        <v>0</v>
      </c>
      <c r="AC154" s="747"/>
      <c r="AD154" s="747">
        <f t="shared" ca="1" si="33"/>
        <v>0</v>
      </c>
      <c r="AE154" s="747">
        <v>36</v>
      </c>
      <c r="AF154" s="747">
        <f t="shared" ca="1" si="34"/>
        <v>0</v>
      </c>
      <c r="AG154" s="747">
        <f t="shared" ca="1" si="35"/>
        <v>0</v>
      </c>
      <c r="AH154" s="747">
        <f t="shared" si="36"/>
        <v>0</v>
      </c>
      <c r="AI154" s="741"/>
      <c r="AJ154" s="747">
        <f t="shared" ca="1" si="37"/>
        <v>0</v>
      </c>
      <c r="AK154" s="747">
        <v>36</v>
      </c>
      <c r="AL154" s="747">
        <f t="shared" ca="1" si="38"/>
        <v>0</v>
      </c>
      <c r="AM154" s="747">
        <f t="shared" ca="1" si="39"/>
        <v>0</v>
      </c>
      <c r="AN154" s="747">
        <f t="shared" si="40"/>
        <v>0</v>
      </c>
      <c r="AO154" s="741"/>
      <c r="AP154" s="747">
        <f t="shared" ca="1" si="41"/>
        <v>0</v>
      </c>
      <c r="AQ154" s="747">
        <v>36</v>
      </c>
      <c r="AR154" s="747">
        <f t="shared" ca="1" si="42"/>
        <v>0</v>
      </c>
      <c r="AS154" s="747">
        <f t="shared" ca="1" si="43"/>
        <v>0</v>
      </c>
      <c r="AT154" s="747">
        <f t="shared" si="44"/>
        <v>0</v>
      </c>
      <c r="AU154" s="741"/>
      <c r="AV154" s="747">
        <f t="shared" ca="1" si="45"/>
        <v>0</v>
      </c>
      <c r="AW154" s="747">
        <v>36</v>
      </c>
      <c r="AX154" s="747">
        <f t="shared" ca="1" si="46"/>
        <v>0</v>
      </c>
      <c r="AY154" s="747">
        <f t="shared" ca="1" si="47"/>
        <v>0</v>
      </c>
      <c r="AZ154" s="747">
        <f t="shared" si="48"/>
        <v>0</v>
      </c>
      <c r="BA154" s="741"/>
      <c r="BB154" s="747">
        <f t="shared" ca="1" si="49"/>
        <v>0</v>
      </c>
      <c r="BC154" s="747">
        <v>36</v>
      </c>
      <c r="BD154" s="747">
        <f t="shared" si="50"/>
        <v>0</v>
      </c>
      <c r="BE154" s="747">
        <f t="shared" si="51"/>
        <v>0</v>
      </c>
      <c r="BF154" s="747">
        <f t="shared" si="52"/>
        <v>0</v>
      </c>
      <c r="BG154" s="741"/>
      <c r="BH154" s="747">
        <f t="shared" si="53"/>
        <v>0</v>
      </c>
      <c r="BI154" s="747">
        <v>36</v>
      </c>
      <c r="BJ154" s="747">
        <f t="shared" si="54"/>
        <v>0</v>
      </c>
      <c r="BK154" s="747">
        <f t="shared" si="55"/>
        <v>0</v>
      </c>
      <c r="BL154" s="747">
        <f t="shared" si="56"/>
        <v>0</v>
      </c>
      <c r="BM154" s="741"/>
      <c r="BN154" s="747">
        <f t="shared" si="57"/>
        <v>0</v>
      </c>
      <c r="BO154" s="747">
        <v>36</v>
      </c>
      <c r="BP154" s="747">
        <f t="shared" si="58"/>
        <v>0</v>
      </c>
      <c r="BQ154" s="747">
        <f t="shared" si="59"/>
        <v>0</v>
      </c>
      <c r="BR154" s="747">
        <f t="shared" si="60"/>
        <v>0</v>
      </c>
      <c r="BS154" s="741"/>
      <c r="BT154" s="747">
        <f t="shared" si="61"/>
        <v>0</v>
      </c>
      <c r="BU154" s="750"/>
      <c r="BV154" s="750"/>
      <c r="BW154" s="750"/>
      <c r="BX154" s="750"/>
      <c r="BY154" s="750"/>
      <c r="BZ154" s="750"/>
      <c r="CA154" s="750"/>
      <c r="CB154" s="750"/>
      <c r="CC154" s="750"/>
      <c r="CD154" s="750"/>
      <c r="CE154" s="750"/>
      <c r="CF154" s="750"/>
      <c r="CG154" s="750"/>
      <c r="CH154" s="750"/>
      <c r="CI154" s="750"/>
      <c r="CJ154" s="750"/>
      <c r="CK154" s="750"/>
      <c r="CL154" s="750"/>
      <c r="CM154" s="750"/>
      <c r="CN154" s="750"/>
    </row>
    <row r="155" spans="1:92" ht="15" customHeight="1">
      <c r="A155" s="737">
        <v>37</v>
      </c>
      <c r="B155" s="737">
        <f t="shared" ca="1" si="69"/>
        <v>0</v>
      </c>
      <c r="C155" s="737">
        <f t="shared" ca="1" si="69"/>
        <v>0</v>
      </c>
      <c r="D155" s="737">
        <f t="shared" si="69"/>
        <v>0</v>
      </c>
      <c r="E155" s="737">
        <f t="shared" si="69"/>
        <v>0</v>
      </c>
      <c r="F155" s="737">
        <f t="shared" ca="1" si="69"/>
        <v>0</v>
      </c>
      <c r="G155" s="747">
        <v>37</v>
      </c>
      <c r="H155" s="747">
        <f t="shared" ca="1" si="19"/>
        <v>0</v>
      </c>
      <c r="I155" s="747">
        <f t="shared" ca="1" si="20"/>
        <v>0</v>
      </c>
      <c r="J155" s="747">
        <f t="shared" si="21"/>
        <v>0</v>
      </c>
      <c r="K155" s="747"/>
      <c r="L155" s="747">
        <f t="shared" ca="1" si="62"/>
        <v>0</v>
      </c>
      <c r="M155" s="747">
        <v>37</v>
      </c>
      <c r="N155" s="747">
        <f t="shared" ca="1" si="22"/>
        <v>0</v>
      </c>
      <c r="O155" s="747">
        <f t="shared" ca="1" si="23"/>
        <v>0</v>
      </c>
      <c r="P155" s="747">
        <f t="shared" si="24"/>
        <v>0</v>
      </c>
      <c r="Q155" s="748"/>
      <c r="R155" s="747">
        <f t="shared" ca="1" si="25"/>
        <v>0</v>
      </c>
      <c r="S155" s="747">
        <v>37</v>
      </c>
      <c r="T155" s="747">
        <f t="shared" ca="1" si="26"/>
        <v>0</v>
      </c>
      <c r="U155" s="747">
        <f t="shared" ca="1" si="27"/>
        <v>0</v>
      </c>
      <c r="V155" s="747">
        <f t="shared" si="28"/>
        <v>0</v>
      </c>
      <c r="W155" s="749"/>
      <c r="X155" s="747">
        <f t="shared" ca="1" si="29"/>
        <v>0</v>
      </c>
      <c r="Y155" s="747">
        <v>37</v>
      </c>
      <c r="Z155" s="747">
        <f t="shared" ca="1" si="30"/>
        <v>0</v>
      </c>
      <c r="AA155" s="747">
        <f t="shared" ca="1" si="31"/>
        <v>0</v>
      </c>
      <c r="AB155" s="747">
        <f t="shared" si="32"/>
        <v>0</v>
      </c>
      <c r="AC155" s="747"/>
      <c r="AD155" s="747">
        <f t="shared" ca="1" si="33"/>
        <v>0</v>
      </c>
      <c r="AE155" s="747">
        <v>37</v>
      </c>
      <c r="AF155" s="747">
        <f t="shared" ca="1" si="34"/>
        <v>0</v>
      </c>
      <c r="AG155" s="747">
        <f t="shared" ca="1" si="35"/>
        <v>0</v>
      </c>
      <c r="AH155" s="747">
        <f t="shared" si="36"/>
        <v>0</v>
      </c>
      <c r="AI155" s="741"/>
      <c r="AJ155" s="747">
        <f t="shared" ca="1" si="37"/>
        <v>0</v>
      </c>
      <c r="AK155" s="747">
        <v>37</v>
      </c>
      <c r="AL155" s="747">
        <f t="shared" ca="1" si="38"/>
        <v>0</v>
      </c>
      <c r="AM155" s="747">
        <f t="shared" ca="1" si="39"/>
        <v>0</v>
      </c>
      <c r="AN155" s="747">
        <f t="shared" si="40"/>
        <v>0</v>
      </c>
      <c r="AO155" s="741"/>
      <c r="AP155" s="747">
        <f t="shared" ca="1" si="41"/>
        <v>0</v>
      </c>
      <c r="AQ155" s="747">
        <v>37</v>
      </c>
      <c r="AR155" s="747">
        <f t="shared" ca="1" si="42"/>
        <v>0</v>
      </c>
      <c r="AS155" s="747">
        <f t="shared" ca="1" si="43"/>
        <v>0</v>
      </c>
      <c r="AT155" s="747">
        <f t="shared" si="44"/>
        <v>0</v>
      </c>
      <c r="AU155" s="741"/>
      <c r="AV155" s="747">
        <f t="shared" ca="1" si="45"/>
        <v>0</v>
      </c>
      <c r="AW155" s="747">
        <v>37</v>
      </c>
      <c r="AX155" s="747">
        <f t="shared" ca="1" si="46"/>
        <v>0</v>
      </c>
      <c r="AY155" s="747">
        <f t="shared" ca="1" si="47"/>
        <v>0</v>
      </c>
      <c r="AZ155" s="747">
        <f t="shared" si="48"/>
        <v>0</v>
      </c>
      <c r="BA155" s="741"/>
      <c r="BB155" s="747">
        <f t="shared" ca="1" si="49"/>
        <v>0</v>
      </c>
      <c r="BC155" s="747">
        <v>37</v>
      </c>
      <c r="BD155" s="747">
        <f t="shared" si="50"/>
        <v>0</v>
      </c>
      <c r="BE155" s="747">
        <f t="shared" si="51"/>
        <v>0</v>
      </c>
      <c r="BF155" s="747">
        <f t="shared" si="52"/>
        <v>0</v>
      </c>
      <c r="BG155" s="741"/>
      <c r="BH155" s="747">
        <f t="shared" si="53"/>
        <v>0</v>
      </c>
      <c r="BI155" s="747">
        <v>37</v>
      </c>
      <c r="BJ155" s="747">
        <f t="shared" si="54"/>
        <v>0</v>
      </c>
      <c r="BK155" s="747">
        <f t="shared" si="55"/>
        <v>0</v>
      </c>
      <c r="BL155" s="747">
        <f t="shared" si="56"/>
        <v>0</v>
      </c>
      <c r="BM155" s="741"/>
      <c r="BN155" s="747">
        <f t="shared" si="57"/>
        <v>0</v>
      </c>
      <c r="BO155" s="747">
        <v>37</v>
      </c>
      <c r="BP155" s="747">
        <f t="shared" si="58"/>
        <v>0</v>
      </c>
      <c r="BQ155" s="747">
        <f t="shared" si="59"/>
        <v>0</v>
      </c>
      <c r="BR155" s="747">
        <f t="shared" si="60"/>
        <v>0</v>
      </c>
      <c r="BS155" s="741"/>
      <c r="BT155" s="747">
        <f t="shared" si="61"/>
        <v>0</v>
      </c>
      <c r="BU155" s="750"/>
      <c r="BV155" s="750"/>
      <c r="BW155" s="750"/>
      <c r="BX155" s="750"/>
      <c r="BY155" s="750"/>
      <c r="BZ155" s="750"/>
      <c r="CA155" s="750"/>
      <c r="CB155" s="750"/>
      <c r="CC155" s="750"/>
      <c r="CD155" s="750"/>
      <c r="CE155" s="750"/>
      <c r="CF155" s="750"/>
      <c r="CG155" s="750"/>
      <c r="CH155" s="750"/>
      <c r="CI155" s="750"/>
      <c r="CJ155" s="750"/>
      <c r="CK155" s="750"/>
      <c r="CL155" s="750"/>
      <c r="CM155" s="750"/>
      <c r="CN155" s="750"/>
    </row>
    <row r="156" spans="1:92" ht="15" customHeight="1">
      <c r="A156" s="737">
        <v>38</v>
      </c>
      <c r="B156" s="737">
        <f t="shared" ca="1" si="69"/>
        <v>0</v>
      </c>
      <c r="C156" s="737">
        <f t="shared" ca="1" si="69"/>
        <v>0</v>
      </c>
      <c r="D156" s="737">
        <f t="shared" si="69"/>
        <v>0</v>
      </c>
      <c r="E156" s="737">
        <f t="shared" si="69"/>
        <v>0</v>
      </c>
      <c r="F156" s="737">
        <f t="shared" ca="1" si="69"/>
        <v>0</v>
      </c>
      <c r="G156" s="747">
        <v>38</v>
      </c>
      <c r="H156" s="747">
        <f t="shared" ca="1" si="19"/>
        <v>0</v>
      </c>
      <c r="I156" s="747">
        <f t="shared" ca="1" si="20"/>
        <v>0</v>
      </c>
      <c r="J156" s="747">
        <f t="shared" si="21"/>
        <v>0</v>
      </c>
      <c r="K156" s="747"/>
      <c r="L156" s="747">
        <f t="shared" ca="1" si="62"/>
        <v>0</v>
      </c>
      <c r="M156" s="747">
        <v>38</v>
      </c>
      <c r="N156" s="747">
        <f t="shared" ca="1" si="22"/>
        <v>0</v>
      </c>
      <c r="O156" s="747">
        <f t="shared" ca="1" si="23"/>
        <v>0</v>
      </c>
      <c r="P156" s="747">
        <f t="shared" si="24"/>
        <v>0</v>
      </c>
      <c r="Q156" s="748"/>
      <c r="R156" s="747">
        <f t="shared" ca="1" si="25"/>
        <v>0</v>
      </c>
      <c r="S156" s="747">
        <v>38</v>
      </c>
      <c r="T156" s="747">
        <f t="shared" ca="1" si="26"/>
        <v>0</v>
      </c>
      <c r="U156" s="747">
        <f t="shared" ca="1" si="27"/>
        <v>0</v>
      </c>
      <c r="V156" s="747">
        <f t="shared" si="28"/>
        <v>0</v>
      </c>
      <c r="W156" s="749"/>
      <c r="X156" s="747">
        <f t="shared" ca="1" si="29"/>
        <v>0</v>
      </c>
      <c r="Y156" s="747">
        <v>38</v>
      </c>
      <c r="Z156" s="747">
        <f t="shared" ca="1" si="30"/>
        <v>0</v>
      </c>
      <c r="AA156" s="747">
        <f t="shared" ca="1" si="31"/>
        <v>0</v>
      </c>
      <c r="AB156" s="747">
        <f t="shared" si="32"/>
        <v>0</v>
      </c>
      <c r="AC156" s="747"/>
      <c r="AD156" s="747">
        <f t="shared" ca="1" si="33"/>
        <v>0</v>
      </c>
      <c r="AE156" s="747">
        <v>38</v>
      </c>
      <c r="AF156" s="747">
        <f t="shared" ca="1" si="34"/>
        <v>0</v>
      </c>
      <c r="AG156" s="747">
        <f t="shared" ca="1" si="35"/>
        <v>0</v>
      </c>
      <c r="AH156" s="747">
        <f t="shared" si="36"/>
        <v>0</v>
      </c>
      <c r="AI156" s="741"/>
      <c r="AJ156" s="747">
        <f t="shared" ca="1" si="37"/>
        <v>0</v>
      </c>
      <c r="AK156" s="747">
        <v>38</v>
      </c>
      <c r="AL156" s="747">
        <f t="shared" ca="1" si="38"/>
        <v>0</v>
      </c>
      <c r="AM156" s="747">
        <f t="shared" ca="1" si="39"/>
        <v>0</v>
      </c>
      <c r="AN156" s="747">
        <f t="shared" si="40"/>
        <v>0</v>
      </c>
      <c r="AO156" s="741"/>
      <c r="AP156" s="747">
        <f t="shared" ca="1" si="41"/>
        <v>0</v>
      </c>
      <c r="AQ156" s="747">
        <v>38</v>
      </c>
      <c r="AR156" s="747">
        <f t="shared" ca="1" si="42"/>
        <v>0</v>
      </c>
      <c r="AS156" s="747">
        <f t="shared" ca="1" si="43"/>
        <v>0</v>
      </c>
      <c r="AT156" s="747">
        <f t="shared" si="44"/>
        <v>0</v>
      </c>
      <c r="AU156" s="741"/>
      <c r="AV156" s="747">
        <f t="shared" ca="1" si="45"/>
        <v>0</v>
      </c>
      <c r="AW156" s="747">
        <v>38</v>
      </c>
      <c r="AX156" s="747">
        <f t="shared" ca="1" si="46"/>
        <v>0</v>
      </c>
      <c r="AY156" s="747">
        <f t="shared" ca="1" si="47"/>
        <v>0</v>
      </c>
      <c r="AZ156" s="747">
        <f t="shared" si="48"/>
        <v>0</v>
      </c>
      <c r="BA156" s="741"/>
      <c r="BB156" s="747">
        <f t="shared" ca="1" si="49"/>
        <v>0</v>
      </c>
      <c r="BC156" s="747">
        <v>38</v>
      </c>
      <c r="BD156" s="747">
        <f t="shared" si="50"/>
        <v>0</v>
      </c>
      <c r="BE156" s="747">
        <f t="shared" si="51"/>
        <v>0</v>
      </c>
      <c r="BF156" s="747">
        <f t="shared" si="52"/>
        <v>0</v>
      </c>
      <c r="BG156" s="741"/>
      <c r="BH156" s="747">
        <f t="shared" si="53"/>
        <v>0</v>
      </c>
      <c r="BI156" s="747">
        <v>38</v>
      </c>
      <c r="BJ156" s="747">
        <f t="shared" si="54"/>
        <v>0</v>
      </c>
      <c r="BK156" s="747">
        <f t="shared" si="55"/>
        <v>0</v>
      </c>
      <c r="BL156" s="747">
        <f t="shared" si="56"/>
        <v>0</v>
      </c>
      <c r="BM156" s="741"/>
      <c r="BN156" s="747">
        <f t="shared" si="57"/>
        <v>0</v>
      </c>
      <c r="BO156" s="747">
        <v>38</v>
      </c>
      <c r="BP156" s="747">
        <f t="shared" si="58"/>
        <v>0</v>
      </c>
      <c r="BQ156" s="747">
        <f t="shared" si="59"/>
        <v>0</v>
      </c>
      <c r="BR156" s="747">
        <f t="shared" si="60"/>
        <v>0</v>
      </c>
      <c r="BS156" s="741"/>
      <c r="BT156" s="747">
        <f t="shared" si="61"/>
        <v>0</v>
      </c>
      <c r="BU156" s="750"/>
      <c r="BV156" s="750"/>
      <c r="BW156" s="750"/>
      <c r="BX156" s="750"/>
      <c r="BY156" s="750"/>
      <c r="BZ156" s="750"/>
      <c r="CA156" s="750"/>
      <c r="CB156" s="750"/>
      <c r="CC156" s="750"/>
      <c r="CD156" s="750"/>
      <c r="CE156" s="750"/>
      <c r="CF156" s="750"/>
      <c r="CG156" s="750"/>
      <c r="CH156" s="750"/>
      <c r="CI156" s="750"/>
      <c r="CJ156" s="750"/>
      <c r="CK156" s="750"/>
      <c r="CL156" s="750"/>
      <c r="CM156" s="750"/>
      <c r="CN156" s="750"/>
    </row>
    <row r="157" spans="1:92" ht="15" customHeight="1">
      <c r="A157" s="737">
        <v>39</v>
      </c>
      <c r="B157" s="737">
        <f t="shared" ca="1" si="69"/>
        <v>0</v>
      </c>
      <c r="C157" s="737">
        <f t="shared" ca="1" si="69"/>
        <v>0</v>
      </c>
      <c r="D157" s="737">
        <f t="shared" si="69"/>
        <v>0</v>
      </c>
      <c r="E157" s="737">
        <f t="shared" si="69"/>
        <v>0</v>
      </c>
      <c r="F157" s="737">
        <f t="shared" ca="1" si="69"/>
        <v>0</v>
      </c>
      <c r="G157" s="747">
        <v>39</v>
      </c>
      <c r="H157" s="747">
        <f t="shared" ca="1" si="19"/>
        <v>0</v>
      </c>
      <c r="I157" s="747">
        <f t="shared" ca="1" si="20"/>
        <v>0</v>
      </c>
      <c r="J157" s="747">
        <f t="shared" si="21"/>
        <v>0</v>
      </c>
      <c r="K157" s="747"/>
      <c r="L157" s="747">
        <f t="shared" ca="1" si="62"/>
        <v>0</v>
      </c>
      <c r="M157" s="747">
        <v>39</v>
      </c>
      <c r="N157" s="747">
        <f t="shared" ca="1" si="22"/>
        <v>0</v>
      </c>
      <c r="O157" s="747">
        <f t="shared" ca="1" si="23"/>
        <v>0</v>
      </c>
      <c r="P157" s="747">
        <f t="shared" si="24"/>
        <v>0</v>
      </c>
      <c r="Q157" s="748"/>
      <c r="R157" s="747">
        <f t="shared" ca="1" si="25"/>
        <v>0</v>
      </c>
      <c r="S157" s="747">
        <v>39</v>
      </c>
      <c r="T157" s="747">
        <f t="shared" ca="1" si="26"/>
        <v>0</v>
      </c>
      <c r="U157" s="747">
        <f t="shared" ca="1" si="27"/>
        <v>0</v>
      </c>
      <c r="V157" s="747">
        <f t="shared" si="28"/>
        <v>0</v>
      </c>
      <c r="W157" s="749"/>
      <c r="X157" s="747">
        <f t="shared" ca="1" si="29"/>
        <v>0</v>
      </c>
      <c r="Y157" s="747">
        <v>39</v>
      </c>
      <c r="Z157" s="747">
        <f t="shared" ca="1" si="30"/>
        <v>0</v>
      </c>
      <c r="AA157" s="747">
        <f t="shared" ca="1" si="31"/>
        <v>0</v>
      </c>
      <c r="AB157" s="747">
        <f t="shared" si="32"/>
        <v>0</v>
      </c>
      <c r="AC157" s="747"/>
      <c r="AD157" s="747">
        <f t="shared" ca="1" si="33"/>
        <v>0</v>
      </c>
      <c r="AE157" s="747">
        <v>39</v>
      </c>
      <c r="AF157" s="747">
        <f t="shared" ca="1" si="34"/>
        <v>0</v>
      </c>
      <c r="AG157" s="747">
        <f t="shared" ca="1" si="35"/>
        <v>0</v>
      </c>
      <c r="AH157" s="747">
        <f t="shared" si="36"/>
        <v>0</v>
      </c>
      <c r="AI157" s="741"/>
      <c r="AJ157" s="747">
        <f t="shared" ca="1" si="37"/>
        <v>0</v>
      </c>
      <c r="AK157" s="747">
        <v>39</v>
      </c>
      <c r="AL157" s="747">
        <f t="shared" ca="1" si="38"/>
        <v>0</v>
      </c>
      <c r="AM157" s="747">
        <f t="shared" ca="1" si="39"/>
        <v>0</v>
      </c>
      <c r="AN157" s="747">
        <f t="shared" si="40"/>
        <v>0</v>
      </c>
      <c r="AO157" s="741"/>
      <c r="AP157" s="747">
        <f t="shared" ca="1" si="41"/>
        <v>0</v>
      </c>
      <c r="AQ157" s="747">
        <v>39</v>
      </c>
      <c r="AR157" s="747">
        <f t="shared" ca="1" si="42"/>
        <v>0</v>
      </c>
      <c r="AS157" s="747">
        <f t="shared" ca="1" si="43"/>
        <v>0</v>
      </c>
      <c r="AT157" s="747">
        <f t="shared" si="44"/>
        <v>0</v>
      </c>
      <c r="AU157" s="741"/>
      <c r="AV157" s="747">
        <f t="shared" ca="1" si="45"/>
        <v>0</v>
      </c>
      <c r="AW157" s="747">
        <v>39</v>
      </c>
      <c r="AX157" s="747">
        <f t="shared" ca="1" si="46"/>
        <v>0</v>
      </c>
      <c r="AY157" s="747">
        <f t="shared" ca="1" si="47"/>
        <v>0</v>
      </c>
      <c r="AZ157" s="747">
        <f t="shared" si="48"/>
        <v>0</v>
      </c>
      <c r="BA157" s="741"/>
      <c r="BB157" s="747">
        <f t="shared" ca="1" si="49"/>
        <v>0</v>
      </c>
      <c r="BC157" s="747">
        <v>39</v>
      </c>
      <c r="BD157" s="747">
        <f t="shared" si="50"/>
        <v>0</v>
      </c>
      <c r="BE157" s="747">
        <f t="shared" si="51"/>
        <v>0</v>
      </c>
      <c r="BF157" s="747">
        <f t="shared" si="52"/>
        <v>0</v>
      </c>
      <c r="BG157" s="741"/>
      <c r="BH157" s="747">
        <f t="shared" si="53"/>
        <v>0</v>
      </c>
      <c r="BI157" s="747">
        <v>39</v>
      </c>
      <c r="BJ157" s="747">
        <f t="shared" si="54"/>
        <v>0</v>
      </c>
      <c r="BK157" s="747">
        <f t="shared" si="55"/>
        <v>0</v>
      </c>
      <c r="BL157" s="747">
        <f t="shared" si="56"/>
        <v>0</v>
      </c>
      <c r="BM157" s="741"/>
      <c r="BN157" s="747">
        <f t="shared" si="57"/>
        <v>0</v>
      </c>
      <c r="BO157" s="747">
        <v>39</v>
      </c>
      <c r="BP157" s="747">
        <f t="shared" si="58"/>
        <v>0</v>
      </c>
      <c r="BQ157" s="747">
        <f t="shared" si="59"/>
        <v>0</v>
      </c>
      <c r="BR157" s="747">
        <f t="shared" si="60"/>
        <v>0</v>
      </c>
      <c r="BS157" s="741"/>
      <c r="BT157" s="747">
        <f t="shared" si="61"/>
        <v>0</v>
      </c>
      <c r="BU157" s="750"/>
      <c r="BV157" s="750"/>
      <c r="BW157" s="750"/>
      <c r="BX157" s="750"/>
      <c r="BY157" s="750"/>
      <c r="BZ157" s="750"/>
      <c r="CA157" s="750"/>
      <c r="CB157" s="750"/>
      <c r="CC157" s="750"/>
      <c r="CD157" s="750"/>
      <c r="CE157" s="750"/>
      <c r="CF157" s="750"/>
      <c r="CG157" s="750"/>
      <c r="CH157" s="750"/>
      <c r="CI157" s="750"/>
      <c r="CJ157" s="750"/>
      <c r="CK157" s="750"/>
      <c r="CL157" s="750"/>
      <c r="CM157" s="750"/>
      <c r="CN157" s="750"/>
    </row>
    <row r="158" spans="1:92" ht="15" customHeight="1">
      <c r="A158" s="737">
        <v>40</v>
      </c>
      <c r="B158" s="737">
        <f t="shared" ca="1" si="69"/>
        <v>0</v>
      </c>
      <c r="C158" s="737">
        <f t="shared" ca="1" si="69"/>
        <v>0</v>
      </c>
      <c r="D158" s="737">
        <f t="shared" si="69"/>
        <v>0</v>
      </c>
      <c r="E158" s="737">
        <f t="shared" si="69"/>
        <v>0</v>
      </c>
      <c r="F158" s="737">
        <f t="shared" ca="1" si="69"/>
        <v>0</v>
      </c>
      <c r="G158" s="747">
        <v>40</v>
      </c>
      <c r="H158" s="747">
        <f t="shared" ca="1" si="19"/>
        <v>0</v>
      </c>
      <c r="I158" s="747">
        <f t="shared" ca="1" si="20"/>
        <v>0</v>
      </c>
      <c r="J158" s="747">
        <f t="shared" si="21"/>
        <v>0</v>
      </c>
      <c r="K158" s="747"/>
      <c r="L158" s="747">
        <f t="shared" ca="1" si="62"/>
        <v>0</v>
      </c>
      <c r="M158" s="747">
        <v>40</v>
      </c>
      <c r="N158" s="747">
        <f t="shared" ca="1" si="22"/>
        <v>0</v>
      </c>
      <c r="O158" s="747">
        <f t="shared" ca="1" si="23"/>
        <v>0</v>
      </c>
      <c r="P158" s="747">
        <f t="shared" si="24"/>
        <v>0</v>
      </c>
      <c r="Q158" s="748"/>
      <c r="R158" s="747">
        <f t="shared" ca="1" si="25"/>
        <v>0</v>
      </c>
      <c r="S158" s="747">
        <v>40</v>
      </c>
      <c r="T158" s="747">
        <f t="shared" ca="1" si="26"/>
        <v>0</v>
      </c>
      <c r="U158" s="747">
        <f t="shared" ca="1" si="27"/>
        <v>0</v>
      </c>
      <c r="V158" s="747">
        <f t="shared" si="28"/>
        <v>0</v>
      </c>
      <c r="W158" s="749"/>
      <c r="X158" s="747">
        <f t="shared" ca="1" si="29"/>
        <v>0</v>
      </c>
      <c r="Y158" s="747">
        <v>40</v>
      </c>
      <c r="Z158" s="747">
        <f t="shared" ca="1" si="30"/>
        <v>0</v>
      </c>
      <c r="AA158" s="747">
        <f t="shared" ca="1" si="31"/>
        <v>0</v>
      </c>
      <c r="AB158" s="747">
        <f t="shared" si="32"/>
        <v>0</v>
      </c>
      <c r="AC158" s="747"/>
      <c r="AD158" s="747">
        <f t="shared" ca="1" si="33"/>
        <v>0</v>
      </c>
      <c r="AE158" s="747">
        <v>40</v>
      </c>
      <c r="AF158" s="747">
        <f t="shared" ca="1" si="34"/>
        <v>0</v>
      </c>
      <c r="AG158" s="747">
        <f t="shared" ca="1" si="35"/>
        <v>0</v>
      </c>
      <c r="AH158" s="747">
        <f t="shared" si="36"/>
        <v>0</v>
      </c>
      <c r="AI158" s="741"/>
      <c r="AJ158" s="747">
        <f t="shared" ca="1" si="37"/>
        <v>0</v>
      </c>
      <c r="AK158" s="747">
        <v>40</v>
      </c>
      <c r="AL158" s="747">
        <f t="shared" ca="1" si="38"/>
        <v>0</v>
      </c>
      <c r="AM158" s="747">
        <f t="shared" ca="1" si="39"/>
        <v>0</v>
      </c>
      <c r="AN158" s="747">
        <f t="shared" si="40"/>
        <v>0</v>
      </c>
      <c r="AO158" s="741"/>
      <c r="AP158" s="747">
        <f t="shared" ca="1" si="41"/>
        <v>0</v>
      </c>
      <c r="AQ158" s="747">
        <v>40</v>
      </c>
      <c r="AR158" s="747">
        <f t="shared" ca="1" si="42"/>
        <v>0</v>
      </c>
      <c r="AS158" s="747">
        <f t="shared" ca="1" si="43"/>
        <v>0</v>
      </c>
      <c r="AT158" s="747">
        <f t="shared" si="44"/>
        <v>0</v>
      </c>
      <c r="AU158" s="741"/>
      <c r="AV158" s="747">
        <f t="shared" ca="1" si="45"/>
        <v>0</v>
      </c>
      <c r="AW158" s="747">
        <v>40</v>
      </c>
      <c r="AX158" s="747">
        <f t="shared" ca="1" si="46"/>
        <v>0</v>
      </c>
      <c r="AY158" s="747">
        <f t="shared" ca="1" si="47"/>
        <v>0</v>
      </c>
      <c r="AZ158" s="747">
        <f t="shared" si="48"/>
        <v>0</v>
      </c>
      <c r="BA158" s="741"/>
      <c r="BB158" s="747">
        <f t="shared" ca="1" si="49"/>
        <v>0</v>
      </c>
      <c r="BC158" s="747">
        <v>40</v>
      </c>
      <c r="BD158" s="747">
        <f t="shared" si="50"/>
        <v>0</v>
      </c>
      <c r="BE158" s="747">
        <f t="shared" si="51"/>
        <v>0</v>
      </c>
      <c r="BF158" s="747">
        <f t="shared" si="52"/>
        <v>0</v>
      </c>
      <c r="BG158" s="741"/>
      <c r="BH158" s="747">
        <f t="shared" si="53"/>
        <v>0</v>
      </c>
      <c r="BI158" s="747">
        <v>40</v>
      </c>
      <c r="BJ158" s="747">
        <f t="shared" si="54"/>
        <v>0</v>
      </c>
      <c r="BK158" s="747">
        <f t="shared" si="55"/>
        <v>0</v>
      </c>
      <c r="BL158" s="747">
        <f t="shared" si="56"/>
        <v>0</v>
      </c>
      <c r="BM158" s="741"/>
      <c r="BN158" s="747">
        <f t="shared" si="57"/>
        <v>0</v>
      </c>
      <c r="BO158" s="747">
        <v>40</v>
      </c>
      <c r="BP158" s="747">
        <f t="shared" si="58"/>
        <v>0</v>
      </c>
      <c r="BQ158" s="747">
        <f t="shared" si="59"/>
        <v>0</v>
      </c>
      <c r="BR158" s="747">
        <f t="shared" si="60"/>
        <v>0</v>
      </c>
      <c r="BS158" s="741"/>
      <c r="BT158" s="747">
        <f t="shared" si="61"/>
        <v>0</v>
      </c>
      <c r="BU158" s="750"/>
      <c r="BV158" s="750"/>
      <c r="BW158" s="750"/>
      <c r="BX158" s="750"/>
      <c r="BY158" s="750"/>
      <c r="BZ158" s="750"/>
      <c r="CA158" s="750"/>
      <c r="CB158" s="750"/>
      <c r="CC158" s="750"/>
      <c r="CD158" s="750"/>
      <c r="CE158" s="750"/>
      <c r="CF158" s="750"/>
      <c r="CG158" s="750"/>
      <c r="CH158" s="750"/>
      <c r="CI158" s="750"/>
      <c r="CJ158" s="750"/>
      <c r="CK158" s="750"/>
      <c r="CL158" s="750"/>
      <c r="CM158" s="750"/>
      <c r="CN158" s="750"/>
    </row>
    <row r="159" spans="1:92" ht="15" customHeight="1">
      <c r="A159" s="737">
        <v>41</v>
      </c>
      <c r="B159" s="737">
        <f t="shared" ca="1" si="69"/>
        <v>0</v>
      </c>
      <c r="C159" s="737">
        <f t="shared" ca="1" si="69"/>
        <v>0</v>
      </c>
      <c r="D159" s="737">
        <f t="shared" si="69"/>
        <v>0</v>
      </c>
      <c r="E159" s="737">
        <f t="shared" si="69"/>
        <v>0</v>
      </c>
      <c r="F159" s="737">
        <f t="shared" ca="1" si="69"/>
        <v>0</v>
      </c>
      <c r="G159" s="747">
        <v>41</v>
      </c>
      <c r="H159" s="747">
        <f t="shared" ca="1" si="19"/>
        <v>0</v>
      </c>
      <c r="I159" s="747">
        <f t="shared" ca="1" si="20"/>
        <v>0</v>
      </c>
      <c r="J159" s="747">
        <f t="shared" si="21"/>
        <v>0</v>
      </c>
      <c r="K159" s="747"/>
      <c r="L159" s="747">
        <f t="shared" ca="1" si="62"/>
        <v>0</v>
      </c>
      <c r="M159" s="747">
        <v>41</v>
      </c>
      <c r="N159" s="747">
        <f t="shared" ca="1" si="22"/>
        <v>0</v>
      </c>
      <c r="O159" s="747">
        <f t="shared" ca="1" si="23"/>
        <v>0</v>
      </c>
      <c r="P159" s="747">
        <f t="shared" si="24"/>
        <v>0</v>
      </c>
      <c r="Q159" s="748"/>
      <c r="R159" s="747">
        <f t="shared" ca="1" si="25"/>
        <v>0</v>
      </c>
      <c r="S159" s="747">
        <v>41</v>
      </c>
      <c r="T159" s="747">
        <f t="shared" ca="1" si="26"/>
        <v>0</v>
      </c>
      <c r="U159" s="747">
        <f t="shared" ca="1" si="27"/>
        <v>0</v>
      </c>
      <c r="V159" s="747">
        <f t="shared" si="28"/>
        <v>0</v>
      </c>
      <c r="W159" s="749"/>
      <c r="X159" s="747">
        <f t="shared" ca="1" si="29"/>
        <v>0</v>
      </c>
      <c r="Y159" s="747">
        <v>41</v>
      </c>
      <c r="Z159" s="747">
        <f t="shared" ca="1" si="30"/>
        <v>0</v>
      </c>
      <c r="AA159" s="747">
        <f t="shared" ca="1" si="31"/>
        <v>0</v>
      </c>
      <c r="AB159" s="747">
        <f t="shared" si="32"/>
        <v>0</v>
      </c>
      <c r="AC159" s="747"/>
      <c r="AD159" s="747">
        <f t="shared" ca="1" si="33"/>
        <v>0</v>
      </c>
      <c r="AE159" s="747">
        <v>41</v>
      </c>
      <c r="AF159" s="747">
        <f t="shared" ca="1" si="34"/>
        <v>0</v>
      </c>
      <c r="AG159" s="747">
        <f t="shared" ca="1" si="35"/>
        <v>0</v>
      </c>
      <c r="AH159" s="747">
        <f t="shared" si="36"/>
        <v>0</v>
      </c>
      <c r="AI159" s="741"/>
      <c r="AJ159" s="747">
        <f t="shared" ca="1" si="37"/>
        <v>0</v>
      </c>
      <c r="AK159" s="747">
        <v>41</v>
      </c>
      <c r="AL159" s="747">
        <f t="shared" ca="1" si="38"/>
        <v>0</v>
      </c>
      <c r="AM159" s="747">
        <f t="shared" ca="1" si="39"/>
        <v>0</v>
      </c>
      <c r="AN159" s="747">
        <f t="shared" si="40"/>
        <v>0</v>
      </c>
      <c r="AO159" s="741"/>
      <c r="AP159" s="747">
        <f t="shared" ca="1" si="41"/>
        <v>0</v>
      </c>
      <c r="AQ159" s="747">
        <v>41</v>
      </c>
      <c r="AR159" s="747">
        <f t="shared" ca="1" si="42"/>
        <v>0</v>
      </c>
      <c r="AS159" s="747">
        <f t="shared" ca="1" si="43"/>
        <v>0</v>
      </c>
      <c r="AT159" s="747">
        <f t="shared" si="44"/>
        <v>0</v>
      </c>
      <c r="AU159" s="741"/>
      <c r="AV159" s="747">
        <f t="shared" ca="1" si="45"/>
        <v>0</v>
      </c>
      <c r="AW159" s="747">
        <v>41</v>
      </c>
      <c r="AX159" s="747">
        <f t="shared" ca="1" si="46"/>
        <v>0</v>
      </c>
      <c r="AY159" s="747">
        <f t="shared" ca="1" si="47"/>
        <v>0</v>
      </c>
      <c r="AZ159" s="747">
        <f t="shared" si="48"/>
        <v>0</v>
      </c>
      <c r="BA159" s="741"/>
      <c r="BB159" s="747">
        <f t="shared" ca="1" si="49"/>
        <v>0</v>
      </c>
      <c r="BC159" s="747">
        <v>41</v>
      </c>
      <c r="BD159" s="747">
        <f t="shared" si="50"/>
        <v>0</v>
      </c>
      <c r="BE159" s="747">
        <f t="shared" si="51"/>
        <v>0</v>
      </c>
      <c r="BF159" s="747">
        <f t="shared" si="52"/>
        <v>0</v>
      </c>
      <c r="BG159" s="741"/>
      <c r="BH159" s="747">
        <f t="shared" si="53"/>
        <v>0</v>
      </c>
      <c r="BI159" s="747">
        <v>41</v>
      </c>
      <c r="BJ159" s="747">
        <f t="shared" si="54"/>
        <v>0</v>
      </c>
      <c r="BK159" s="747">
        <f t="shared" si="55"/>
        <v>0</v>
      </c>
      <c r="BL159" s="747">
        <f t="shared" si="56"/>
        <v>0</v>
      </c>
      <c r="BM159" s="741"/>
      <c r="BN159" s="747">
        <f t="shared" si="57"/>
        <v>0</v>
      </c>
      <c r="BO159" s="747">
        <v>41</v>
      </c>
      <c r="BP159" s="747">
        <f t="shared" si="58"/>
        <v>0</v>
      </c>
      <c r="BQ159" s="747">
        <f t="shared" si="59"/>
        <v>0</v>
      </c>
      <c r="BR159" s="747">
        <f t="shared" si="60"/>
        <v>0</v>
      </c>
      <c r="BS159" s="741"/>
      <c r="BT159" s="747">
        <f t="shared" si="61"/>
        <v>0</v>
      </c>
      <c r="BU159" s="750"/>
      <c r="BV159" s="750"/>
      <c r="BW159" s="750"/>
      <c r="BX159" s="750"/>
      <c r="BY159" s="750"/>
      <c r="BZ159" s="750"/>
      <c r="CA159" s="750"/>
      <c r="CB159" s="750"/>
      <c r="CC159" s="750"/>
      <c r="CD159" s="750"/>
      <c r="CE159" s="750"/>
      <c r="CF159" s="750"/>
      <c r="CG159" s="750"/>
      <c r="CH159" s="750"/>
      <c r="CI159" s="750"/>
      <c r="CJ159" s="750"/>
      <c r="CK159" s="750"/>
      <c r="CL159" s="750"/>
      <c r="CM159" s="750"/>
      <c r="CN159" s="750"/>
    </row>
    <row r="160" spans="1:92" ht="15" customHeight="1">
      <c r="A160" s="737">
        <v>42</v>
      </c>
      <c r="B160" s="737">
        <f t="shared" ca="1" si="69"/>
        <v>0</v>
      </c>
      <c r="C160" s="737">
        <f t="shared" ca="1" si="69"/>
        <v>0</v>
      </c>
      <c r="D160" s="737">
        <f t="shared" si="69"/>
        <v>0</v>
      </c>
      <c r="E160" s="737">
        <f t="shared" si="69"/>
        <v>0</v>
      </c>
      <c r="F160" s="737">
        <f t="shared" ca="1" si="69"/>
        <v>0</v>
      </c>
      <c r="G160" s="747">
        <v>42</v>
      </c>
      <c r="H160" s="747">
        <f t="shared" ca="1" si="19"/>
        <v>0</v>
      </c>
      <c r="I160" s="747">
        <f t="shared" ca="1" si="20"/>
        <v>0</v>
      </c>
      <c r="J160" s="747">
        <f t="shared" si="21"/>
        <v>0</v>
      </c>
      <c r="K160" s="747"/>
      <c r="L160" s="747">
        <f t="shared" ca="1" si="62"/>
        <v>0</v>
      </c>
      <c r="M160" s="747">
        <v>42</v>
      </c>
      <c r="N160" s="747">
        <f t="shared" ca="1" si="22"/>
        <v>0</v>
      </c>
      <c r="O160" s="747">
        <f t="shared" ca="1" si="23"/>
        <v>0</v>
      </c>
      <c r="P160" s="747">
        <f t="shared" si="24"/>
        <v>0</v>
      </c>
      <c r="Q160" s="748"/>
      <c r="R160" s="747">
        <f t="shared" ca="1" si="25"/>
        <v>0</v>
      </c>
      <c r="S160" s="747">
        <v>42</v>
      </c>
      <c r="T160" s="747">
        <f t="shared" ca="1" si="26"/>
        <v>0</v>
      </c>
      <c r="U160" s="747">
        <f t="shared" ca="1" si="27"/>
        <v>0</v>
      </c>
      <c r="V160" s="747">
        <f t="shared" si="28"/>
        <v>0</v>
      </c>
      <c r="W160" s="749"/>
      <c r="X160" s="747">
        <f t="shared" ca="1" si="29"/>
        <v>0</v>
      </c>
      <c r="Y160" s="747">
        <v>42</v>
      </c>
      <c r="Z160" s="747">
        <f t="shared" ca="1" si="30"/>
        <v>0</v>
      </c>
      <c r="AA160" s="747">
        <f t="shared" ca="1" si="31"/>
        <v>0</v>
      </c>
      <c r="AB160" s="747">
        <f t="shared" si="32"/>
        <v>0</v>
      </c>
      <c r="AC160" s="747"/>
      <c r="AD160" s="747">
        <f t="shared" ca="1" si="33"/>
        <v>0</v>
      </c>
      <c r="AE160" s="747">
        <v>42</v>
      </c>
      <c r="AF160" s="747">
        <f t="shared" ca="1" si="34"/>
        <v>0</v>
      </c>
      <c r="AG160" s="747">
        <f t="shared" ca="1" si="35"/>
        <v>0</v>
      </c>
      <c r="AH160" s="747">
        <f t="shared" si="36"/>
        <v>0</v>
      </c>
      <c r="AI160" s="741"/>
      <c r="AJ160" s="747">
        <f t="shared" ca="1" si="37"/>
        <v>0</v>
      </c>
      <c r="AK160" s="747">
        <v>42</v>
      </c>
      <c r="AL160" s="747">
        <f t="shared" ca="1" si="38"/>
        <v>0</v>
      </c>
      <c r="AM160" s="747">
        <f t="shared" ca="1" si="39"/>
        <v>0</v>
      </c>
      <c r="AN160" s="747">
        <f t="shared" si="40"/>
        <v>0</v>
      </c>
      <c r="AO160" s="741"/>
      <c r="AP160" s="747">
        <f t="shared" ca="1" si="41"/>
        <v>0</v>
      </c>
      <c r="AQ160" s="747">
        <v>42</v>
      </c>
      <c r="AR160" s="747">
        <f t="shared" ca="1" si="42"/>
        <v>0</v>
      </c>
      <c r="AS160" s="747">
        <f t="shared" ca="1" si="43"/>
        <v>0</v>
      </c>
      <c r="AT160" s="747">
        <f t="shared" si="44"/>
        <v>0</v>
      </c>
      <c r="AU160" s="741"/>
      <c r="AV160" s="747">
        <f t="shared" ca="1" si="45"/>
        <v>0</v>
      </c>
      <c r="AW160" s="747">
        <v>42</v>
      </c>
      <c r="AX160" s="747">
        <f t="shared" ca="1" si="46"/>
        <v>0</v>
      </c>
      <c r="AY160" s="747">
        <f t="shared" ca="1" si="47"/>
        <v>0</v>
      </c>
      <c r="AZ160" s="747">
        <f t="shared" si="48"/>
        <v>0</v>
      </c>
      <c r="BA160" s="741"/>
      <c r="BB160" s="747">
        <f t="shared" ca="1" si="49"/>
        <v>0</v>
      </c>
      <c r="BC160" s="747">
        <v>42</v>
      </c>
      <c r="BD160" s="747">
        <f t="shared" si="50"/>
        <v>0</v>
      </c>
      <c r="BE160" s="747">
        <f t="shared" si="51"/>
        <v>0</v>
      </c>
      <c r="BF160" s="747">
        <f t="shared" si="52"/>
        <v>0</v>
      </c>
      <c r="BG160" s="741"/>
      <c r="BH160" s="747">
        <f t="shared" si="53"/>
        <v>0</v>
      </c>
      <c r="BI160" s="747">
        <v>42</v>
      </c>
      <c r="BJ160" s="747">
        <f t="shared" si="54"/>
        <v>0</v>
      </c>
      <c r="BK160" s="747">
        <f t="shared" si="55"/>
        <v>0</v>
      </c>
      <c r="BL160" s="747">
        <f t="shared" si="56"/>
        <v>0</v>
      </c>
      <c r="BM160" s="741"/>
      <c r="BN160" s="747">
        <f t="shared" si="57"/>
        <v>0</v>
      </c>
      <c r="BO160" s="747">
        <v>42</v>
      </c>
      <c r="BP160" s="747">
        <f t="shared" si="58"/>
        <v>0</v>
      </c>
      <c r="BQ160" s="747">
        <f t="shared" si="59"/>
        <v>0</v>
      </c>
      <c r="BR160" s="747">
        <f t="shared" si="60"/>
        <v>0</v>
      </c>
      <c r="BS160" s="741"/>
      <c r="BT160" s="747">
        <f t="shared" si="61"/>
        <v>0</v>
      </c>
      <c r="BU160" s="750"/>
      <c r="BV160" s="750"/>
      <c r="BW160" s="750"/>
      <c r="BX160" s="750"/>
      <c r="BY160" s="750"/>
      <c r="BZ160" s="750"/>
      <c r="CA160" s="750"/>
      <c r="CB160" s="750"/>
      <c r="CC160" s="750"/>
      <c r="CD160" s="750"/>
      <c r="CE160" s="750"/>
      <c r="CF160" s="750"/>
      <c r="CG160" s="750"/>
      <c r="CH160" s="750"/>
      <c r="CI160" s="750"/>
      <c r="CJ160" s="750"/>
      <c r="CK160" s="750"/>
      <c r="CL160" s="750"/>
      <c r="CM160" s="750"/>
      <c r="CN160" s="750"/>
    </row>
    <row r="161" spans="1:92" ht="15" customHeight="1">
      <c r="A161" s="737">
        <v>43</v>
      </c>
      <c r="B161" s="737">
        <f t="shared" ca="1" si="69"/>
        <v>0</v>
      </c>
      <c r="C161" s="737">
        <f t="shared" ca="1" si="69"/>
        <v>0</v>
      </c>
      <c r="D161" s="737">
        <f t="shared" si="69"/>
        <v>0</v>
      </c>
      <c r="E161" s="737">
        <f t="shared" si="69"/>
        <v>0</v>
      </c>
      <c r="F161" s="737">
        <f t="shared" ca="1" si="69"/>
        <v>0</v>
      </c>
      <c r="G161" s="747">
        <v>43</v>
      </c>
      <c r="H161" s="747">
        <f t="shared" ca="1" si="19"/>
        <v>0</v>
      </c>
      <c r="I161" s="747">
        <f t="shared" ca="1" si="20"/>
        <v>0</v>
      </c>
      <c r="J161" s="747">
        <f t="shared" si="21"/>
        <v>0</v>
      </c>
      <c r="K161" s="747"/>
      <c r="L161" s="747">
        <f t="shared" ca="1" si="62"/>
        <v>0</v>
      </c>
      <c r="M161" s="747">
        <v>43</v>
      </c>
      <c r="N161" s="747">
        <f t="shared" ca="1" si="22"/>
        <v>0</v>
      </c>
      <c r="O161" s="747">
        <f t="shared" ca="1" si="23"/>
        <v>0</v>
      </c>
      <c r="P161" s="747">
        <f t="shared" si="24"/>
        <v>0</v>
      </c>
      <c r="Q161" s="748"/>
      <c r="R161" s="747">
        <f t="shared" ca="1" si="25"/>
        <v>0</v>
      </c>
      <c r="S161" s="747">
        <v>43</v>
      </c>
      <c r="T161" s="747">
        <f t="shared" ca="1" si="26"/>
        <v>0</v>
      </c>
      <c r="U161" s="747">
        <f t="shared" ca="1" si="27"/>
        <v>0</v>
      </c>
      <c r="V161" s="747">
        <f t="shared" si="28"/>
        <v>0</v>
      </c>
      <c r="W161" s="749"/>
      <c r="X161" s="747">
        <f t="shared" ca="1" si="29"/>
        <v>0</v>
      </c>
      <c r="Y161" s="747">
        <v>43</v>
      </c>
      <c r="Z161" s="747">
        <f t="shared" ca="1" si="30"/>
        <v>0</v>
      </c>
      <c r="AA161" s="747">
        <f t="shared" ca="1" si="31"/>
        <v>0</v>
      </c>
      <c r="AB161" s="747">
        <f t="shared" si="32"/>
        <v>0</v>
      </c>
      <c r="AC161" s="747"/>
      <c r="AD161" s="747">
        <f t="shared" ca="1" si="33"/>
        <v>0</v>
      </c>
      <c r="AE161" s="747">
        <v>43</v>
      </c>
      <c r="AF161" s="747">
        <f t="shared" ca="1" si="34"/>
        <v>0</v>
      </c>
      <c r="AG161" s="747">
        <f t="shared" ca="1" si="35"/>
        <v>0</v>
      </c>
      <c r="AH161" s="747">
        <f t="shared" si="36"/>
        <v>0</v>
      </c>
      <c r="AI161" s="741"/>
      <c r="AJ161" s="747">
        <f t="shared" ca="1" si="37"/>
        <v>0</v>
      </c>
      <c r="AK161" s="747">
        <v>43</v>
      </c>
      <c r="AL161" s="747">
        <f t="shared" ca="1" si="38"/>
        <v>0</v>
      </c>
      <c r="AM161" s="747">
        <f t="shared" ca="1" si="39"/>
        <v>0</v>
      </c>
      <c r="AN161" s="747">
        <f t="shared" si="40"/>
        <v>0</v>
      </c>
      <c r="AO161" s="741"/>
      <c r="AP161" s="747">
        <f t="shared" ca="1" si="41"/>
        <v>0</v>
      </c>
      <c r="AQ161" s="747">
        <v>43</v>
      </c>
      <c r="AR161" s="747">
        <f t="shared" ca="1" si="42"/>
        <v>0</v>
      </c>
      <c r="AS161" s="747">
        <f t="shared" ca="1" si="43"/>
        <v>0</v>
      </c>
      <c r="AT161" s="747">
        <f t="shared" si="44"/>
        <v>0</v>
      </c>
      <c r="AU161" s="741"/>
      <c r="AV161" s="747">
        <f t="shared" ca="1" si="45"/>
        <v>0</v>
      </c>
      <c r="AW161" s="747">
        <v>43</v>
      </c>
      <c r="AX161" s="747">
        <f t="shared" ca="1" si="46"/>
        <v>0</v>
      </c>
      <c r="AY161" s="747">
        <f t="shared" ca="1" si="47"/>
        <v>0</v>
      </c>
      <c r="AZ161" s="747">
        <f t="shared" si="48"/>
        <v>0</v>
      </c>
      <c r="BA161" s="741"/>
      <c r="BB161" s="747">
        <f t="shared" ca="1" si="49"/>
        <v>0</v>
      </c>
      <c r="BC161" s="747">
        <v>43</v>
      </c>
      <c r="BD161" s="747">
        <f t="shared" si="50"/>
        <v>0</v>
      </c>
      <c r="BE161" s="747">
        <f t="shared" si="51"/>
        <v>0</v>
      </c>
      <c r="BF161" s="747">
        <f t="shared" si="52"/>
        <v>0</v>
      </c>
      <c r="BG161" s="741"/>
      <c r="BH161" s="747">
        <f t="shared" si="53"/>
        <v>0</v>
      </c>
      <c r="BI161" s="747">
        <v>43</v>
      </c>
      <c r="BJ161" s="747">
        <f t="shared" si="54"/>
        <v>0</v>
      </c>
      <c r="BK161" s="747">
        <f t="shared" si="55"/>
        <v>0</v>
      </c>
      <c r="BL161" s="747">
        <f t="shared" si="56"/>
        <v>0</v>
      </c>
      <c r="BM161" s="741"/>
      <c r="BN161" s="747">
        <f t="shared" si="57"/>
        <v>0</v>
      </c>
      <c r="BO161" s="747">
        <v>43</v>
      </c>
      <c r="BP161" s="747">
        <f t="shared" si="58"/>
        <v>0</v>
      </c>
      <c r="BQ161" s="747">
        <f t="shared" si="59"/>
        <v>0</v>
      </c>
      <c r="BR161" s="747">
        <f t="shared" si="60"/>
        <v>0</v>
      </c>
      <c r="BS161" s="741"/>
      <c r="BT161" s="747">
        <f t="shared" si="61"/>
        <v>0</v>
      </c>
      <c r="BU161" s="750"/>
      <c r="BV161" s="750"/>
      <c r="BW161" s="750"/>
      <c r="BX161" s="750"/>
      <c r="BY161" s="750"/>
      <c r="BZ161" s="750"/>
      <c r="CA161" s="750"/>
      <c r="CB161" s="750"/>
      <c r="CC161" s="750"/>
      <c r="CD161" s="750"/>
      <c r="CE161" s="750"/>
      <c r="CF161" s="750"/>
      <c r="CG161" s="750"/>
      <c r="CH161" s="750"/>
      <c r="CI161" s="750"/>
      <c r="CJ161" s="750"/>
      <c r="CK161" s="750"/>
      <c r="CL161" s="750"/>
      <c r="CM161" s="750"/>
      <c r="CN161" s="750"/>
    </row>
    <row r="162" spans="1:92" ht="15" customHeight="1">
      <c r="A162" s="737">
        <v>44</v>
      </c>
      <c r="B162" s="737">
        <f t="shared" ca="1" si="69"/>
        <v>0</v>
      </c>
      <c r="C162" s="737">
        <f t="shared" ca="1" si="69"/>
        <v>0</v>
      </c>
      <c r="D162" s="737">
        <f t="shared" si="69"/>
        <v>0</v>
      </c>
      <c r="E162" s="737">
        <f t="shared" si="69"/>
        <v>0</v>
      </c>
      <c r="F162" s="737">
        <f t="shared" ca="1" si="69"/>
        <v>0</v>
      </c>
      <c r="G162" s="747">
        <v>44</v>
      </c>
      <c r="H162" s="747">
        <f t="shared" ca="1" si="19"/>
        <v>0</v>
      </c>
      <c r="I162" s="747">
        <f t="shared" ca="1" si="20"/>
        <v>0</v>
      </c>
      <c r="J162" s="747">
        <f t="shared" si="21"/>
        <v>0</v>
      </c>
      <c r="K162" s="747"/>
      <c r="L162" s="747">
        <f t="shared" ca="1" si="62"/>
        <v>0</v>
      </c>
      <c r="M162" s="747">
        <v>44</v>
      </c>
      <c r="N162" s="747">
        <f t="shared" ca="1" si="22"/>
        <v>0</v>
      </c>
      <c r="O162" s="747">
        <f t="shared" ca="1" si="23"/>
        <v>0</v>
      </c>
      <c r="P162" s="747">
        <f t="shared" si="24"/>
        <v>0</v>
      </c>
      <c r="Q162" s="748"/>
      <c r="R162" s="747">
        <f t="shared" ca="1" si="25"/>
        <v>0</v>
      </c>
      <c r="S162" s="747">
        <v>44</v>
      </c>
      <c r="T162" s="747">
        <f t="shared" ca="1" si="26"/>
        <v>0</v>
      </c>
      <c r="U162" s="747">
        <f t="shared" ca="1" si="27"/>
        <v>0</v>
      </c>
      <c r="V162" s="747">
        <f t="shared" si="28"/>
        <v>0</v>
      </c>
      <c r="W162" s="749"/>
      <c r="X162" s="747">
        <f t="shared" ca="1" si="29"/>
        <v>0</v>
      </c>
      <c r="Y162" s="747">
        <v>44</v>
      </c>
      <c r="Z162" s="747">
        <f t="shared" ca="1" si="30"/>
        <v>0</v>
      </c>
      <c r="AA162" s="747">
        <f t="shared" ca="1" si="31"/>
        <v>0</v>
      </c>
      <c r="AB162" s="747">
        <f t="shared" si="32"/>
        <v>0</v>
      </c>
      <c r="AC162" s="747"/>
      <c r="AD162" s="747">
        <f t="shared" ca="1" si="33"/>
        <v>0</v>
      </c>
      <c r="AE162" s="747">
        <v>44</v>
      </c>
      <c r="AF162" s="747">
        <f t="shared" ca="1" si="34"/>
        <v>0</v>
      </c>
      <c r="AG162" s="747">
        <f t="shared" ca="1" si="35"/>
        <v>0</v>
      </c>
      <c r="AH162" s="747">
        <f t="shared" si="36"/>
        <v>0</v>
      </c>
      <c r="AI162" s="741"/>
      <c r="AJ162" s="747">
        <f t="shared" ca="1" si="37"/>
        <v>0</v>
      </c>
      <c r="AK162" s="747">
        <v>44</v>
      </c>
      <c r="AL162" s="747">
        <f t="shared" ca="1" si="38"/>
        <v>0</v>
      </c>
      <c r="AM162" s="747">
        <f t="shared" ca="1" si="39"/>
        <v>0</v>
      </c>
      <c r="AN162" s="747">
        <f t="shared" si="40"/>
        <v>0</v>
      </c>
      <c r="AO162" s="741"/>
      <c r="AP162" s="747">
        <f t="shared" ca="1" si="41"/>
        <v>0</v>
      </c>
      <c r="AQ162" s="747">
        <v>44</v>
      </c>
      <c r="AR162" s="747">
        <f t="shared" ca="1" si="42"/>
        <v>0</v>
      </c>
      <c r="AS162" s="747">
        <f t="shared" ca="1" si="43"/>
        <v>0</v>
      </c>
      <c r="AT162" s="747">
        <f t="shared" si="44"/>
        <v>0</v>
      </c>
      <c r="AU162" s="741"/>
      <c r="AV162" s="747">
        <f t="shared" ca="1" si="45"/>
        <v>0</v>
      </c>
      <c r="AW162" s="747">
        <v>44</v>
      </c>
      <c r="AX162" s="747">
        <f t="shared" ca="1" si="46"/>
        <v>0</v>
      </c>
      <c r="AY162" s="747">
        <f t="shared" ca="1" si="47"/>
        <v>0</v>
      </c>
      <c r="AZ162" s="747">
        <f t="shared" si="48"/>
        <v>0</v>
      </c>
      <c r="BA162" s="741"/>
      <c r="BB162" s="747">
        <f t="shared" ca="1" si="49"/>
        <v>0</v>
      </c>
      <c r="BC162" s="747">
        <v>44</v>
      </c>
      <c r="BD162" s="747">
        <f t="shared" si="50"/>
        <v>0</v>
      </c>
      <c r="BE162" s="747">
        <f t="shared" si="51"/>
        <v>0</v>
      </c>
      <c r="BF162" s="747">
        <f t="shared" si="52"/>
        <v>0</v>
      </c>
      <c r="BG162" s="741"/>
      <c r="BH162" s="747">
        <f t="shared" si="53"/>
        <v>0</v>
      </c>
      <c r="BI162" s="747">
        <v>44</v>
      </c>
      <c r="BJ162" s="747">
        <f t="shared" si="54"/>
        <v>0</v>
      </c>
      <c r="BK162" s="747">
        <f t="shared" si="55"/>
        <v>0</v>
      </c>
      <c r="BL162" s="747">
        <f t="shared" si="56"/>
        <v>0</v>
      </c>
      <c r="BM162" s="741"/>
      <c r="BN162" s="747">
        <f t="shared" si="57"/>
        <v>0</v>
      </c>
      <c r="BO162" s="747">
        <v>44</v>
      </c>
      <c r="BP162" s="747">
        <f t="shared" si="58"/>
        <v>0</v>
      </c>
      <c r="BQ162" s="747">
        <f t="shared" si="59"/>
        <v>0</v>
      </c>
      <c r="BR162" s="747">
        <f t="shared" si="60"/>
        <v>0</v>
      </c>
      <c r="BS162" s="741"/>
      <c r="BT162" s="747">
        <f t="shared" si="61"/>
        <v>0</v>
      </c>
      <c r="BU162" s="750"/>
      <c r="BV162" s="750"/>
      <c r="BW162" s="750"/>
      <c r="BX162" s="750"/>
      <c r="BY162" s="750"/>
      <c r="BZ162" s="750"/>
      <c r="CA162" s="750"/>
      <c r="CB162" s="750"/>
      <c r="CC162" s="750"/>
      <c r="CD162" s="750"/>
      <c r="CE162" s="750"/>
      <c r="CF162" s="750"/>
      <c r="CG162" s="750"/>
      <c r="CH162" s="750"/>
      <c r="CI162" s="750"/>
      <c r="CJ162" s="750"/>
      <c r="CK162" s="750"/>
      <c r="CL162" s="750"/>
      <c r="CM162" s="750"/>
      <c r="CN162" s="750"/>
    </row>
    <row r="163" spans="1:92" ht="15" customHeight="1">
      <c r="A163" s="737">
        <v>45</v>
      </c>
      <c r="B163" s="737">
        <f t="shared" ca="1" si="69"/>
        <v>0</v>
      </c>
      <c r="C163" s="737">
        <f t="shared" ca="1" si="69"/>
        <v>0</v>
      </c>
      <c r="D163" s="737">
        <f t="shared" si="69"/>
        <v>0</v>
      </c>
      <c r="E163" s="737">
        <f t="shared" si="69"/>
        <v>0</v>
      </c>
      <c r="F163" s="737">
        <f t="shared" ca="1" si="69"/>
        <v>0</v>
      </c>
      <c r="G163" s="747">
        <v>45</v>
      </c>
      <c r="H163" s="747">
        <f t="shared" ca="1" si="19"/>
        <v>0</v>
      </c>
      <c r="I163" s="747">
        <f t="shared" ca="1" si="20"/>
        <v>0</v>
      </c>
      <c r="J163" s="747">
        <f t="shared" si="21"/>
        <v>0</v>
      </c>
      <c r="K163" s="747"/>
      <c r="L163" s="747">
        <f t="shared" ca="1" si="62"/>
        <v>0</v>
      </c>
      <c r="M163" s="747">
        <v>45</v>
      </c>
      <c r="N163" s="747">
        <f t="shared" ca="1" si="22"/>
        <v>0</v>
      </c>
      <c r="O163" s="747">
        <f t="shared" ca="1" si="23"/>
        <v>0</v>
      </c>
      <c r="P163" s="747">
        <f t="shared" si="24"/>
        <v>0</v>
      </c>
      <c r="Q163" s="748"/>
      <c r="R163" s="747">
        <f t="shared" ca="1" si="25"/>
        <v>0</v>
      </c>
      <c r="S163" s="747">
        <v>45</v>
      </c>
      <c r="T163" s="747">
        <f t="shared" ca="1" si="26"/>
        <v>0</v>
      </c>
      <c r="U163" s="747">
        <f t="shared" ca="1" si="27"/>
        <v>0</v>
      </c>
      <c r="V163" s="747">
        <f t="shared" si="28"/>
        <v>0</v>
      </c>
      <c r="W163" s="749"/>
      <c r="X163" s="747">
        <f t="shared" ca="1" si="29"/>
        <v>0</v>
      </c>
      <c r="Y163" s="747">
        <v>45</v>
      </c>
      <c r="Z163" s="747">
        <f t="shared" ca="1" si="30"/>
        <v>0</v>
      </c>
      <c r="AA163" s="747">
        <f t="shared" ca="1" si="31"/>
        <v>0</v>
      </c>
      <c r="AB163" s="747">
        <f t="shared" si="32"/>
        <v>0</v>
      </c>
      <c r="AC163" s="747"/>
      <c r="AD163" s="747">
        <f t="shared" ca="1" si="33"/>
        <v>0</v>
      </c>
      <c r="AE163" s="747">
        <v>45</v>
      </c>
      <c r="AF163" s="747">
        <f t="shared" ca="1" si="34"/>
        <v>0</v>
      </c>
      <c r="AG163" s="747">
        <f t="shared" ca="1" si="35"/>
        <v>0</v>
      </c>
      <c r="AH163" s="747">
        <f t="shared" si="36"/>
        <v>0</v>
      </c>
      <c r="AI163" s="741"/>
      <c r="AJ163" s="747">
        <f t="shared" ca="1" si="37"/>
        <v>0</v>
      </c>
      <c r="AK163" s="747">
        <v>45</v>
      </c>
      <c r="AL163" s="747">
        <f t="shared" ca="1" si="38"/>
        <v>0</v>
      </c>
      <c r="AM163" s="747">
        <f t="shared" ca="1" si="39"/>
        <v>0</v>
      </c>
      <c r="AN163" s="747">
        <f t="shared" si="40"/>
        <v>0</v>
      </c>
      <c r="AO163" s="741"/>
      <c r="AP163" s="747">
        <f t="shared" ca="1" si="41"/>
        <v>0</v>
      </c>
      <c r="AQ163" s="747">
        <v>45</v>
      </c>
      <c r="AR163" s="747">
        <f t="shared" ca="1" si="42"/>
        <v>0</v>
      </c>
      <c r="AS163" s="747">
        <f t="shared" ca="1" si="43"/>
        <v>0</v>
      </c>
      <c r="AT163" s="747">
        <f t="shared" si="44"/>
        <v>0</v>
      </c>
      <c r="AU163" s="741"/>
      <c r="AV163" s="747">
        <f t="shared" ca="1" si="45"/>
        <v>0</v>
      </c>
      <c r="AW163" s="747">
        <v>45</v>
      </c>
      <c r="AX163" s="747">
        <f t="shared" ca="1" si="46"/>
        <v>0</v>
      </c>
      <c r="AY163" s="747">
        <f t="shared" ca="1" si="47"/>
        <v>0</v>
      </c>
      <c r="AZ163" s="747">
        <f t="shared" si="48"/>
        <v>0</v>
      </c>
      <c r="BA163" s="741"/>
      <c r="BB163" s="747">
        <f t="shared" ca="1" si="49"/>
        <v>0</v>
      </c>
      <c r="BC163" s="747">
        <v>45</v>
      </c>
      <c r="BD163" s="747">
        <f t="shared" si="50"/>
        <v>0</v>
      </c>
      <c r="BE163" s="747">
        <f t="shared" si="51"/>
        <v>0</v>
      </c>
      <c r="BF163" s="747">
        <f t="shared" si="52"/>
        <v>0</v>
      </c>
      <c r="BG163" s="741"/>
      <c r="BH163" s="747">
        <f t="shared" si="53"/>
        <v>0</v>
      </c>
      <c r="BI163" s="747">
        <v>45</v>
      </c>
      <c r="BJ163" s="747">
        <f t="shared" si="54"/>
        <v>0</v>
      </c>
      <c r="BK163" s="747">
        <f t="shared" si="55"/>
        <v>0</v>
      </c>
      <c r="BL163" s="747">
        <f t="shared" si="56"/>
        <v>0</v>
      </c>
      <c r="BM163" s="741"/>
      <c r="BN163" s="747">
        <f t="shared" si="57"/>
        <v>0</v>
      </c>
      <c r="BO163" s="747">
        <v>45</v>
      </c>
      <c r="BP163" s="747">
        <f t="shared" si="58"/>
        <v>0</v>
      </c>
      <c r="BQ163" s="747">
        <f t="shared" si="59"/>
        <v>0</v>
      </c>
      <c r="BR163" s="747">
        <f t="shared" si="60"/>
        <v>0</v>
      </c>
      <c r="BS163" s="741"/>
      <c r="BT163" s="747">
        <f t="shared" si="61"/>
        <v>0</v>
      </c>
      <c r="BU163" s="750"/>
      <c r="BV163" s="750"/>
      <c r="BW163" s="750"/>
      <c r="BX163" s="750"/>
      <c r="BY163" s="750"/>
      <c r="BZ163" s="750"/>
      <c r="CA163" s="750"/>
      <c r="CB163" s="750"/>
      <c r="CC163" s="750"/>
      <c r="CD163" s="750"/>
      <c r="CE163" s="750"/>
      <c r="CF163" s="750"/>
      <c r="CG163" s="750"/>
      <c r="CH163" s="750"/>
      <c r="CI163" s="750"/>
      <c r="CJ163" s="750"/>
      <c r="CK163" s="750"/>
      <c r="CL163" s="750"/>
      <c r="CM163" s="750"/>
      <c r="CN163" s="750"/>
    </row>
    <row r="164" spans="1:92" ht="15" customHeight="1">
      <c r="A164" s="737">
        <v>46</v>
      </c>
      <c r="B164" s="737">
        <f t="shared" ca="1" si="69"/>
        <v>0</v>
      </c>
      <c r="C164" s="737">
        <f t="shared" ca="1" si="69"/>
        <v>0</v>
      </c>
      <c r="D164" s="737">
        <f t="shared" si="69"/>
        <v>0</v>
      </c>
      <c r="E164" s="737">
        <f t="shared" si="69"/>
        <v>0</v>
      </c>
      <c r="F164" s="737">
        <f t="shared" ca="1" si="69"/>
        <v>0</v>
      </c>
      <c r="G164" s="747">
        <v>46</v>
      </c>
      <c r="H164" s="747">
        <f t="shared" ca="1" si="19"/>
        <v>0</v>
      </c>
      <c r="I164" s="747">
        <f t="shared" ca="1" si="20"/>
        <v>0</v>
      </c>
      <c r="J164" s="747">
        <f t="shared" si="21"/>
        <v>0</v>
      </c>
      <c r="K164" s="747"/>
      <c r="L164" s="747">
        <f t="shared" ca="1" si="62"/>
        <v>0</v>
      </c>
      <c r="M164" s="747">
        <v>46</v>
      </c>
      <c r="N164" s="747">
        <f t="shared" ca="1" si="22"/>
        <v>0</v>
      </c>
      <c r="O164" s="747">
        <f t="shared" ca="1" si="23"/>
        <v>0</v>
      </c>
      <c r="P164" s="747">
        <f t="shared" si="24"/>
        <v>0</v>
      </c>
      <c r="Q164" s="748"/>
      <c r="R164" s="747">
        <f t="shared" ca="1" si="25"/>
        <v>0</v>
      </c>
      <c r="S164" s="747">
        <v>46</v>
      </c>
      <c r="T164" s="747">
        <f t="shared" ca="1" si="26"/>
        <v>0</v>
      </c>
      <c r="U164" s="747">
        <f t="shared" ca="1" si="27"/>
        <v>0</v>
      </c>
      <c r="V164" s="747">
        <f t="shared" si="28"/>
        <v>0</v>
      </c>
      <c r="W164" s="749"/>
      <c r="X164" s="747">
        <f t="shared" ca="1" si="29"/>
        <v>0</v>
      </c>
      <c r="Y164" s="747">
        <v>46</v>
      </c>
      <c r="Z164" s="747">
        <f t="shared" ca="1" si="30"/>
        <v>0</v>
      </c>
      <c r="AA164" s="747">
        <f t="shared" ca="1" si="31"/>
        <v>0</v>
      </c>
      <c r="AB164" s="747">
        <f t="shared" si="32"/>
        <v>0</v>
      </c>
      <c r="AC164" s="747"/>
      <c r="AD164" s="747">
        <f t="shared" ca="1" si="33"/>
        <v>0</v>
      </c>
      <c r="AE164" s="747">
        <v>46</v>
      </c>
      <c r="AF164" s="747">
        <f t="shared" ca="1" si="34"/>
        <v>0</v>
      </c>
      <c r="AG164" s="747">
        <f t="shared" ca="1" si="35"/>
        <v>0</v>
      </c>
      <c r="AH164" s="747">
        <f t="shared" si="36"/>
        <v>0</v>
      </c>
      <c r="AI164" s="741"/>
      <c r="AJ164" s="747">
        <f t="shared" ca="1" si="37"/>
        <v>0</v>
      </c>
      <c r="AK164" s="747">
        <v>46</v>
      </c>
      <c r="AL164" s="747">
        <f t="shared" ca="1" si="38"/>
        <v>0</v>
      </c>
      <c r="AM164" s="747">
        <f t="shared" ca="1" si="39"/>
        <v>0</v>
      </c>
      <c r="AN164" s="747">
        <f t="shared" si="40"/>
        <v>0</v>
      </c>
      <c r="AO164" s="741"/>
      <c r="AP164" s="747">
        <f t="shared" ca="1" si="41"/>
        <v>0</v>
      </c>
      <c r="AQ164" s="747">
        <v>46</v>
      </c>
      <c r="AR164" s="747">
        <f t="shared" ca="1" si="42"/>
        <v>0</v>
      </c>
      <c r="AS164" s="747">
        <f t="shared" ca="1" si="43"/>
        <v>0</v>
      </c>
      <c r="AT164" s="747">
        <f t="shared" si="44"/>
        <v>0</v>
      </c>
      <c r="AU164" s="741"/>
      <c r="AV164" s="747">
        <f t="shared" ca="1" si="45"/>
        <v>0</v>
      </c>
      <c r="AW164" s="747">
        <v>46</v>
      </c>
      <c r="AX164" s="747">
        <f t="shared" ca="1" si="46"/>
        <v>0</v>
      </c>
      <c r="AY164" s="747">
        <f t="shared" ca="1" si="47"/>
        <v>0</v>
      </c>
      <c r="AZ164" s="747">
        <f t="shared" si="48"/>
        <v>0</v>
      </c>
      <c r="BA164" s="741"/>
      <c r="BB164" s="747">
        <f t="shared" ca="1" si="49"/>
        <v>0</v>
      </c>
      <c r="BC164" s="747">
        <v>46</v>
      </c>
      <c r="BD164" s="747">
        <f t="shared" si="50"/>
        <v>0</v>
      </c>
      <c r="BE164" s="747">
        <f t="shared" si="51"/>
        <v>0</v>
      </c>
      <c r="BF164" s="747">
        <f t="shared" si="52"/>
        <v>0</v>
      </c>
      <c r="BG164" s="741"/>
      <c r="BH164" s="747">
        <f t="shared" si="53"/>
        <v>0</v>
      </c>
      <c r="BI164" s="747">
        <v>46</v>
      </c>
      <c r="BJ164" s="747">
        <f t="shared" si="54"/>
        <v>0</v>
      </c>
      <c r="BK164" s="747">
        <f t="shared" si="55"/>
        <v>0</v>
      </c>
      <c r="BL164" s="747">
        <f t="shared" si="56"/>
        <v>0</v>
      </c>
      <c r="BM164" s="741"/>
      <c r="BN164" s="747">
        <f t="shared" si="57"/>
        <v>0</v>
      </c>
      <c r="BO164" s="747">
        <v>46</v>
      </c>
      <c r="BP164" s="747">
        <f t="shared" si="58"/>
        <v>0</v>
      </c>
      <c r="BQ164" s="747">
        <f t="shared" si="59"/>
        <v>0</v>
      </c>
      <c r="BR164" s="747">
        <f t="shared" si="60"/>
        <v>0</v>
      </c>
      <c r="BS164" s="741"/>
      <c r="BT164" s="747">
        <f t="shared" si="61"/>
        <v>0</v>
      </c>
      <c r="BU164" s="750"/>
      <c r="BV164" s="750"/>
      <c r="BW164" s="750"/>
      <c r="BX164" s="750"/>
      <c r="BY164" s="750"/>
      <c r="BZ164" s="750"/>
      <c r="CA164" s="750"/>
      <c r="CB164" s="750"/>
      <c r="CC164" s="750"/>
      <c r="CD164" s="750"/>
      <c r="CE164" s="750"/>
      <c r="CF164" s="750"/>
      <c r="CG164" s="750"/>
      <c r="CH164" s="750"/>
      <c r="CI164" s="750"/>
      <c r="CJ164" s="750"/>
      <c r="CK164" s="750"/>
      <c r="CL164" s="750"/>
      <c r="CM164" s="750"/>
      <c r="CN164" s="750"/>
    </row>
    <row r="165" spans="1:92" ht="15" customHeight="1">
      <c r="A165" s="737">
        <v>47</v>
      </c>
      <c r="B165" s="737">
        <f t="shared" ca="1" si="69"/>
        <v>0</v>
      </c>
      <c r="C165" s="737">
        <f t="shared" ca="1" si="69"/>
        <v>0</v>
      </c>
      <c r="D165" s="737">
        <f t="shared" si="69"/>
        <v>0</v>
      </c>
      <c r="E165" s="737">
        <f t="shared" si="69"/>
        <v>0</v>
      </c>
      <c r="F165" s="737">
        <f t="shared" ca="1" si="69"/>
        <v>0</v>
      </c>
      <c r="G165" s="747">
        <v>47</v>
      </c>
      <c r="H165" s="747">
        <f t="shared" ca="1" si="19"/>
        <v>0</v>
      </c>
      <c r="I165" s="747">
        <f t="shared" ca="1" si="20"/>
        <v>0</v>
      </c>
      <c r="J165" s="747">
        <f t="shared" si="21"/>
        <v>0</v>
      </c>
      <c r="K165" s="747"/>
      <c r="L165" s="747">
        <f t="shared" ca="1" si="62"/>
        <v>0</v>
      </c>
      <c r="M165" s="747">
        <v>47</v>
      </c>
      <c r="N165" s="747">
        <f t="shared" ca="1" si="22"/>
        <v>0</v>
      </c>
      <c r="O165" s="747">
        <f t="shared" ca="1" si="23"/>
        <v>0</v>
      </c>
      <c r="P165" s="747">
        <f t="shared" si="24"/>
        <v>0</v>
      </c>
      <c r="Q165" s="748"/>
      <c r="R165" s="747">
        <f t="shared" ca="1" si="25"/>
        <v>0</v>
      </c>
      <c r="S165" s="747">
        <v>47</v>
      </c>
      <c r="T165" s="747">
        <f t="shared" ca="1" si="26"/>
        <v>0</v>
      </c>
      <c r="U165" s="747">
        <f t="shared" ca="1" si="27"/>
        <v>0</v>
      </c>
      <c r="V165" s="747">
        <f t="shared" si="28"/>
        <v>0</v>
      </c>
      <c r="W165" s="749"/>
      <c r="X165" s="747">
        <f t="shared" ca="1" si="29"/>
        <v>0</v>
      </c>
      <c r="Y165" s="747">
        <v>47</v>
      </c>
      <c r="Z165" s="747">
        <f t="shared" ca="1" si="30"/>
        <v>0</v>
      </c>
      <c r="AA165" s="747">
        <f t="shared" ca="1" si="31"/>
        <v>0</v>
      </c>
      <c r="AB165" s="747">
        <f t="shared" si="32"/>
        <v>0</v>
      </c>
      <c r="AC165" s="747"/>
      <c r="AD165" s="747">
        <f t="shared" ca="1" si="33"/>
        <v>0</v>
      </c>
      <c r="AE165" s="747">
        <v>47</v>
      </c>
      <c r="AF165" s="747">
        <f t="shared" ca="1" si="34"/>
        <v>0</v>
      </c>
      <c r="AG165" s="747">
        <f t="shared" ca="1" si="35"/>
        <v>0</v>
      </c>
      <c r="AH165" s="747">
        <f t="shared" si="36"/>
        <v>0</v>
      </c>
      <c r="AI165" s="741"/>
      <c r="AJ165" s="747">
        <f t="shared" ca="1" si="37"/>
        <v>0</v>
      </c>
      <c r="AK165" s="747">
        <v>47</v>
      </c>
      <c r="AL165" s="747">
        <f t="shared" ca="1" si="38"/>
        <v>0</v>
      </c>
      <c r="AM165" s="747">
        <f t="shared" ca="1" si="39"/>
        <v>0</v>
      </c>
      <c r="AN165" s="747">
        <f t="shared" si="40"/>
        <v>0</v>
      </c>
      <c r="AO165" s="741"/>
      <c r="AP165" s="747">
        <f t="shared" ca="1" si="41"/>
        <v>0</v>
      </c>
      <c r="AQ165" s="747">
        <v>47</v>
      </c>
      <c r="AR165" s="747">
        <f t="shared" ca="1" si="42"/>
        <v>0</v>
      </c>
      <c r="AS165" s="747">
        <f t="shared" ca="1" si="43"/>
        <v>0</v>
      </c>
      <c r="AT165" s="747">
        <f t="shared" si="44"/>
        <v>0</v>
      </c>
      <c r="AU165" s="741"/>
      <c r="AV165" s="747">
        <f t="shared" ca="1" si="45"/>
        <v>0</v>
      </c>
      <c r="AW165" s="747">
        <v>47</v>
      </c>
      <c r="AX165" s="747">
        <f t="shared" ca="1" si="46"/>
        <v>0</v>
      </c>
      <c r="AY165" s="747">
        <f t="shared" ca="1" si="47"/>
        <v>0</v>
      </c>
      <c r="AZ165" s="747">
        <f t="shared" si="48"/>
        <v>0</v>
      </c>
      <c r="BA165" s="741"/>
      <c r="BB165" s="747">
        <f t="shared" ca="1" si="49"/>
        <v>0</v>
      </c>
      <c r="BC165" s="747">
        <v>47</v>
      </c>
      <c r="BD165" s="747">
        <f t="shared" si="50"/>
        <v>0</v>
      </c>
      <c r="BE165" s="747">
        <f t="shared" si="51"/>
        <v>0</v>
      </c>
      <c r="BF165" s="747">
        <f t="shared" si="52"/>
        <v>0</v>
      </c>
      <c r="BG165" s="741"/>
      <c r="BH165" s="747">
        <f t="shared" si="53"/>
        <v>0</v>
      </c>
      <c r="BI165" s="747">
        <v>47</v>
      </c>
      <c r="BJ165" s="747">
        <f t="shared" si="54"/>
        <v>0</v>
      </c>
      <c r="BK165" s="747">
        <f t="shared" si="55"/>
        <v>0</v>
      </c>
      <c r="BL165" s="747">
        <f t="shared" si="56"/>
        <v>0</v>
      </c>
      <c r="BM165" s="741"/>
      <c r="BN165" s="747">
        <f t="shared" si="57"/>
        <v>0</v>
      </c>
      <c r="BO165" s="747">
        <v>47</v>
      </c>
      <c r="BP165" s="747">
        <f t="shared" si="58"/>
        <v>0</v>
      </c>
      <c r="BQ165" s="747">
        <f t="shared" si="59"/>
        <v>0</v>
      </c>
      <c r="BR165" s="747">
        <f t="shared" si="60"/>
        <v>0</v>
      </c>
      <c r="BS165" s="741"/>
      <c r="BT165" s="747">
        <f t="shared" si="61"/>
        <v>0</v>
      </c>
      <c r="BU165" s="750"/>
      <c r="BV165" s="750"/>
      <c r="BW165" s="750"/>
      <c r="BX165" s="750"/>
      <c r="BY165" s="750"/>
      <c r="BZ165" s="750"/>
      <c r="CA165" s="750"/>
      <c r="CB165" s="750"/>
      <c r="CC165" s="750"/>
      <c r="CD165" s="750"/>
      <c r="CE165" s="750"/>
      <c r="CF165" s="750"/>
      <c r="CG165" s="750"/>
      <c r="CH165" s="750"/>
      <c r="CI165" s="750"/>
      <c r="CJ165" s="750"/>
      <c r="CK165" s="750"/>
      <c r="CL165" s="750"/>
      <c r="CM165" s="750"/>
      <c r="CN165" s="750"/>
    </row>
    <row r="166" spans="1:92" ht="15" customHeight="1">
      <c r="A166" s="737">
        <v>48</v>
      </c>
      <c r="B166" s="737">
        <f t="shared" ca="1" si="69"/>
        <v>0</v>
      </c>
      <c r="C166" s="737">
        <f t="shared" ca="1" si="69"/>
        <v>0</v>
      </c>
      <c r="D166" s="737">
        <f t="shared" si="69"/>
        <v>0</v>
      </c>
      <c r="E166" s="737">
        <f t="shared" si="69"/>
        <v>0</v>
      </c>
      <c r="F166" s="737">
        <f t="shared" ca="1" si="69"/>
        <v>0</v>
      </c>
      <c r="G166" s="747">
        <v>48</v>
      </c>
      <c r="H166" s="747">
        <f t="shared" ca="1" si="19"/>
        <v>0</v>
      </c>
      <c r="I166" s="747">
        <f t="shared" ca="1" si="20"/>
        <v>0</v>
      </c>
      <c r="J166" s="747">
        <f t="shared" si="21"/>
        <v>0</v>
      </c>
      <c r="K166" s="747"/>
      <c r="L166" s="747">
        <f t="shared" ca="1" si="62"/>
        <v>0</v>
      </c>
      <c r="M166" s="747">
        <v>48</v>
      </c>
      <c r="N166" s="747">
        <f t="shared" ca="1" si="22"/>
        <v>0</v>
      </c>
      <c r="O166" s="747">
        <f t="shared" ca="1" si="23"/>
        <v>0</v>
      </c>
      <c r="P166" s="747">
        <f t="shared" si="24"/>
        <v>0</v>
      </c>
      <c r="Q166" s="748"/>
      <c r="R166" s="747">
        <f t="shared" ca="1" si="25"/>
        <v>0</v>
      </c>
      <c r="S166" s="747">
        <v>48</v>
      </c>
      <c r="T166" s="747">
        <f t="shared" ca="1" si="26"/>
        <v>0</v>
      </c>
      <c r="U166" s="747">
        <f t="shared" ca="1" si="27"/>
        <v>0</v>
      </c>
      <c r="V166" s="747">
        <f t="shared" si="28"/>
        <v>0</v>
      </c>
      <c r="W166" s="749"/>
      <c r="X166" s="747">
        <f t="shared" ca="1" si="29"/>
        <v>0</v>
      </c>
      <c r="Y166" s="747">
        <v>48</v>
      </c>
      <c r="Z166" s="747">
        <f t="shared" ca="1" si="30"/>
        <v>0</v>
      </c>
      <c r="AA166" s="747">
        <f t="shared" ca="1" si="31"/>
        <v>0</v>
      </c>
      <c r="AB166" s="747">
        <f t="shared" si="32"/>
        <v>0</v>
      </c>
      <c r="AC166" s="747"/>
      <c r="AD166" s="747">
        <f t="shared" ca="1" si="33"/>
        <v>0</v>
      </c>
      <c r="AE166" s="747">
        <v>48</v>
      </c>
      <c r="AF166" s="747">
        <f t="shared" ca="1" si="34"/>
        <v>0</v>
      </c>
      <c r="AG166" s="747">
        <f t="shared" ca="1" si="35"/>
        <v>0</v>
      </c>
      <c r="AH166" s="747">
        <f t="shared" si="36"/>
        <v>0</v>
      </c>
      <c r="AI166" s="741"/>
      <c r="AJ166" s="747">
        <f t="shared" ca="1" si="37"/>
        <v>0</v>
      </c>
      <c r="AK166" s="747">
        <v>48</v>
      </c>
      <c r="AL166" s="747">
        <f t="shared" ca="1" si="38"/>
        <v>0</v>
      </c>
      <c r="AM166" s="747">
        <f t="shared" ca="1" si="39"/>
        <v>0</v>
      </c>
      <c r="AN166" s="747">
        <f t="shared" si="40"/>
        <v>0</v>
      </c>
      <c r="AO166" s="741"/>
      <c r="AP166" s="747">
        <f t="shared" ca="1" si="41"/>
        <v>0</v>
      </c>
      <c r="AQ166" s="747">
        <v>48</v>
      </c>
      <c r="AR166" s="747">
        <f t="shared" ca="1" si="42"/>
        <v>0</v>
      </c>
      <c r="AS166" s="747">
        <f t="shared" ca="1" si="43"/>
        <v>0</v>
      </c>
      <c r="AT166" s="747">
        <f t="shared" si="44"/>
        <v>0</v>
      </c>
      <c r="AU166" s="741"/>
      <c r="AV166" s="747">
        <f t="shared" ca="1" si="45"/>
        <v>0</v>
      </c>
      <c r="AW166" s="747">
        <v>48</v>
      </c>
      <c r="AX166" s="747">
        <f t="shared" ca="1" si="46"/>
        <v>0</v>
      </c>
      <c r="AY166" s="747">
        <f t="shared" ca="1" si="47"/>
        <v>0</v>
      </c>
      <c r="AZ166" s="747">
        <f t="shared" si="48"/>
        <v>0</v>
      </c>
      <c r="BA166" s="741"/>
      <c r="BB166" s="747">
        <f t="shared" ca="1" si="49"/>
        <v>0</v>
      </c>
      <c r="BC166" s="747">
        <v>48</v>
      </c>
      <c r="BD166" s="747">
        <f t="shared" si="50"/>
        <v>0</v>
      </c>
      <c r="BE166" s="747">
        <f t="shared" si="51"/>
        <v>0</v>
      </c>
      <c r="BF166" s="747">
        <f t="shared" si="52"/>
        <v>0</v>
      </c>
      <c r="BG166" s="741"/>
      <c r="BH166" s="747">
        <f t="shared" si="53"/>
        <v>0</v>
      </c>
      <c r="BI166" s="747">
        <v>48</v>
      </c>
      <c r="BJ166" s="747">
        <f t="shared" si="54"/>
        <v>0</v>
      </c>
      <c r="BK166" s="747">
        <f t="shared" si="55"/>
        <v>0</v>
      </c>
      <c r="BL166" s="747">
        <f t="shared" si="56"/>
        <v>0</v>
      </c>
      <c r="BM166" s="741"/>
      <c r="BN166" s="747">
        <f t="shared" si="57"/>
        <v>0</v>
      </c>
      <c r="BO166" s="747">
        <v>48</v>
      </c>
      <c r="BP166" s="747">
        <f t="shared" si="58"/>
        <v>0</v>
      </c>
      <c r="BQ166" s="747">
        <f t="shared" si="59"/>
        <v>0</v>
      </c>
      <c r="BR166" s="747">
        <f t="shared" si="60"/>
        <v>0</v>
      </c>
      <c r="BS166" s="741"/>
      <c r="BT166" s="747">
        <f t="shared" si="61"/>
        <v>0</v>
      </c>
      <c r="BU166" s="750"/>
      <c r="BV166" s="750"/>
      <c r="BW166" s="750"/>
      <c r="BX166" s="750"/>
      <c r="BY166" s="750"/>
      <c r="BZ166" s="750"/>
      <c r="CA166" s="750"/>
      <c r="CB166" s="750"/>
      <c r="CC166" s="750"/>
      <c r="CD166" s="750"/>
      <c r="CE166" s="750"/>
      <c r="CF166" s="750"/>
      <c r="CG166" s="750"/>
      <c r="CH166" s="750"/>
      <c r="CI166" s="750"/>
      <c r="CJ166" s="750"/>
      <c r="CK166" s="750"/>
      <c r="CL166" s="750"/>
      <c r="CM166" s="750"/>
      <c r="CN166" s="750"/>
    </row>
    <row r="167" spans="1:92" ht="15" customHeight="1">
      <c r="A167" s="737">
        <v>49</v>
      </c>
      <c r="B167" s="737">
        <f t="shared" ca="1" si="69"/>
        <v>0</v>
      </c>
      <c r="C167" s="737">
        <f t="shared" ca="1" si="69"/>
        <v>0</v>
      </c>
      <c r="D167" s="737">
        <f t="shared" si="69"/>
        <v>0</v>
      </c>
      <c r="E167" s="737">
        <f t="shared" si="69"/>
        <v>0</v>
      </c>
      <c r="F167" s="737">
        <f t="shared" ca="1" si="69"/>
        <v>0</v>
      </c>
      <c r="G167" s="747">
        <v>49</v>
      </c>
      <c r="H167" s="747">
        <f t="shared" ca="1" si="19"/>
        <v>0</v>
      </c>
      <c r="I167" s="747">
        <f t="shared" ca="1" si="20"/>
        <v>0</v>
      </c>
      <c r="J167" s="747">
        <f t="shared" si="21"/>
        <v>0</v>
      </c>
      <c r="K167" s="747"/>
      <c r="L167" s="747">
        <f t="shared" ca="1" si="62"/>
        <v>0</v>
      </c>
      <c r="M167" s="747">
        <v>49</v>
      </c>
      <c r="N167" s="747">
        <f t="shared" ca="1" si="22"/>
        <v>0</v>
      </c>
      <c r="O167" s="747">
        <f t="shared" ca="1" si="23"/>
        <v>0</v>
      </c>
      <c r="P167" s="747">
        <f t="shared" si="24"/>
        <v>0</v>
      </c>
      <c r="Q167" s="748"/>
      <c r="R167" s="747">
        <f t="shared" ca="1" si="25"/>
        <v>0</v>
      </c>
      <c r="S167" s="747">
        <v>49</v>
      </c>
      <c r="T167" s="747">
        <f t="shared" ca="1" si="26"/>
        <v>0</v>
      </c>
      <c r="U167" s="747">
        <f t="shared" ca="1" si="27"/>
        <v>0</v>
      </c>
      <c r="V167" s="747">
        <f t="shared" si="28"/>
        <v>0</v>
      </c>
      <c r="W167" s="749"/>
      <c r="X167" s="747">
        <f t="shared" ca="1" si="29"/>
        <v>0</v>
      </c>
      <c r="Y167" s="747">
        <v>49</v>
      </c>
      <c r="Z167" s="747">
        <f t="shared" ca="1" si="30"/>
        <v>0</v>
      </c>
      <c r="AA167" s="747">
        <f t="shared" ca="1" si="31"/>
        <v>0</v>
      </c>
      <c r="AB167" s="747">
        <f t="shared" si="32"/>
        <v>0</v>
      </c>
      <c r="AC167" s="747"/>
      <c r="AD167" s="747">
        <f t="shared" ca="1" si="33"/>
        <v>0</v>
      </c>
      <c r="AE167" s="747">
        <v>49</v>
      </c>
      <c r="AF167" s="747">
        <f t="shared" ca="1" si="34"/>
        <v>0</v>
      </c>
      <c r="AG167" s="747">
        <f t="shared" ca="1" si="35"/>
        <v>0</v>
      </c>
      <c r="AH167" s="747">
        <f t="shared" si="36"/>
        <v>0</v>
      </c>
      <c r="AI167" s="741"/>
      <c r="AJ167" s="747">
        <f t="shared" ca="1" si="37"/>
        <v>0</v>
      </c>
      <c r="AK167" s="747">
        <v>49</v>
      </c>
      <c r="AL167" s="747">
        <f t="shared" ca="1" si="38"/>
        <v>0</v>
      </c>
      <c r="AM167" s="747">
        <f t="shared" ca="1" si="39"/>
        <v>0</v>
      </c>
      <c r="AN167" s="747">
        <f t="shared" si="40"/>
        <v>0</v>
      </c>
      <c r="AO167" s="741"/>
      <c r="AP167" s="747">
        <f t="shared" ca="1" si="41"/>
        <v>0</v>
      </c>
      <c r="AQ167" s="747">
        <v>49</v>
      </c>
      <c r="AR167" s="747">
        <f t="shared" ca="1" si="42"/>
        <v>0</v>
      </c>
      <c r="AS167" s="747">
        <f t="shared" ca="1" si="43"/>
        <v>0</v>
      </c>
      <c r="AT167" s="747">
        <f t="shared" si="44"/>
        <v>0</v>
      </c>
      <c r="AU167" s="741"/>
      <c r="AV167" s="747">
        <f t="shared" ca="1" si="45"/>
        <v>0</v>
      </c>
      <c r="AW167" s="747">
        <v>49</v>
      </c>
      <c r="AX167" s="747">
        <f t="shared" ca="1" si="46"/>
        <v>0</v>
      </c>
      <c r="AY167" s="747">
        <f t="shared" ca="1" si="47"/>
        <v>0</v>
      </c>
      <c r="AZ167" s="747">
        <f t="shared" si="48"/>
        <v>0</v>
      </c>
      <c r="BA167" s="741"/>
      <c r="BB167" s="747">
        <f t="shared" ca="1" si="49"/>
        <v>0</v>
      </c>
      <c r="BC167" s="747">
        <v>49</v>
      </c>
      <c r="BD167" s="747">
        <f t="shared" si="50"/>
        <v>0</v>
      </c>
      <c r="BE167" s="747">
        <f t="shared" si="51"/>
        <v>0</v>
      </c>
      <c r="BF167" s="747">
        <f t="shared" si="52"/>
        <v>0</v>
      </c>
      <c r="BG167" s="741"/>
      <c r="BH167" s="747">
        <f t="shared" si="53"/>
        <v>0</v>
      </c>
      <c r="BI167" s="747">
        <v>49</v>
      </c>
      <c r="BJ167" s="747">
        <f t="shared" si="54"/>
        <v>0</v>
      </c>
      <c r="BK167" s="747">
        <f t="shared" si="55"/>
        <v>0</v>
      </c>
      <c r="BL167" s="747">
        <f t="shared" si="56"/>
        <v>0</v>
      </c>
      <c r="BM167" s="741"/>
      <c r="BN167" s="747">
        <f t="shared" si="57"/>
        <v>0</v>
      </c>
      <c r="BO167" s="747">
        <v>49</v>
      </c>
      <c r="BP167" s="747">
        <f t="shared" si="58"/>
        <v>0</v>
      </c>
      <c r="BQ167" s="747">
        <f t="shared" si="59"/>
        <v>0</v>
      </c>
      <c r="BR167" s="747">
        <f t="shared" si="60"/>
        <v>0</v>
      </c>
      <c r="BS167" s="741"/>
      <c r="BT167" s="747">
        <f t="shared" si="61"/>
        <v>0</v>
      </c>
      <c r="BU167" s="750"/>
      <c r="BV167" s="750"/>
      <c r="BW167" s="750"/>
      <c r="BX167" s="750"/>
      <c r="BY167" s="750"/>
      <c r="BZ167" s="750"/>
      <c r="CA167" s="750"/>
      <c r="CB167" s="750"/>
      <c r="CC167" s="750"/>
      <c r="CD167" s="750"/>
      <c r="CE167" s="750"/>
      <c r="CF167" s="750"/>
      <c r="CG167" s="750"/>
      <c r="CH167" s="750"/>
      <c r="CI167" s="750"/>
      <c r="CJ167" s="750"/>
      <c r="CK167" s="750"/>
      <c r="CL167" s="750"/>
      <c r="CM167" s="750"/>
      <c r="CN167" s="750"/>
    </row>
    <row r="168" spans="1:92" ht="15" customHeight="1">
      <c r="A168" s="737">
        <v>50</v>
      </c>
      <c r="B168" s="737">
        <f t="shared" ca="1" si="69"/>
        <v>0</v>
      </c>
      <c r="C168" s="737">
        <f t="shared" ca="1" si="69"/>
        <v>0</v>
      </c>
      <c r="D168" s="737">
        <f t="shared" si="69"/>
        <v>0</v>
      </c>
      <c r="E168" s="737">
        <f t="shared" si="69"/>
        <v>0</v>
      </c>
      <c r="F168" s="737">
        <f t="shared" ca="1" si="69"/>
        <v>0</v>
      </c>
      <c r="G168" s="747">
        <v>50</v>
      </c>
      <c r="H168" s="747">
        <f t="shared" ca="1" si="19"/>
        <v>0</v>
      </c>
      <c r="I168" s="747">
        <f t="shared" ca="1" si="20"/>
        <v>0</v>
      </c>
      <c r="J168" s="747">
        <f t="shared" si="21"/>
        <v>0</v>
      </c>
      <c r="K168" s="747"/>
      <c r="L168" s="747">
        <f t="shared" ca="1" si="62"/>
        <v>0</v>
      </c>
      <c r="M168" s="747">
        <v>50</v>
      </c>
      <c r="N168" s="747">
        <f t="shared" ca="1" si="22"/>
        <v>0</v>
      </c>
      <c r="O168" s="747">
        <f t="shared" ca="1" si="23"/>
        <v>0</v>
      </c>
      <c r="P168" s="747">
        <f t="shared" si="24"/>
        <v>0</v>
      </c>
      <c r="Q168" s="748"/>
      <c r="R168" s="747">
        <f t="shared" ca="1" si="25"/>
        <v>0</v>
      </c>
      <c r="S168" s="747">
        <v>50</v>
      </c>
      <c r="T168" s="747">
        <f t="shared" ca="1" si="26"/>
        <v>0</v>
      </c>
      <c r="U168" s="747">
        <f t="shared" ca="1" si="27"/>
        <v>0</v>
      </c>
      <c r="V168" s="747">
        <f t="shared" si="28"/>
        <v>0</v>
      </c>
      <c r="W168" s="749"/>
      <c r="X168" s="747">
        <f t="shared" ca="1" si="29"/>
        <v>0</v>
      </c>
      <c r="Y168" s="747">
        <v>50</v>
      </c>
      <c r="Z168" s="747">
        <f t="shared" ca="1" si="30"/>
        <v>0</v>
      </c>
      <c r="AA168" s="747">
        <f t="shared" ca="1" si="31"/>
        <v>0</v>
      </c>
      <c r="AB168" s="747">
        <f t="shared" si="32"/>
        <v>0</v>
      </c>
      <c r="AC168" s="747"/>
      <c r="AD168" s="747">
        <f t="shared" ca="1" si="33"/>
        <v>0</v>
      </c>
      <c r="AE168" s="747">
        <v>50</v>
      </c>
      <c r="AF168" s="747">
        <f t="shared" ca="1" si="34"/>
        <v>0</v>
      </c>
      <c r="AG168" s="747">
        <f t="shared" ca="1" si="35"/>
        <v>0</v>
      </c>
      <c r="AH168" s="747">
        <f t="shared" si="36"/>
        <v>0</v>
      </c>
      <c r="AI168" s="741"/>
      <c r="AJ168" s="747">
        <f t="shared" ca="1" si="37"/>
        <v>0</v>
      </c>
      <c r="AK168" s="747">
        <v>50</v>
      </c>
      <c r="AL168" s="747">
        <f t="shared" ca="1" si="38"/>
        <v>0</v>
      </c>
      <c r="AM168" s="747">
        <f t="shared" ca="1" si="39"/>
        <v>0</v>
      </c>
      <c r="AN168" s="747">
        <f t="shared" si="40"/>
        <v>0</v>
      </c>
      <c r="AO168" s="741"/>
      <c r="AP168" s="747">
        <f t="shared" ca="1" si="41"/>
        <v>0</v>
      </c>
      <c r="AQ168" s="747">
        <v>50</v>
      </c>
      <c r="AR168" s="747">
        <f t="shared" ca="1" si="42"/>
        <v>0</v>
      </c>
      <c r="AS168" s="747">
        <f t="shared" ca="1" si="43"/>
        <v>0</v>
      </c>
      <c r="AT168" s="747">
        <f t="shared" si="44"/>
        <v>0</v>
      </c>
      <c r="AU168" s="741"/>
      <c r="AV168" s="747">
        <f t="shared" ca="1" si="45"/>
        <v>0</v>
      </c>
      <c r="AW168" s="747">
        <v>50</v>
      </c>
      <c r="AX168" s="747">
        <f t="shared" ca="1" si="46"/>
        <v>0</v>
      </c>
      <c r="AY168" s="747">
        <f t="shared" ca="1" si="47"/>
        <v>0</v>
      </c>
      <c r="AZ168" s="747">
        <f t="shared" si="48"/>
        <v>0</v>
      </c>
      <c r="BA168" s="741"/>
      <c r="BB168" s="747">
        <f t="shared" ca="1" si="49"/>
        <v>0</v>
      </c>
      <c r="BC168" s="747">
        <v>50</v>
      </c>
      <c r="BD168" s="747">
        <f t="shared" si="50"/>
        <v>0</v>
      </c>
      <c r="BE168" s="747">
        <f t="shared" si="51"/>
        <v>0</v>
      </c>
      <c r="BF168" s="747">
        <f t="shared" si="52"/>
        <v>0</v>
      </c>
      <c r="BG168" s="741"/>
      <c r="BH168" s="747">
        <f t="shared" si="53"/>
        <v>0</v>
      </c>
      <c r="BI168" s="747">
        <v>50</v>
      </c>
      <c r="BJ168" s="747">
        <f t="shared" si="54"/>
        <v>0</v>
      </c>
      <c r="BK168" s="747">
        <f t="shared" si="55"/>
        <v>0</v>
      </c>
      <c r="BL168" s="747">
        <f t="shared" si="56"/>
        <v>0</v>
      </c>
      <c r="BM168" s="741"/>
      <c r="BN168" s="747">
        <f t="shared" si="57"/>
        <v>0</v>
      </c>
      <c r="BO168" s="747">
        <v>50</v>
      </c>
      <c r="BP168" s="747">
        <f t="shared" si="58"/>
        <v>0</v>
      </c>
      <c r="BQ168" s="747">
        <f t="shared" si="59"/>
        <v>0</v>
      </c>
      <c r="BR168" s="747">
        <f t="shared" si="60"/>
        <v>0</v>
      </c>
      <c r="BS168" s="741"/>
      <c r="BT168" s="747">
        <f t="shared" si="61"/>
        <v>0</v>
      </c>
      <c r="BU168" s="750"/>
      <c r="BV168" s="750"/>
      <c r="BW168" s="750"/>
      <c r="BX168" s="750"/>
      <c r="BY168" s="750"/>
      <c r="BZ168" s="750"/>
      <c r="CA168" s="750"/>
      <c r="CB168" s="750"/>
      <c r="CC168" s="750"/>
      <c r="CD168" s="750"/>
      <c r="CE168" s="750"/>
      <c r="CF168" s="750"/>
      <c r="CG168" s="750"/>
      <c r="CH168" s="750"/>
      <c r="CI168" s="750"/>
      <c r="CJ168" s="750"/>
      <c r="CK168" s="750"/>
      <c r="CL168" s="750"/>
      <c r="CM168" s="750"/>
      <c r="CN168" s="750"/>
    </row>
    <row r="169" spans="1:92" ht="15" customHeight="1">
      <c r="A169" s="737">
        <v>51</v>
      </c>
      <c r="B169" s="737">
        <f t="shared" ca="1" si="69"/>
        <v>0</v>
      </c>
      <c r="C169" s="737">
        <f t="shared" ca="1" si="69"/>
        <v>0</v>
      </c>
      <c r="D169" s="737">
        <f t="shared" si="69"/>
        <v>0</v>
      </c>
      <c r="E169" s="737">
        <f t="shared" si="69"/>
        <v>0</v>
      </c>
      <c r="F169" s="737">
        <f t="shared" ca="1" si="69"/>
        <v>0</v>
      </c>
      <c r="G169" s="747">
        <v>51</v>
      </c>
      <c r="H169" s="747">
        <f t="shared" ca="1" si="19"/>
        <v>0</v>
      </c>
      <c r="I169" s="747">
        <f t="shared" ca="1" si="20"/>
        <v>0</v>
      </c>
      <c r="J169" s="747">
        <f t="shared" si="21"/>
        <v>0</v>
      </c>
      <c r="K169" s="747"/>
      <c r="L169" s="747">
        <f t="shared" ca="1" si="62"/>
        <v>0</v>
      </c>
      <c r="M169" s="747">
        <v>51</v>
      </c>
      <c r="N169" s="747">
        <f t="shared" ca="1" si="22"/>
        <v>0</v>
      </c>
      <c r="O169" s="747">
        <f t="shared" ca="1" si="23"/>
        <v>0</v>
      </c>
      <c r="P169" s="747">
        <f t="shared" si="24"/>
        <v>0</v>
      </c>
      <c r="Q169" s="748"/>
      <c r="R169" s="747">
        <f t="shared" ca="1" si="25"/>
        <v>0</v>
      </c>
      <c r="S169" s="747">
        <v>51</v>
      </c>
      <c r="T169" s="747">
        <f t="shared" ca="1" si="26"/>
        <v>0</v>
      </c>
      <c r="U169" s="747">
        <f t="shared" ca="1" si="27"/>
        <v>0</v>
      </c>
      <c r="V169" s="747">
        <f t="shared" si="28"/>
        <v>0</v>
      </c>
      <c r="W169" s="749"/>
      <c r="X169" s="747">
        <f t="shared" ca="1" si="29"/>
        <v>0</v>
      </c>
      <c r="Y169" s="747">
        <v>51</v>
      </c>
      <c r="Z169" s="747">
        <f t="shared" ca="1" si="30"/>
        <v>0</v>
      </c>
      <c r="AA169" s="747">
        <f t="shared" ca="1" si="31"/>
        <v>0</v>
      </c>
      <c r="AB169" s="747">
        <f t="shared" si="32"/>
        <v>0</v>
      </c>
      <c r="AC169" s="747"/>
      <c r="AD169" s="747">
        <f t="shared" ca="1" si="33"/>
        <v>0</v>
      </c>
      <c r="AE169" s="747">
        <v>51</v>
      </c>
      <c r="AF169" s="747">
        <f t="shared" ca="1" si="34"/>
        <v>0</v>
      </c>
      <c r="AG169" s="747">
        <f t="shared" ca="1" si="35"/>
        <v>0</v>
      </c>
      <c r="AH169" s="747">
        <f t="shared" si="36"/>
        <v>0</v>
      </c>
      <c r="AI169" s="741"/>
      <c r="AJ169" s="747">
        <f t="shared" ca="1" si="37"/>
        <v>0</v>
      </c>
      <c r="AK169" s="747">
        <v>51</v>
      </c>
      <c r="AL169" s="747">
        <f t="shared" ca="1" si="38"/>
        <v>0</v>
      </c>
      <c r="AM169" s="747">
        <f t="shared" ca="1" si="39"/>
        <v>0</v>
      </c>
      <c r="AN169" s="747">
        <f t="shared" si="40"/>
        <v>0</v>
      </c>
      <c r="AO169" s="741"/>
      <c r="AP169" s="747">
        <f t="shared" ca="1" si="41"/>
        <v>0</v>
      </c>
      <c r="AQ169" s="747">
        <v>51</v>
      </c>
      <c r="AR169" s="747">
        <f t="shared" ca="1" si="42"/>
        <v>0</v>
      </c>
      <c r="AS169" s="747">
        <f t="shared" ca="1" si="43"/>
        <v>0</v>
      </c>
      <c r="AT169" s="747">
        <f t="shared" si="44"/>
        <v>0</v>
      </c>
      <c r="AU169" s="741"/>
      <c r="AV169" s="747">
        <f t="shared" ca="1" si="45"/>
        <v>0</v>
      </c>
      <c r="AW169" s="747">
        <v>51</v>
      </c>
      <c r="AX169" s="747">
        <f t="shared" ca="1" si="46"/>
        <v>0</v>
      </c>
      <c r="AY169" s="747">
        <f t="shared" ca="1" si="47"/>
        <v>0</v>
      </c>
      <c r="AZ169" s="747">
        <f t="shared" si="48"/>
        <v>0</v>
      </c>
      <c r="BA169" s="741"/>
      <c r="BB169" s="747">
        <f t="shared" ca="1" si="49"/>
        <v>0</v>
      </c>
      <c r="BC169" s="747">
        <v>51</v>
      </c>
      <c r="BD169" s="747">
        <f t="shared" si="50"/>
        <v>0</v>
      </c>
      <c r="BE169" s="747">
        <f t="shared" si="51"/>
        <v>0</v>
      </c>
      <c r="BF169" s="747">
        <f t="shared" si="52"/>
        <v>0</v>
      </c>
      <c r="BG169" s="741"/>
      <c r="BH169" s="747">
        <f t="shared" si="53"/>
        <v>0</v>
      </c>
      <c r="BI169" s="747">
        <v>51</v>
      </c>
      <c r="BJ169" s="747">
        <f t="shared" si="54"/>
        <v>0</v>
      </c>
      <c r="BK169" s="747">
        <f t="shared" si="55"/>
        <v>0</v>
      </c>
      <c r="BL169" s="747">
        <f t="shared" si="56"/>
        <v>0</v>
      </c>
      <c r="BM169" s="741"/>
      <c r="BN169" s="747">
        <f t="shared" si="57"/>
        <v>0</v>
      </c>
      <c r="BO169" s="747">
        <v>51</v>
      </c>
      <c r="BP169" s="747">
        <f t="shared" si="58"/>
        <v>0</v>
      </c>
      <c r="BQ169" s="747">
        <f t="shared" si="59"/>
        <v>0</v>
      </c>
      <c r="BR169" s="747">
        <f t="shared" si="60"/>
        <v>0</v>
      </c>
      <c r="BS169" s="741"/>
      <c r="BT169" s="747">
        <f t="shared" si="61"/>
        <v>0</v>
      </c>
      <c r="BU169" s="750"/>
      <c r="BV169" s="750"/>
      <c r="BW169" s="750"/>
      <c r="BX169" s="750"/>
      <c r="BY169" s="750"/>
      <c r="BZ169" s="750"/>
      <c r="CA169" s="750"/>
      <c r="CB169" s="750"/>
      <c r="CC169" s="750"/>
      <c r="CD169" s="750"/>
      <c r="CE169" s="750"/>
      <c r="CF169" s="750"/>
      <c r="CG169" s="750"/>
      <c r="CH169" s="750"/>
      <c r="CI169" s="750"/>
      <c r="CJ169" s="750"/>
      <c r="CK169" s="750"/>
      <c r="CL169" s="750"/>
      <c r="CM169" s="750"/>
      <c r="CN169" s="750"/>
    </row>
    <row r="170" spans="1:92" ht="15" customHeight="1">
      <c r="A170" s="737">
        <v>52</v>
      </c>
      <c r="B170" s="737">
        <f t="shared" ca="1" si="69"/>
        <v>0</v>
      </c>
      <c r="C170" s="737">
        <f t="shared" ca="1" si="69"/>
        <v>0</v>
      </c>
      <c r="D170" s="737">
        <f t="shared" si="69"/>
        <v>0</v>
      </c>
      <c r="E170" s="737">
        <f t="shared" si="69"/>
        <v>0</v>
      </c>
      <c r="F170" s="737">
        <f t="shared" ca="1" si="69"/>
        <v>0</v>
      </c>
      <c r="G170" s="747">
        <v>52</v>
      </c>
      <c r="H170" s="747">
        <f t="shared" ca="1" si="19"/>
        <v>0</v>
      </c>
      <c r="I170" s="747">
        <f t="shared" ca="1" si="20"/>
        <v>0</v>
      </c>
      <c r="J170" s="747">
        <f t="shared" si="21"/>
        <v>0</v>
      </c>
      <c r="K170" s="747"/>
      <c r="L170" s="747">
        <f t="shared" ca="1" si="62"/>
        <v>0</v>
      </c>
      <c r="M170" s="747">
        <v>52</v>
      </c>
      <c r="N170" s="747">
        <f t="shared" ca="1" si="22"/>
        <v>0</v>
      </c>
      <c r="O170" s="747">
        <f t="shared" ca="1" si="23"/>
        <v>0</v>
      </c>
      <c r="P170" s="747">
        <f t="shared" si="24"/>
        <v>0</v>
      </c>
      <c r="Q170" s="748"/>
      <c r="R170" s="747">
        <f t="shared" ca="1" si="25"/>
        <v>0</v>
      </c>
      <c r="S170" s="747">
        <v>52</v>
      </c>
      <c r="T170" s="747">
        <f t="shared" ca="1" si="26"/>
        <v>0</v>
      </c>
      <c r="U170" s="747">
        <f t="shared" ca="1" si="27"/>
        <v>0</v>
      </c>
      <c r="V170" s="747">
        <f t="shared" si="28"/>
        <v>0</v>
      </c>
      <c r="W170" s="749"/>
      <c r="X170" s="747">
        <f t="shared" ca="1" si="29"/>
        <v>0</v>
      </c>
      <c r="Y170" s="747">
        <v>52</v>
      </c>
      <c r="Z170" s="747">
        <f t="shared" ca="1" si="30"/>
        <v>0</v>
      </c>
      <c r="AA170" s="747">
        <f t="shared" ca="1" si="31"/>
        <v>0</v>
      </c>
      <c r="AB170" s="747">
        <f t="shared" si="32"/>
        <v>0</v>
      </c>
      <c r="AC170" s="747"/>
      <c r="AD170" s="747">
        <f t="shared" ca="1" si="33"/>
        <v>0</v>
      </c>
      <c r="AE170" s="747">
        <v>52</v>
      </c>
      <c r="AF170" s="747">
        <f t="shared" ca="1" si="34"/>
        <v>0</v>
      </c>
      <c r="AG170" s="747">
        <f t="shared" ca="1" si="35"/>
        <v>0</v>
      </c>
      <c r="AH170" s="747">
        <f t="shared" si="36"/>
        <v>0</v>
      </c>
      <c r="AI170" s="741"/>
      <c r="AJ170" s="747">
        <f t="shared" ca="1" si="37"/>
        <v>0</v>
      </c>
      <c r="AK170" s="747">
        <v>52</v>
      </c>
      <c r="AL170" s="747">
        <f t="shared" ca="1" si="38"/>
        <v>0</v>
      </c>
      <c r="AM170" s="747">
        <f t="shared" ca="1" si="39"/>
        <v>0</v>
      </c>
      <c r="AN170" s="747">
        <f t="shared" si="40"/>
        <v>0</v>
      </c>
      <c r="AO170" s="741"/>
      <c r="AP170" s="747">
        <f t="shared" ca="1" si="41"/>
        <v>0</v>
      </c>
      <c r="AQ170" s="747">
        <v>52</v>
      </c>
      <c r="AR170" s="747">
        <f t="shared" ca="1" si="42"/>
        <v>0</v>
      </c>
      <c r="AS170" s="747">
        <f t="shared" ca="1" si="43"/>
        <v>0</v>
      </c>
      <c r="AT170" s="747">
        <f t="shared" si="44"/>
        <v>0</v>
      </c>
      <c r="AU170" s="741"/>
      <c r="AV170" s="747">
        <f t="shared" ca="1" si="45"/>
        <v>0</v>
      </c>
      <c r="AW170" s="747">
        <v>52</v>
      </c>
      <c r="AX170" s="747">
        <f t="shared" ca="1" si="46"/>
        <v>0</v>
      </c>
      <c r="AY170" s="747">
        <f t="shared" ca="1" si="47"/>
        <v>0</v>
      </c>
      <c r="AZ170" s="747">
        <f t="shared" si="48"/>
        <v>0</v>
      </c>
      <c r="BA170" s="741"/>
      <c r="BB170" s="747">
        <f t="shared" ca="1" si="49"/>
        <v>0</v>
      </c>
      <c r="BC170" s="747">
        <v>52</v>
      </c>
      <c r="BD170" s="747">
        <f t="shared" si="50"/>
        <v>0</v>
      </c>
      <c r="BE170" s="747">
        <f t="shared" si="51"/>
        <v>0</v>
      </c>
      <c r="BF170" s="747">
        <f t="shared" si="52"/>
        <v>0</v>
      </c>
      <c r="BG170" s="741"/>
      <c r="BH170" s="747">
        <f t="shared" si="53"/>
        <v>0</v>
      </c>
      <c r="BI170" s="747">
        <v>52</v>
      </c>
      <c r="BJ170" s="747">
        <f t="shared" si="54"/>
        <v>0</v>
      </c>
      <c r="BK170" s="747">
        <f t="shared" si="55"/>
        <v>0</v>
      </c>
      <c r="BL170" s="747">
        <f t="shared" si="56"/>
        <v>0</v>
      </c>
      <c r="BM170" s="741"/>
      <c r="BN170" s="747">
        <f t="shared" si="57"/>
        <v>0</v>
      </c>
      <c r="BO170" s="747">
        <v>52</v>
      </c>
      <c r="BP170" s="747">
        <f t="shared" si="58"/>
        <v>0</v>
      </c>
      <c r="BQ170" s="747">
        <f t="shared" si="59"/>
        <v>0</v>
      </c>
      <c r="BR170" s="747">
        <f t="shared" si="60"/>
        <v>0</v>
      </c>
      <c r="BS170" s="741"/>
      <c r="BT170" s="747">
        <f t="shared" si="61"/>
        <v>0</v>
      </c>
      <c r="BU170" s="750"/>
      <c r="BV170" s="750"/>
      <c r="BW170" s="750"/>
      <c r="BX170" s="750"/>
      <c r="BY170" s="750"/>
      <c r="BZ170" s="750"/>
      <c r="CA170" s="750"/>
      <c r="CB170" s="750"/>
      <c r="CC170" s="750"/>
      <c r="CD170" s="750"/>
      <c r="CE170" s="750"/>
      <c r="CF170" s="750"/>
      <c r="CG170" s="750"/>
      <c r="CH170" s="750"/>
      <c r="CI170" s="750"/>
      <c r="CJ170" s="750"/>
      <c r="CK170" s="750"/>
      <c r="CL170" s="750"/>
      <c r="CM170" s="750"/>
      <c r="CN170" s="750"/>
    </row>
    <row r="171" spans="1:92" ht="15" customHeight="1">
      <c r="A171" s="737">
        <v>53</v>
      </c>
      <c r="B171" s="737">
        <f t="shared" ca="1" si="69"/>
        <v>0</v>
      </c>
      <c r="C171" s="737">
        <f t="shared" ca="1" si="69"/>
        <v>0</v>
      </c>
      <c r="D171" s="737">
        <f t="shared" si="69"/>
        <v>0</v>
      </c>
      <c r="E171" s="737">
        <f t="shared" si="69"/>
        <v>0</v>
      </c>
      <c r="F171" s="737">
        <f t="shared" ca="1" si="69"/>
        <v>0</v>
      </c>
      <c r="G171" s="747">
        <v>53</v>
      </c>
      <c r="H171" s="747">
        <f t="shared" ca="1" si="19"/>
        <v>0</v>
      </c>
      <c r="I171" s="747">
        <f t="shared" ca="1" si="20"/>
        <v>0</v>
      </c>
      <c r="J171" s="747">
        <f t="shared" si="21"/>
        <v>0</v>
      </c>
      <c r="K171" s="747"/>
      <c r="L171" s="747">
        <f t="shared" ca="1" si="62"/>
        <v>0</v>
      </c>
      <c r="M171" s="747">
        <v>53</v>
      </c>
      <c r="N171" s="747">
        <f t="shared" ca="1" si="22"/>
        <v>0</v>
      </c>
      <c r="O171" s="747">
        <f t="shared" ca="1" si="23"/>
        <v>0</v>
      </c>
      <c r="P171" s="747">
        <f t="shared" si="24"/>
        <v>0</v>
      </c>
      <c r="Q171" s="748"/>
      <c r="R171" s="747">
        <f t="shared" ca="1" si="25"/>
        <v>0</v>
      </c>
      <c r="S171" s="747">
        <v>53</v>
      </c>
      <c r="T171" s="747">
        <f t="shared" ca="1" si="26"/>
        <v>0</v>
      </c>
      <c r="U171" s="747">
        <f t="shared" ca="1" si="27"/>
        <v>0</v>
      </c>
      <c r="V171" s="747">
        <f t="shared" si="28"/>
        <v>0</v>
      </c>
      <c r="W171" s="749"/>
      <c r="X171" s="747">
        <f t="shared" ca="1" si="29"/>
        <v>0</v>
      </c>
      <c r="Y171" s="747">
        <v>53</v>
      </c>
      <c r="Z171" s="747">
        <f t="shared" ca="1" si="30"/>
        <v>0</v>
      </c>
      <c r="AA171" s="747">
        <f t="shared" ca="1" si="31"/>
        <v>0</v>
      </c>
      <c r="AB171" s="747">
        <f t="shared" si="32"/>
        <v>0</v>
      </c>
      <c r="AC171" s="747"/>
      <c r="AD171" s="747">
        <f t="shared" ca="1" si="33"/>
        <v>0</v>
      </c>
      <c r="AE171" s="747">
        <v>53</v>
      </c>
      <c r="AF171" s="747">
        <f t="shared" ca="1" si="34"/>
        <v>0</v>
      </c>
      <c r="AG171" s="747">
        <f t="shared" ca="1" si="35"/>
        <v>0</v>
      </c>
      <c r="AH171" s="747">
        <f t="shared" si="36"/>
        <v>0</v>
      </c>
      <c r="AI171" s="741"/>
      <c r="AJ171" s="747">
        <f t="shared" ca="1" si="37"/>
        <v>0</v>
      </c>
      <c r="AK171" s="747">
        <v>53</v>
      </c>
      <c r="AL171" s="747">
        <f t="shared" ca="1" si="38"/>
        <v>0</v>
      </c>
      <c r="AM171" s="747">
        <f t="shared" ca="1" si="39"/>
        <v>0</v>
      </c>
      <c r="AN171" s="747">
        <f t="shared" si="40"/>
        <v>0</v>
      </c>
      <c r="AO171" s="741"/>
      <c r="AP171" s="747">
        <f t="shared" ca="1" si="41"/>
        <v>0</v>
      </c>
      <c r="AQ171" s="747">
        <v>53</v>
      </c>
      <c r="AR171" s="747">
        <f t="shared" ca="1" si="42"/>
        <v>0</v>
      </c>
      <c r="AS171" s="747">
        <f t="shared" ca="1" si="43"/>
        <v>0</v>
      </c>
      <c r="AT171" s="747">
        <f t="shared" si="44"/>
        <v>0</v>
      </c>
      <c r="AU171" s="741"/>
      <c r="AV171" s="747">
        <f t="shared" ca="1" si="45"/>
        <v>0</v>
      </c>
      <c r="AW171" s="747">
        <v>53</v>
      </c>
      <c r="AX171" s="747">
        <f t="shared" ca="1" si="46"/>
        <v>0</v>
      </c>
      <c r="AY171" s="747">
        <f t="shared" ca="1" si="47"/>
        <v>0</v>
      </c>
      <c r="AZ171" s="747">
        <f t="shared" si="48"/>
        <v>0</v>
      </c>
      <c r="BA171" s="741"/>
      <c r="BB171" s="747">
        <f t="shared" ca="1" si="49"/>
        <v>0</v>
      </c>
      <c r="BC171" s="747">
        <v>53</v>
      </c>
      <c r="BD171" s="747">
        <f t="shared" si="50"/>
        <v>0</v>
      </c>
      <c r="BE171" s="747">
        <f t="shared" si="51"/>
        <v>0</v>
      </c>
      <c r="BF171" s="747">
        <f t="shared" si="52"/>
        <v>0</v>
      </c>
      <c r="BG171" s="741"/>
      <c r="BH171" s="747">
        <f t="shared" si="53"/>
        <v>0</v>
      </c>
      <c r="BI171" s="747">
        <v>53</v>
      </c>
      <c r="BJ171" s="747">
        <f t="shared" si="54"/>
        <v>0</v>
      </c>
      <c r="BK171" s="747">
        <f t="shared" si="55"/>
        <v>0</v>
      </c>
      <c r="BL171" s="747">
        <f t="shared" si="56"/>
        <v>0</v>
      </c>
      <c r="BM171" s="741"/>
      <c r="BN171" s="747">
        <f t="shared" si="57"/>
        <v>0</v>
      </c>
      <c r="BO171" s="747">
        <v>53</v>
      </c>
      <c r="BP171" s="747">
        <f t="shared" si="58"/>
        <v>0</v>
      </c>
      <c r="BQ171" s="747">
        <f t="shared" si="59"/>
        <v>0</v>
      </c>
      <c r="BR171" s="747">
        <f t="shared" si="60"/>
        <v>0</v>
      </c>
      <c r="BS171" s="741"/>
      <c r="BT171" s="747">
        <f t="shared" si="61"/>
        <v>0</v>
      </c>
      <c r="BU171" s="750"/>
      <c r="BV171" s="750"/>
      <c r="BW171" s="750"/>
      <c r="BX171" s="750"/>
      <c r="BY171" s="750"/>
      <c r="BZ171" s="750"/>
      <c r="CA171" s="750"/>
      <c r="CB171" s="750"/>
      <c r="CC171" s="750"/>
      <c r="CD171" s="750"/>
      <c r="CE171" s="750"/>
      <c r="CF171" s="750"/>
      <c r="CG171" s="750"/>
      <c r="CH171" s="750"/>
      <c r="CI171" s="750"/>
      <c r="CJ171" s="750"/>
      <c r="CK171" s="750"/>
      <c r="CL171" s="750"/>
      <c r="CM171" s="750"/>
      <c r="CN171" s="750"/>
    </row>
    <row r="172" spans="1:92" ht="15" customHeight="1">
      <c r="A172" s="737">
        <v>54</v>
      </c>
      <c r="B172" s="737">
        <f t="shared" ca="1" si="69"/>
        <v>0</v>
      </c>
      <c r="C172" s="737">
        <f t="shared" ca="1" si="69"/>
        <v>0</v>
      </c>
      <c r="D172" s="737">
        <f t="shared" si="69"/>
        <v>0</v>
      </c>
      <c r="E172" s="737">
        <f t="shared" si="69"/>
        <v>0</v>
      </c>
      <c r="F172" s="737">
        <f t="shared" ca="1" si="69"/>
        <v>0</v>
      </c>
      <c r="G172" s="747">
        <v>54</v>
      </c>
      <c r="H172" s="747">
        <f t="shared" ca="1" si="19"/>
        <v>0</v>
      </c>
      <c r="I172" s="747">
        <f t="shared" ca="1" si="20"/>
        <v>0</v>
      </c>
      <c r="J172" s="747">
        <f t="shared" si="21"/>
        <v>0</v>
      </c>
      <c r="K172" s="747"/>
      <c r="L172" s="747">
        <f t="shared" ca="1" si="62"/>
        <v>0</v>
      </c>
      <c r="M172" s="747">
        <v>54</v>
      </c>
      <c r="N172" s="747">
        <f t="shared" ca="1" si="22"/>
        <v>0</v>
      </c>
      <c r="O172" s="747">
        <f t="shared" ca="1" si="23"/>
        <v>0</v>
      </c>
      <c r="P172" s="747">
        <f t="shared" si="24"/>
        <v>0</v>
      </c>
      <c r="Q172" s="748"/>
      <c r="R172" s="747">
        <f t="shared" ca="1" si="25"/>
        <v>0</v>
      </c>
      <c r="S172" s="747">
        <v>54</v>
      </c>
      <c r="T172" s="747">
        <f t="shared" ca="1" si="26"/>
        <v>0</v>
      </c>
      <c r="U172" s="747">
        <f t="shared" ca="1" si="27"/>
        <v>0</v>
      </c>
      <c r="V172" s="747">
        <f t="shared" si="28"/>
        <v>0</v>
      </c>
      <c r="W172" s="749"/>
      <c r="X172" s="747">
        <f t="shared" ca="1" si="29"/>
        <v>0</v>
      </c>
      <c r="Y172" s="747">
        <v>54</v>
      </c>
      <c r="Z172" s="747">
        <f t="shared" ca="1" si="30"/>
        <v>0</v>
      </c>
      <c r="AA172" s="747">
        <f t="shared" ca="1" si="31"/>
        <v>0</v>
      </c>
      <c r="AB172" s="747">
        <f t="shared" si="32"/>
        <v>0</v>
      </c>
      <c r="AC172" s="747"/>
      <c r="AD172" s="747">
        <f t="shared" ca="1" si="33"/>
        <v>0</v>
      </c>
      <c r="AE172" s="747">
        <v>54</v>
      </c>
      <c r="AF172" s="747">
        <f t="shared" ca="1" si="34"/>
        <v>0</v>
      </c>
      <c r="AG172" s="747">
        <f t="shared" ca="1" si="35"/>
        <v>0</v>
      </c>
      <c r="AH172" s="747">
        <f t="shared" si="36"/>
        <v>0</v>
      </c>
      <c r="AI172" s="741"/>
      <c r="AJ172" s="747">
        <f t="shared" ca="1" si="37"/>
        <v>0</v>
      </c>
      <c r="AK172" s="747">
        <v>54</v>
      </c>
      <c r="AL172" s="747">
        <f t="shared" ca="1" si="38"/>
        <v>0</v>
      </c>
      <c r="AM172" s="747">
        <f t="shared" ca="1" si="39"/>
        <v>0</v>
      </c>
      <c r="AN172" s="747">
        <f t="shared" si="40"/>
        <v>0</v>
      </c>
      <c r="AO172" s="741"/>
      <c r="AP172" s="747">
        <f t="shared" ca="1" si="41"/>
        <v>0</v>
      </c>
      <c r="AQ172" s="747">
        <v>54</v>
      </c>
      <c r="AR172" s="747">
        <f t="shared" ca="1" si="42"/>
        <v>0</v>
      </c>
      <c r="AS172" s="747">
        <f t="shared" ca="1" si="43"/>
        <v>0</v>
      </c>
      <c r="AT172" s="747">
        <f t="shared" si="44"/>
        <v>0</v>
      </c>
      <c r="AU172" s="741"/>
      <c r="AV172" s="747">
        <f t="shared" ca="1" si="45"/>
        <v>0</v>
      </c>
      <c r="AW172" s="747">
        <v>54</v>
      </c>
      <c r="AX172" s="747">
        <f t="shared" ca="1" si="46"/>
        <v>0</v>
      </c>
      <c r="AY172" s="747">
        <f t="shared" ca="1" si="47"/>
        <v>0</v>
      </c>
      <c r="AZ172" s="747">
        <f t="shared" si="48"/>
        <v>0</v>
      </c>
      <c r="BA172" s="741"/>
      <c r="BB172" s="747">
        <f t="shared" ca="1" si="49"/>
        <v>0</v>
      </c>
      <c r="BC172" s="747">
        <v>54</v>
      </c>
      <c r="BD172" s="747">
        <f t="shared" si="50"/>
        <v>0</v>
      </c>
      <c r="BE172" s="747">
        <f t="shared" si="51"/>
        <v>0</v>
      </c>
      <c r="BF172" s="747">
        <f t="shared" si="52"/>
        <v>0</v>
      </c>
      <c r="BG172" s="741"/>
      <c r="BH172" s="747">
        <f t="shared" si="53"/>
        <v>0</v>
      </c>
      <c r="BI172" s="747">
        <v>54</v>
      </c>
      <c r="BJ172" s="747">
        <f t="shared" si="54"/>
        <v>0</v>
      </c>
      <c r="BK172" s="747">
        <f t="shared" si="55"/>
        <v>0</v>
      </c>
      <c r="BL172" s="747">
        <f t="shared" si="56"/>
        <v>0</v>
      </c>
      <c r="BM172" s="741"/>
      <c r="BN172" s="747">
        <f t="shared" si="57"/>
        <v>0</v>
      </c>
      <c r="BO172" s="747">
        <v>54</v>
      </c>
      <c r="BP172" s="747">
        <f t="shared" si="58"/>
        <v>0</v>
      </c>
      <c r="BQ172" s="747">
        <f t="shared" si="59"/>
        <v>0</v>
      </c>
      <c r="BR172" s="747">
        <f t="shared" si="60"/>
        <v>0</v>
      </c>
      <c r="BS172" s="741"/>
      <c r="BT172" s="747">
        <f t="shared" si="61"/>
        <v>0</v>
      </c>
      <c r="BU172" s="750"/>
      <c r="BV172" s="750"/>
      <c r="BW172" s="750"/>
      <c r="BX172" s="750"/>
      <c r="BY172" s="750"/>
      <c r="BZ172" s="750"/>
      <c r="CA172" s="750"/>
      <c r="CB172" s="750"/>
      <c r="CC172" s="750"/>
      <c r="CD172" s="750"/>
      <c r="CE172" s="750"/>
      <c r="CF172" s="750"/>
      <c r="CG172" s="750"/>
      <c r="CH172" s="750"/>
      <c r="CI172" s="750"/>
      <c r="CJ172" s="750"/>
      <c r="CK172" s="750"/>
      <c r="CL172" s="750"/>
      <c r="CM172" s="750"/>
      <c r="CN172" s="750"/>
    </row>
    <row r="173" spans="1:92" ht="15" customHeight="1">
      <c r="A173" s="737">
        <v>55</v>
      </c>
      <c r="B173" s="737">
        <f t="shared" ca="1" si="69"/>
        <v>0</v>
      </c>
      <c r="C173" s="737">
        <f t="shared" ca="1" si="69"/>
        <v>0</v>
      </c>
      <c r="D173" s="737">
        <f t="shared" si="69"/>
        <v>0</v>
      </c>
      <c r="E173" s="737">
        <f t="shared" si="69"/>
        <v>0</v>
      </c>
      <c r="F173" s="737">
        <f t="shared" ca="1" si="69"/>
        <v>0</v>
      </c>
      <c r="G173" s="747">
        <v>55</v>
      </c>
      <c r="H173" s="747">
        <f t="shared" ca="1" si="19"/>
        <v>0</v>
      </c>
      <c r="I173" s="747">
        <f t="shared" ca="1" si="20"/>
        <v>0</v>
      </c>
      <c r="J173" s="747">
        <f t="shared" si="21"/>
        <v>0</v>
      </c>
      <c r="K173" s="747"/>
      <c r="L173" s="747">
        <f t="shared" ca="1" si="62"/>
        <v>0</v>
      </c>
      <c r="M173" s="747">
        <v>55</v>
      </c>
      <c r="N173" s="747">
        <f t="shared" ca="1" si="22"/>
        <v>0</v>
      </c>
      <c r="O173" s="747">
        <f t="shared" ca="1" si="23"/>
        <v>0</v>
      </c>
      <c r="P173" s="747">
        <f t="shared" si="24"/>
        <v>0</v>
      </c>
      <c r="Q173" s="748"/>
      <c r="R173" s="747">
        <f t="shared" ca="1" si="25"/>
        <v>0</v>
      </c>
      <c r="S173" s="747">
        <v>55</v>
      </c>
      <c r="T173" s="747">
        <f t="shared" ca="1" si="26"/>
        <v>0</v>
      </c>
      <c r="U173" s="747">
        <f t="shared" ca="1" si="27"/>
        <v>0</v>
      </c>
      <c r="V173" s="747">
        <f t="shared" si="28"/>
        <v>0</v>
      </c>
      <c r="W173" s="749"/>
      <c r="X173" s="747">
        <f t="shared" ca="1" si="29"/>
        <v>0</v>
      </c>
      <c r="Y173" s="747">
        <v>55</v>
      </c>
      <c r="Z173" s="747">
        <f t="shared" ca="1" si="30"/>
        <v>0</v>
      </c>
      <c r="AA173" s="747">
        <f t="shared" ca="1" si="31"/>
        <v>0</v>
      </c>
      <c r="AB173" s="747">
        <f t="shared" si="32"/>
        <v>0</v>
      </c>
      <c r="AC173" s="747"/>
      <c r="AD173" s="747">
        <f t="shared" ca="1" si="33"/>
        <v>0</v>
      </c>
      <c r="AE173" s="747">
        <v>55</v>
      </c>
      <c r="AF173" s="747">
        <f t="shared" ca="1" si="34"/>
        <v>0</v>
      </c>
      <c r="AG173" s="747">
        <f t="shared" ca="1" si="35"/>
        <v>0</v>
      </c>
      <c r="AH173" s="747">
        <f t="shared" si="36"/>
        <v>0</v>
      </c>
      <c r="AI173" s="741"/>
      <c r="AJ173" s="747">
        <f t="shared" ca="1" si="37"/>
        <v>0</v>
      </c>
      <c r="AK173" s="747">
        <v>55</v>
      </c>
      <c r="AL173" s="747">
        <f t="shared" ca="1" si="38"/>
        <v>0</v>
      </c>
      <c r="AM173" s="747">
        <f t="shared" ca="1" si="39"/>
        <v>0</v>
      </c>
      <c r="AN173" s="747">
        <f t="shared" si="40"/>
        <v>0</v>
      </c>
      <c r="AO173" s="741"/>
      <c r="AP173" s="747">
        <f t="shared" ca="1" si="41"/>
        <v>0</v>
      </c>
      <c r="AQ173" s="747">
        <v>55</v>
      </c>
      <c r="AR173" s="747">
        <f t="shared" ca="1" si="42"/>
        <v>0</v>
      </c>
      <c r="AS173" s="747">
        <f t="shared" ca="1" si="43"/>
        <v>0</v>
      </c>
      <c r="AT173" s="747">
        <f t="shared" si="44"/>
        <v>0</v>
      </c>
      <c r="AU173" s="741"/>
      <c r="AV173" s="747">
        <f t="shared" ca="1" si="45"/>
        <v>0</v>
      </c>
      <c r="AW173" s="747">
        <v>55</v>
      </c>
      <c r="AX173" s="747">
        <f t="shared" ca="1" si="46"/>
        <v>0</v>
      </c>
      <c r="AY173" s="747">
        <f t="shared" ca="1" si="47"/>
        <v>0</v>
      </c>
      <c r="AZ173" s="747">
        <f t="shared" si="48"/>
        <v>0</v>
      </c>
      <c r="BA173" s="741"/>
      <c r="BB173" s="747">
        <f t="shared" ca="1" si="49"/>
        <v>0</v>
      </c>
      <c r="BC173" s="747">
        <v>55</v>
      </c>
      <c r="BD173" s="747">
        <f t="shared" si="50"/>
        <v>0</v>
      </c>
      <c r="BE173" s="747">
        <f t="shared" si="51"/>
        <v>0</v>
      </c>
      <c r="BF173" s="747">
        <f t="shared" si="52"/>
        <v>0</v>
      </c>
      <c r="BG173" s="741"/>
      <c r="BH173" s="747">
        <f t="shared" si="53"/>
        <v>0</v>
      </c>
      <c r="BI173" s="747">
        <v>55</v>
      </c>
      <c r="BJ173" s="747">
        <f t="shared" si="54"/>
        <v>0</v>
      </c>
      <c r="BK173" s="747">
        <f t="shared" si="55"/>
        <v>0</v>
      </c>
      <c r="BL173" s="747">
        <f t="shared" si="56"/>
        <v>0</v>
      </c>
      <c r="BM173" s="741"/>
      <c r="BN173" s="747">
        <f t="shared" si="57"/>
        <v>0</v>
      </c>
      <c r="BO173" s="747">
        <v>55</v>
      </c>
      <c r="BP173" s="747">
        <f t="shared" si="58"/>
        <v>0</v>
      </c>
      <c r="BQ173" s="747">
        <f t="shared" si="59"/>
        <v>0</v>
      </c>
      <c r="BR173" s="747">
        <f t="shared" si="60"/>
        <v>0</v>
      </c>
      <c r="BS173" s="741"/>
      <c r="BT173" s="747">
        <f t="shared" si="61"/>
        <v>0</v>
      </c>
      <c r="BU173" s="750"/>
      <c r="BV173" s="750"/>
      <c r="BW173" s="750"/>
      <c r="BX173" s="750"/>
      <c r="BY173" s="750"/>
      <c r="BZ173" s="750"/>
      <c r="CA173" s="750"/>
      <c r="CB173" s="750"/>
      <c r="CC173" s="750"/>
      <c r="CD173" s="750"/>
      <c r="CE173" s="750"/>
      <c r="CF173" s="750"/>
      <c r="CG173" s="750"/>
      <c r="CH173" s="750"/>
      <c r="CI173" s="750"/>
      <c r="CJ173" s="750"/>
      <c r="CK173" s="750"/>
      <c r="CL173" s="750"/>
      <c r="CM173" s="750"/>
      <c r="CN173" s="750"/>
    </row>
    <row r="174" spans="1:92" ht="15" customHeight="1">
      <c r="A174" s="737">
        <v>56</v>
      </c>
      <c r="B174" s="737">
        <f t="shared" ca="1" si="69"/>
        <v>0</v>
      </c>
      <c r="C174" s="737">
        <f t="shared" ca="1" si="69"/>
        <v>0</v>
      </c>
      <c r="D174" s="737">
        <f t="shared" si="69"/>
        <v>0</v>
      </c>
      <c r="E174" s="737">
        <f t="shared" si="69"/>
        <v>0</v>
      </c>
      <c r="F174" s="737">
        <f t="shared" ca="1" si="69"/>
        <v>0</v>
      </c>
      <c r="G174" s="747">
        <v>56</v>
      </c>
      <c r="H174" s="747">
        <f t="shared" ca="1" si="19"/>
        <v>0</v>
      </c>
      <c r="I174" s="747">
        <f t="shared" ca="1" si="20"/>
        <v>0</v>
      </c>
      <c r="J174" s="747">
        <f t="shared" si="21"/>
        <v>0</v>
      </c>
      <c r="K174" s="747"/>
      <c r="L174" s="747">
        <f t="shared" ca="1" si="62"/>
        <v>0</v>
      </c>
      <c r="M174" s="747">
        <v>56</v>
      </c>
      <c r="N174" s="747">
        <f t="shared" ca="1" si="22"/>
        <v>0</v>
      </c>
      <c r="O174" s="747">
        <f t="shared" ca="1" si="23"/>
        <v>0</v>
      </c>
      <c r="P174" s="747">
        <f t="shared" si="24"/>
        <v>0</v>
      </c>
      <c r="Q174" s="748"/>
      <c r="R174" s="747">
        <f t="shared" ca="1" si="25"/>
        <v>0</v>
      </c>
      <c r="S174" s="747">
        <v>56</v>
      </c>
      <c r="T174" s="747">
        <f t="shared" ca="1" si="26"/>
        <v>0</v>
      </c>
      <c r="U174" s="747">
        <f t="shared" ca="1" si="27"/>
        <v>0</v>
      </c>
      <c r="V174" s="747">
        <f t="shared" si="28"/>
        <v>0</v>
      </c>
      <c r="W174" s="749"/>
      <c r="X174" s="747">
        <f t="shared" ca="1" si="29"/>
        <v>0</v>
      </c>
      <c r="Y174" s="747">
        <v>56</v>
      </c>
      <c r="Z174" s="747">
        <f t="shared" ca="1" si="30"/>
        <v>0</v>
      </c>
      <c r="AA174" s="747">
        <f t="shared" ca="1" si="31"/>
        <v>0</v>
      </c>
      <c r="AB174" s="747">
        <f t="shared" si="32"/>
        <v>0</v>
      </c>
      <c r="AC174" s="747"/>
      <c r="AD174" s="747">
        <f t="shared" ca="1" si="33"/>
        <v>0</v>
      </c>
      <c r="AE174" s="747">
        <v>56</v>
      </c>
      <c r="AF174" s="747">
        <f t="shared" ca="1" si="34"/>
        <v>0</v>
      </c>
      <c r="AG174" s="747">
        <f t="shared" ca="1" si="35"/>
        <v>0</v>
      </c>
      <c r="AH174" s="747">
        <f t="shared" si="36"/>
        <v>0</v>
      </c>
      <c r="AI174" s="741"/>
      <c r="AJ174" s="747">
        <f t="shared" ca="1" si="37"/>
        <v>0</v>
      </c>
      <c r="AK174" s="747">
        <v>56</v>
      </c>
      <c r="AL174" s="747">
        <f t="shared" ca="1" si="38"/>
        <v>0</v>
      </c>
      <c r="AM174" s="747">
        <f t="shared" ca="1" si="39"/>
        <v>0</v>
      </c>
      <c r="AN174" s="747">
        <f t="shared" si="40"/>
        <v>0</v>
      </c>
      <c r="AO174" s="741"/>
      <c r="AP174" s="747">
        <f t="shared" ca="1" si="41"/>
        <v>0</v>
      </c>
      <c r="AQ174" s="747">
        <v>56</v>
      </c>
      <c r="AR174" s="747">
        <f t="shared" ca="1" si="42"/>
        <v>0</v>
      </c>
      <c r="AS174" s="747">
        <f t="shared" ca="1" si="43"/>
        <v>0</v>
      </c>
      <c r="AT174" s="747">
        <f t="shared" si="44"/>
        <v>0</v>
      </c>
      <c r="AU174" s="741"/>
      <c r="AV174" s="747">
        <f t="shared" ca="1" si="45"/>
        <v>0</v>
      </c>
      <c r="AW174" s="747">
        <v>56</v>
      </c>
      <c r="AX174" s="747">
        <f t="shared" ca="1" si="46"/>
        <v>0</v>
      </c>
      <c r="AY174" s="747">
        <f t="shared" ca="1" si="47"/>
        <v>0</v>
      </c>
      <c r="AZ174" s="747">
        <f t="shared" si="48"/>
        <v>0</v>
      </c>
      <c r="BA174" s="741"/>
      <c r="BB174" s="747">
        <f t="shared" ca="1" si="49"/>
        <v>0</v>
      </c>
      <c r="BC174" s="747">
        <v>56</v>
      </c>
      <c r="BD174" s="747">
        <f t="shared" si="50"/>
        <v>0</v>
      </c>
      <c r="BE174" s="747">
        <f t="shared" si="51"/>
        <v>0</v>
      </c>
      <c r="BF174" s="747">
        <f t="shared" si="52"/>
        <v>0</v>
      </c>
      <c r="BG174" s="741"/>
      <c r="BH174" s="747">
        <f t="shared" si="53"/>
        <v>0</v>
      </c>
      <c r="BI174" s="747">
        <v>56</v>
      </c>
      <c r="BJ174" s="747">
        <f t="shared" si="54"/>
        <v>0</v>
      </c>
      <c r="BK174" s="747">
        <f t="shared" si="55"/>
        <v>0</v>
      </c>
      <c r="BL174" s="747">
        <f t="shared" si="56"/>
        <v>0</v>
      </c>
      <c r="BM174" s="741"/>
      <c r="BN174" s="747">
        <f t="shared" si="57"/>
        <v>0</v>
      </c>
      <c r="BO174" s="747">
        <v>56</v>
      </c>
      <c r="BP174" s="747">
        <f t="shared" si="58"/>
        <v>0</v>
      </c>
      <c r="BQ174" s="747">
        <f t="shared" si="59"/>
        <v>0</v>
      </c>
      <c r="BR174" s="747">
        <f t="shared" si="60"/>
        <v>0</v>
      </c>
      <c r="BS174" s="741"/>
      <c r="BT174" s="747">
        <f t="shared" si="61"/>
        <v>0</v>
      </c>
      <c r="BU174" s="750"/>
      <c r="BV174" s="750"/>
      <c r="BW174" s="750"/>
      <c r="BX174" s="750"/>
      <c r="BY174" s="750"/>
      <c r="BZ174" s="750"/>
      <c r="CA174" s="750"/>
      <c r="CB174" s="750"/>
      <c r="CC174" s="750"/>
      <c r="CD174" s="750"/>
      <c r="CE174" s="750"/>
      <c r="CF174" s="750"/>
      <c r="CG174" s="750"/>
      <c r="CH174" s="750"/>
      <c r="CI174" s="750"/>
      <c r="CJ174" s="750"/>
      <c r="CK174" s="750"/>
      <c r="CL174" s="750"/>
      <c r="CM174" s="750"/>
      <c r="CN174" s="750"/>
    </row>
    <row r="175" spans="1:92" ht="15" customHeight="1">
      <c r="A175" s="737">
        <v>57</v>
      </c>
      <c r="B175" s="737">
        <f t="shared" ca="1" si="69"/>
        <v>0</v>
      </c>
      <c r="C175" s="737">
        <f t="shared" ca="1" si="69"/>
        <v>0</v>
      </c>
      <c r="D175" s="737">
        <f t="shared" si="69"/>
        <v>0</v>
      </c>
      <c r="E175" s="737">
        <f t="shared" si="69"/>
        <v>0</v>
      </c>
      <c r="F175" s="737">
        <f t="shared" ca="1" si="69"/>
        <v>0</v>
      </c>
      <c r="G175" s="747">
        <v>57</v>
      </c>
      <c r="H175" s="747">
        <f t="shared" ca="1" si="19"/>
        <v>0</v>
      </c>
      <c r="I175" s="747">
        <f t="shared" ca="1" si="20"/>
        <v>0</v>
      </c>
      <c r="J175" s="747">
        <f t="shared" si="21"/>
        <v>0</v>
      </c>
      <c r="K175" s="747"/>
      <c r="L175" s="747">
        <f t="shared" ca="1" si="62"/>
        <v>0</v>
      </c>
      <c r="M175" s="747">
        <v>57</v>
      </c>
      <c r="N175" s="747">
        <f t="shared" ca="1" si="22"/>
        <v>0</v>
      </c>
      <c r="O175" s="747">
        <f t="shared" ca="1" si="23"/>
        <v>0</v>
      </c>
      <c r="P175" s="747">
        <f t="shared" si="24"/>
        <v>0</v>
      </c>
      <c r="Q175" s="748"/>
      <c r="R175" s="747">
        <f t="shared" ca="1" si="25"/>
        <v>0</v>
      </c>
      <c r="S175" s="747">
        <v>57</v>
      </c>
      <c r="T175" s="747">
        <f t="shared" ca="1" si="26"/>
        <v>0</v>
      </c>
      <c r="U175" s="747">
        <f t="shared" ca="1" si="27"/>
        <v>0</v>
      </c>
      <c r="V175" s="747">
        <f t="shared" si="28"/>
        <v>0</v>
      </c>
      <c r="W175" s="749"/>
      <c r="X175" s="747">
        <f t="shared" ca="1" si="29"/>
        <v>0</v>
      </c>
      <c r="Y175" s="747">
        <v>57</v>
      </c>
      <c r="Z175" s="747">
        <f t="shared" ca="1" si="30"/>
        <v>0</v>
      </c>
      <c r="AA175" s="747">
        <f t="shared" ca="1" si="31"/>
        <v>0</v>
      </c>
      <c r="AB175" s="747">
        <f t="shared" si="32"/>
        <v>0</v>
      </c>
      <c r="AC175" s="747"/>
      <c r="AD175" s="747">
        <f t="shared" ca="1" si="33"/>
        <v>0</v>
      </c>
      <c r="AE175" s="747">
        <v>57</v>
      </c>
      <c r="AF175" s="747">
        <f t="shared" ca="1" si="34"/>
        <v>0</v>
      </c>
      <c r="AG175" s="747">
        <f t="shared" ca="1" si="35"/>
        <v>0</v>
      </c>
      <c r="AH175" s="747">
        <f t="shared" si="36"/>
        <v>0</v>
      </c>
      <c r="AI175" s="741"/>
      <c r="AJ175" s="747">
        <f t="shared" ca="1" si="37"/>
        <v>0</v>
      </c>
      <c r="AK175" s="747">
        <v>57</v>
      </c>
      <c r="AL175" s="747">
        <f t="shared" ca="1" si="38"/>
        <v>0</v>
      </c>
      <c r="AM175" s="747">
        <f t="shared" ca="1" si="39"/>
        <v>0</v>
      </c>
      <c r="AN175" s="747">
        <f t="shared" si="40"/>
        <v>0</v>
      </c>
      <c r="AO175" s="741"/>
      <c r="AP175" s="747">
        <f t="shared" ca="1" si="41"/>
        <v>0</v>
      </c>
      <c r="AQ175" s="747">
        <v>57</v>
      </c>
      <c r="AR175" s="747">
        <f t="shared" ca="1" si="42"/>
        <v>0</v>
      </c>
      <c r="AS175" s="747">
        <f t="shared" ca="1" si="43"/>
        <v>0</v>
      </c>
      <c r="AT175" s="747">
        <f t="shared" si="44"/>
        <v>0</v>
      </c>
      <c r="AU175" s="741"/>
      <c r="AV175" s="747">
        <f t="shared" ca="1" si="45"/>
        <v>0</v>
      </c>
      <c r="AW175" s="747">
        <v>57</v>
      </c>
      <c r="AX175" s="747">
        <f t="shared" ca="1" si="46"/>
        <v>0</v>
      </c>
      <c r="AY175" s="747">
        <f t="shared" ca="1" si="47"/>
        <v>0</v>
      </c>
      <c r="AZ175" s="747">
        <f t="shared" si="48"/>
        <v>0</v>
      </c>
      <c r="BA175" s="741"/>
      <c r="BB175" s="747">
        <f t="shared" ca="1" si="49"/>
        <v>0</v>
      </c>
      <c r="BC175" s="747">
        <v>57</v>
      </c>
      <c r="BD175" s="747">
        <f t="shared" si="50"/>
        <v>0</v>
      </c>
      <c r="BE175" s="747">
        <f t="shared" si="51"/>
        <v>0</v>
      </c>
      <c r="BF175" s="747">
        <f t="shared" si="52"/>
        <v>0</v>
      </c>
      <c r="BG175" s="741"/>
      <c r="BH175" s="747">
        <f t="shared" si="53"/>
        <v>0</v>
      </c>
      <c r="BI175" s="747">
        <v>57</v>
      </c>
      <c r="BJ175" s="747">
        <f t="shared" si="54"/>
        <v>0</v>
      </c>
      <c r="BK175" s="747">
        <f t="shared" si="55"/>
        <v>0</v>
      </c>
      <c r="BL175" s="747">
        <f t="shared" si="56"/>
        <v>0</v>
      </c>
      <c r="BM175" s="741"/>
      <c r="BN175" s="747">
        <f t="shared" si="57"/>
        <v>0</v>
      </c>
      <c r="BO175" s="747">
        <v>57</v>
      </c>
      <c r="BP175" s="747">
        <f t="shared" si="58"/>
        <v>0</v>
      </c>
      <c r="BQ175" s="747">
        <f t="shared" si="59"/>
        <v>0</v>
      </c>
      <c r="BR175" s="747">
        <f t="shared" si="60"/>
        <v>0</v>
      </c>
      <c r="BS175" s="741"/>
      <c r="BT175" s="747">
        <f t="shared" si="61"/>
        <v>0</v>
      </c>
      <c r="BU175" s="750"/>
      <c r="BV175" s="750"/>
      <c r="BW175" s="750"/>
      <c r="BX175" s="750"/>
      <c r="BY175" s="750"/>
      <c r="BZ175" s="750"/>
      <c r="CA175" s="750"/>
      <c r="CB175" s="750"/>
      <c r="CC175" s="750"/>
      <c r="CD175" s="750"/>
      <c r="CE175" s="750"/>
      <c r="CF175" s="750"/>
      <c r="CG175" s="750"/>
      <c r="CH175" s="750"/>
      <c r="CI175" s="750"/>
      <c r="CJ175" s="750"/>
      <c r="CK175" s="750"/>
      <c r="CL175" s="750"/>
      <c r="CM175" s="750"/>
      <c r="CN175" s="750"/>
    </row>
    <row r="176" spans="1:92" ht="15" customHeight="1">
      <c r="A176" s="737">
        <v>58</v>
      </c>
      <c r="B176" s="737">
        <f t="shared" ca="1" si="69"/>
        <v>0</v>
      </c>
      <c r="C176" s="737">
        <f t="shared" ca="1" si="69"/>
        <v>0</v>
      </c>
      <c r="D176" s="737">
        <f t="shared" si="69"/>
        <v>0</v>
      </c>
      <c r="E176" s="737">
        <f t="shared" si="69"/>
        <v>0</v>
      </c>
      <c r="F176" s="737">
        <f t="shared" ca="1" si="69"/>
        <v>0</v>
      </c>
      <c r="G176" s="747">
        <v>58</v>
      </c>
      <c r="H176" s="747">
        <f t="shared" ca="1" si="19"/>
        <v>0</v>
      </c>
      <c r="I176" s="747">
        <f t="shared" ca="1" si="20"/>
        <v>0</v>
      </c>
      <c r="J176" s="747">
        <f t="shared" si="21"/>
        <v>0</v>
      </c>
      <c r="K176" s="747"/>
      <c r="L176" s="747">
        <f t="shared" ca="1" si="62"/>
        <v>0</v>
      </c>
      <c r="M176" s="747">
        <v>58</v>
      </c>
      <c r="N176" s="747">
        <f t="shared" ca="1" si="22"/>
        <v>0</v>
      </c>
      <c r="O176" s="747">
        <f t="shared" ca="1" si="23"/>
        <v>0</v>
      </c>
      <c r="P176" s="747">
        <f t="shared" si="24"/>
        <v>0</v>
      </c>
      <c r="Q176" s="748"/>
      <c r="R176" s="747">
        <f t="shared" ca="1" si="25"/>
        <v>0</v>
      </c>
      <c r="S176" s="747">
        <v>58</v>
      </c>
      <c r="T176" s="747">
        <f t="shared" ca="1" si="26"/>
        <v>0</v>
      </c>
      <c r="U176" s="747">
        <f t="shared" ca="1" si="27"/>
        <v>0</v>
      </c>
      <c r="V176" s="747">
        <f t="shared" si="28"/>
        <v>0</v>
      </c>
      <c r="W176" s="749"/>
      <c r="X176" s="747">
        <f t="shared" ca="1" si="29"/>
        <v>0</v>
      </c>
      <c r="Y176" s="747">
        <v>58</v>
      </c>
      <c r="Z176" s="747">
        <f t="shared" ca="1" si="30"/>
        <v>0</v>
      </c>
      <c r="AA176" s="747">
        <f t="shared" ca="1" si="31"/>
        <v>0</v>
      </c>
      <c r="AB176" s="747">
        <f t="shared" si="32"/>
        <v>0</v>
      </c>
      <c r="AC176" s="747"/>
      <c r="AD176" s="747">
        <f t="shared" ca="1" si="33"/>
        <v>0</v>
      </c>
      <c r="AE176" s="747">
        <v>58</v>
      </c>
      <c r="AF176" s="747">
        <f t="shared" ca="1" si="34"/>
        <v>0</v>
      </c>
      <c r="AG176" s="747">
        <f t="shared" ca="1" si="35"/>
        <v>0</v>
      </c>
      <c r="AH176" s="747">
        <f t="shared" si="36"/>
        <v>0</v>
      </c>
      <c r="AI176" s="741"/>
      <c r="AJ176" s="747">
        <f t="shared" ca="1" si="37"/>
        <v>0</v>
      </c>
      <c r="AK176" s="747">
        <v>58</v>
      </c>
      <c r="AL176" s="747">
        <f t="shared" ca="1" si="38"/>
        <v>0</v>
      </c>
      <c r="AM176" s="747">
        <f t="shared" ca="1" si="39"/>
        <v>0</v>
      </c>
      <c r="AN176" s="747">
        <f t="shared" si="40"/>
        <v>0</v>
      </c>
      <c r="AO176" s="741"/>
      <c r="AP176" s="747">
        <f t="shared" ca="1" si="41"/>
        <v>0</v>
      </c>
      <c r="AQ176" s="747">
        <v>58</v>
      </c>
      <c r="AR176" s="747">
        <f t="shared" ca="1" si="42"/>
        <v>0</v>
      </c>
      <c r="AS176" s="747">
        <f t="shared" ca="1" si="43"/>
        <v>0</v>
      </c>
      <c r="AT176" s="747">
        <f t="shared" si="44"/>
        <v>0</v>
      </c>
      <c r="AU176" s="741"/>
      <c r="AV176" s="747">
        <f t="shared" ca="1" si="45"/>
        <v>0</v>
      </c>
      <c r="AW176" s="747">
        <v>58</v>
      </c>
      <c r="AX176" s="747">
        <f t="shared" ca="1" si="46"/>
        <v>0</v>
      </c>
      <c r="AY176" s="747">
        <f t="shared" ca="1" si="47"/>
        <v>0</v>
      </c>
      <c r="AZ176" s="747">
        <f t="shared" si="48"/>
        <v>0</v>
      </c>
      <c r="BA176" s="741"/>
      <c r="BB176" s="747">
        <f t="shared" ca="1" si="49"/>
        <v>0</v>
      </c>
      <c r="BC176" s="747">
        <v>58</v>
      </c>
      <c r="BD176" s="747">
        <f t="shared" si="50"/>
        <v>0</v>
      </c>
      <c r="BE176" s="747">
        <f t="shared" si="51"/>
        <v>0</v>
      </c>
      <c r="BF176" s="747">
        <f t="shared" si="52"/>
        <v>0</v>
      </c>
      <c r="BG176" s="741"/>
      <c r="BH176" s="747">
        <f t="shared" si="53"/>
        <v>0</v>
      </c>
      <c r="BI176" s="747">
        <v>58</v>
      </c>
      <c r="BJ176" s="747">
        <f t="shared" si="54"/>
        <v>0</v>
      </c>
      <c r="BK176" s="747">
        <f t="shared" si="55"/>
        <v>0</v>
      </c>
      <c r="BL176" s="747">
        <f t="shared" si="56"/>
        <v>0</v>
      </c>
      <c r="BM176" s="741"/>
      <c r="BN176" s="747">
        <f t="shared" si="57"/>
        <v>0</v>
      </c>
      <c r="BO176" s="747">
        <v>58</v>
      </c>
      <c r="BP176" s="747">
        <f t="shared" si="58"/>
        <v>0</v>
      </c>
      <c r="BQ176" s="747">
        <f t="shared" si="59"/>
        <v>0</v>
      </c>
      <c r="BR176" s="747">
        <f t="shared" si="60"/>
        <v>0</v>
      </c>
      <c r="BS176" s="741"/>
      <c r="BT176" s="747">
        <f t="shared" si="61"/>
        <v>0</v>
      </c>
      <c r="BU176" s="750"/>
      <c r="BV176" s="750"/>
      <c r="BW176" s="750"/>
      <c r="BX176" s="750"/>
      <c r="BY176" s="750"/>
      <c r="BZ176" s="750"/>
      <c r="CA176" s="750"/>
      <c r="CB176" s="750"/>
      <c r="CC176" s="750"/>
      <c r="CD176" s="750"/>
      <c r="CE176" s="750"/>
      <c r="CF176" s="750"/>
      <c r="CG176" s="750"/>
      <c r="CH176" s="750"/>
      <c r="CI176" s="750"/>
      <c r="CJ176" s="750"/>
      <c r="CK176" s="750"/>
      <c r="CL176" s="750"/>
      <c r="CM176" s="750"/>
      <c r="CN176" s="750"/>
    </row>
    <row r="177" spans="1:92" ht="15" customHeight="1">
      <c r="A177" s="737">
        <v>59</v>
      </c>
      <c r="B177" s="737">
        <f t="shared" ca="1" si="69"/>
        <v>0</v>
      </c>
      <c r="C177" s="737">
        <f t="shared" ca="1" si="69"/>
        <v>0</v>
      </c>
      <c r="D177" s="737">
        <f t="shared" si="69"/>
        <v>0</v>
      </c>
      <c r="E177" s="737">
        <f t="shared" si="69"/>
        <v>0</v>
      </c>
      <c r="F177" s="737">
        <f t="shared" ca="1" si="69"/>
        <v>0</v>
      </c>
      <c r="G177" s="747">
        <v>59</v>
      </c>
      <c r="H177" s="747">
        <f t="shared" ca="1" si="19"/>
        <v>0</v>
      </c>
      <c r="I177" s="747">
        <f t="shared" ca="1" si="20"/>
        <v>0</v>
      </c>
      <c r="J177" s="747">
        <f t="shared" si="21"/>
        <v>0</v>
      </c>
      <c r="K177" s="747"/>
      <c r="L177" s="747">
        <f t="shared" ca="1" si="62"/>
        <v>0</v>
      </c>
      <c r="M177" s="747">
        <v>59</v>
      </c>
      <c r="N177" s="747">
        <f t="shared" ca="1" si="22"/>
        <v>0</v>
      </c>
      <c r="O177" s="747">
        <f t="shared" ca="1" si="23"/>
        <v>0</v>
      </c>
      <c r="P177" s="747">
        <f t="shared" si="24"/>
        <v>0</v>
      </c>
      <c r="Q177" s="748"/>
      <c r="R177" s="747">
        <f t="shared" ca="1" si="25"/>
        <v>0</v>
      </c>
      <c r="S177" s="747">
        <v>59</v>
      </c>
      <c r="T177" s="747">
        <f t="shared" ca="1" si="26"/>
        <v>0</v>
      </c>
      <c r="U177" s="747">
        <f t="shared" ca="1" si="27"/>
        <v>0</v>
      </c>
      <c r="V177" s="747">
        <f t="shared" si="28"/>
        <v>0</v>
      </c>
      <c r="W177" s="749"/>
      <c r="X177" s="747">
        <f t="shared" ca="1" si="29"/>
        <v>0</v>
      </c>
      <c r="Y177" s="747">
        <v>59</v>
      </c>
      <c r="Z177" s="747">
        <f t="shared" ca="1" si="30"/>
        <v>0</v>
      </c>
      <c r="AA177" s="747">
        <f t="shared" ca="1" si="31"/>
        <v>0</v>
      </c>
      <c r="AB177" s="747">
        <f t="shared" si="32"/>
        <v>0</v>
      </c>
      <c r="AC177" s="747"/>
      <c r="AD177" s="747">
        <f t="shared" ca="1" si="33"/>
        <v>0</v>
      </c>
      <c r="AE177" s="747">
        <v>59</v>
      </c>
      <c r="AF177" s="747">
        <f t="shared" ca="1" si="34"/>
        <v>0</v>
      </c>
      <c r="AG177" s="747">
        <f t="shared" ca="1" si="35"/>
        <v>0</v>
      </c>
      <c r="AH177" s="747">
        <f t="shared" si="36"/>
        <v>0</v>
      </c>
      <c r="AI177" s="741"/>
      <c r="AJ177" s="747">
        <f t="shared" ca="1" si="37"/>
        <v>0</v>
      </c>
      <c r="AK177" s="747">
        <v>59</v>
      </c>
      <c r="AL177" s="747">
        <f t="shared" ca="1" si="38"/>
        <v>0</v>
      </c>
      <c r="AM177" s="747">
        <f t="shared" ca="1" si="39"/>
        <v>0</v>
      </c>
      <c r="AN177" s="747">
        <f t="shared" si="40"/>
        <v>0</v>
      </c>
      <c r="AO177" s="741"/>
      <c r="AP177" s="747">
        <f t="shared" ca="1" si="41"/>
        <v>0</v>
      </c>
      <c r="AQ177" s="747">
        <v>59</v>
      </c>
      <c r="AR177" s="747">
        <f t="shared" ca="1" si="42"/>
        <v>0</v>
      </c>
      <c r="AS177" s="747">
        <f t="shared" ca="1" si="43"/>
        <v>0</v>
      </c>
      <c r="AT177" s="747">
        <f t="shared" si="44"/>
        <v>0</v>
      </c>
      <c r="AU177" s="741"/>
      <c r="AV177" s="747">
        <f t="shared" ca="1" si="45"/>
        <v>0</v>
      </c>
      <c r="AW177" s="747">
        <v>59</v>
      </c>
      <c r="AX177" s="747">
        <f t="shared" ca="1" si="46"/>
        <v>0</v>
      </c>
      <c r="AY177" s="747">
        <f t="shared" ca="1" si="47"/>
        <v>0</v>
      </c>
      <c r="AZ177" s="747">
        <f t="shared" si="48"/>
        <v>0</v>
      </c>
      <c r="BA177" s="741"/>
      <c r="BB177" s="747">
        <f t="shared" ca="1" si="49"/>
        <v>0</v>
      </c>
      <c r="BC177" s="747">
        <v>59</v>
      </c>
      <c r="BD177" s="747">
        <f t="shared" si="50"/>
        <v>0</v>
      </c>
      <c r="BE177" s="747">
        <f t="shared" si="51"/>
        <v>0</v>
      </c>
      <c r="BF177" s="747">
        <f t="shared" si="52"/>
        <v>0</v>
      </c>
      <c r="BG177" s="741"/>
      <c r="BH177" s="747">
        <f t="shared" si="53"/>
        <v>0</v>
      </c>
      <c r="BI177" s="747">
        <v>59</v>
      </c>
      <c r="BJ177" s="747">
        <f t="shared" si="54"/>
        <v>0</v>
      </c>
      <c r="BK177" s="747">
        <f t="shared" si="55"/>
        <v>0</v>
      </c>
      <c r="BL177" s="747">
        <f t="shared" si="56"/>
        <v>0</v>
      </c>
      <c r="BM177" s="741"/>
      <c r="BN177" s="747">
        <f t="shared" si="57"/>
        <v>0</v>
      </c>
      <c r="BO177" s="747">
        <v>59</v>
      </c>
      <c r="BP177" s="747">
        <f t="shared" si="58"/>
        <v>0</v>
      </c>
      <c r="BQ177" s="747">
        <f t="shared" si="59"/>
        <v>0</v>
      </c>
      <c r="BR177" s="747">
        <f t="shared" si="60"/>
        <v>0</v>
      </c>
      <c r="BS177" s="741"/>
      <c r="BT177" s="747">
        <f t="shared" si="61"/>
        <v>0</v>
      </c>
      <c r="BU177" s="750"/>
      <c r="BV177" s="750"/>
      <c r="BW177" s="750"/>
      <c r="BX177" s="750"/>
      <c r="BY177" s="750"/>
      <c r="BZ177" s="750"/>
      <c r="CA177" s="750"/>
      <c r="CB177" s="750"/>
      <c r="CC177" s="750"/>
      <c r="CD177" s="750"/>
      <c r="CE177" s="750"/>
      <c r="CF177" s="750"/>
      <c r="CG177" s="750"/>
      <c r="CH177" s="750"/>
      <c r="CI177" s="750"/>
      <c r="CJ177" s="750"/>
      <c r="CK177" s="750"/>
      <c r="CL177" s="750"/>
      <c r="CM177" s="750"/>
      <c r="CN177" s="750"/>
    </row>
    <row r="178" spans="1:92" ht="15" customHeight="1">
      <c r="A178" s="737">
        <v>60</v>
      </c>
      <c r="B178" s="737">
        <f t="shared" ca="1" si="69"/>
        <v>0</v>
      </c>
      <c r="C178" s="737">
        <f t="shared" ca="1" si="69"/>
        <v>0</v>
      </c>
      <c r="D178" s="737">
        <f t="shared" si="69"/>
        <v>0</v>
      </c>
      <c r="E178" s="737">
        <f t="shared" si="69"/>
        <v>0</v>
      </c>
      <c r="F178" s="737">
        <f t="shared" ca="1" si="69"/>
        <v>0</v>
      </c>
      <c r="G178" s="747">
        <v>60</v>
      </c>
      <c r="H178" s="747">
        <f t="shared" ca="1" si="19"/>
        <v>0</v>
      </c>
      <c r="I178" s="747">
        <f t="shared" ca="1" si="20"/>
        <v>0</v>
      </c>
      <c r="J178" s="747">
        <f t="shared" si="21"/>
        <v>0</v>
      </c>
      <c r="K178" s="747"/>
      <c r="L178" s="747">
        <f t="shared" ca="1" si="62"/>
        <v>0</v>
      </c>
      <c r="M178" s="747">
        <v>60</v>
      </c>
      <c r="N178" s="747">
        <f t="shared" ca="1" si="22"/>
        <v>0</v>
      </c>
      <c r="O178" s="747">
        <f t="shared" ca="1" si="23"/>
        <v>0</v>
      </c>
      <c r="P178" s="747">
        <f t="shared" si="24"/>
        <v>0</v>
      </c>
      <c r="Q178" s="748"/>
      <c r="R178" s="747">
        <f t="shared" ca="1" si="25"/>
        <v>0</v>
      </c>
      <c r="S178" s="747">
        <v>60</v>
      </c>
      <c r="T178" s="747">
        <f t="shared" ca="1" si="26"/>
        <v>0</v>
      </c>
      <c r="U178" s="747">
        <f t="shared" ca="1" si="27"/>
        <v>0</v>
      </c>
      <c r="V178" s="747">
        <f t="shared" si="28"/>
        <v>0</v>
      </c>
      <c r="W178" s="749"/>
      <c r="X178" s="747">
        <f t="shared" ca="1" si="29"/>
        <v>0</v>
      </c>
      <c r="Y178" s="747">
        <v>60</v>
      </c>
      <c r="Z178" s="747">
        <f t="shared" ca="1" si="30"/>
        <v>0</v>
      </c>
      <c r="AA178" s="747">
        <f t="shared" ca="1" si="31"/>
        <v>0</v>
      </c>
      <c r="AB178" s="747">
        <f t="shared" si="32"/>
        <v>0</v>
      </c>
      <c r="AC178" s="747"/>
      <c r="AD178" s="747">
        <f t="shared" ca="1" si="33"/>
        <v>0</v>
      </c>
      <c r="AE178" s="747">
        <v>60</v>
      </c>
      <c r="AF178" s="747">
        <f t="shared" ca="1" si="34"/>
        <v>0</v>
      </c>
      <c r="AG178" s="747">
        <f t="shared" ca="1" si="35"/>
        <v>0</v>
      </c>
      <c r="AH178" s="747">
        <f t="shared" si="36"/>
        <v>0</v>
      </c>
      <c r="AI178" s="741"/>
      <c r="AJ178" s="747">
        <f t="shared" ca="1" si="37"/>
        <v>0</v>
      </c>
      <c r="AK178" s="747">
        <v>60</v>
      </c>
      <c r="AL178" s="747">
        <f t="shared" ca="1" si="38"/>
        <v>0</v>
      </c>
      <c r="AM178" s="747">
        <f t="shared" ca="1" si="39"/>
        <v>0</v>
      </c>
      <c r="AN178" s="747">
        <f t="shared" si="40"/>
        <v>0</v>
      </c>
      <c r="AO178" s="741"/>
      <c r="AP178" s="747">
        <f t="shared" ca="1" si="41"/>
        <v>0</v>
      </c>
      <c r="AQ178" s="747">
        <v>60</v>
      </c>
      <c r="AR178" s="747">
        <f t="shared" ca="1" si="42"/>
        <v>0</v>
      </c>
      <c r="AS178" s="747">
        <f t="shared" ca="1" si="43"/>
        <v>0</v>
      </c>
      <c r="AT178" s="747">
        <f t="shared" si="44"/>
        <v>0</v>
      </c>
      <c r="AU178" s="741"/>
      <c r="AV178" s="747">
        <f t="shared" ca="1" si="45"/>
        <v>0</v>
      </c>
      <c r="AW178" s="747">
        <v>60</v>
      </c>
      <c r="AX178" s="747">
        <f t="shared" ca="1" si="46"/>
        <v>0</v>
      </c>
      <c r="AY178" s="747">
        <f t="shared" ca="1" si="47"/>
        <v>0</v>
      </c>
      <c r="AZ178" s="747">
        <f t="shared" si="48"/>
        <v>0</v>
      </c>
      <c r="BA178" s="741"/>
      <c r="BB178" s="747">
        <f t="shared" ca="1" si="49"/>
        <v>0</v>
      </c>
      <c r="BC178" s="747">
        <v>60</v>
      </c>
      <c r="BD178" s="747">
        <f t="shared" si="50"/>
        <v>0</v>
      </c>
      <c r="BE178" s="747">
        <f t="shared" si="51"/>
        <v>0</v>
      </c>
      <c r="BF178" s="747">
        <f t="shared" si="52"/>
        <v>0</v>
      </c>
      <c r="BG178" s="741"/>
      <c r="BH178" s="747">
        <f t="shared" si="53"/>
        <v>0</v>
      </c>
      <c r="BI178" s="747">
        <v>60</v>
      </c>
      <c r="BJ178" s="747">
        <f t="shared" si="54"/>
        <v>0</v>
      </c>
      <c r="BK178" s="747">
        <f t="shared" si="55"/>
        <v>0</v>
      </c>
      <c r="BL178" s="747">
        <f t="shared" si="56"/>
        <v>0</v>
      </c>
      <c r="BM178" s="741"/>
      <c r="BN178" s="747">
        <f t="shared" si="57"/>
        <v>0</v>
      </c>
      <c r="BO178" s="747">
        <v>60</v>
      </c>
      <c r="BP178" s="747">
        <f t="shared" si="58"/>
        <v>0</v>
      </c>
      <c r="BQ178" s="747">
        <f t="shared" si="59"/>
        <v>0</v>
      </c>
      <c r="BR178" s="747">
        <f t="shared" si="60"/>
        <v>0</v>
      </c>
      <c r="BS178" s="741"/>
      <c r="BT178" s="747">
        <f t="shared" si="61"/>
        <v>0</v>
      </c>
      <c r="BU178" s="750"/>
      <c r="BV178" s="750"/>
      <c r="BW178" s="750"/>
      <c r="BX178" s="750"/>
      <c r="BY178" s="750"/>
      <c r="BZ178" s="750"/>
      <c r="CA178" s="750"/>
      <c r="CB178" s="750"/>
      <c r="CC178" s="750"/>
      <c r="CD178" s="750"/>
      <c r="CE178" s="750"/>
      <c r="CF178" s="750"/>
      <c r="CG178" s="750"/>
      <c r="CH178" s="750"/>
      <c r="CI178" s="750"/>
      <c r="CJ178" s="750"/>
      <c r="CK178" s="750"/>
      <c r="CL178" s="750"/>
      <c r="CM178" s="750"/>
      <c r="CN178" s="750"/>
    </row>
    <row r="179" spans="1:92" ht="15" customHeight="1">
      <c r="A179" s="737" t="s">
        <v>605</v>
      </c>
      <c r="B179" s="737" t="s">
        <v>605</v>
      </c>
      <c r="C179" s="737" t="s">
        <v>605</v>
      </c>
      <c r="D179" s="737" t="s">
        <v>605</v>
      </c>
      <c r="E179" s="737" t="s">
        <v>605</v>
      </c>
      <c r="F179" s="737" t="s">
        <v>605</v>
      </c>
    </row>
    <row r="180" spans="1:92" ht="15" customHeight="1">
      <c r="A180" s="737" t="s">
        <v>225</v>
      </c>
    </row>
    <row r="181" spans="1:92" ht="15" customHeight="1">
      <c r="A181" s="737" t="s">
        <v>223</v>
      </c>
      <c r="Y181" s="737" t="s">
        <v>391</v>
      </c>
      <c r="AE181" s="737" t="s">
        <v>392</v>
      </c>
      <c r="AK181" s="737" t="s">
        <v>393</v>
      </c>
      <c r="AQ181" s="737" t="s">
        <v>394</v>
      </c>
      <c r="AW181" s="737" t="s">
        <v>385</v>
      </c>
    </row>
    <row r="182" spans="1:92" ht="15" customHeight="1">
      <c r="A182" s="737" t="s">
        <v>605</v>
      </c>
      <c r="B182" s="737" t="s">
        <v>605</v>
      </c>
      <c r="C182" s="737" t="s">
        <v>605</v>
      </c>
      <c r="D182" s="737" t="s">
        <v>605</v>
      </c>
      <c r="E182" s="737" t="s">
        <v>605</v>
      </c>
      <c r="F182" s="737" t="s">
        <v>605</v>
      </c>
      <c r="G182" s="737" t="s">
        <v>216</v>
      </c>
      <c r="H182" s="737" t="s">
        <v>645</v>
      </c>
      <c r="I182" s="737" t="s">
        <v>224</v>
      </c>
      <c r="J182" s="737" t="s">
        <v>643</v>
      </c>
      <c r="L182" s="737" t="s">
        <v>647</v>
      </c>
      <c r="M182" s="737" t="s">
        <v>216</v>
      </c>
      <c r="N182" s="737" t="s">
        <v>645</v>
      </c>
      <c r="O182" s="737" t="s">
        <v>224</v>
      </c>
      <c r="P182" s="737" t="s">
        <v>643</v>
      </c>
      <c r="R182" s="737" t="s">
        <v>647</v>
      </c>
      <c r="S182" s="737" t="s">
        <v>216</v>
      </c>
      <c r="T182" s="737" t="s">
        <v>645</v>
      </c>
      <c r="U182" s="737" t="s">
        <v>224</v>
      </c>
      <c r="V182" s="737" t="s">
        <v>643</v>
      </c>
      <c r="X182" s="737" t="s">
        <v>647</v>
      </c>
      <c r="Y182" s="737" t="s">
        <v>216</v>
      </c>
      <c r="Z182" s="737" t="s">
        <v>645</v>
      </c>
      <c r="AA182" s="737" t="s">
        <v>224</v>
      </c>
      <c r="AB182" s="737" t="s">
        <v>643</v>
      </c>
      <c r="AD182" s="737" t="s">
        <v>647</v>
      </c>
      <c r="AE182" s="737" t="s">
        <v>216</v>
      </c>
      <c r="AF182" s="737" t="s">
        <v>645</v>
      </c>
      <c r="AG182" s="737" t="s">
        <v>224</v>
      </c>
      <c r="AH182" s="737" t="s">
        <v>643</v>
      </c>
      <c r="AJ182" s="737" t="s">
        <v>647</v>
      </c>
      <c r="AK182" s="737" t="s">
        <v>216</v>
      </c>
      <c r="AL182" s="737" t="s">
        <v>645</v>
      </c>
      <c r="AM182" s="737" t="s">
        <v>224</v>
      </c>
      <c r="AN182" s="737" t="s">
        <v>643</v>
      </c>
      <c r="AP182" s="737" t="s">
        <v>647</v>
      </c>
      <c r="AQ182" s="737" t="s">
        <v>216</v>
      </c>
      <c r="AR182" s="737" t="s">
        <v>645</v>
      </c>
      <c r="AS182" s="737" t="s">
        <v>224</v>
      </c>
      <c r="AT182" s="737" t="s">
        <v>643</v>
      </c>
      <c r="AV182" s="737" t="s">
        <v>647</v>
      </c>
      <c r="AW182" s="737" t="s">
        <v>216</v>
      </c>
      <c r="AX182" s="737" t="s">
        <v>645</v>
      </c>
      <c r="AY182" s="737" t="s">
        <v>224</v>
      </c>
      <c r="AZ182" s="737" t="s">
        <v>643</v>
      </c>
      <c r="BB182" s="737" t="s">
        <v>647</v>
      </c>
      <c r="BC182" s="758"/>
    </row>
    <row r="183" spans="1:92" ht="15" customHeight="1">
      <c r="A183" s="737" t="s">
        <v>62</v>
      </c>
      <c r="B183" s="737" t="s">
        <v>141</v>
      </c>
      <c r="C183" s="737" t="s">
        <v>137</v>
      </c>
      <c r="D183" s="737" t="s">
        <v>138</v>
      </c>
      <c r="E183" s="737" t="s">
        <v>142</v>
      </c>
      <c r="F183" s="737" t="s">
        <v>136</v>
      </c>
      <c r="G183" s="747" t="s">
        <v>62</v>
      </c>
      <c r="H183" s="747" t="s">
        <v>141</v>
      </c>
      <c r="I183" s="747" t="s">
        <v>137</v>
      </c>
      <c r="J183" s="747" t="s">
        <v>138</v>
      </c>
      <c r="K183" s="747" t="s">
        <v>142</v>
      </c>
      <c r="L183" s="747" t="s">
        <v>136</v>
      </c>
      <c r="M183" s="748" t="s">
        <v>62</v>
      </c>
      <c r="N183" s="748" t="s">
        <v>141</v>
      </c>
      <c r="O183" s="748" t="s">
        <v>137</v>
      </c>
      <c r="P183" s="748" t="s">
        <v>138</v>
      </c>
      <c r="Q183" s="748" t="s">
        <v>142</v>
      </c>
      <c r="R183" s="748" t="s">
        <v>136</v>
      </c>
      <c r="S183" s="749" t="s">
        <v>62</v>
      </c>
      <c r="T183" s="749" t="s">
        <v>141</v>
      </c>
      <c r="U183" s="749" t="s">
        <v>137</v>
      </c>
      <c r="V183" s="749" t="s">
        <v>138</v>
      </c>
      <c r="W183" s="749" t="s">
        <v>142</v>
      </c>
      <c r="X183" s="749" t="s">
        <v>136</v>
      </c>
      <c r="Y183" s="741" t="s">
        <v>62</v>
      </c>
      <c r="Z183" s="741" t="s">
        <v>141</v>
      </c>
      <c r="AA183" s="741" t="s">
        <v>137</v>
      </c>
      <c r="AB183" s="741" t="s">
        <v>138</v>
      </c>
      <c r="AC183" s="741" t="s">
        <v>142</v>
      </c>
      <c r="AD183" s="741" t="s">
        <v>136</v>
      </c>
      <c r="AE183" s="741" t="s">
        <v>62</v>
      </c>
      <c r="AF183" s="741" t="s">
        <v>141</v>
      </c>
      <c r="AG183" s="741" t="s">
        <v>137</v>
      </c>
      <c r="AH183" s="741" t="s">
        <v>138</v>
      </c>
      <c r="AI183" s="741" t="s">
        <v>142</v>
      </c>
      <c r="AJ183" s="741" t="s">
        <v>136</v>
      </c>
      <c r="AK183" s="741" t="s">
        <v>62</v>
      </c>
      <c r="AL183" s="741" t="s">
        <v>141</v>
      </c>
      <c r="AM183" s="741" t="s">
        <v>137</v>
      </c>
      <c r="AN183" s="741" t="s">
        <v>138</v>
      </c>
      <c r="AO183" s="741" t="s">
        <v>142</v>
      </c>
      <c r="AP183" s="741" t="s">
        <v>136</v>
      </c>
      <c r="AQ183" s="741" t="s">
        <v>62</v>
      </c>
      <c r="AR183" s="741" t="s">
        <v>141</v>
      </c>
      <c r="AS183" s="741" t="s">
        <v>137</v>
      </c>
      <c r="AT183" s="741" t="s">
        <v>138</v>
      </c>
      <c r="AU183" s="741" t="s">
        <v>142</v>
      </c>
      <c r="AV183" s="741" t="s">
        <v>136</v>
      </c>
      <c r="AW183" s="741" t="s">
        <v>62</v>
      </c>
      <c r="AX183" s="741" t="s">
        <v>141</v>
      </c>
      <c r="AY183" s="741" t="s">
        <v>137</v>
      </c>
      <c r="AZ183" s="741" t="s">
        <v>138</v>
      </c>
      <c r="BA183" s="741" t="s">
        <v>142</v>
      </c>
      <c r="BB183" s="759" t="s">
        <v>136</v>
      </c>
      <c r="BC183" s="758"/>
    </row>
    <row r="184" spans="1:92" ht="15" customHeight="1">
      <c r="A184" s="737" t="s">
        <v>605</v>
      </c>
      <c r="B184" s="737" t="s">
        <v>605</v>
      </c>
      <c r="C184" s="737" t="s">
        <v>605</v>
      </c>
      <c r="D184" s="737" t="s">
        <v>605</v>
      </c>
      <c r="E184" s="737" t="s">
        <v>605</v>
      </c>
      <c r="F184" s="737" t="s">
        <v>605</v>
      </c>
      <c r="G184" s="747">
        <f>+'datos de entrada'!$B$209</f>
        <v>0</v>
      </c>
      <c r="H184" s="747">
        <f>+H52</f>
        <v>0</v>
      </c>
      <c r="I184" s="747">
        <f>+E52</f>
        <v>0</v>
      </c>
      <c r="J184" s="751">
        <f>+F52</f>
        <v>0</v>
      </c>
      <c r="K184" s="747"/>
      <c r="L184" s="747">
        <f>+L185</f>
        <v>0</v>
      </c>
      <c r="M184" s="747">
        <f>+'datos de entrada'!$B$209</f>
        <v>0</v>
      </c>
      <c r="N184" s="748">
        <f>+H53</f>
        <v>0</v>
      </c>
      <c r="O184" s="748">
        <f>+E53</f>
        <v>0</v>
      </c>
      <c r="P184" s="752">
        <f>+F53</f>
        <v>0</v>
      </c>
      <c r="Q184" s="748"/>
      <c r="R184" s="748">
        <f>+R185</f>
        <v>0</v>
      </c>
      <c r="S184" s="747">
        <f>+'datos de entrada'!$B$209</f>
        <v>0</v>
      </c>
      <c r="T184" s="749">
        <f>+$H$54</f>
        <v>0</v>
      </c>
      <c r="U184" s="749">
        <f>+$E$54</f>
        <v>0</v>
      </c>
      <c r="V184" s="753">
        <f>+$F$54</f>
        <v>0</v>
      </c>
      <c r="W184" s="749"/>
      <c r="X184" s="749">
        <f>+X185</f>
        <v>0</v>
      </c>
      <c r="Y184" s="747">
        <f>+'datos de entrada'!$B$209</f>
        <v>0</v>
      </c>
      <c r="Z184" s="749">
        <f>+$H$54</f>
        <v>0</v>
      </c>
      <c r="AA184" s="749">
        <f>+$E$54</f>
        <v>0</v>
      </c>
      <c r="AB184" s="753">
        <f>+$F$54</f>
        <v>0</v>
      </c>
      <c r="AC184" s="741"/>
      <c r="AD184" s="741">
        <f>+AD185</f>
        <v>0</v>
      </c>
      <c r="AE184" s="747">
        <f>+'datos de entrada'!$B$209</f>
        <v>0</v>
      </c>
      <c r="AF184" s="749">
        <f>+$H$54</f>
        <v>0</v>
      </c>
      <c r="AG184" s="749">
        <f>+$E$54</f>
        <v>0</v>
      </c>
      <c r="AH184" s="753">
        <f>+$F$54</f>
        <v>0</v>
      </c>
      <c r="AI184" s="741"/>
      <c r="AJ184" s="741">
        <f>+AJ185</f>
        <v>0</v>
      </c>
      <c r="AK184" s="747">
        <f>+'datos de entrada'!$B$209</f>
        <v>0</v>
      </c>
      <c r="AL184" s="749">
        <f>+$H$54</f>
        <v>0</v>
      </c>
      <c r="AM184" s="749">
        <f>+$E$54</f>
        <v>0</v>
      </c>
      <c r="AN184" s="753">
        <f>+$F$54</f>
        <v>0</v>
      </c>
      <c r="AO184" s="741"/>
      <c r="AP184" s="741">
        <f>+AP185</f>
        <v>0</v>
      </c>
      <c r="AQ184" s="747">
        <f>+'datos de entrada'!$B$209</f>
        <v>0</v>
      </c>
      <c r="AR184" s="749">
        <f>+$H$54</f>
        <v>0</v>
      </c>
      <c r="AS184" s="749">
        <f>+$E$54</f>
        <v>0</v>
      </c>
      <c r="AT184" s="753">
        <f>+$F$54</f>
        <v>0</v>
      </c>
      <c r="AU184" s="741"/>
      <c r="AV184" s="741">
        <f>+AV185</f>
        <v>0</v>
      </c>
      <c r="AW184" s="747">
        <f>+'datos de entrada'!$B$209</f>
        <v>0</v>
      </c>
      <c r="AX184" s="749">
        <f>+$H$54</f>
        <v>0</v>
      </c>
      <c r="AY184" s="749">
        <f>+$E$54</f>
        <v>0</v>
      </c>
      <c r="AZ184" s="753">
        <f>+$F$54</f>
        <v>0</v>
      </c>
      <c r="BA184" s="741"/>
      <c r="BB184" s="759">
        <f>+BB185</f>
        <v>0</v>
      </c>
      <c r="BC184" s="758"/>
    </row>
    <row r="185" spans="1:92" ht="15" customHeight="1">
      <c r="F185" s="737">
        <f>+L185+R185+X185+AD185+AL185+AP185+AV185+BB185</f>
        <v>0</v>
      </c>
      <c r="G185" s="747"/>
      <c r="H185" s="747"/>
      <c r="I185" s="747">
        <f>IF(L184=0,0,IF(G184=1,(L184/(I184-H184)),IF(G184=0,-PMT(J184/12,(I184-H184),L184),0)))</f>
        <v>0</v>
      </c>
      <c r="J185" s="747"/>
      <c r="K185" s="747"/>
      <c r="L185" s="755">
        <f>+'inversion af'!$C$178</f>
        <v>0</v>
      </c>
      <c r="M185" s="748"/>
      <c r="N185" s="748"/>
      <c r="O185" s="748">
        <f>IF(R184=0,0,IF(M184=1,(R184/(O184-N184)),IF(M184=0,-PMT(P184/12,(O184-N184),R184),0)))</f>
        <v>0</v>
      </c>
      <c r="P185" s="748"/>
      <c r="Q185" s="748"/>
      <c r="R185" s="755">
        <f>+'inversion af'!$D$178</f>
        <v>0</v>
      </c>
      <c r="S185" s="749"/>
      <c r="T185" s="749"/>
      <c r="U185" s="749">
        <f>IF(X184=0,0,IF(S184=1,(X184/(U184-T184)),IF(S184=0,-PMT(V184/12,(U184-T184),X184),0)))</f>
        <v>0</v>
      </c>
      <c r="V185" s="749"/>
      <c r="W185" s="749"/>
      <c r="X185" s="755">
        <f>+'inversion af'!E178</f>
        <v>0</v>
      </c>
      <c r="Y185" s="741"/>
      <c r="Z185" s="741"/>
      <c r="AA185" s="741">
        <f>IF(AD184=0,0,IF(Y184=1,(AD184/(AA184-Z184)),IF(Y184=0,-PMT(AB184/12,(AA184-Z184),AD184),0)))</f>
        <v>0</v>
      </c>
      <c r="AB185" s="741"/>
      <c r="AC185" s="741"/>
      <c r="AD185" s="755">
        <f>+'inversion af'!F178</f>
        <v>0</v>
      </c>
      <c r="AE185" s="741"/>
      <c r="AF185" s="741"/>
      <c r="AG185" s="741">
        <f>IF(AJ184=0,0,IF(AE184=1,(AJ184/(AG184-AF184)),IF(AE184=0,-PMT(AH184/12,(AG184-AF184),AJ184),0)))</f>
        <v>0</v>
      </c>
      <c r="AH185" s="741"/>
      <c r="AI185" s="741"/>
      <c r="AJ185" s="755">
        <f>+'inversion af'!G178</f>
        <v>0</v>
      </c>
      <c r="AK185" s="741"/>
      <c r="AL185" s="741"/>
      <c r="AM185" s="741">
        <f>IF(AP184=0,0,IF(AK184=1,(AP184/(AM184-AL184)),IF(AK184=0,-PMT(AN184/12,(AM184-AL184),AP184),0)))</f>
        <v>0</v>
      </c>
      <c r="AN185" s="741"/>
      <c r="AO185" s="741"/>
      <c r="AP185" s="755">
        <f>+'inversion af'!H178</f>
        <v>0</v>
      </c>
      <c r="AQ185" s="741"/>
      <c r="AR185" s="741"/>
      <c r="AS185" s="741">
        <f>IF(AV184=0,0,IF(AQ184=1,(AV184/(AS184-AR184)),IF(AQ184=0,-PMT(AT184/12,(AS184-AR184),AV184),0)))</f>
        <v>0</v>
      </c>
      <c r="AT185" s="741"/>
      <c r="AU185" s="741"/>
      <c r="AV185" s="755">
        <f>+'inversion af'!I178</f>
        <v>0</v>
      </c>
      <c r="AW185" s="741"/>
      <c r="AX185" s="741"/>
      <c r="AY185" s="741">
        <f>IF(BB184=0,0,IF(AW184=1,(BB184/(AY184-AX184)),IF(AW184=0,-PMT(AZ184/12,(AY184-AX184),BB184),0)))</f>
        <v>0</v>
      </c>
      <c r="AZ185" s="741"/>
      <c r="BA185" s="741"/>
      <c r="BB185" s="760">
        <f>+'inversion af'!J178</f>
        <v>0</v>
      </c>
      <c r="BC185" s="761"/>
    </row>
    <row r="186" spans="1:92" ht="15" customHeight="1">
      <c r="A186" s="737">
        <v>1</v>
      </c>
      <c r="B186" s="737">
        <f t="shared" ref="B186:F188" si="70">+H186</f>
        <v>0</v>
      </c>
      <c r="C186" s="737">
        <f t="shared" si="70"/>
        <v>0</v>
      </c>
      <c r="D186" s="737">
        <f t="shared" si="70"/>
        <v>0</v>
      </c>
      <c r="E186" s="737">
        <f t="shared" si="70"/>
        <v>0</v>
      </c>
      <c r="F186" s="737">
        <f t="shared" si="70"/>
        <v>0</v>
      </c>
      <c r="G186" s="747">
        <v>1</v>
      </c>
      <c r="H186" s="747">
        <f>IF(L185=0,0,IF(G186&gt;I$184,0,J186+I186))</f>
        <v>0</v>
      </c>
      <c r="I186" s="747">
        <f>IF(L$185=0,0,IF(G186&gt;I$184,0,IF(G$184=1,IF(H$184=0,I$185,IF(H$184&lt;G186,I$185,0)),IF(H$184=0,I$185-J186,IF(H$184&gt;=G186,0,I$185-J186)))))</f>
        <v>0</v>
      </c>
      <c r="J186" s="747">
        <f>IF(G186&gt;I$184,0,L185*J$184/12)</f>
        <v>0</v>
      </c>
      <c r="K186" s="747"/>
      <c r="L186" s="747">
        <f>+L185-I186</f>
        <v>0</v>
      </c>
      <c r="M186" s="747">
        <v>1</v>
      </c>
      <c r="N186" s="747">
        <f>IF(R185=0,0,IF(M186&gt;O$184,0,P186+O186))</f>
        <v>0</v>
      </c>
      <c r="O186" s="747">
        <f>IF(R$185=0,0,IF(M186&gt;O$184,0,IF(M$184=1,IF(N$184=0,O$185,IF(N$184&lt;M186,O$185,0)),IF(N$184=0,O$185-P186,IF(N$184&gt;=M186,0,O$185-P186)))))</f>
        <v>0</v>
      </c>
      <c r="P186" s="747">
        <f>IF(M186&gt;O$184,0,R185*P$184/12)</f>
        <v>0</v>
      </c>
      <c r="Q186" s="747"/>
      <c r="R186" s="747">
        <f>+R185-O186</f>
        <v>0</v>
      </c>
      <c r="S186" s="747">
        <v>1</v>
      </c>
      <c r="T186" s="747">
        <f>IF(X185=0,0,IF(S186&gt;U$184,0,V186+U186))</f>
        <v>0</v>
      </c>
      <c r="U186" s="747">
        <f>IF(X$185=0,0,IF(S186&gt;U$184,0,IF(S$184=1,IF(T$184=0,U$185,IF(T$184&lt;S186,U$185,0)),IF(T$184=0,U$185-V186,IF(T$184&gt;=S186,0,U$185-V186)))))</f>
        <v>0</v>
      </c>
      <c r="V186" s="747">
        <f>IF(S186&gt;U$184,0,X185*V$184/12)</f>
        <v>0</v>
      </c>
      <c r="W186" s="747"/>
      <c r="X186" s="747">
        <f>+X185-U186</f>
        <v>0</v>
      </c>
      <c r="Y186" s="747">
        <v>1</v>
      </c>
      <c r="Z186" s="747">
        <f>IF(AD185=0,0,IF(Y186&gt;AA$184,0,AB186+AA186))</f>
        <v>0</v>
      </c>
      <c r="AA186" s="747">
        <f>IF(AD$185=0,0,IF(Y186&gt;AA$184,0,IF(Y$184=1,IF(Z$184=0,AA$185,IF(Z$184&lt;Y186,AA$185,0)),IF(Z$184=0,AA$185-AB186,IF(Z$184&gt;=Y186,0,AA$185-AB186)))))</f>
        <v>0</v>
      </c>
      <c r="AB186" s="747">
        <f>IF(Y186&gt;AA$184,0,AD185*AB$184/12)</f>
        <v>0</v>
      </c>
      <c r="AC186" s="747"/>
      <c r="AD186" s="747">
        <f>+AD185-AA186</f>
        <v>0</v>
      </c>
      <c r="AE186" s="747">
        <v>1</v>
      </c>
      <c r="AF186" s="747">
        <f>IF(AJ185=0,0,IF(AE186&gt;AG$184,0,AH186+AG186))</f>
        <v>0</v>
      </c>
      <c r="AG186" s="747">
        <f>IF(AJ$185=0,0,IF(AE186&gt;AG$184,0,IF(AE$184=1,IF(AF$184=0,AG$185,IF(AF$184&lt;AE186,AG$185,0)),IF(AF$184=0,AG$185-AH186,IF(AF$184&gt;=AE186,0,AG$185-AH186)))))</f>
        <v>0</v>
      </c>
      <c r="AH186" s="747">
        <f>IF(AE186&gt;AG$184,0,AJ185*AH$184/12)</f>
        <v>0</v>
      </c>
      <c r="AI186" s="747"/>
      <c r="AJ186" s="747">
        <f>+AJ185-AG186</f>
        <v>0</v>
      </c>
      <c r="AK186" s="747">
        <v>1</v>
      </c>
      <c r="AL186" s="747">
        <f>IF(AP185=0,0,IF(AK186&gt;AM$184,0,AN186+AM186))</f>
        <v>0</v>
      </c>
      <c r="AM186" s="747">
        <f>IF(AP$185=0,0,IF(AK186&gt;AM$184,0,IF(AK$184=1,IF(AL$184=0,AM$185,IF(AL$184&lt;AK186,AM$185,0)),IF(AL$184=0,AM$185-AN186,IF(AL$184&gt;=AK186,0,AM$185-AN186)))))</f>
        <v>0</v>
      </c>
      <c r="AN186" s="747">
        <f>IF(AK186&gt;AM$184,0,AP185*AN$184/12)</f>
        <v>0</v>
      </c>
      <c r="AO186" s="747"/>
      <c r="AP186" s="747">
        <f>+AP185-AM186</f>
        <v>0</v>
      </c>
      <c r="AQ186" s="747">
        <v>1</v>
      </c>
      <c r="AR186" s="747">
        <f>IF(AV185=0,0,IF(AQ186&gt;AS$184,0,AT186+AS186))</f>
        <v>0</v>
      </c>
      <c r="AS186" s="747">
        <f>IF(AV$185=0,0,IF(AQ186&gt;AS$184,0,IF(AQ$184=1,IF(AR$184=0,AS$185,IF(AR$184&lt;AQ186,AS$185,0)),IF(AR$184=0,AS$185-AT186,IF(AR$184&gt;=AQ186,0,AS$185-AT186)))))</f>
        <v>0</v>
      </c>
      <c r="AT186" s="747">
        <f>IF(AQ186&gt;AS$184,0,AV185*AT$184/12)</f>
        <v>0</v>
      </c>
      <c r="AU186" s="747"/>
      <c r="AV186" s="747">
        <f>+AV185-AS186</f>
        <v>0</v>
      </c>
      <c r="AW186" s="747">
        <v>1</v>
      </c>
      <c r="AX186" s="747">
        <f>IF(BB185=0,0,IF(AW186&gt;AY$184,0,AZ186+AY186))</f>
        <v>0</v>
      </c>
      <c r="AY186" s="747">
        <f>IF(BB$185=0,0,IF(AW186&gt;AY$184,0,IF(AW$184=1,IF(AX$184=0,AY$185,IF(AX$184&lt;AW186,AY$185,0)),IF(AX$184=0,AY$185-AZ186,IF(AX$184&gt;=AW186,0,AY$185-AZ186)))))</f>
        <v>0</v>
      </c>
      <c r="AZ186" s="747">
        <f>IF(AW186&gt;AY$184,0,BB185*AZ$184/12)</f>
        <v>0</v>
      </c>
      <c r="BA186" s="747"/>
      <c r="BB186" s="747">
        <f>+BB185-AY186</f>
        <v>0</v>
      </c>
      <c r="BC186" s="761"/>
    </row>
    <row r="187" spans="1:92" ht="15" customHeight="1">
      <c r="A187" s="737">
        <v>2</v>
      </c>
      <c r="B187" s="737">
        <f t="shared" si="70"/>
        <v>0</v>
      </c>
      <c r="C187" s="737">
        <f t="shared" si="70"/>
        <v>0</v>
      </c>
      <c r="D187" s="737">
        <f t="shared" si="70"/>
        <v>0</v>
      </c>
      <c r="E187" s="737">
        <f t="shared" si="70"/>
        <v>0</v>
      </c>
      <c r="F187" s="737">
        <f t="shared" si="70"/>
        <v>0</v>
      </c>
      <c r="G187" s="747">
        <v>2</v>
      </c>
      <c r="H187" s="747">
        <f t="shared" ref="H187:H245" si="71">IF(L186=0,0,IF(G187&gt;I$184,0,J187+I187))</f>
        <v>0</v>
      </c>
      <c r="I187" s="747">
        <f t="shared" ref="I187:I245" si="72">IF(L$185=0,0,IF(G187&gt;I$184,0,IF(G$184=1,IF(H$184=0,I$185,IF(H$184&lt;G187,I$185,0)),IF(H$184=0,I$185-J187,IF(H$184&gt;=G187,0,I$185-J187)))))</f>
        <v>0</v>
      </c>
      <c r="J187" s="747">
        <f t="shared" ref="J187:J245" si="73">IF(G187&gt;I$184,0,L186*J$184/12)</f>
        <v>0</v>
      </c>
      <c r="K187" s="747"/>
      <c r="L187" s="747">
        <f>+L186-I187</f>
        <v>0</v>
      </c>
      <c r="M187" s="747">
        <v>2</v>
      </c>
      <c r="N187" s="747">
        <f t="shared" ref="N187:N245" si="74">IF(R186=0,0,IF(M187&gt;O$184,0,P187+O187))</f>
        <v>0</v>
      </c>
      <c r="O187" s="747">
        <f t="shared" ref="O187:O245" si="75">IF(R$185=0,0,IF(M187&gt;O$184,0,IF(M$184=1,IF(N$184=0,O$185,IF(N$184&lt;M187,O$185,0)),IF(N$184=0,O$185-P187,IF(N$184&gt;=M187,0,O$185-P187)))))</f>
        <v>0</v>
      </c>
      <c r="P187" s="747">
        <f t="shared" ref="P187:P245" si="76">IF(M187&gt;O$184,0,R186*P$184/12)</f>
        <v>0</v>
      </c>
      <c r="Q187" s="748"/>
      <c r="R187" s="747">
        <f t="shared" ref="R187:R245" si="77">+R186-O187</f>
        <v>0</v>
      </c>
      <c r="S187" s="747">
        <v>2</v>
      </c>
      <c r="T187" s="747">
        <f t="shared" ref="T187:T245" si="78">IF(X186=0,0,IF(S187&gt;U$184,0,V187+U187))</f>
        <v>0</v>
      </c>
      <c r="U187" s="747">
        <f t="shared" ref="U187:U245" si="79">IF(X$185=0,0,IF(S187&gt;U$184,0,IF(S$184=1,IF(T$184=0,U$185,IF(T$184&lt;S187,U$185,0)),IF(T$184=0,U$185-V187,IF(T$184&gt;=S187,0,U$185-V187)))))</f>
        <v>0</v>
      </c>
      <c r="V187" s="747">
        <f t="shared" ref="V187:V245" si="80">IF(S187&gt;U$184,0,X186*V$184/12)</f>
        <v>0</v>
      </c>
      <c r="W187" s="749"/>
      <c r="X187" s="747">
        <f t="shared" ref="X187:X245" si="81">+X186-U187</f>
        <v>0</v>
      </c>
      <c r="Y187" s="747">
        <v>2</v>
      </c>
      <c r="Z187" s="747">
        <f t="shared" ref="Z187:Z245" si="82">IF(AD186=0,0,IF(Y187&gt;AA$184,0,AB187+AA187))</f>
        <v>0</v>
      </c>
      <c r="AA187" s="747">
        <f t="shared" ref="AA187:AA245" si="83">IF(AD$185=0,0,IF(Y187&gt;AA$184,0,IF(Y$184=1,IF(Z$184=0,AA$185,IF(Z$184&lt;Y187,AA$185,0)),IF(Z$184=0,AA$185-AB187,IF(Z$184&gt;=Y187,0,AA$185-AB187)))))</f>
        <v>0</v>
      </c>
      <c r="AB187" s="747">
        <f t="shared" ref="AB187:AB245" si="84">IF(Y187&gt;AA$184,0,AD186*AB$184/12)</f>
        <v>0</v>
      </c>
      <c r="AC187" s="749"/>
      <c r="AD187" s="747">
        <f t="shared" ref="AD187:AD245" si="85">+AD186-AA187</f>
        <v>0</v>
      </c>
      <c r="AE187" s="747">
        <v>2</v>
      </c>
      <c r="AF187" s="747">
        <f t="shared" ref="AF187:AF245" si="86">IF(AJ186=0,0,IF(AE187&gt;AG$184,0,AH187+AG187))</f>
        <v>0</v>
      </c>
      <c r="AG187" s="747">
        <f t="shared" ref="AG187:AG245" si="87">IF(AJ$185=0,0,IF(AE187&gt;AG$184,0,IF(AE$184=1,IF(AF$184=0,AG$185,IF(AF$184&lt;AE187,AG$185,0)),IF(AF$184=0,AG$185-AH187,IF(AF$184&gt;=AE187,0,AG$185-AH187)))))</f>
        <v>0</v>
      </c>
      <c r="AH187" s="747">
        <f t="shared" ref="AH187:AH245" si="88">IF(AE187&gt;AG$184,0,AJ186*AH$184/12)</f>
        <v>0</v>
      </c>
      <c r="AI187" s="749"/>
      <c r="AJ187" s="747">
        <f t="shared" ref="AJ187:AJ245" si="89">+AJ186-AG187</f>
        <v>0</v>
      </c>
      <c r="AK187" s="747">
        <v>2</v>
      </c>
      <c r="AL187" s="747">
        <f t="shared" ref="AL187:AL245" si="90">IF(AP186=0,0,IF(AK187&gt;AM$184,0,AN187+AM187))</f>
        <v>0</v>
      </c>
      <c r="AM187" s="747">
        <f t="shared" ref="AM187:AM245" si="91">IF(AP$185=0,0,IF(AK187&gt;AM$184,0,IF(AK$184=1,IF(AL$184=0,AM$185,IF(AL$184&lt;AK187,AM$185,0)),IF(AL$184=0,AM$185-AN187,IF(AL$184&gt;=AK187,0,AM$185-AN187)))))</f>
        <v>0</v>
      </c>
      <c r="AN187" s="747">
        <f t="shared" ref="AN187:AN245" si="92">IF(AK187&gt;AM$184,0,AP186*AN$184/12)</f>
        <v>0</v>
      </c>
      <c r="AO187" s="749"/>
      <c r="AP187" s="747">
        <f t="shared" ref="AP187:AP245" si="93">+AP186-AM187</f>
        <v>0</v>
      </c>
      <c r="AQ187" s="747">
        <v>2</v>
      </c>
      <c r="AR187" s="747">
        <f t="shared" ref="AR187:AR245" si="94">IF(AV186=0,0,IF(AQ187&gt;AS$184,0,AT187+AS187))</f>
        <v>0</v>
      </c>
      <c r="AS187" s="747">
        <f t="shared" ref="AS187:AS245" si="95">IF(AV$185=0,0,IF(AQ187&gt;AS$184,0,IF(AQ$184=1,IF(AR$184=0,AS$185,IF(AR$184&lt;AQ187,AS$185,0)),IF(AR$184=0,AS$185-AT187,IF(AR$184&gt;=AQ187,0,AS$185-AT187)))))</f>
        <v>0</v>
      </c>
      <c r="AT187" s="747">
        <f t="shared" ref="AT187:AT245" si="96">IF(AQ187&gt;AS$184,0,AV186*AT$184/12)</f>
        <v>0</v>
      </c>
      <c r="AU187" s="749"/>
      <c r="AV187" s="747">
        <f t="shared" ref="AV187:AV245" si="97">+AV186-AS187</f>
        <v>0</v>
      </c>
      <c r="AW187" s="747">
        <v>2</v>
      </c>
      <c r="AX187" s="747">
        <f t="shared" ref="AX187:AX245" si="98">IF(BB186=0,0,IF(AW187&gt;AY$184,0,AZ187+AY187))</f>
        <v>0</v>
      </c>
      <c r="AY187" s="747">
        <f t="shared" ref="AY187:AY245" si="99">IF(BB$185=0,0,IF(AW187&gt;AY$184,0,IF(AW$184=1,IF(AX$184=0,AY$185,IF(AX$184&lt;AW187,AY$185,0)),IF(AX$184=0,AY$185-AZ187,IF(AX$184&gt;=AW187,0,AY$185-AZ187)))))</f>
        <v>0</v>
      </c>
      <c r="AZ187" s="747">
        <f t="shared" ref="AZ187:AZ245" si="100">IF(AW187&gt;AY$184,0,BB186*AZ$184/12)</f>
        <v>0</v>
      </c>
      <c r="BA187" s="749"/>
      <c r="BB187" s="747">
        <f t="shared" ref="BB187:BB245" si="101">+BB186-AY187</f>
        <v>0</v>
      </c>
      <c r="BC187" s="761"/>
    </row>
    <row r="188" spans="1:92" ht="15" customHeight="1">
      <c r="A188" s="737">
        <v>3</v>
      </c>
      <c r="B188" s="737">
        <f t="shared" si="70"/>
        <v>0</v>
      </c>
      <c r="C188" s="737">
        <f t="shared" si="70"/>
        <v>0</v>
      </c>
      <c r="D188" s="737">
        <f t="shared" si="70"/>
        <v>0</v>
      </c>
      <c r="E188" s="737">
        <f t="shared" si="70"/>
        <v>0</v>
      </c>
      <c r="F188" s="737">
        <f t="shared" si="70"/>
        <v>0</v>
      </c>
      <c r="G188" s="747">
        <v>3</v>
      </c>
      <c r="H188" s="747">
        <f t="shared" si="71"/>
        <v>0</v>
      </c>
      <c r="I188" s="747">
        <f t="shared" si="72"/>
        <v>0</v>
      </c>
      <c r="J188" s="747">
        <f t="shared" si="73"/>
        <v>0</v>
      </c>
      <c r="K188" s="747"/>
      <c r="L188" s="747">
        <f t="shared" ref="L188:L245" si="102">+L187-I188</f>
        <v>0</v>
      </c>
      <c r="M188" s="747">
        <v>3</v>
      </c>
      <c r="N188" s="747">
        <f t="shared" si="74"/>
        <v>0</v>
      </c>
      <c r="O188" s="747">
        <f t="shared" si="75"/>
        <v>0</v>
      </c>
      <c r="P188" s="747">
        <f t="shared" si="76"/>
        <v>0</v>
      </c>
      <c r="Q188" s="748"/>
      <c r="R188" s="747">
        <f t="shared" si="77"/>
        <v>0</v>
      </c>
      <c r="S188" s="747">
        <v>3</v>
      </c>
      <c r="T188" s="747">
        <f t="shared" si="78"/>
        <v>0</v>
      </c>
      <c r="U188" s="747">
        <f t="shared" si="79"/>
        <v>0</v>
      </c>
      <c r="V188" s="747">
        <f t="shared" si="80"/>
        <v>0</v>
      </c>
      <c r="W188" s="749"/>
      <c r="X188" s="747">
        <f t="shared" si="81"/>
        <v>0</v>
      </c>
      <c r="Y188" s="747">
        <v>3</v>
      </c>
      <c r="Z188" s="747">
        <f t="shared" si="82"/>
        <v>0</v>
      </c>
      <c r="AA188" s="747">
        <f t="shared" si="83"/>
        <v>0</v>
      </c>
      <c r="AB188" s="747">
        <f t="shared" si="84"/>
        <v>0</v>
      </c>
      <c r="AC188" s="749"/>
      <c r="AD188" s="747">
        <f t="shared" si="85"/>
        <v>0</v>
      </c>
      <c r="AE188" s="747">
        <v>3</v>
      </c>
      <c r="AF188" s="747">
        <f t="shared" si="86"/>
        <v>0</v>
      </c>
      <c r="AG188" s="747">
        <f t="shared" si="87"/>
        <v>0</v>
      </c>
      <c r="AH188" s="747">
        <f t="shared" si="88"/>
        <v>0</v>
      </c>
      <c r="AI188" s="749"/>
      <c r="AJ188" s="747">
        <f t="shared" si="89"/>
        <v>0</v>
      </c>
      <c r="AK188" s="747">
        <v>3</v>
      </c>
      <c r="AL188" s="747">
        <f t="shared" si="90"/>
        <v>0</v>
      </c>
      <c r="AM188" s="747">
        <f t="shared" si="91"/>
        <v>0</v>
      </c>
      <c r="AN188" s="747">
        <f t="shared" si="92"/>
        <v>0</v>
      </c>
      <c r="AO188" s="749"/>
      <c r="AP188" s="747">
        <f t="shared" si="93"/>
        <v>0</v>
      </c>
      <c r="AQ188" s="747">
        <v>3</v>
      </c>
      <c r="AR188" s="747">
        <f t="shared" si="94"/>
        <v>0</v>
      </c>
      <c r="AS188" s="747">
        <f t="shared" si="95"/>
        <v>0</v>
      </c>
      <c r="AT188" s="747">
        <f t="shared" si="96"/>
        <v>0</v>
      </c>
      <c r="AU188" s="749"/>
      <c r="AV188" s="747">
        <f t="shared" si="97"/>
        <v>0</v>
      </c>
      <c r="AW188" s="747">
        <v>3</v>
      </c>
      <c r="AX188" s="747">
        <f t="shared" si="98"/>
        <v>0</v>
      </c>
      <c r="AY188" s="747">
        <f t="shared" si="99"/>
        <v>0</v>
      </c>
      <c r="AZ188" s="747">
        <f t="shared" si="100"/>
        <v>0</v>
      </c>
      <c r="BA188" s="749"/>
      <c r="BB188" s="747">
        <f t="shared" si="101"/>
        <v>0</v>
      </c>
      <c r="BC188" s="761"/>
    </row>
    <row r="189" spans="1:92" ht="15" customHeight="1">
      <c r="A189" s="737">
        <v>4</v>
      </c>
      <c r="B189" s="737">
        <f t="shared" ref="B189:F191" si="103">+H189+N186</f>
        <v>0</v>
      </c>
      <c r="C189" s="737">
        <f t="shared" si="103"/>
        <v>0</v>
      </c>
      <c r="D189" s="737">
        <f t="shared" si="103"/>
        <v>0</v>
      </c>
      <c r="E189" s="737">
        <f t="shared" si="103"/>
        <v>0</v>
      </c>
      <c r="F189" s="737">
        <f t="shared" si="103"/>
        <v>0</v>
      </c>
      <c r="G189" s="747">
        <v>4</v>
      </c>
      <c r="H189" s="747">
        <f t="shared" si="71"/>
        <v>0</v>
      </c>
      <c r="I189" s="747">
        <f t="shared" si="72"/>
        <v>0</v>
      </c>
      <c r="J189" s="747">
        <f t="shared" si="73"/>
        <v>0</v>
      </c>
      <c r="K189" s="747"/>
      <c r="L189" s="747">
        <f t="shared" si="102"/>
        <v>0</v>
      </c>
      <c r="M189" s="747">
        <v>4</v>
      </c>
      <c r="N189" s="747">
        <f t="shared" si="74"/>
        <v>0</v>
      </c>
      <c r="O189" s="747">
        <f t="shared" si="75"/>
        <v>0</v>
      </c>
      <c r="P189" s="747">
        <f t="shared" si="76"/>
        <v>0</v>
      </c>
      <c r="Q189" s="748"/>
      <c r="R189" s="747">
        <f t="shared" si="77"/>
        <v>0</v>
      </c>
      <c r="S189" s="747">
        <v>4</v>
      </c>
      <c r="T189" s="747">
        <f t="shared" si="78"/>
        <v>0</v>
      </c>
      <c r="U189" s="747">
        <f t="shared" si="79"/>
        <v>0</v>
      </c>
      <c r="V189" s="747">
        <f t="shared" si="80"/>
        <v>0</v>
      </c>
      <c r="W189" s="749"/>
      <c r="X189" s="747">
        <f t="shared" si="81"/>
        <v>0</v>
      </c>
      <c r="Y189" s="747">
        <v>4</v>
      </c>
      <c r="Z189" s="747">
        <f t="shared" si="82"/>
        <v>0</v>
      </c>
      <c r="AA189" s="747">
        <f t="shared" si="83"/>
        <v>0</v>
      </c>
      <c r="AB189" s="747">
        <f t="shared" si="84"/>
        <v>0</v>
      </c>
      <c r="AC189" s="749"/>
      <c r="AD189" s="747">
        <f t="shared" si="85"/>
        <v>0</v>
      </c>
      <c r="AE189" s="747">
        <v>4</v>
      </c>
      <c r="AF189" s="747">
        <f t="shared" si="86"/>
        <v>0</v>
      </c>
      <c r="AG189" s="747">
        <f t="shared" si="87"/>
        <v>0</v>
      </c>
      <c r="AH189" s="747">
        <f t="shared" si="88"/>
        <v>0</v>
      </c>
      <c r="AI189" s="749"/>
      <c r="AJ189" s="747">
        <f t="shared" si="89"/>
        <v>0</v>
      </c>
      <c r="AK189" s="747">
        <v>4</v>
      </c>
      <c r="AL189" s="747">
        <f t="shared" si="90"/>
        <v>0</v>
      </c>
      <c r="AM189" s="747">
        <f t="shared" si="91"/>
        <v>0</v>
      </c>
      <c r="AN189" s="747">
        <f t="shared" si="92"/>
        <v>0</v>
      </c>
      <c r="AO189" s="749"/>
      <c r="AP189" s="747">
        <f t="shared" si="93"/>
        <v>0</v>
      </c>
      <c r="AQ189" s="747">
        <v>4</v>
      </c>
      <c r="AR189" s="747">
        <f t="shared" si="94"/>
        <v>0</v>
      </c>
      <c r="AS189" s="747">
        <f t="shared" si="95"/>
        <v>0</v>
      </c>
      <c r="AT189" s="747">
        <f t="shared" si="96"/>
        <v>0</v>
      </c>
      <c r="AU189" s="749"/>
      <c r="AV189" s="747">
        <f t="shared" si="97"/>
        <v>0</v>
      </c>
      <c r="AW189" s="747">
        <v>4</v>
      </c>
      <c r="AX189" s="747">
        <f t="shared" si="98"/>
        <v>0</v>
      </c>
      <c r="AY189" s="747">
        <f t="shared" si="99"/>
        <v>0</v>
      </c>
      <c r="AZ189" s="747">
        <f t="shared" si="100"/>
        <v>0</v>
      </c>
      <c r="BA189" s="749"/>
      <c r="BB189" s="747">
        <f t="shared" si="101"/>
        <v>0</v>
      </c>
      <c r="BC189" s="761"/>
    </row>
    <row r="190" spans="1:92" ht="15" customHeight="1">
      <c r="A190" s="737">
        <v>5</v>
      </c>
      <c r="B190" s="737">
        <f t="shared" si="103"/>
        <v>0</v>
      </c>
      <c r="C190" s="737">
        <f t="shared" si="103"/>
        <v>0</v>
      </c>
      <c r="D190" s="737">
        <f t="shared" si="103"/>
        <v>0</v>
      </c>
      <c r="E190" s="737">
        <f t="shared" si="103"/>
        <v>0</v>
      </c>
      <c r="F190" s="737">
        <f t="shared" si="103"/>
        <v>0</v>
      </c>
      <c r="G190" s="747">
        <v>5</v>
      </c>
      <c r="H190" s="747">
        <f t="shared" si="71"/>
        <v>0</v>
      </c>
      <c r="I190" s="747">
        <f t="shared" si="72"/>
        <v>0</v>
      </c>
      <c r="J190" s="747">
        <f t="shared" si="73"/>
        <v>0</v>
      </c>
      <c r="K190" s="747"/>
      <c r="L190" s="747">
        <f t="shared" si="102"/>
        <v>0</v>
      </c>
      <c r="M190" s="747">
        <v>5</v>
      </c>
      <c r="N190" s="747">
        <f t="shared" si="74"/>
        <v>0</v>
      </c>
      <c r="O190" s="747">
        <f t="shared" si="75"/>
        <v>0</v>
      </c>
      <c r="P190" s="747">
        <f t="shared" si="76"/>
        <v>0</v>
      </c>
      <c r="Q190" s="748"/>
      <c r="R190" s="747">
        <f t="shared" si="77"/>
        <v>0</v>
      </c>
      <c r="S190" s="747">
        <v>5</v>
      </c>
      <c r="T190" s="747">
        <f t="shared" si="78"/>
        <v>0</v>
      </c>
      <c r="U190" s="747">
        <f t="shared" si="79"/>
        <v>0</v>
      </c>
      <c r="V190" s="747">
        <f t="shared" si="80"/>
        <v>0</v>
      </c>
      <c r="W190" s="749"/>
      <c r="X190" s="747">
        <f t="shared" si="81"/>
        <v>0</v>
      </c>
      <c r="Y190" s="747">
        <v>5</v>
      </c>
      <c r="Z190" s="747">
        <f t="shared" si="82"/>
        <v>0</v>
      </c>
      <c r="AA190" s="747">
        <f t="shared" si="83"/>
        <v>0</v>
      </c>
      <c r="AB190" s="747">
        <f t="shared" si="84"/>
        <v>0</v>
      </c>
      <c r="AC190" s="749"/>
      <c r="AD190" s="747">
        <f t="shared" si="85"/>
        <v>0</v>
      </c>
      <c r="AE190" s="747">
        <v>5</v>
      </c>
      <c r="AF190" s="747">
        <f t="shared" si="86"/>
        <v>0</v>
      </c>
      <c r="AG190" s="747">
        <f t="shared" si="87"/>
        <v>0</v>
      </c>
      <c r="AH190" s="747">
        <f t="shared" si="88"/>
        <v>0</v>
      </c>
      <c r="AI190" s="749"/>
      <c r="AJ190" s="747">
        <f t="shared" si="89"/>
        <v>0</v>
      </c>
      <c r="AK190" s="747">
        <v>5</v>
      </c>
      <c r="AL190" s="747">
        <f t="shared" si="90"/>
        <v>0</v>
      </c>
      <c r="AM190" s="747">
        <f t="shared" si="91"/>
        <v>0</v>
      </c>
      <c r="AN190" s="747">
        <f t="shared" si="92"/>
        <v>0</v>
      </c>
      <c r="AO190" s="749"/>
      <c r="AP190" s="747">
        <f t="shared" si="93"/>
        <v>0</v>
      </c>
      <c r="AQ190" s="747">
        <v>5</v>
      </c>
      <c r="AR190" s="747">
        <f t="shared" si="94"/>
        <v>0</v>
      </c>
      <c r="AS190" s="747">
        <f t="shared" si="95"/>
        <v>0</v>
      </c>
      <c r="AT190" s="747">
        <f t="shared" si="96"/>
        <v>0</v>
      </c>
      <c r="AU190" s="749"/>
      <c r="AV190" s="747">
        <f t="shared" si="97"/>
        <v>0</v>
      </c>
      <c r="AW190" s="747">
        <v>5</v>
      </c>
      <c r="AX190" s="747">
        <f t="shared" si="98"/>
        <v>0</v>
      </c>
      <c r="AY190" s="747">
        <f t="shared" si="99"/>
        <v>0</v>
      </c>
      <c r="AZ190" s="747">
        <f t="shared" si="100"/>
        <v>0</v>
      </c>
      <c r="BA190" s="749"/>
      <c r="BB190" s="747">
        <f t="shared" si="101"/>
        <v>0</v>
      </c>
      <c r="BC190" s="761"/>
    </row>
    <row r="191" spans="1:92" ht="15" customHeight="1">
      <c r="A191" s="737">
        <v>6</v>
      </c>
      <c r="B191" s="737">
        <f t="shared" si="103"/>
        <v>0</v>
      </c>
      <c r="C191" s="737">
        <f t="shared" si="103"/>
        <v>0</v>
      </c>
      <c r="D191" s="737">
        <f t="shared" si="103"/>
        <v>0</v>
      </c>
      <c r="E191" s="737">
        <f t="shared" si="103"/>
        <v>0</v>
      </c>
      <c r="F191" s="737">
        <f t="shared" si="103"/>
        <v>0</v>
      </c>
      <c r="G191" s="747">
        <v>6</v>
      </c>
      <c r="H191" s="747">
        <f t="shared" si="71"/>
        <v>0</v>
      </c>
      <c r="I191" s="747">
        <f t="shared" si="72"/>
        <v>0</v>
      </c>
      <c r="J191" s="747">
        <f t="shared" si="73"/>
        <v>0</v>
      </c>
      <c r="K191" s="747"/>
      <c r="L191" s="747">
        <f t="shared" si="102"/>
        <v>0</v>
      </c>
      <c r="M191" s="747">
        <v>6</v>
      </c>
      <c r="N191" s="747">
        <f t="shared" si="74"/>
        <v>0</v>
      </c>
      <c r="O191" s="747">
        <f t="shared" si="75"/>
        <v>0</v>
      </c>
      <c r="P191" s="747">
        <f t="shared" si="76"/>
        <v>0</v>
      </c>
      <c r="Q191" s="748"/>
      <c r="R191" s="747">
        <f t="shared" si="77"/>
        <v>0</v>
      </c>
      <c r="S191" s="747">
        <v>6</v>
      </c>
      <c r="T191" s="747">
        <f t="shared" si="78"/>
        <v>0</v>
      </c>
      <c r="U191" s="747">
        <f t="shared" si="79"/>
        <v>0</v>
      </c>
      <c r="V191" s="747">
        <f t="shared" si="80"/>
        <v>0</v>
      </c>
      <c r="W191" s="749"/>
      <c r="X191" s="747">
        <f t="shared" si="81"/>
        <v>0</v>
      </c>
      <c r="Y191" s="747">
        <v>6</v>
      </c>
      <c r="Z191" s="747">
        <f t="shared" si="82"/>
        <v>0</v>
      </c>
      <c r="AA191" s="747">
        <f t="shared" si="83"/>
        <v>0</v>
      </c>
      <c r="AB191" s="747">
        <f t="shared" si="84"/>
        <v>0</v>
      </c>
      <c r="AC191" s="749"/>
      <c r="AD191" s="747">
        <f t="shared" si="85"/>
        <v>0</v>
      </c>
      <c r="AE191" s="747">
        <v>6</v>
      </c>
      <c r="AF191" s="747">
        <f t="shared" si="86"/>
        <v>0</v>
      </c>
      <c r="AG191" s="747">
        <f t="shared" si="87"/>
        <v>0</v>
      </c>
      <c r="AH191" s="747">
        <f t="shared" si="88"/>
        <v>0</v>
      </c>
      <c r="AI191" s="749"/>
      <c r="AJ191" s="747">
        <f t="shared" si="89"/>
        <v>0</v>
      </c>
      <c r="AK191" s="747">
        <v>6</v>
      </c>
      <c r="AL191" s="747">
        <f t="shared" si="90"/>
        <v>0</v>
      </c>
      <c r="AM191" s="747">
        <f t="shared" si="91"/>
        <v>0</v>
      </c>
      <c r="AN191" s="747">
        <f t="shared" si="92"/>
        <v>0</v>
      </c>
      <c r="AO191" s="749"/>
      <c r="AP191" s="747">
        <f t="shared" si="93"/>
        <v>0</v>
      </c>
      <c r="AQ191" s="747">
        <v>6</v>
      </c>
      <c r="AR191" s="747">
        <f t="shared" si="94"/>
        <v>0</v>
      </c>
      <c r="AS191" s="747">
        <f t="shared" si="95"/>
        <v>0</v>
      </c>
      <c r="AT191" s="747">
        <f t="shared" si="96"/>
        <v>0</v>
      </c>
      <c r="AU191" s="749"/>
      <c r="AV191" s="747">
        <f t="shared" si="97"/>
        <v>0</v>
      </c>
      <c r="AW191" s="747">
        <v>6</v>
      </c>
      <c r="AX191" s="747">
        <f t="shared" si="98"/>
        <v>0</v>
      </c>
      <c r="AY191" s="747">
        <f t="shared" si="99"/>
        <v>0</v>
      </c>
      <c r="AZ191" s="747">
        <f t="shared" si="100"/>
        <v>0</v>
      </c>
      <c r="BA191" s="749"/>
      <c r="BB191" s="747">
        <f t="shared" si="101"/>
        <v>0</v>
      </c>
      <c r="BC191" s="761"/>
    </row>
    <row r="192" spans="1:92" ht="15" customHeight="1">
      <c r="A192" s="737">
        <v>7</v>
      </c>
      <c r="B192" s="737">
        <f t="shared" ref="B192:F194" si="104">+H192+N189+T186</f>
        <v>0</v>
      </c>
      <c r="C192" s="737">
        <f t="shared" si="104"/>
        <v>0</v>
      </c>
      <c r="D192" s="737">
        <f t="shared" si="104"/>
        <v>0</v>
      </c>
      <c r="E192" s="737">
        <f t="shared" si="104"/>
        <v>0</v>
      </c>
      <c r="F192" s="737">
        <f t="shared" si="104"/>
        <v>0</v>
      </c>
      <c r="G192" s="747">
        <v>7</v>
      </c>
      <c r="H192" s="747">
        <f t="shared" si="71"/>
        <v>0</v>
      </c>
      <c r="I192" s="747">
        <f t="shared" si="72"/>
        <v>0</v>
      </c>
      <c r="J192" s="747">
        <f t="shared" si="73"/>
        <v>0</v>
      </c>
      <c r="K192" s="747"/>
      <c r="L192" s="747">
        <f t="shared" si="102"/>
        <v>0</v>
      </c>
      <c r="M192" s="747">
        <v>7</v>
      </c>
      <c r="N192" s="747">
        <f t="shared" si="74"/>
        <v>0</v>
      </c>
      <c r="O192" s="747">
        <f t="shared" si="75"/>
        <v>0</v>
      </c>
      <c r="P192" s="747">
        <f t="shared" si="76"/>
        <v>0</v>
      </c>
      <c r="Q192" s="748"/>
      <c r="R192" s="747">
        <f t="shared" si="77"/>
        <v>0</v>
      </c>
      <c r="S192" s="747">
        <v>7</v>
      </c>
      <c r="T192" s="747">
        <f t="shared" si="78"/>
        <v>0</v>
      </c>
      <c r="U192" s="747">
        <f t="shared" si="79"/>
        <v>0</v>
      </c>
      <c r="V192" s="747">
        <f t="shared" si="80"/>
        <v>0</v>
      </c>
      <c r="W192" s="749"/>
      <c r="X192" s="747">
        <f t="shared" si="81"/>
        <v>0</v>
      </c>
      <c r="Y192" s="747">
        <v>7</v>
      </c>
      <c r="Z192" s="747">
        <f t="shared" si="82"/>
        <v>0</v>
      </c>
      <c r="AA192" s="747">
        <f t="shared" si="83"/>
        <v>0</v>
      </c>
      <c r="AB192" s="747">
        <f t="shared" si="84"/>
        <v>0</v>
      </c>
      <c r="AC192" s="749"/>
      <c r="AD192" s="747">
        <f t="shared" si="85"/>
        <v>0</v>
      </c>
      <c r="AE192" s="747">
        <v>7</v>
      </c>
      <c r="AF192" s="747">
        <f t="shared" si="86"/>
        <v>0</v>
      </c>
      <c r="AG192" s="747">
        <f t="shared" si="87"/>
        <v>0</v>
      </c>
      <c r="AH192" s="747">
        <f t="shared" si="88"/>
        <v>0</v>
      </c>
      <c r="AI192" s="749"/>
      <c r="AJ192" s="747">
        <f t="shared" si="89"/>
        <v>0</v>
      </c>
      <c r="AK192" s="747">
        <v>7</v>
      </c>
      <c r="AL192" s="747">
        <f t="shared" si="90"/>
        <v>0</v>
      </c>
      <c r="AM192" s="747">
        <f t="shared" si="91"/>
        <v>0</v>
      </c>
      <c r="AN192" s="747">
        <f t="shared" si="92"/>
        <v>0</v>
      </c>
      <c r="AO192" s="749"/>
      <c r="AP192" s="747">
        <f t="shared" si="93"/>
        <v>0</v>
      </c>
      <c r="AQ192" s="747">
        <v>7</v>
      </c>
      <c r="AR192" s="747">
        <f t="shared" si="94"/>
        <v>0</v>
      </c>
      <c r="AS192" s="747">
        <f t="shared" si="95"/>
        <v>0</v>
      </c>
      <c r="AT192" s="747">
        <f t="shared" si="96"/>
        <v>0</v>
      </c>
      <c r="AU192" s="749"/>
      <c r="AV192" s="747">
        <f t="shared" si="97"/>
        <v>0</v>
      </c>
      <c r="AW192" s="747">
        <v>7</v>
      </c>
      <c r="AX192" s="747">
        <f t="shared" si="98"/>
        <v>0</v>
      </c>
      <c r="AY192" s="747">
        <f t="shared" si="99"/>
        <v>0</v>
      </c>
      <c r="AZ192" s="747">
        <f t="shared" si="100"/>
        <v>0</v>
      </c>
      <c r="BA192" s="749"/>
      <c r="BB192" s="747">
        <f t="shared" si="101"/>
        <v>0</v>
      </c>
      <c r="BC192" s="761"/>
    </row>
    <row r="193" spans="1:55" ht="15" customHeight="1">
      <c r="A193" s="737">
        <v>8</v>
      </c>
      <c r="B193" s="737">
        <f t="shared" si="104"/>
        <v>0</v>
      </c>
      <c r="C193" s="737">
        <f t="shared" si="104"/>
        <v>0</v>
      </c>
      <c r="D193" s="737">
        <f t="shared" si="104"/>
        <v>0</v>
      </c>
      <c r="E193" s="737">
        <f t="shared" si="104"/>
        <v>0</v>
      </c>
      <c r="F193" s="737">
        <f t="shared" si="104"/>
        <v>0</v>
      </c>
      <c r="G193" s="747">
        <v>8</v>
      </c>
      <c r="H193" s="747">
        <f t="shared" si="71"/>
        <v>0</v>
      </c>
      <c r="I193" s="747">
        <f t="shared" si="72"/>
        <v>0</v>
      </c>
      <c r="J193" s="747">
        <f t="shared" si="73"/>
        <v>0</v>
      </c>
      <c r="K193" s="747"/>
      <c r="L193" s="747">
        <f t="shared" si="102"/>
        <v>0</v>
      </c>
      <c r="M193" s="747">
        <v>8</v>
      </c>
      <c r="N193" s="747">
        <f t="shared" si="74"/>
        <v>0</v>
      </c>
      <c r="O193" s="747">
        <f t="shared" si="75"/>
        <v>0</v>
      </c>
      <c r="P193" s="747">
        <f t="shared" si="76"/>
        <v>0</v>
      </c>
      <c r="Q193" s="748"/>
      <c r="R193" s="747">
        <f t="shared" si="77"/>
        <v>0</v>
      </c>
      <c r="S193" s="747">
        <v>8</v>
      </c>
      <c r="T193" s="747">
        <f t="shared" si="78"/>
        <v>0</v>
      </c>
      <c r="U193" s="747">
        <f t="shared" si="79"/>
        <v>0</v>
      </c>
      <c r="V193" s="747">
        <f t="shared" si="80"/>
        <v>0</v>
      </c>
      <c r="W193" s="749"/>
      <c r="X193" s="747">
        <f t="shared" si="81"/>
        <v>0</v>
      </c>
      <c r="Y193" s="747">
        <v>8</v>
      </c>
      <c r="Z193" s="747">
        <f t="shared" si="82"/>
        <v>0</v>
      </c>
      <c r="AA193" s="747">
        <f t="shared" si="83"/>
        <v>0</v>
      </c>
      <c r="AB193" s="747">
        <f t="shared" si="84"/>
        <v>0</v>
      </c>
      <c r="AC193" s="749"/>
      <c r="AD193" s="747">
        <f t="shared" si="85"/>
        <v>0</v>
      </c>
      <c r="AE193" s="747">
        <v>8</v>
      </c>
      <c r="AF193" s="747">
        <f t="shared" si="86"/>
        <v>0</v>
      </c>
      <c r="AG193" s="747">
        <f t="shared" si="87"/>
        <v>0</v>
      </c>
      <c r="AH193" s="747">
        <f t="shared" si="88"/>
        <v>0</v>
      </c>
      <c r="AI193" s="749"/>
      <c r="AJ193" s="747">
        <f t="shared" si="89"/>
        <v>0</v>
      </c>
      <c r="AK193" s="747">
        <v>8</v>
      </c>
      <c r="AL193" s="747">
        <f t="shared" si="90"/>
        <v>0</v>
      </c>
      <c r="AM193" s="747">
        <f t="shared" si="91"/>
        <v>0</v>
      </c>
      <c r="AN193" s="747">
        <f t="shared" si="92"/>
        <v>0</v>
      </c>
      <c r="AO193" s="749"/>
      <c r="AP193" s="747">
        <f t="shared" si="93"/>
        <v>0</v>
      </c>
      <c r="AQ193" s="747">
        <v>8</v>
      </c>
      <c r="AR193" s="747">
        <f t="shared" si="94"/>
        <v>0</v>
      </c>
      <c r="AS193" s="747">
        <f t="shared" si="95"/>
        <v>0</v>
      </c>
      <c r="AT193" s="747">
        <f t="shared" si="96"/>
        <v>0</v>
      </c>
      <c r="AU193" s="749"/>
      <c r="AV193" s="747">
        <f t="shared" si="97"/>
        <v>0</v>
      </c>
      <c r="AW193" s="747">
        <v>8</v>
      </c>
      <c r="AX193" s="747">
        <f t="shared" si="98"/>
        <v>0</v>
      </c>
      <c r="AY193" s="747">
        <f t="shared" si="99"/>
        <v>0</v>
      </c>
      <c r="AZ193" s="747">
        <f t="shared" si="100"/>
        <v>0</v>
      </c>
      <c r="BA193" s="749"/>
      <c r="BB193" s="747">
        <f t="shared" si="101"/>
        <v>0</v>
      </c>
      <c r="BC193" s="761"/>
    </row>
    <row r="194" spans="1:55" ht="15" customHeight="1">
      <c r="A194" s="737">
        <v>9</v>
      </c>
      <c r="B194" s="737">
        <f t="shared" si="104"/>
        <v>0</v>
      </c>
      <c r="C194" s="737">
        <f t="shared" si="104"/>
        <v>0</v>
      </c>
      <c r="D194" s="737">
        <f t="shared" si="104"/>
        <v>0</v>
      </c>
      <c r="E194" s="737">
        <f t="shared" si="104"/>
        <v>0</v>
      </c>
      <c r="F194" s="737">
        <f t="shared" si="104"/>
        <v>0</v>
      </c>
      <c r="G194" s="747">
        <v>9</v>
      </c>
      <c r="H194" s="747">
        <f t="shared" si="71"/>
        <v>0</v>
      </c>
      <c r="I194" s="747">
        <f t="shared" si="72"/>
        <v>0</v>
      </c>
      <c r="J194" s="747">
        <f t="shared" si="73"/>
        <v>0</v>
      </c>
      <c r="K194" s="747"/>
      <c r="L194" s="747">
        <f t="shared" si="102"/>
        <v>0</v>
      </c>
      <c r="M194" s="747">
        <v>9</v>
      </c>
      <c r="N194" s="747">
        <f t="shared" si="74"/>
        <v>0</v>
      </c>
      <c r="O194" s="747">
        <f t="shared" si="75"/>
        <v>0</v>
      </c>
      <c r="P194" s="747">
        <f t="shared" si="76"/>
        <v>0</v>
      </c>
      <c r="Q194" s="748"/>
      <c r="R194" s="747">
        <f t="shared" si="77"/>
        <v>0</v>
      </c>
      <c r="S194" s="747">
        <v>9</v>
      </c>
      <c r="T194" s="747">
        <f t="shared" si="78"/>
        <v>0</v>
      </c>
      <c r="U194" s="747">
        <f t="shared" si="79"/>
        <v>0</v>
      </c>
      <c r="V194" s="747">
        <f t="shared" si="80"/>
        <v>0</v>
      </c>
      <c r="W194" s="749"/>
      <c r="X194" s="747">
        <f t="shared" si="81"/>
        <v>0</v>
      </c>
      <c r="Y194" s="747">
        <v>9</v>
      </c>
      <c r="Z194" s="747">
        <f t="shared" si="82"/>
        <v>0</v>
      </c>
      <c r="AA194" s="747">
        <f t="shared" si="83"/>
        <v>0</v>
      </c>
      <c r="AB194" s="747">
        <f t="shared" si="84"/>
        <v>0</v>
      </c>
      <c r="AC194" s="749"/>
      <c r="AD194" s="747">
        <f t="shared" si="85"/>
        <v>0</v>
      </c>
      <c r="AE194" s="747">
        <v>9</v>
      </c>
      <c r="AF194" s="747">
        <f t="shared" si="86"/>
        <v>0</v>
      </c>
      <c r="AG194" s="747">
        <f t="shared" si="87"/>
        <v>0</v>
      </c>
      <c r="AH194" s="747">
        <f t="shared" si="88"/>
        <v>0</v>
      </c>
      <c r="AI194" s="749"/>
      <c r="AJ194" s="747">
        <f t="shared" si="89"/>
        <v>0</v>
      </c>
      <c r="AK194" s="747">
        <v>9</v>
      </c>
      <c r="AL194" s="747">
        <f t="shared" si="90"/>
        <v>0</v>
      </c>
      <c r="AM194" s="747">
        <f t="shared" si="91"/>
        <v>0</v>
      </c>
      <c r="AN194" s="747">
        <f t="shared" si="92"/>
        <v>0</v>
      </c>
      <c r="AO194" s="749"/>
      <c r="AP194" s="747">
        <f t="shared" si="93"/>
        <v>0</v>
      </c>
      <c r="AQ194" s="747">
        <v>9</v>
      </c>
      <c r="AR194" s="747">
        <f t="shared" si="94"/>
        <v>0</v>
      </c>
      <c r="AS194" s="747">
        <f t="shared" si="95"/>
        <v>0</v>
      </c>
      <c r="AT194" s="747">
        <f t="shared" si="96"/>
        <v>0</v>
      </c>
      <c r="AU194" s="749"/>
      <c r="AV194" s="747">
        <f t="shared" si="97"/>
        <v>0</v>
      </c>
      <c r="AW194" s="747">
        <v>9</v>
      </c>
      <c r="AX194" s="747">
        <f t="shared" si="98"/>
        <v>0</v>
      </c>
      <c r="AY194" s="747">
        <f t="shared" si="99"/>
        <v>0</v>
      </c>
      <c r="AZ194" s="747">
        <f t="shared" si="100"/>
        <v>0</v>
      </c>
      <c r="BA194" s="749"/>
      <c r="BB194" s="747">
        <f t="shared" si="101"/>
        <v>0</v>
      </c>
      <c r="BC194" s="761"/>
    </row>
    <row r="195" spans="1:55" ht="15" customHeight="1">
      <c r="A195" s="737">
        <v>10</v>
      </c>
      <c r="B195" s="737">
        <f t="shared" ref="B195:F197" si="105">+H195+N192+T189+Z186</f>
        <v>0</v>
      </c>
      <c r="C195" s="737">
        <f t="shared" si="105"/>
        <v>0</v>
      </c>
      <c r="D195" s="737">
        <f t="shared" si="105"/>
        <v>0</v>
      </c>
      <c r="E195" s="737">
        <f t="shared" si="105"/>
        <v>0</v>
      </c>
      <c r="F195" s="737">
        <f t="shared" si="105"/>
        <v>0</v>
      </c>
      <c r="G195" s="747">
        <v>10</v>
      </c>
      <c r="H195" s="747">
        <f t="shared" si="71"/>
        <v>0</v>
      </c>
      <c r="I195" s="747">
        <f t="shared" si="72"/>
        <v>0</v>
      </c>
      <c r="J195" s="747">
        <f t="shared" si="73"/>
        <v>0</v>
      </c>
      <c r="K195" s="747"/>
      <c r="L195" s="747">
        <f t="shared" si="102"/>
        <v>0</v>
      </c>
      <c r="M195" s="747">
        <v>10</v>
      </c>
      <c r="N195" s="747">
        <f t="shared" si="74"/>
        <v>0</v>
      </c>
      <c r="O195" s="747">
        <f t="shared" si="75"/>
        <v>0</v>
      </c>
      <c r="P195" s="747">
        <f t="shared" si="76"/>
        <v>0</v>
      </c>
      <c r="Q195" s="748"/>
      <c r="R195" s="747">
        <f t="shared" si="77"/>
        <v>0</v>
      </c>
      <c r="S195" s="747">
        <v>10</v>
      </c>
      <c r="T195" s="747">
        <f t="shared" si="78"/>
        <v>0</v>
      </c>
      <c r="U195" s="747">
        <f t="shared" si="79"/>
        <v>0</v>
      </c>
      <c r="V195" s="747">
        <f t="shared" si="80"/>
        <v>0</v>
      </c>
      <c r="W195" s="749"/>
      <c r="X195" s="747">
        <f t="shared" si="81"/>
        <v>0</v>
      </c>
      <c r="Y195" s="747">
        <v>10</v>
      </c>
      <c r="Z195" s="747">
        <f t="shared" si="82"/>
        <v>0</v>
      </c>
      <c r="AA195" s="747">
        <f t="shared" si="83"/>
        <v>0</v>
      </c>
      <c r="AB195" s="747">
        <f t="shared" si="84"/>
        <v>0</v>
      </c>
      <c r="AC195" s="749"/>
      <c r="AD195" s="747">
        <f t="shared" si="85"/>
        <v>0</v>
      </c>
      <c r="AE195" s="747">
        <v>10</v>
      </c>
      <c r="AF195" s="747">
        <f t="shared" si="86"/>
        <v>0</v>
      </c>
      <c r="AG195" s="747">
        <f t="shared" si="87"/>
        <v>0</v>
      </c>
      <c r="AH195" s="747">
        <f t="shared" si="88"/>
        <v>0</v>
      </c>
      <c r="AI195" s="749"/>
      <c r="AJ195" s="747">
        <f t="shared" si="89"/>
        <v>0</v>
      </c>
      <c r="AK195" s="747">
        <v>10</v>
      </c>
      <c r="AL195" s="747">
        <f t="shared" si="90"/>
        <v>0</v>
      </c>
      <c r="AM195" s="747">
        <f t="shared" si="91"/>
        <v>0</v>
      </c>
      <c r="AN195" s="747">
        <f t="shared" si="92"/>
        <v>0</v>
      </c>
      <c r="AO195" s="749"/>
      <c r="AP195" s="747">
        <f t="shared" si="93"/>
        <v>0</v>
      </c>
      <c r="AQ195" s="747">
        <v>10</v>
      </c>
      <c r="AR195" s="747">
        <f t="shared" si="94"/>
        <v>0</v>
      </c>
      <c r="AS195" s="747">
        <f t="shared" si="95"/>
        <v>0</v>
      </c>
      <c r="AT195" s="747">
        <f t="shared" si="96"/>
        <v>0</v>
      </c>
      <c r="AU195" s="749"/>
      <c r="AV195" s="747">
        <f t="shared" si="97"/>
        <v>0</v>
      </c>
      <c r="AW195" s="747">
        <v>10</v>
      </c>
      <c r="AX195" s="747">
        <f t="shared" si="98"/>
        <v>0</v>
      </c>
      <c r="AY195" s="747">
        <f t="shared" si="99"/>
        <v>0</v>
      </c>
      <c r="AZ195" s="747">
        <f t="shared" si="100"/>
        <v>0</v>
      </c>
      <c r="BA195" s="749"/>
      <c r="BB195" s="747">
        <f t="shared" si="101"/>
        <v>0</v>
      </c>
      <c r="BC195" s="761"/>
    </row>
    <row r="196" spans="1:55" ht="15" customHeight="1">
      <c r="A196" s="737">
        <v>11</v>
      </c>
      <c r="B196" s="737">
        <f t="shared" si="105"/>
        <v>0</v>
      </c>
      <c r="C196" s="737">
        <f t="shared" si="105"/>
        <v>0</v>
      </c>
      <c r="D196" s="737">
        <f t="shared" si="105"/>
        <v>0</v>
      </c>
      <c r="E196" s="737">
        <f t="shared" si="105"/>
        <v>0</v>
      </c>
      <c r="F196" s="737">
        <f t="shared" si="105"/>
        <v>0</v>
      </c>
      <c r="G196" s="747">
        <v>11</v>
      </c>
      <c r="H196" s="747">
        <f t="shared" si="71"/>
        <v>0</v>
      </c>
      <c r="I196" s="747">
        <f t="shared" si="72"/>
        <v>0</v>
      </c>
      <c r="J196" s="747">
        <f t="shared" si="73"/>
        <v>0</v>
      </c>
      <c r="K196" s="747"/>
      <c r="L196" s="747">
        <f t="shared" si="102"/>
        <v>0</v>
      </c>
      <c r="M196" s="747">
        <v>11</v>
      </c>
      <c r="N196" s="747">
        <f t="shared" si="74"/>
        <v>0</v>
      </c>
      <c r="O196" s="747">
        <f t="shared" si="75"/>
        <v>0</v>
      </c>
      <c r="P196" s="747">
        <f t="shared" si="76"/>
        <v>0</v>
      </c>
      <c r="Q196" s="748"/>
      <c r="R196" s="747">
        <f t="shared" si="77"/>
        <v>0</v>
      </c>
      <c r="S196" s="747">
        <v>11</v>
      </c>
      <c r="T196" s="747">
        <f t="shared" si="78"/>
        <v>0</v>
      </c>
      <c r="U196" s="747">
        <f t="shared" si="79"/>
        <v>0</v>
      </c>
      <c r="V196" s="747">
        <f t="shared" si="80"/>
        <v>0</v>
      </c>
      <c r="W196" s="749"/>
      <c r="X196" s="747">
        <f t="shared" si="81"/>
        <v>0</v>
      </c>
      <c r="Y196" s="747">
        <v>11</v>
      </c>
      <c r="Z196" s="747">
        <f t="shared" si="82"/>
        <v>0</v>
      </c>
      <c r="AA196" s="747">
        <f t="shared" si="83"/>
        <v>0</v>
      </c>
      <c r="AB196" s="747">
        <f t="shared" si="84"/>
        <v>0</v>
      </c>
      <c r="AC196" s="749"/>
      <c r="AD196" s="747">
        <f t="shared" si="85"/>
        <v>0</v>
      </c>
      <c r="AE196" s="747">
        <v>11</v>
      </c>
      <c r="AF196" s="747">
        <f t="shared" si="86"/>
        <v>0</v>
      </c>
      <c r="AG196" s="747">
        <f t="shared" si="87"/>
        <v>0</v>
      </c>
      <c r="AH196" s="747">
        <f t="shared" si="88"/>
        <v>0</v>
      </c>
      <c r="AI196" s="749"/>
      <c r="AJ196" s="747">
        <f t="shared" si="89"/>
        <v>0</v>
      </c>
      <c r="AK196" s="747">
        <v>11</v>
      </c>
      <c r="AL196" s="747">
        <f t="shared" si="90"/>
        <v>0</v>
      </c>
      <c r="AM196" s="747">
        <f t="shared" si="91"/>
        <v>0</v>
      </c>
      <c r="AN196" s="747">
        <f t="shared" si="92"/>
        <v>0</v>
      </c>
      <c r="AO196" s="749"/>
      <c r="AP196" s="747">
        <f t="shared" si="93"/>
        <v>0</v>
      </c>
      <c r="AQ196" s="747">
        <v>11</v>
      </c>
      <c r="AR196" s="747">
        <f t="shared" si="94"/>
        <v>0</v>
      </c>
      <c r="AS196" s="747">
        <f t="shared" si="95"/>
        <v>0</v>
      </c>
      <c r="AT196" s="747">
        <f t="shared" si="96"/>
        <v>0</v>
      </c>
      <c r="AU196" s="749"/>
      <c r="AV196" s="747">
        <f t="shared" si="97"/>
        <v>0</v>
      </c>
      <c r="AW196" s="747">
        <v>11</v>
      </c>
      <c r="AX196" s="747">
        <f t="shared" si="98"/>
        <v>0</v>
      </c>
      <c r="AY196" s="747">
        <f t="shared" si="99"/>
        <v>0</v>
      </c>
      <c r="AZ196" s="747">
        <f t="shared" si="100"/>
        <v>0</v>
      </c>
      <c r="BA196" s="749"/>
      <c r="BB196" s="747">
        <f t="shared" si="101"/>
        <v>0</v>
      </c>
      <c r="BC196" s="761"/>
    </row>
    <row r="197" spans="1:55" ht="15" customHeight="1">
      <c r="A197" s="737">
        <v>12</v>
      </c>
      <c r="B197" s="737">
        <f t="shared" si="105"/>
        <v>0</v>
      </c>
      <c r="C197" s="737">
        <f t="shared" si="105"/>
        <v>0</v>
      </c>
      <c r="D197" s="737">
        <f t="shared" si="105"/>
        <v>0</v>
      </c>
      <c r="E197" s="737">
        <f t="shared" si="105"/>
        <v>0</v>
      </c>
      <c r="F197" s="737">
        <f t="shared" si="105"/>
        <v>0</v>
      </c>
      <c r="G197" s="747">
        <v>12</v>
      </c>
      <c r="H197" s="747">
        <f t="shared" si="71"/>
        <v>0</v>
      </c>
      <c r="I197" s="747">
        <f t="shared" si="72"/>
        <v>0</v>
      </c>
      <c r="J197" s="747">
        <f t="shared" si="73"/>
        <v>0</v>
      </c>
      <c r="K197" s="747"/>
      <c r="L197" s="747">
        <f t="shared" si="102"/>
        <v>0</v>
      </c>
      <c r="M197" s="747">
        <v>12</v>
      </c>
      <c r="N197" s="747">
        <f t="shared" si="74"/>
        <v>0</v>
      </c>
      <c r="O197" s="747">
        <f t="shared" si="75"/>
        <v>0</v>
      </c>
      <c r="P197" s="747">
        <f t="shared" si="76"/>
        <v>0</v>
      </c>
      <c r="Q197" s="748"/>
      <c r="R197" s="747">
        <f t="shared" si="77"/>
        <v>0</v>
      </c>
      <c r="S197" s="747">
        <v>12</v>
      </c>
      <c r="T197" s="747">
        <f t="shared" si="78"/>
        <v>0</v>
      </c>
      <c r="U197" s="747">
        <f t="shared" si="79"/>
        <v>0</v>
      </c>
      <c r="V197" s="747">
        <f t="shared" si="80"/>
        <v>0</v>
      </c>
      <c r="W197" s="749"/>
      <c r="X197" s="747">
        <f t="shared" si="81"/>
        <v>0</v>
      </c>
      <c r="Y197" s="747">
        <v>12</v>
      </c>
      <c r="Z197" s="747">
        <f t="shared" si="82"/>
        <v>0</v>
      </c>
      <c r="AA197" s="747">
        <f t="shared" si="83"/>
        <v>0</v>
      </c>
      <c r="AB197" s="747">
        <f t="shared" si="84"/>
        <v>0</v>
      </c>
      <c r="AC197" s="749"/>
      <c r="AD197" s="747">
        <f t="shared" si="85"/>
        <v>0</v>
      </c>
      <c r="AE197" s="747">
        <v>12</v>
      </c>
      <c r="AF197" s="747">
        <f t="shared" si="86"/>
        <v>0</v>
      </c>
      <c r="AG197" s="747">
        <f t="shared" si="87"/>
        <v>0</v>
      </c>
      <c r="AH197" s="747">
        <f t="shared" si="88"/>
        <v>0</v>
      </c>
      <c r="AI197" s="749"/>
      <c r="AJ197" s="747">
        <f t="shared" si="89"/>
        <v>0</v>
      </c>
      <c r="AK197" s="747">
        <v>12</v>
      </c>
      <c r="AL197" s="747">
        <f t="shared" si="90"/>
        <v>0</v>
      </c>
      <c r="AM197" s="747">
        <f t="shared" si="91"/>
        <v>0</v>
      </c>
      <c r="AN197" s="747">
        <f t="shared" si="92"/>
        <v>0</v>
      </c>
      <c r="AO197" s="749"/>
      <c r="AP197" s="747">
        <f t="shared" si="93"/>
        <v>0</v>
      </c>
      <c r="AQ197" s="747">
        <v>12</v>
      </c>
      <c r="AR197" s="747">
        <f t="shared" si="94"/>
        <v>0</v>
      </c>
      <c r="AS197" s="747">
        <f t="shared" si="95"/>
        <v>0</v>
      </c>
      <c r="AT197" s="747">
        <f t="shared" si="96"/>
        <v>0</v>
      </c>
      <c r="AU197" s="749"/>
      <c r="AV197" s="747">
        <f t="shared" si="97"/>
        <v>0</v>
      </c>
      <c r="AW197" s="747">
        <v>12</v>
      </c>
      <c r="AX197" s="747">
        <f t="shared" si="98"/>
        <v>0</v>
      </c>
      <c r="AY197" s="747">
        <f t="shared" si="99"/>
        <v>0</v>
      </c>
      <c r="AZ197" s="747">
        <f t="shared" si="100"/>
        <v>0</v>
      </c>
      <c r="BA197" s="749"/>
      <c r="BB197" s="747">
        <f t="shared" si="101"/>
        <v>0</v>
      </c>
      <c r="BC197" s="761"/>
    </row>
    <row r="198" spans="1:55" ht="15" customHeight="1">
      <c r="A198" s="737">
        <v>13</v>
      </c>
      <c r="B198" s="737">
        <f t="shared" ref="B198:F203" si="106">+H198+N195+T192+Z189+AF186</f>
        <v>0</v>
      </c>
      <c r="C198" s="737">
        <f t="shared" si="106"/>
        <v>0</v>
      </c>
      <c r="D198" s="737">
        <f t="shared" si="106"/>
        <v>0</v>
      </c>
      <c r="E198" s="737">
        <f t="shared" si="106"/>
        <v>0</v>
      </c>
      <c r="F198" s="737">
        <f t="shared" si="106"/>
        <v>0</v>
      </c>
      <c r="G198" s="747">
        <v>13</v>
      </c>
      <c r="H198" s="747">
        <f t="shared" si="71"/>
        <v>0</v>
      </c>
      <c r="I198" s="747">
        <f t="shared" si="72"/>
        <v>0</v>
      </c>
      <c r="J198" s="747">
        <f t="shared" si="73"/>
        <v>0</v>
      </c>
      <c r="K198" s="747"/>
      <c r="L198" s="747">
        <f t="shared" si="102"/>
        <v>0</v>
      </c>
      <c r="M198" s="747">
        <v>13</v>
      </c>
      <c r="N198" s="747">
        <f t="shared" si="74"/>
        <v>0</v>
      </c>
      <c r="O198" s="747">
        <f t="shared" si="75"/>
        <v>0</v>
      </c>
      <c r="P198" s="747">
        <f t="shared" si="76"/>
        <v>0</v>
      </c>
      <c r="Q198" s="748"/>
      <c r="R198" s="747">
        <f t="shared" si="77"/>
        <v>0</v>
      </c>
      <c r="S198" s="747">
        <v>13</v>
      </c>
      <c r="T198" s="747">
        <f t="shared" si="78"/>
        <v>0</v>
      </c>
      <c r="U198" s="747">
        <f t="shared" si="79"/>
        <v>0</v>
      </c>
      <c r="V198" s="747">
        <f t="shared" si="80"/>
        <v>0</v>
      </c>
      <c r="W198" s="749"/>
      <c r="X198" s="747">
        <f t="shared" si="81"/>
        <v>0</v>
      </c>
      <c r="Y198" s="747">
        <v>13</v>
      </c>
      <c r="Z198" s="747">
        <f t="shared" si="82"/>
        <v>0</v>
      </c>
      <c r="AA198" s="747">
        <f t="shared" si="83"/>
        <v>0</v>
      </c>
      <c r="AB198" s="747">
        <f t="shared" si="84"/>
        <v>0</v>
      </c>
      <c r="AC198" s="749"/>
      <c r="AD198" s="747">
        <f t="shared" si="85"/>
        <v>0</v>
      </c>
      <c r="AE198" s="747">
        <v>13</v>
      </c>
      <c r="AF198" s="747">
        <f t="shared" si="86"/>
        <v>0</v>
      </c>
      <c r="AG198" s="747">
        <f t="shared" si="87"/>
        <v>0</v>
      </c>
      <c r="AH198" s="747">
        <f t="shared" si="88"/>
        <v>0</v>
      </c>
      <c r="AI198" s="749"/>
      <c r="AJ198" s="747">
        <f t="shared" si="89"/>
        <v>0</v>
      </c>
      <c r="AK198" s="747">
        <v>13</v>
      </c>
      <c r="AL198" s="747">
        <f t="shared" si="90"/>
        <v>0</v>
      </c>
      <c r="AM198" s="747">
        <f t="shared" si="91"/>
        <v>0</v>
      </c>
      <c r="AN198" s="747">
        <f t="shared" si="92"/>
        <v>0</v>
      </c>
      <c r="AO198" s="749"/>
      <c r="AP198" s="747">
        <f t="shared" si="93"/>
        <v>0</v>
      </c>
      <c r="AQ198" s="747">
        <v>13</v>
      </c>
      <c r="AR198" s="747">
        <f t="shared" si="94"/>
        <v>0</v>
      </c>
      <c r="AS198" s="747">
        <f t="shared" si="95"/>
        <v>0</v>
      </c>
      <c r="AT198" s="747">
        <f t="shared" si="96"/>
        <v>0</v>
      </c>
      <c r="AU198" s="749"/>
      <c r="AV198" s="747">
        <f t="shared" si="97"/>
        <v>0</v>
      </c>
      <c r="AW198" s="747">
        <v>13</v>
      </c>
      <c r="AX198" s="747">
        <f t="shared" si="98"/>
        <v>0</v>
      </c>
      <c r="AY198" s="747">
        <f t="shared" si="99"/>
        <v>0</v>
      </c>
      <c r="AZ198" s="747">
        <f t="shared" si="100"/>
        <v>0</v>
      </c>
      <c r="BA198" s="749"/>
      <c r="BB198" s="747">
        <f t="shared" si="101"/>
        <v>0</v>
      </c>
      <c r="BC198" s="761"/>
    </row>
    <row r="199" spans="1:55" ht="15" customHeight="1">
      <c r="A199" s="737">
        <v>14</v>
      </c>
      <c r="B199" s="737">
        <f t="shared" si="106"/>
        <v>0</v>
      </c>
      <c r="C199" s="737">
        <f t="shared" si="106"/>
        <v>0</v>
      </c>
      <c r="D199" s="737">
        <f t="shared" si="106"/>
        <v>0</v>
      </c>
      <c r="E199" s="737">
        <f t="shared" si="106"/>
        <v>0</v>
      </c>
      <c r="F199" s="737">
        <f t="shared" si="106"/>
        <v>0</v>
      </c>
      <c r="G199" s="747">
        <v>14</v>
      </c>
      <c r="H199" s="747">
        <f t="shared" si="71"/>
        <v>0</v>
      </c>
      <c r="I199" s="747">
        <f t="shared" si="72"/>
        <v>0</v>
      </c>
      <c r="J199" s="747">
        <f t="shared" si="73"/>
        <v>0</v>
      </c>
      <c r="K199" s="747"/>
      <c r="L199" s="747">
        <f t="shared" si="102"/>
        <v>0</v>
      </c>
      <c r="M199" s="747">
        <v>14</v>
      </c>
      <c r="N199" s="747">
        <f t="shared" si="74"/>
        <v>0</v>
      </c>
      <c r="O199" s="747">
        <f t="shared" si="75"/>
        <v>0</v>
      </c>
      <c r="P199" s="747">
        <f t="shared" si="76"/>
        <v>0</v>
      </c>
      <c r="Q199" s="748"/>
      <c r="R199" s="747">
        <f t="shared" si="77"/>
        <v>0</v>
      </c>
      <c r="S199" s="747">
        <v>14</v>
      </c>
      <c r="T199" s="747">
        <f t="shared" si="78"/>
        <v>0</v>
      </c>
      <c r="U199" s="747">
        <f t="shared" si="79"/>
        <v>0</v>
      </c>
      <c r="V199" s="747">
        <f t="shared" si="80"/>
        <v>0</v>
      </c>
      <c r="W199" s="749"/>
      <c r="X199" s="747">
        <f t="shared" si="81"/>
        <v>0</v>
      </c>
      <c r="Y199" s="747">
        <v>14</v>
      </c>
      <c r="Z199" s="747">
        <f t="shared" si="82"/>
        <v>0</v>
      </c>
      <c r="AA199" s="747">
        <f t="shared" si="83"/>
        <v>0</v>
      </c>
      <c r="AB199" s="747">
        <f t="shared" si="84"/>
        <v>0</v>
      </c>
      <c r="AC199" s="749"/>
      <c r="AD199" s="747">
        <f t="shared" si="85"/>
        <v>0</v>
      </c>
      <c r="AE199" s="747">
        <v>14</v>
      </c>
      <c r="AF199" s="747">
        <f t="shared" si="86"/>
        <v>0</v>
      </c>
      <c r="AG199" s="747">
        <f t="shared" si="87"/>
        <v>0</v>
      </c>
      <c r="AH199" s="747">
        <f t="shared" si="88"/>
        <v>0</v>
      </c>
      <c r="AI199" s="749"/>
      <c r="AJ199" s="747">
        <f t="shared" si="89"/>
        <v>0</v>
      </c>
      <c r="AK199" s="747">
        <v>14</v>
      </c>
      <c r="AL199" s="747">
        <f t="shared" si="90"/>
        <v>0</v>
      </c>
      <c r="AM199" s="747">
        <f t="shared" si="91"/>
        <v>0</v>
      </c>
      <c r="AN199" s="747">
        <f t="shared" si="92"/>
        <v>0</v>
      </c>
      <c r="AO199" s="749"/>
      <c r="AP199" s="747">
        <f t="shared" si="93"/>
        <v>0</v>
      </c>
      <c r="AQ199" s="747">
        <v>14</v>
      </c>
      <c r="AR199" s="747">
        <f t="shared" si="94"/>
        <v>0</v>
      </c>
      <c r="AS199" s="747">
        <f t="shared" si="95"/>
        <v>0</v>
      </c>
      <c r="AT199" s="747">
        <f t="shared" si="96"/>
        <v>0</v>
      </c>
      <c r="AU199" s="749"/>
      <c r="AV199" s="747">
        <f t="shared" si="97"/>
        <v>0</v>
      </c>
      <c r="AW199" s="747">
        <v>14</v>
      </c>
      <c r="AX199" s="747">
        <f t="shared" si="98"/>
        <v>0</v>
      </c>
      <c r="AY199" s="747">
        <f t="shared" si="99"/>
        <v>0</v>
      </c>
      <c r="AZ199" s="747">
        <f t="shared" si="100"/>
        <v>0</v>
      </c>
      <c r="BA199" s="749"/>
      <c r="BB199" s="747">
        <f t="shared" si="101"/>
        <v>0</v>
      </c>
      <c r="BC199" s="761"/>
    </row>
    <row r="200" spans="1:55" ht="15" customHeight="1">
      <c r="A200" s="737">
        <v>15</v>
      </c>
      <c r="B200" s="737">
        <f t="shared" si="106"/>
        <v>0</v>
      </c>
      <c r="C200" s="737">
        <f t="shared" si="106"/>
        <v>0</v>
      </c>
      <c r="D200" s="737">
        <f t="shared" si="106"/>
        <v>0</v>
      </c>
      <c r="E200" s="737">
        <f t="shared" si="106"/>
        <v>0</v>
      </c>
      <c r="F200" s="737">
        <f t="shared" si="106"/>
        <v>0</v>
      </c>
      <c r="G200" s="747">
        <v>15</v>
      </c>
      <c r="H200" s="747">
        <f t="shared" si="71"/>
        <v>0</v>
      </c>
      <c r="I200" s="747">
        <f t="shared" si="72"/>
        <v>0</v>
      </c>
      <c r="J200" s="747">
        <f t="shared" si="73"/>
        <v>0</v>
      </c>
      <c r="K200" s="747"/>
      <c r="L200" s="747">
        <f t="shared" si="102"/>
        <v>0</v>
      </c>
      <c r="M200" s="747">
        <v>15</v>
      </c>
      <c r="N200" s="747">
        <f t="shared" si="74"/>
        <v>0</v>
      </c>
      <c r="O200" s="747">
        <f t="shared" si="75"/>
        <v>0</v>
      </c>
      <c r="P200" s="747">
        <f t="shared" si="76"/>
        <v>0</v>
      </c>
      <c r="Q200" s="748"/>
      <c r="R200" s="747">
        <f t="shared" si="77"/>
        <v>0</v>
      </c>
      <c r="S200" s="747">
        <v>15</v>
      </c>
      <c r="T200" s="747">
        <f t="shared" si="78"/>
        <v>0</v>
      </c>
      <c r="U200" s="747">
        <f t="shared" si="79"/>
        <v>0</v>
      </c>
      <c r="V200" s="747">
        <f t="shared" si="80"/>
        <v>0</v>
      </c>
      <c r="W200" s="749"/>
      <c r="X200" s="747">
        <f t="shared" si="81"/>
        <v>0</v>
      </c>
      <c r="Y200" s="747">
        <v>15</v>
      </c>
      <c r="Z200" s="747">
        <f t="shared" si="82"/>
        <v>0</v>
      </c>
      <c r="AA200" s="747">
        <f t="shared" si="83"/>
        <v>0</v>
      </c>
      <c r="AB200" s="747">
        <f t="shared" si="84"/>
        <v>0</v>
      </c>
      <c r="AC200" s="749"/>
      <c r="AD200" s="747">
        <f t="shared" si="85"/>
        <v>0</v>
      </c>
      <c r="AE200" s="747">
        <v>15</v>
      </c>
      <c r="AF200" s="747">
        <f t="shared" si="86"/>
        <v>0</v>
      </c>
      <c r="AG200" s="747">
        <f t="shared" si="87"/>
        <v>0</v>
      </c>
      <c r="AH200" s="747">
        <f t="shared" si="88"/>
        <v>0</v>
      </c>
      <c r="AI200" s="749"/>
      <c r="AJ200" s="747">
        <f t="shared" si="89"/>
        <v>0</v>
      </c>
      <c r="AK200" s="747">
        <v>15</v>
      </c>
      <c r="AL200" s="747">
        <f t="shared" si="90"/>
        <v>0</v>
      </c>
      <c r="AM200" s="747">
        <f t="shared" si="91"/>
        <v>0</v>
      </c>
      <c r="AN200" s="747">
        <f t="shared" si="92"/>
        <v>0</v>
      </c>
      <c r="AO200" s="749"/>
      <c r="AP200" s="747">
        <f t="shared" si="93"/>
        <v>0</v>
      </c>
      <c r="AQ200" s="747">
        <v>15</v>
      </c>
      <c r="AR200" s="747">
        <f t="shared" si="94"/>
        <v>0</v>
      </c>
      <c r="AS200" s="747">
        <f t="shared" si="95"/>
        <v>0</v>
      </c>
      <c r="AT200" s="747">
        <f t="shared" si="96"/>
        <v>0</v>
      </c>
      <c r="AU200" s="749"/>
      <c r="AV200" s="747">
        <f t="shared" si="97"/>
        <v>0</v>
      </c>
      <c r="AW200" s="747">
        <v>15</v>
      </c>
      <c r="AX200" s="747">
        <f t="shared" si="98"/>
        <v>0</v>
      </c>
      <c r="AY200" s="747">
        <f t="shared" si="99"/>
        <v>0</v>
      </c>
      <c r="AZ200" s="747">
        <f t="shared" si="100"/>
        <v>0</v>
      </c>
      <c r="BA200" s="749"/>
      <c r="BB200" s="747">
        <f t="shared" si="101"/>
        <v>0</v>
      </c>
      <c r="BC200" s="761"/>
    </row>
    <row r="201" spans="1:55" ht="15" customHeight="1">
      <c r="A201" s="737">
        <v>16</v>
      </c>
      <c r="B201" s="737">
        <f t="shared" si="106"/>
        <v>0</v>
      </c>
      <c r="C201" s="737">
        <f t="shared" si="106"/>
        <v>0</v>
      </c>
      <c r="D201" s="737">
        <f t="shared" si="106"/>
        <v>0</v>
      </c>
      <c r="E201" s="737">
        <f t="shared" si="106"/>
        <v>0</v>
      </c>
      <c r="F201" s="737">
        <f t="shared" si="106"/>
        <v>0</v>
      </c>
      <c r="G201" s="747">
        <v>16</v>
      </c>
      <c r="H201" s="747">
        <f t="shared" si="71"/>
        <v>0</v>
      </c>
      <c r="I201" s="747">
        <f t="shared" si="72"/>
        <v>0</v>
      </c>
      <c r="J201" s="747">
        <f t="shared" si="73"/>
        <v>0</v>
      </c>
      <c r="K201" s="747"/>
      <c r="L201" s="747">
        <f t="shared" si="102"/>
        <v>0</v>
      </c>
      <c r="M201" s="747">
        <v>16</v>
      </c>
      <c r="N201" s="747">
        <f t="shared" si="74"/>
        <v>0</v>
      </c>
      <c r="O201" s="747">
        <f t="shared" si="75"/>
        <v>0</v>
      </c>
      <c r="P201" s="747">
        <f t="shared" si="76"/>
        <v>0</v>
      </c>
      <c r="Q201" s="748"/>
      <c r="R201" s="747">
        <f t="shared" si="77"/>
        <v>0</v>
      </c>
      <c r="S201" s="747">
        <v>16</v>
      </c>
      <c r="T201" s="747">
        <f t="shared" si="78"/>
        <v>0</v>
      </c>
      <c r="U201" s="747">
        <f t="shared" si="79"/>
        <v>0</v>
      </c>
      <c r="V201" s="747">
        <f t="shared" si="80"/>
        <v>0</v>
      </c>
      <c r="W201" s="749"/>
      <c r="X201" s="747">
        <f t="shared" si="81"/>
        <v>0</v>
      </c>
      <c r="Y201" s="747">
        <v>16</v>
      </c>
      <c r="Z201" s="747">
        <f t="shared" si="82"/>
        <v>0</v>
      </c>
      <c r="AA201" s="747">
        <f t="shared" si="83"/>
        <v>0</v>
      </c>
      <c r="AB201" s="747">
        <f t="shared" si="84"/>
        <v>0</v>
      </c>
      <c r="AC201" s="749"/>
      <c r="AD201" s="747">
        <f t="shared" si="85"/>
        <v>0</v>
      </c>
      <c r="AE201" s="747">
        <v>16</v>
      </c>
      <c r="AF201" s="747">
        <f t="shared" si="86"/>
        <v>0</v>
      </c>
      <c r="AG201" s="747">
        <f t="shared" si="87"/>
        <v>0</v>
      </c>
      <c r="AH201" s="747">
        <f t="shared" si="88"/>
        <v>0</v>
      </c>
      <c r="AI201" s="749"/>
      <c r="AJ201" s="747">
        <f t="shared" si="89"/>
        <v>0</v>
      </c>
      <c r="AK201" s="747">
        <v>16</v>
      </c>
      <c r="AL201" s="747">
        <f t="shared" si="90"/>
        <v>0</v>
      </c>
      <c r="AM201" s="747">
        <f t="shared" si="91"/>
        <v>0</v>
      </c>
      <c r="AN201" s="747">
        <f t="shared" si="92"/>
        <v>0</v>
      </c>
      <c r="AO201" s="749"/>
      <c r="AP201" s="747">
        <f t="shared" si="93"/>
        <v>0</v>
      </c>
      <c r="AQ201" s="747">
        <v>16</v>
      </c>
      <c r="AR201" s="747">
        <f t="shared" si="94"/>
        <v>0</v>
      </c>
      <c r="AS201" s="747">
        <f t="shared" si="95"/>
        <v>0</v>
      </c>
      <c r="AT201" s="747">
        <f t="shared" si="96"/>
        <v>0</v>
      </c>
      <c r="AU201" s="749"/>
      <c r="AV201" s="747">
        <f t="shared" si="97"/>
        <v>0</v>
      </c>
      <c r="AW201" s="747">
        <v>16</v>
      </c>
      <c r="AX201" s="747">
        <f t="shared" si="98"/>
        <v>0</v>
      </c>
      <c r="AY201" s="747">
        <f t="shared" si="99"/>
        <v>0</v>
      </c>
      <c r="AZ201" s="747">
        <f t="shared" si="100"/>
        <v>0</v>
      </c>
      <c r="BA201" s="749"/>
      <c r="BB201" s="747">
        <f t="shared" si="101"/>
        <v>0</v>
      </c>
      <c r="BC201" s="761"/>
    </row>
    <row r="202" spans="1:55" ht="15" customHeight="1">
      <c r="A202" s="737">
        <v>17</v>
      </c>
      <c r="B202" s="737">
        <f t="shared" si="106"/>
        <v>0</v>
      </c>
      <c r="C202" s="737">
        <f t="shared" si="106"/>
        <v>0</v>
      </c>
      <c r="D202" s="737">
        <f t="shared" si="106"/>
        <v>0</v>
      </c>
      <c r="E202" s="737">
        <f t="shared" si="106"/>
        <v>0</v>
      </c>
      <c r="F202" s="737">
        <f t="shared" si="106"/>
        <v>0</v>
      </c>
      <c r="G202" s="747">
        <v>17</v>
      </c>
      <c r="H202" s="747">
        <f t="shared" si="71"/>
        <v>0</v>
      </c>
      <c r="I202" s="747">
        <f t="shared" si="72"/>
        <v>0</v>
      </c>
      <c r="J202" s="747">
        <f t="shared" si="73"/>
        <v>0</v>
      </c>
      <c r="K202" s="747"/>
      <c r="L202" s="747">
        <f t="shared" si="102"/>
        <v>0</v>
      </c>
      <c r="M202" s="747">
        <v>17</v>
      </c>
      <c r="N202" s="747">
        <f t="shared" si="74"/>
        <v>0</v>
      </c>
      <c r="O202" s="747">
        <f t="shared" si="75"/>
        <v>0</v>
      </c>
      <c r="P202" s="747">
        <f t="shared" si="76"/>
        <v>0</v>
      </c>
      <c r="Q202" s="748"/>
      <c r="R202" s="747">
        <f t="shared" si="77"/>
        <v>0</v>
      </c>
      <c r="S202" s="747">
        <v>17</v>
      </c>
      <c r="T202" s="747">
        <f t="shared" si="78"/>
        <v>0</v>
      </c>
      <c r="U202" s="747">
        <f t="shared" si="79"/>
        <v>0</v>
      </c>
      <c r="V202" s="747">
        <f t="shared" si="80"/>
        <v>0</v>
      </c>
      <c r="W202" s="749"/>
      <c r="X202" s="747">
        <f t="shared" si="81"/>
        <v>0</v>
      </c>
      <c r="Y202" s="747">
        <v>17</v>
      </c>
      <c r="Z202" s="747">
        <f t="shared" si="82"/>
        <v>0</v>
      </c>
      <c r="AA202" s="747">
        <f t="shared" si="83"/>
        <v>0</v>
      </c>
      <c r="AB202" s="747">
        <f t="shared" si="84"/>
        <v>0</v>
      </c>
      <c r="AC202" s="749"/>
      <c r="AD202" s="747">
        <f t="shared" si="85"/>
        <v>0</v>
      </c>
      <c r="AE202" s="747">
        <v>17</v>
      </c>
      <c r="AF202" s="747">
        <f t="shared" si="86"/>
        <v>0</v>
      </c>
      <c r="AG202" s="747">
        <f t="shared" si="87"/>
        <v>0</v>
      </c>
      <c r="AH202" s="747">
        <f t="shared" si="88"/>
        <v>0</v>
      </c>
      <c r="AI202" s="749"/>
      <c r="AJ202" s="747">
        <f t="shared" si="89"/>
        <v>0</v>
      </c>
      <c r="AK202" s="747">
        <v>17</v>
      </c>
      <c r="AL202" s="747">
        <f t="shared" si="90"/>
        <v>0</v>
      </c>
      <c r="AM202" s="747">
        <f t="shared" si="91"/>
        <v>0</v>
      </c>
      <c r="AN202" s="747">
        <f t="shared" si="92"/>
        <v>0</v>
      </c>
      <c r="AO202" s="749"/>
      <c r="AP202" s="747">
        <f t="shared" si="93"/>
        <v>0</v>
      </c>
      <c r="AQ202" s="747">
        <v>17</v>
      </c>
      <c r="AR202" s="747">
        <f t="shared" si="94"/>
        <v>0</v>
      </c>
      <c r="AS202" s="747">
        <f t="shared" si="95"/>
        <v>0</v>
      </c>
      <c r="AT202" s="747">
        <f t="shared" si="96"/>
        <v>0</v>
      </c>
      <c r="AU202" s="749"/>
      <c r="AV202" s="747">
        <f t="shared" si="97"/>
        <v>0</v>
      </c>
      <c r="AW202" s="747">
        <v>17</v>
      </c>
      <c r="AX202" s="747">
        <f t="shared" si="98"/>
        <v>0</v>
      </c>
      <c r="AY202" s="747">
        <f t="shared" si="99"/>
        <v>0</v>
      </c>
      <c r="AZ202" s="747">
        <f t="shared" si="100"/>
        <v>0</v>
      </c>
      <c r="BA202" s="749"/>
      <c r="BB202" s="747">
        <f t="shared" si="101"/>
        <v>0</v>
      </c>
      <c r="BC202" s="761"/>
    </row>
    <row r="203" spans="1:55" ht="15" customHeight="1">
      <c r="A203" s="737">
        <v>18</v>
      </c>
      <c r="B203" s="737">
        <f t="shared" si="106"/>
        <v>0</v>
      </c>
      <c r="C203" s="737">
        <f t="shared" si="106"/>
        <v>0</v>
      </c>
      <c r="D203" s="737">
        <f t="shared" si="106"/>
        <v>0</v>
      </c>
      <c r="E203" s="737">
        <f t="shared" si="106"/>
        <v>0</v>
      </c>
      <c r="F203" s="737">
        <f t="shared" si="106"/>
        <v>0</v>
      </c>
      <c r="G203" s="747">
        <v>18</v>
      </c>
      <c r="H203" s="747">
        <f t="shared" si="71"/>
        <v>0</v>
      </c>
      <c r="I203" s="747">
        <f t="shared" si="72"/>
        <v>0</v>
      </c>
      <c r="J203" s="747">
        <f t="shared" si="73"/>
        <v>0</v>
      </c>
      <c r="K203" s="747"/>
      <c r="L203" s="747">
        <f t="shared" si="102"/>
        <v>0</v>
      </c>
      <c r="M203" s="747">
        <v>18</v>
      </c>
      <c r="N203" s="747">
        <f t="shared" si="74"/>
        <v>0</v>
      </c>
      <c r="O203" s="747">
        <f t="shared" si="75"/>
        <v>0</v>
      </c>
      <c r="P203" s="747">
        <f t="shared" si="76"/>
        <v>0</v>
      </c>
      <c r="Q203" s="748"/>
      <c r="R203" s="747">
        <f t="shared" si="77"/>
        <v>0</v>
      </c>
      <c r="S203" s="747">
        <v>18</v>
      </c>
      <c r="T203" s="747">
        <f t="shared" si="78"/>
        <v>0</v>
      </c>
      <c r="U203" s="747">
        <f t="shared" si="79"/>
        <v>0</v>
      </c>
      <c r="V203" s="747">
        <f t="shared" si="80"/>
        <v>0</v>
      </c>
      <c r="W203" s="749"/>
      <c r="X203" s="747">
        <f t="shared" si="81"/>
        <v>0</v>
      </c>
      <c r="Y203" s="747">
        <v>18</v>
      </c>
      <c r="Z203" s="747">
        <f t="shared" si="82"/>
        <v>0</v>
      </c>
      <c r="AA203" s="747">
        <f t="shared" si="83"/>
        <v>0</v>
      </c>
      <c r="AB203" s="747">
        <f t="shared" si="84"/>
        <v>0</v>
      </c>
      <c r="AC203" s="749"/>
      <c r="AD203" s="747">
        <f t="shared" si="85"/>
        <v>0</v>
      </c>
      <c r="AE203" s="747">
        <v>18</v>
      </c>
      <c r="AF203" s="747">
        <f t="shared" si="86"/>
        <v>0</v>
      </c>
      <c r="AG203" s="747">
        <f t="shared" si="87"/>
        <v>0</v>
      </c>
      <c r="AH203" s="747">
        <f t="shared" si="88"/>
        <v>0</v>
      </c>
      <c r="AI203" s="749"/>
      <c r="AJ203" s="747">
        <f t="shared" si="89"/>
        <v>0</v>
      </c>
      <c r="AK203" s="747">
        <v>18</v>
      </c>
      <c r="AL203" s="747">
        <f t="shared" si="90"/>
        <v>0</v>
      </c>
      <c r="AM203" s="747">
        <f t="shared" si="91"/>
        <v>0</v>
      </c>
      <c r="AN203" s="747">
        <f t="shared" si="92"/>
        <v>0</v>
      </c>
      <c r="AO203" s="749"/>
      <c r="AP203" s="747">
        <f t="shared" si="93"/>
        <v>0</v>
      </c>
      <c r="AQ203" s="747">
        <v>18</v>
      </c>
      <c r="AR203" s="747">
        <f t="shared" si="94"/>
        <v>0</v>
      </c>
      <c r="AS203" s="747">
        <f t="shared" si="95"/>
        <v>0</v>
      </c>
      <c r="AT203" s="747">
        <f t="shared" si="96"/>
        <v>0</v>
      </c>
      <c r="AU203" s="749"/>
      <c r="AV203" s="747">
        <f t="shared" si="97"/>
        <v>0</v>
      </c>
      <c r="AW203" s="747">
        <v>18</v>
      </c>
      <c r="AX203" s="747">
        <f t="shared" si="98"/>
        <v>0</v>
      </c>
      <c r="AY203" s="747">
        <f t="shared" si="99"/>
        <v>0</v>
      </c>
      <c r="AZ203" s="747">
        <f t="shared" si="100"/>
        <v>0</v>
      </c>
      <c r="BA203" s="749"/>
      <c r="BB203" s="747">
        <f t="shared" si="101"/>
        <v>0</v>
      </c>
      <c r="BC203" s="761"/>
    </row>
    <row r="204" spans="1:55" ht="15" customHeight="1">
      <c r="A204" s="737">
        <v>19</v>
      </c>
      <c r="B204" s="737">
        <f t="shared" ref="B204:F209" si="107">+H204+N201+T198+Z195+AF192+AL186</f>
        <v>0</v>
      </c>
      <c r="C204" s="737">
        <f t="shared" si="107"/>
        <v>0</v>
      </c>
      <c r="D204" s="737">
        <f t="shared" si="107"/>
        <v>0</v>
      </c>
      <c r="E204" s="737">
        <f t="shared" si="107"/>
        <v>0</v>
      </c>
      <c r="F204" s="737">
        <f t="shared" si="107"/>
        <v>0</v>
      </c>
      <c r="G204" s="747">
        <v>19</v>
      </c>
      <c r="H204" s="747">
        <f t="shared" si="71"/>
        <v>0</v>
      </c>
      <c r="I204" s="747">
        <f t="shared" si="72"/>
        <v>0</v>
      </c>
      <c r="J204" s="747">
        <f t="shared" si="73"/>
        <v>0</v>
      </c>
      <c r="K204" s="747"/>
      <c r="L204" s="747">
        <f t="shared" si="102"/>
        <v>0</v>
      </c>
      <c r="M204" s="747">
        <v>19</v>
      </c>
      <c r="N204" s="747">
        <f t="shared" si="74"/>
        <v>0</v>
      </c>
      <c r="O204" s="747">
        <f t="shared" si="75"/>
        <v>0</v>
      </c>
      <c r="P204" s="747">
        <f t="shared" si="76"/>
        <v>0</v>
      </c>
      <c r="Q204" s="748"/>
      <c r="R204" s="747">
        <f t="shared" si="77"/>
        <v>0</v>
      </c>
      <c r="S204" s="747">
        <v>19</v>
      </c>
      <c r="T204" s="747">
        <f t="shared" si="78"/>
        <v>0</v>
      </c>
      <c r="U204" s="747">
        <f t="shared" si="79"/>
        <v>0</v>
      </c>
      <c r="V204" s="747">
        <f t="shared" si="80"/>
        <v>0</v>
      </c>
      <c r="W204" s="749"/>
      <c r="X204" s="747">
        <f t="shared" si="81"/>
        <v>0</v>
      </c>
      <c r="Y204" s="747">
        <v>19</v>
      </c>
      <c r="Z204" s="747">
        <f t="shared" si="82"/>
        <v>0</v>
      </c>
      <c r="AA204" s="747">
        <f t="shared" si="83"/>
        <v>0</v>
      </c>
      <c r="AB204" s="747">
        <f t="shared" si="84"/>
        <v>0</v>
      </c>
      <c r="AC204" s="749"/>
      <c r="AD204" s="747">
        <f t="shared" si="85"/>
        <v>0</v>
      </c>
      <c r="AE204" s="747">
        <v>19</v>
      </c>
      <c r="AF204" s="747">
        <f t="shared" si="86"/>
        <v>0</v>
      </c>
      <c r="AG204" s="747">
        <f t="shared" si="87"/>
        <v>0</v>
      </c>
      <c r="AH204" s="747">
        <f t="shared" si="88"/>
        <v>0</v>
      </c>
      <c r="AI204" s="749"/>
      <c r="AJ204" s="747">
        <f t="shared" si="89"/>
        <v>0</v>
      </c>
      <c r="AK204" s="747">
        <v>19</v>
      </c>
      <c r="AL204" s="747">
        <f t="shared" si="90"/>
        <v>0</v>
      </c>
      <c r="AM204" s="747">
        <f t="shared" si="91"/>
        <v>0</v>
      </c>
      <c r="AN204" s="747">
        <f t="shared" si="92"/>
        <v>0</v>
      </c>
      <c r="AO204" s="749"/>
      <c r="AP204" s="747">
        <f t="shared" si="93"/>
        <v>0</v>
      </c>
      <c r="AQ204" s="747">
        <v>19</v>
      </c>
      <c r="AR204" s="747">
        <f t="shared" si="94"/>
        <v>0</v>
      </c>
      <c r="AS204" s="747">
        <f t="shared" si="95"/>
        <v>0</v>
      </c>
      <c r="AT204" s="747">
        <f t="shared" si="96"/>
        <v>0</v>
      </c>
      <c r="AU204" s="749"/>
      <c r="AV204" s="747">
        <f t="shared" si="97"/>
        <v>0</v>
      </c>
      <c r="AW204" s="747">
        <v>19</v>
      </c>
      <c r="AX204" s="747">
        <f t="shared" si="98"/>
        <v>0</v>
      </c>
      <c r="AY204" s="747">
        <f t="shared" si="99"/>
        <v>0</v>
      </c>
      <c r="AZ204" s="747">
        <f t="shared" si="100"/>
        <v>0</v>
      </c>
      <c r="BA204" s="749"/>
      <c r="BB204" s="747">
        <f t="shared" si="101"/>
        <v>0</v>
      </c>
      <c r="BC204" s="761"/>
    </row>
    <row r="205" spans="1:55" ht="15" customHeight="1">
      <c r="A205" s="737">
        <v>20</v>
      </c>
      <c r="B205" s="737">
        <f t="shared" si="107"/>
        <v>0</v>
      </c>
      <c r="C205" s="737">
        <f t="shared" si="107"/>
        <v>0</v>
      </c>
      <c r="D205" s="737">
        <f t="shared" si="107"/>
        <v>0</v>
      </c>
      <c r="E205" s="737">
        <f t="shared" si="107"/>
        <v>0</v>
      </c>
      <c r="F205" s="737">
        <f t="shared" si="107"/>
        <v>0</v>
      </c>
      <c r="G205" s="747">
        <v>20</v>
      </c>
      <c r="H205" s="747">
        <f t="shared" si="71"/>
        <v>0</v>
      </c>
      <c r="I205" s="747">
        <f t="shared" si="72"/>
        <v>0</v>
      </c>
      <c r="J205" s="747">
        <f t="shared" si="73"/>
        <v>0</v>
      </c>
      <c r="K205" s="747"/>
      <c r="L205" s="747">
        <f t="shared" si="102"/>
        <v>0</v>
      </c>
      <c r="M205" s="747">
        <v>20</v>
      </c>
      <c r="N205" s="747">
        <f t="shared" si="74"/>
        <v>0</v>
      </c>
      <c r="O205" s="747">
        <f t="shared" si="75"/>
        <v>0</v>
      </c>
      <c r="P205" s="747">
        <f t="shared" si="76"/>
        <v>0</v>
      </c>
      <c r="Q205" s="748"/>
      <c r="R205" s="747">
        <f t="shared" si="77"/>
        <v>0</v>
      </c>
      <c r="S205" s="747">
        <v>20</v>
      </c>
      <c r="T205" s="747">
        <f t="shared" si="78"/>
        <v>0</v>
      </c>
      <c r="U205" s="747">
        <f t="shared" si="79"/>
        <v>0</v>
      </c>
      <c r="V205" s="747">
        <f t="shared" si="80"/>
        <v>0</v>
      </c>
      <c r="W205" s="749"/>
      <c r="X205" s="747">
        <f t="shared" si="81"/>
        <v>0</v>
      </c>
      <c r="Y205" s="747">
        <v>20</v>
      </c>
      <c r="Z205" s="747">
        <f t="shared" si="82"/>
        <v>0</v>
      </c>
      <c r="AA205" s="747">
        <f t="shared" si="83"/>
        <v>0</v>
      </c>
      <c r="AB205" s="747">
        <f t="shared" si="84"/>
        <v>0</v>
      </c>
      <c r="AC205" s="749"/>
      <c r="AD205" s="747">
        <f t="shared" si="85"/>
        <v>0</v>
      </c>
      <c r="AE205" s="747">
        <v>20</v>
      </c>
      <c r="AF205" s="747">
        <f t="shared" si="86"/>
        <v>0</v>
      </c>
      <c r="AG205" s="747">
        <f t="shared" si="87"/>
        <v>0</v>
      </c>
      <c r="AH205" s="747">
        <f t="shared" si="88"/>
        <v>0</v>
      </c>
      <c r="AI205" s="749"/>
      <c r="AJ205" s="747">
        <f t="shared" si="89"/>
        <v>0</v>
      </c>
      <c r="AK205" s="747">
        <v>20</v>
      </c>
      <c r="AL205" s="747">
        <f t="shared" si="90"/>
        <v>0</v>
      </c>
      <c r="AM205" s="747">
        <f t="shared" si="91"/>
        <v>0</v>
      </c>
      <c r="AN205" s="747">
        <f t="shared" si="92"/>
        <v>0</v>
      </c>
      <c r="AO205" s="749"/>
      <c r="AP205" s="747">
        <f t="shared" si="93"/>
        <v>0</v>
      </c>
      <c r="AQ205" s="747">
        <v>20</v>
      </c>
      <c r="AR205" s="747">
        <f t="shared" si="94"/>
        <v>0</v>
      </c>
      <c r="AS205" s="747">
        <f t="shared" si="95"/>
        <v>0</v>
      </c>
      <c r="AT205" s="747">
        <f t="shared" si="96"/>
        <v>0</v>
      </c>
      <c r="AU205" s="749"/>
      <c r="AV205" s="747">
        <f t="shared" si="97"/>
        <v>0</v>
      </c>
      <c r="AW205" s="747">
        <v>20</v>
      </c>
      <c r="AX205" s="747">
        <f t="shared" si="98"/>
        <v>0</v>
      </c>
      <c r="AY205" s="747">
        <f t="shared" si="99"/>
        <v>0</v>
      </c>
      <c r="AZ205" s="747">
        <f t="shared" si="100"/>
        <v>0</v>
      </c>
      <c r="BA205" s="749"/>
      <c r="BB205" s="747">
        <f t="shared" si="101"/>
        <v>0</v>
      </c>
      <c r="BC205" s="761"/>
    </row>
    <row r="206" spans="1:55" ht="15" customHeight="1">
      <c r="A206" s="737">
        <v>21</v>
      </c>
      <c r="B206" s="737">
        <f t="shared" si="107"/>
        <v>0</v>
      </c>
      <c r="C206" s="737">
        <f t="shared" si="107"/>
        <v>0</v>
      </c>
      <c r="D206" s="737">
        <f t="shared" si="107"/>
        <v>0</v>
      </c>
      <c r="E206" s="737">
        <f t="shared" si="107"/>
        <v>0</v>
      </c>
      <c r="F206" s="737">
        <f t="shared" si="107"/>
        <v>0</v>
      </c>
      <c r="G206" s="747">
        <v>21</v>
      </c>
      <c r="H206" s="747">
        <f t="shared" si="71"/>
        <v>0</v>
      </c>
      <c r="I206" s="747">
        <f t="shared" si="72"/>
        <v>0</v>
      </c>
      <c r="J206" s="747">
        <f t="shared" si="73"/>
        <v>0</v>
      </c>
      <c r="K206" s="747"/>
      <c r="L206" s="747">
        <f t="shared" si="102"/>
        <v>0</v>
      </c>
      <c r="M206" s="747">
        <v>21</v>
      </c>
      <c r="N206" s="747">
        <f t="shared" si="74"/>
        <v>0</v>
      </c>
      <c r="O206" s="747">
        <f t="shared" si="75"/>
        <v>0</v>
      </c>
      <c r="P206" s="747">
        <f t="shared" si="76"/>
        <v>0</v>
      </c>
      <c r="Q206" s="748"/>
      <c r="R206" s="747">
        <f t="shared" si="77"/>
        <v>0</v>
      </c>
      <c r="S206" s="747">
        <v>21</v>
      </c>
      <c r="T206" s="747">
        <f t="shared" si="78"/>
        <v>0</v>
      </c>
      <c r="U206" s="747">
        <f t="shared" si="79"/>
        <v>0</v>
      </c>
      <c r="V206" s="747">
        <f t="shared" si="80"/>
        <v>0</v>
      </c>
      <c r="W206" s="749"/>
      <c r="X206" s="747">
        <f t="shared" si="81"/>
        <v>0</v>
      </c>
      <c r="Y206" s="747">
        <v>21</v>
      </c>
      <c r="Z206" s="747">
        <f t="shared" si="82"/>
        <v>0</v>
      </c>
      <c r="AA206" s="747">
        <f t="shared" si="83"/>
        <v>0</v>
      </c>
      <c r="AB206" s="747">
        <f t="shared" si="84"/>
        <v>0</v>
      </c>
      <c r="AC206" s="749"/>
      <c r="AD206" s="747">
        <f t="shared" si="85"/>
        <v>0</v>
      </c>
      <c r="AE206" s="747">
        <v>21</v>
      </c>
      <c r="AF206" s="747">
        <f t="shared" si="86"/>
        <v>0</v>
      </c>
      <c r="AG206" s="747">
        <f t="shared" si="87"/>
        <v>0</v>
      </c>
      <c r="AH206" s="747">
        <f t="shared" si="88"/>
        <v>0</v>
      </c>
      <c r="AI206" s="749"/>
      <c r="AJ206" s="747">
        <f t="shared" si="89"/>
        <v>0</v>
      </c>
      <c r="AK206" s="747">
        <v>21</v>
      </c>
      <c r="AL206" s="747">
        <f t="shared" si="90"/>
        <v>0</v>
      </c>
      <c r="AM206" s="747">
        <f t="shared" si="91"/>
        <v>0</v>
      </c>
      <c r="AN206" s="747">
        <f t="shared" si="92"/>
        <v>0</v>
      </c>
      <c r="AO206" s="749"/>
      <c r="AP206" s="747">
        <f t="shared" si="93"/>
        <v>0</v>
      </c>
      <c r="AQ206" s="747">
        <v>21</v>
      </c>
      <c r="AR206" s="747">
        <f t="shared" si="94"/>
        <v>0</v>
      </c>
      <c r="AS206" s="747">
        <f t="shared" si="95"/>
        <v>0</v>
      </c>
      <c r="AT206" s="747">
        <f t="shared" si="96"/>
        <v>0</v>
      </c>
      <c r="AU206" s="749"/>
      <c r="AV206" s="747">
        <f t="shared" si="97"/>
        <v>0</v>
      </c>
      <c r="AW206" s="747">
        <v>21</v>
      </c>
      <c r="AX206" s="747">
        <f t="shared" si="98"/>
        <v>0</v>
      </c>
      <c r="AY206" s="747">
        <f t="shared" si="99"/>
        <v>0</v>
      </c>
      <c r="AZ206" s="747">
        <f t="shared" si="100"/>
        <v>0</v>
      </c>
      <c r="BA206" s="749"/>
      <c r="BB206" s="747">
        <f t="shared" si="101"/>
        <v>0</v>
      </c>
      <c r="BC206" s="761"/>
    </row>
    <row r="207" spans="1:55" ht="15" customHeight="1">
      <c r="A207" s="737">
        <v>22</v>
      </c>
      <c r="B207" s="737">
        <f t="shared" si="107"/>
        <v>0</v>
      </c>
      <c r="C207" s="737">
        <f t="shared" si="107"/>
        <v>0</v>
      </c>
      <c r="D207" s="737">
        <f t="shared" si="107"/>
        <v>0</v>
      </c>
      <c r="E207" s="737">
        <f t="shared" si="107"/>
        <v>0</v>
      </c>
      <c r="F207" s="737">
        <f t="shared" si="107"/>
        <v>0</v>
      </c>
      <c r="G207" s="747">
        <v>22</v>
      </c>
      <c r="H207" s="747">
        <f t="shared" si="71"/>
        <v>0</v>
      </c>
      <c r="I207" s="747">
        <f t="shared" si="72"/>
        <v>0</v>
      </c>
      <c r="J207" s="747">
        <f t="shared" si="73"/>
        <v>0</v>
      </c>
      <c r="K207" s="747"/>
      <c r="L207" s="747">
        <f t="shared" si="102"/>
        <v>0</v>
      </c>
      <c r="M207" s="747">
        <v>22</v>
      </c>
      <c r="N207" s="747">
        <f t="shared" si="74"/>
        <v>0</v>
      </c>
      <c r="O207" s="747">
        <f t="shared" si="75"/>
        <v>0</v>
      </c>
      <c r="P207" s="747">
        <f t="shared" si="76"/>
        <v>0</v>
      </c>
      <c r="Q207" s="748"/>
      <c r="R207" s="747">
        <f t="shared" si="77"/>
        <v>0</v>
      </c>
      <c r="S207" s="747">
        <v>22</v>
      </c>
      <c r="T207" s="747">
        <f t="shared" si="78"/>
        <v>0</v>
      </c>
      <c r="U207" s="747">
        <f t="shared" si="79"/>
        <v>0</v>
      </c>
      <c r="V207" s="747">
        <f t="shared" si="80"/>
        <v>0</v>
      </c>
      <c r="W207" s="749"/>
      <c r="X207" s="747">
        <f t="shared" si="81"/>
        <v>0</v>
      </c>
      <c r="Y207" s="747">
        <v>22</v>
      </c>
      <c r="Z207" s="747">
        <f t="shared" si="82"/>
        <v>0</v>
      </c>
      <c r="AA207" s="747">
        <f t="shared" si="83"/>
        <v>0</v>
      </c>
      <c r="AB207" s="747">
        <f t="shared" si="84"/>
        <v>0</v>
      </c>
      <c r="AC207" s="749"/>
      <c r="AD207" s="747">
        <f t="shared" si="85"/>
        <v>0</v>
      </c>
      <c r="AE207" s="747">
        <v>22</v>
      </c>
      <c r="AF207" s="747">
        <f t="shared" si="86"/>
        <v>0</v>
      </c>
      <c r="AG207" s="747">
        <f t="shared" si="87"/>
        <v>0</v>
      </c>
      <c r="AH207" s="747">
        <f t="shared" si="88"/>
        <v>0</v>
      </c>
      <c r="AI207" s="749"/>
      <c r="AJ207" s="747">
        <f t="shared" si="89"/>
        <v>0</v>
      </c>
      <c r="AK207" s="747">
        <v>22</v>
      </c>
      <c r="AL207" s="747">
        <f t="shared" si="90"/>
        <v>0</v>
      </c>
      <c r="AM207" s="747">
        <f t="shared" si="91"/>
        <v>0</v>
      </c>
      <c r="AN207" s="747">
        <f t="shared" si="92"/>
        <v>0</v>
      </c>
      <c r="AO207" s="749"/>
      <c r="AP207" s="747">
        <f t="shared" si="93"/>
        <v>0</v>
      </c>
      <c r="AQ207" s="747">
        <v>22</v>
      </c>
      <c r="AR207" s="747">
        <f t="shared" si="94"/>
        <v>0</v>
      </c>
      <c r="AS207" s="747">
        <f t="shared" si="95"/>
        <v>0</v>
      </c>
      <c r="AT207" s="747">
        <f t="shared" si="96"/>
        <v>0</v>
      </c>
      <c r="AU207" s="749"/>
      <c r="AV207" s="747">
        <f t="shared" si="97"/>
        <v>0</v>
      </c>
      <c r="AW207" s="747">
        <v>22</v>
      </c>
      <c r="AX207" s="747">
        <f t="shared" si="98"/>
        <v>0</v>
      </c>
      <c r="AY207" s="747">
        <f t="shared" si="99"/>
        <v>0</v>
      </c>
      <c r="AZ207" s="747">
        <f t="shared" si="100"/>
        <v>0</v>
      </c>
      <c r="BA207" s="749"/>
      <c r="BB207" s="747">
        <f t="shared" si="101"/>
        <v>0</v>
      </c>
      <c r="BC207" s="761"/>
    </row>
    <row r="208" spans="1:55" ht="15" customHeight="1">
      <c r="A208" s="737">
        <v>23</v>
      </c>
      <c r="B208" s="737">
        <f t="shared" si="107"/>
        <v>0</v>
      </c>
      <c r="C208" s="737">
        <f t="shared" si="107"/>
        <v>0</v>
      </c>
      <c r="D208" s="737">
        <f t="shared" si="107"/>
        <v>0</v>
      </c>
      <c r="E208" s="737">
        <f t="shared" si="107"/>
        <v>0</v>
      </c>
      <c r="F208" s="737">
        <f t="shared" si="107"/>
        <v>0</v>
      </c>
      <c r="G208" s="747">
        <v>23</v>
      </c>
      <c r="H208" s="747">
        <f t="shared" si="71"/>
        <v>0</v>
      </c>
      <c r="I208" s="747">
        <f t="shared" si="72"/>
        <v>0</v>
      </c>
      <c r="J208" s="747">
        <f t="shared" si="73"/>
        <v>0</v>
      </c>
      <c r="K208" s="747"/>
      <c r="L208" s="747">
        <f t="shared" si="102"/>
        <v>0</v>
      </c>
      <c r="M208" s="747">
        <v>23</v>
      </c>
      <c r="N208" s="747">
        <f t="shared" si="74"/>
        <v>0</v>
      </c>
      <c r="O208" s="747">
        <f t="shared" si="75"/>
        <v>0</v>
      </c>
      <c r="P208" s="747">
        <f t="shared" si="76"/>
        <v>0</v>
      </c>
      <c r="Q208" s="748"/>
      <c r="R208" s="747">
        <f t="shared" si="77"/>
        <v>0</v>
      </c>
      <c r="S208" s="747">
        <v>23</v>
      </c>
      <c r="T208" s="747">
        <f t="shared" si="78"/>
        <v>0</v>
      </c>
      <c r="U208" s="747">
        <f t="shared" si="79"/>
        <v>0</v>
      </c>
      <c r="V208" s="747">
        <f t="shared" si="80"/>
        <v>0</v>
      </c>
      <c r="W208" s="749"/>
      <c r="X208" s="747">
        <f t="shared" si="81"/>
        <v>0</v>
      </c>
      <c r="Y208" s="747">
        <v>23</v>
      </c>
      <c r="Z208" s="747">
        <f t="shared" si="82"/>
        <v>0</v>
      </c>
      <c r="AA208" s="747">
        <f t="shared" si="83"/>
        <v>0</v>
      </c>
      <c r="AB208" s="747">
        <f t="shared" si="84"/>
        <v>0</v>
      </c>
      <c r="AC208" s="749"/>
      <c r="AD208" s="747">
        <f t="shared" si="85"/>
        <v>0</v>
      </c>
      <c r="AE208" s="747">
        <v>23</v>
      </c>
      <c r="AF208" s="747">
        <f t="shared" si="86"/>
        <v>0</v>
      </c>
      <c r="AG208" s="747">
        <f t="shared" si="87"/>
        <v>0</v>
      </c>
      <c r="AH208" s="747">
        <f t="shared" si="88"/>
        <v>0</v>
      </c>
      <c r="AI208" s="749"/>
      <c r="AJ208" s="747">
        <f t="shared" si="89"/>
        <v>0</v>
      </c>
      <c r="AK208" s="747">
        <v>23</v>
      </c>
      <c r="AL208" s="747">
        <f t="shared" si="90"/>
        <v>0</v>
      </c>
      <c r="AM208" s="747">
        <f t="shared" si="91"/>
        <v>0</v>
      </c>
      <c r="AN208" s="747">
        <f t="shared" si="92"/>
        <v>0</v>
      </c>
      <c r="AO208" s="749"/>
      <c r="AP208" s="747">
        <f t="shared" si="93"/>
        <v>0</v>
      </c>
      <c r="AQ208" s="747">
        <v>23</v>
      </c>
      <c r="AR208" s="747">
        <f t="shared" si="94"/>
        <v>0</v>
      </c>
      <c r="AS208" s="747">
        <f t="shared" si="95"/>
        <v>0</v>
      </c>
      <c r="AT208" s="747">
        <f t="shared" si="96"/>
        <v>0</v>
      </c>
      <c r="AU208" s="749"/>
      <c r="AV208" s="747">
        <f t="shared" si="97"/>
        <v>0</v>
      </c>
      <c r="AW208" s="747">
        <v>23</v>
      </c>
      <c r="AX208" s="747">
        <f t="shared" si="98"/>
        <v>0</v>
      </c>
      <c r="AY208" s="747">
        <f t="shared" si="99"/>
        <v>0</v>
      </c>
      <c r="AZ208" s="747">
        <f t="shared" si="100"/>
        <v>0</v>
      </c>
      <c r="BA208" s="749"/>
      <c r="BB208" s="747">
        <f t="shared" si="101"/>
        <v>0</v>
      </c>
      <c r="BC208" s="761"/>
    </row>
    <row r="209" spans="1:55" ht="15" customHeight="1">
      <c r="A209" s="737">
        <v>24</v>
      </c>
      <c r="B209" s="737">
        <f t="shared" si="107"/>
        <v>0</v>
      </c>
      <c r="C209" s="737">
        <f t="shared" si="107"/>
        <v>0</v>
      </c>
      <c r="D209" s="737">
        <f t="shared" si="107"/>
        <v>0</v>
      </c>
      <c r="E209" s="737">
        <f t="shared" si="107"/>
        <v>0</v>
      </c>
      <c r="F209" s="737">
        <f t="shared" si="107"/>
        <v>0</v>
      </c>
      <c r="G209" s="747">
        <v>24</v>
      </c>
      <c r="H209" s="747">
        <f t="shared" si="71"/>
        <v>0</v>
      </c>
      <c r="I209" s="747">
        <f t="shared" si="72"/>
        <v>0</v>
      </c>
      <c r="J209" s="747">
        <f t="shared" si="73"/>
        <v>0</v>
      </c>
      <c r="K209" s="747"/>
      <c r="L209" s="747">
        <f t="shared" si="102"/>
        <v>0</v>
      </c>
      <c r="M209" s="747">
        <v>24</v>
      </c>
      <c r="N209" s="747">
        <f t="shared" si="74"/>
        <v>0</v>
      </c>
      <c r="O209" s="747">
        <f t="shared" si="75"/>
        <v>0</v>
      </c>
      <c r="P209" s="747">
        <f t="shared" si="76"/>
        <v>0</v>
      </c>
      <c r="Q209" s="748"/>
      <c r="R209" s="747">
        <f t="shared" si="77"/>
        <v>0</v>
      </c>
      <c r="S209" s="747">
        <v>24</v>
      </c>
      <c r="T209" s="747">
        <f t="shared" si="78"/>
        <v>0</v>
      </c>
      <c r="U209" s="747">
        <f t="shared" si="79"/>
        <v>0</v>
      </c>
      <c r="V209" s="747">
        <f t="shared" si="80"/>
        <v>0</v>
      </c>
      <c r="W209" s="749"/>
      <c r="X209" s="747">
        <f t="shared" si="81"/>
        <v>0</v>
      </c>
      <c r="Y209" s="747">
        <v>24</v>
      </c>
      <c r="Z209" s="747">
        <f t="shared" si="82"/>
        <v>0</v>
      </c>
      <c r="AA209" s="747">
        <f t="shared" si="83"/>
        <v>0</v>
      </c>
      <c r="AB209" s="747">
        <f t="shared" si="84"/>
        <v>0</v>
      </c>
      <c r="AC209" s="749"/>
      <c r="AD209" s="747">
        <f t="shared" si="85"/>
        <v>0</v>
      </c>
      <c r="AE209" s="747">
        <v>24</v>
      </c>
      <c r="AF209" s="747">
        <f t="shared" si="86"/>
        <v>0</v>
      </c>
      <c r="AG209" s="747">
        <f t="shared" si="87"/>
        <v>0</v>
      </c>
      <c r="AH209" s="747">
        <f t="shared" si="88"/>
        <v>0</v>
      </c>
      <c r="AI209" s="749"/>
      <c r="AJ209" s="747">
        <f t="shared" si="89"/>
        <v>0</v>
      </c>
      <c r="AK209" s="747">
        <v>24</v>
      </c>
      <c r="AL209" s="747">
        <f t="shared" si="90"/>
        <v>0</v>
      </c>
      <c r="AM209" s="747">
        <f t="shared" si="91"/>
        <v>0</v>
      </c>
      <c r="AN209" s="747">
        <f t="shared" si="92"/>
        <v>0</v>
      </c>
      <c r="AO209" s="749"/>
      <c r="AP209" s="747">
        <f t="shared" si="93"/>
        <v>0</v>
      </c>
      <c r="AQ209" s="747">
        <v>24</v>
      </c>
      <c r="AR209" s="747">
        <f t="shared" si="94"/>
        <v>0</v>
      </c>
      <c r="AS209" s="747">
        <f t="shared" si="95"/>
        <v>0</v>
      </c>
      <c r="AT209" s="747">
        <f t="shared" si="96"/>
        <v>0</v>
      </c>
      <c r="AU209" s="749"/>
      <c r="AV209" s="747">
        <f t="shared" si="97"/>
        <v>0</v>
      </c>
      <c r="AW209" s="747">
        <v>24</v>
      </c>
      <c r="AX209" s="747">
        <f t="shared" si="98"/>
        <v>0</v>
      </c>
      <c r="AY209" s="747">
        <f t="shared" si="99"/>
        <v>0</v>
      </c>
      <c r="AZ209" s="747">
        <f t="shared" si="100"/>
        <v>0</v>
      </c>
      <c r="BA209" s="749"/>
      <c r="BB209" s="747">
        <f t="shared" si="101"/>
        <v>0</v>
      </c>
      <c r="BC209" s="761"/>
    </row>
    <row r="210" spans="1:55" ht="15" customHeight="1">
      <c r="A210" s="737">
        <v>25</v>
      </c>
      <c r="B210" s="737">
        <f t="shared" ref="B210:F215" si="108">+H210+N207+T204+Z201+AF198+AL192+AR186</f>
        <v>0</v>
      </c>
      <c r="C210" s="737">
        <f t="shared" si="108"/>
        <v>0</v>
      </c>
      <c r="D210" s="737">
        <f t="shared" si="108"/>
        <v>0</v>
      </c>
      <c r="E210" s="737">
        <f t="shared" si="108"/>
        <v>0</v>
      </c>
      <c r="F210" s="737">
        <f t="shared" si="108"/>
        <v>0</v>
      </c>
      <c r="G210" s="747">
        <v>25</v>
      </c>
      <c r="H210" s="747">
        <f t="shared" si="71"/>
        <v>0</v>
      </c>
      <c r="I210" s="747">
        <f t="shared" si="72"/>
        <v>0</v>
      </c>
      <c r="J210" s="747">
        <f t="shared" si="73"/>
        <v>0</v>
      </c>
      <c r="K210" s="747"/>
      <c r="L210" s="747">
        <f t="shared" si="102"/>
        <v>0</v>
      </c>
      <c r="M210" s="747">
        <v>25</v>
      </c>
      <c r="N210" s="747">
        <f t="shared" si="74"/>
        <v>0</v>
      </c>
      <c r="O210" s="747">
        <f t="shared" si="75"/>
        <v>0</v>
      </c>
      <c r="P210" s="747">
        <f t="shared" si="76"/>
        <v>0</v>
      </c>
      <c r="Q210" s="748"/>
      <c r="R210" s="747">
        <f t="shared" si="77"/>
        <v>0</v>
      </c>
      <c r="S210" s="747">
        <v>25</v>
      </c>
      <c r="T210" s="747">
        <f t="shared" si="78"/>
        <v>0</v>
      </c>
      <c r="U210" s="747">
        <f t="shared" si="79"/>
        <v>0</v>
      </c>
      <c r="V210" s="747">
        <f t="shared" si="80"/>
        <v>0</v>
      </c>
      <c r="W210" s="749"/>
      <c r="X210" s="747">
        <f t="shared" si="81"/>
        <v>0</v>
      </c>
      <c r="Y210" s="747">
        <v>25</v>
      </c>
      <c r="Z210" s="747">
        <f t="shared" si="82"/>
        <v>0</v>
      </c>
      <c r="AA210" s="747">
        <f t="shared" si="83"/>
        <v>0</v>
      </c>
      <c r="AB210" s="747">
        <f t="shared" si="84"/>
        <v>0</v>
      </c>
      <c r="AC210" s="749"/>
      <c r="AD210" s="747">
        <f t="shared" si="85"/>
        <v>0</v>
      </c>
      <c r="AE210" s="747">
        <v>25</v>
      </c>
      <c r="AF210" s="747">
        <f t="shared" si="86"/>
        <v>0</v>
      </c>
      <c r="AG210" s="747">
        <f t="shared" si="87"/>
        <v>0</v>
      </c>
      <c r="AH210" s="747">
        <f t="shared" si="88"/>
        <v>0</v>
      </c>
      <c r="AI210" s="749"/>
      <c r="AJ210" s="747">
        <f t="shared" si="89"/>
        <v>0</v>
      </c>
      <c r="AK210" s="747">
        <v>25</v>
      </c>
      <c r="AL210" s="747">
        <f t="shared" si="90"/>
        <v>0</v>
      </c>
      <c r="AM210" s="747">
        <f t="shared" si="91"/>
        <v>0</v>
      </c>
      <c r="AN210" s="747">
        <f t="shared" si="92"/>
        <v>0</v>
      </c>
      <c r="AO210" s="749"/>
      <c r="AP210" s="747">
        <f t="shared" si="93"/>
        <v>0</v>
      </c>
      <c r="AQ210" s="747">
        <v>25</v>
      </c>
      <c r="AR210" s="747">
        <f t="shared" si="94"/>
        <v>0</v>
      </c>
      <c r="AS210" s="747">
        <f t="shared" si="95"/>
        <v>0</v>
      </c>
      <c r="AT210" s="747">
        <f t="shared" si="96"/>
        <v>0</v>
      </c>
      <c r="AU210" s="749"/>
      <c r="AV210" s="747">
        <f t="shared" si="97"/>
        <v>0</v>
      </c>
      <c r="AW210" s="747">
        <v>25</v>
      </c>
      <c r="AX210" s="747">
        <f t="shared" si="98"/>
        <v>0</v>
      </c>
      <c r="AY210" s="747">
        <f t="shared" si="99"/>
        <v>0</v>
      </c>
      <c r="AZ210" s="747">
        <f t="shared" si="100"/>
        <v>0</v>
      </c>
      <c r="BA210" s="749"/>
      <c r="BB210" s="747">
        <f t="shared" si="101"/>
        <v>0</v>
      </c>
      <c r="BC210" s="761"/>
    </row>
    <row r="211" spans="1:55" ht="15" customHeight="1">
      <c r="A211" s="737">
        <v>26</v>
      </c>
      <c r="B211" s="737">
        <f t="shared" si="108"/>
        <v>0</v>
      </c>
      <c r="C211" s="737">
        <f t="shared" si="108"/>
        <v>0</v>
      </c>
      <c r="D211" s="737">
        <f t="shared" si="108"/>
        <v>0</v>
      </c>
      <c r="E211" s="737">
        <f t="shared" si="108"/>
        <v>0</v>
      </c>
      <c r="F211" s="737">
        <f t="shared" si="108"/>
        <v>0</v>
      </c>
      <c r="G211" s="747">
        <v>26</v>
      </c>
      <c r="H211" s="747">
        <f t="shared" si="71"/>
        <v>0</v>
      </c>
      <c r="I211" s="747">
        <f t="shared" si="72"/>
        <v>0</v>
      </c>
      <c r="J211" s="747">
        <f t="shared" si="73"/>
        <v>0</v>
      </c>
      <c r="K211" s="747"/>
      <c r="L211" s="747">
        <f t="shared" si="102"/>
        <v>0</v>
      </c>
      <c r="M211" s="747">
        <v>26</v>
      </c>
      <c r="N211" s="747">
        <f t="shared" si="74"/>
        <v>0</v>
      </c>
      <c r="O211" s="747">
        <f t="shared" si="75"/>
        <v>0</v>
      </c>
      <c r="P211" s="747">
        <f t="shared" si="76"/>
        <v>0</v>
      </c>
      <c r="Q211" s="748"/>
      <c r="R211" s="747">
        <f t="shared" si="77"/>
        <v>0</v>
      </c>
      <c r="S211" s="747">
        <v>26</v>
      </c>
      <c r="T211" s="747">
        <f t="shared" si="78"/>
        <v>0</v>
      </c>
      <c r="U211" s="747">
        <f t="shared" si="79"/>
        <v>0</v>
      </c>
      <c r="V211" s="747">
        <f t="shared" si="80"/>
        <v>0</v>
      </c>
      <c r="W211" s="749"/>
      <c r="X211" s="747">
        <f t="shared" si="81"/>
        <v>0</v>
      </c>
      <c r="Y211" s="747">
        <v>26</v>
      </c>
      <c r="Z211" s="747">
        <f t="shared" si="82"/>
        <v>0</v>
      </c>
      <c r="AA211" s="747">
        <f t="shared" si="83"/>
        <v>0</v>
      </c>
      <c r="AB211" s="747">
        <f t="shared" si="84"/>
        <v>0</v>
      </c>
      <c r="AC211" s="749"/>
      <c r="AD211" s="747">
        <f t="shared" si="85"/>
        <v>0</v>
      </c>
      <c r="AE211" s="747">
        <v>26</v>
      </c>
      <c r="AF211" s="747">
        <f t="shared" si="86"/>
        <v>0</v>
      </c>
      <c r="AG211" s="747">
        <f t="shared" si="87"/>
        <v>0</v>
      </c>
      <c r="AH211" s="747">
        <f t="shared" si="88"/>
        <v>0</v>
      </c>
      <c r="AI211" s="749"/>
      <c r="AJ211" s="747">
        <f t="shared" si="89"/>
        <v>0</v>
      </c>
      <c r="AK211" s="747">
        <v>26</v>
      </c>
      <c r="AL211" s="747">
        <f t="shared" si="90"/>
        <v>0</v>
      </c>
      <c r="AM211" s="747">
        <f t="shared" si="91"/>
        <v>0</v>
      </c>
      <c r="AN211" s="747">
        <f t="shared" si="92"/>
        <v>0</v>
      </c>
      <c r="AO211" s="749"/>
      <c r="AP211" s="747">
        <f t="shared" si="93"/>
        <v>0</v>
      </c>
      <c r="AQ211" s="747">
        <v>26</v>
      </c>
      <c r="AR211" s="747">
        <f t="shared" si="94"/>
        <v>0</v>
      </c>
      <c r="AS211" s="747">
        <f t="shared" si="95"/>
        <v>0</v>
      </c>
      <c r="AT211" s="747">
        <f t="shared" si="96"/>
        <v>0</v>
      </c>
      <c r="AU211" s="749"/>
      <c r="AV211" s="747">
        <f t="shared" si="97"/>
        <v>0</v>
      </c>
      <c r="AW211" s="747">
        <v>26</v>
      </c>
      <c r="AX211" s="747">
        <f t="shared" si="98"/>
        <v>0</v>
      </c>
      <c r="AY211" s="747">
        <f t="shared" si="99"/>
        <v>0</v>
      </c>
      <c r="AZ211" s="747">
        <f t="shared" si="100"/>
        <v>0</v>
      </c>
      <c r="BA211" s="749"/>
      <c r="BB211" s="747">
        <f t="shared" si="101"/>
        <v>0</v>
      </c>
      <c r="BC211" s="761"/>
    </row>
    <row r="212" spans="1:55" ht="15" customHeight="1">
      <c r="A212" s="737">
        <v>27</v>
      </c>
      <c r="B212" s="737">
        <f t="shared" si="108"/>
        <v>0</v>
      </c>
      <c r="C212" s="737">
        <f t="shared" si="108"/>
        <v>0</v>
      </c>
      <c r="D212" s="737">
        <f t="shared" si="108"/>
        <v>0</v>
      </c>
      <c r="E212" s="737">
        <f t="shared" si="108"/>
        <v>0</v>
      </c>
      <c r="F212" s="737">
        <f t="shared" si="108"/>
        <v>0</v>
      </c>
      <c r="G212" s="747">
        <v>27</v>
      </c>
      <c r="H212" s="747">
        <f t="shared" si="71"/>
        <v>0</v>
      </c>
      <c r="I212" s="747">
        <f t="shared" si="72"/>
        <v>0</v>
      </c>
      <c r="J212" s="747">
        <f t="shared" si="73"/>
        <v>0</v>
      </c>
      <c r="K212" s="747"/>
      <c r="L212" s="747">
        <f t="shared" si="102"/>
        <v>0</v>
      </c>
      <c r="M212" s="747">
        <v>27</v>
      </c>
      <c r="N212" s="747">
        <f t="shared" si="74"/>
        <v>0</v>
      </c>
      <c r="O212" s="747">
        <f t="shared" si="75"/>
        <v>0</v>
      </c>
      <c r="P212" s="747">
        <f t="shared" si="76"/>
        <v>0</v>
      </c>
      <c r="Q212" s="748"/>
      <c r="R212" s="747">
        <f t="shared" si="77"/>
        <v>0</v>
      </c>
      <c r="S212" s="747">
        <v>27</v>
      </c>
      <c r="T212" s="747">
        <f t="shared" si="78"/>
        <v>0</v>
      </c>
      <c r="U212" s="747">
        <f t="shared" si="79"/>
        <v>0</v>
      </c>
      <c r="V212" s="747">
        <f t="shared" si="80"/>
        <v>0</v>
      </c>
      <c r="W212" s="749"/>
      <c r="X212" s="747">
        <f t="shared" si="81"/>
        <v>0</v>
      </c>
      <c r="Y212" s="747">
        <v>27</v>
      </c>
      <c r="Z212" s="747">
        <f t="shared" si="82"/>
        <v>0</v>
      </c>
      <c r="AA212" s="747">
        <f t="shared" si="83"/>
        <v>0</v>
      </c>
      <c r="AB212" s="747">
        <f t="shared" si="84"/>
        <v>0</v>
      </c>
      <c r="AC212" s="749"/>
      <c r="AD212" s="747">
        <f t="shared" si="85"/>
        <v>0</v>
      </c>
      <c r="AE212" s="747">
        <v>27</v>
      </c>
      <c r="AF212" s="747">
        <f t="shared" si="86"/>
        <v>0</v>
      </c>
      <c r="AG212" s="747">
        <f t="shared" si="87"/>
        <v>0</v>
      </c>
      <c r="AH212" s="747">
        <f t="shared" si="88"/>
        <v>0</v>
      </c>
      <c r="AI212" s="749"/>
      <c r="AJ212" s="747">
        <f t="shared" si="89"/>
        <v>0</v>
      </c>
      <c r="AK212" s="747">
        <v>27</v>
      </c>
      <c r="AL212" s="747">
        <f t="shared" si="90"/>
        <v>0</v>
      </c>
      <c r="AM212" s="747">
        <f t="shared" si="91"/>
        <v>0</v>
      </c>
      <c r="AN212" s="747">
        <f t="shared" si="92"/>
        <v>0</v>
      </c>
      <c r="AO212" s="749"/>
      <c r="AP212" s="747">
        <f t="shared" si="93"/>
        <v>0</v>
      </c>
      <c r="AQ212" s="747">
        <v>27</v>
      </c>
      <c r="AR212" s="747">
        <f t="shared" si="94"/>
        <v>0</v>
      </c>
      <c r="AS212" s="747">
        <f t="shared" si="95"/>
        <v>0</v>
      </c>
      <c r="AT212" s="747">
        <f t="shared" si="96"/>
        <v>0</v>
      </c>
      <c r="AU212" s="749"/>
      <c r="AV212" s="747">
        <f t="shared" si="97"/>
        <v>0</v>
      </c>
      <c r="AW212" s="747">
        <v>27</v>
      </c>
      <c r="AX212" s="747">
        <f t="shared" si="98"/>
        <v>0</v>
      </c>
      <c r="AY212" s="747">
        <f t="shared" si="99"/>
        <v>0</v>
      </c>
      <c r="AZ212" s="747">
        <f t="shared" si="100"/>
        <v>0</v>
      </c>
      <c r="BA212" s="749"/>
      <c r="BB212" s="747">
        <f t="shared" si="101"/>
        <v>0</v>
      </c>
      <c r="BC212" s="761"/>
    </row>
    <row r="213" spans="1:55" ht="15" customHeight="1">
      <c r="A213" s="737">
        <v>28</v>
      </c>
      <c r="B213" s="737">
        <f t="shared" si="108"/>
        <v>0</v>
      </c>
      <c r="C213" s="737">
        <f t="shared" si="108"/>
        <v>0</v>
      </c>
      <c r="D213" s="737">
        <f t="shared" si="108"/>
        <v>0</v>
      </c>
      <c r="E213" s="737">
        <f t="shared" si="108"/>
        <v>0</v>
      </c>
      <c r="F213" s="737">
        <f t="shared" si="108"/>
        <v>0</v>
      </c>
      <c r="G213" s="747">
        <v>28</v>
      </c>
      <c r="H213" s="747">
        <f t="shared" si="71"/>
        <v>0</v>
      </c>
      <c r="I213" s="747">
        <f t="shared" si="72"/>
        <v>0</v>
      </c>
      <c r="J213" s="747">
        <f t="shared" si="73"/>
        <v>0</v>
      </c>
      <c r="K213" s="747"/>
      <c r="L213" s="747">
        <f t="shared" si="102"/>
        <v>0</v>
      </c>
      <c r="M213" s="747">
        <v>28</v>
      </c>
      <c r="N213" s="747">
        <f t="shared" si="74"/>
        <v>0</v>
      </c>
      <c r="O213" s="747">
        <f t="shared" si="75"/>
        <v>0</v>
      </c>
      <c r="P213" s="747">
        <f t="shared" si="76"/>
        <v>0</v>
      </c>
      <c r="Q213" s="748"/>
      <c r="R213" s="747">
        <f t="shared" si="77"/>
        <v>0</v>
      </c>
      <c r="S213" s="747">
        <v>28</v>
      </c>
      <c r="T213" s="747">
        <f t="shared" si="78"/>
        <v>0</v>
      </c>
      <c r="U213" s="747">
        <f t="shared" si="79"/>
        <v>0</v>
      </c>
      <c r="V213" s="747">
        <f t="shared" si="80"/>
        <v>0</v>
      </c>
      <c r="W213" s="749"/>
      <c r="X213" s="747">
        <f t="shared" si="81"/>
        <v>0</v>
      </c>
      <c r="Y213" s="747">
        <v>28</v>
      </c>
      <c r="Z213" s="747">
        <f t="shared" si="82"/>
        <v>0</v>
      </c>
      <c r="AA213" s="747">
        <f t="shared" si="83"/>
        <v>0</v>
      </c>
      <c r="AB213" s="747">
        <f t="shared" si="84"/>
        <v>0</v>
      </c>
      <c r="AC213" s="749"/>
      <c r="AD213" s="747">
        <f t="shared" si="85"/>
        <v>0</v>
      </c>
      <c r="AE213" s="747">
        <v>28</v>
      </c>
      <c r="AF213" s="747">
        <f t="shared" si="86"/>
        <v>0</v>
      </c>
      <c r="AG213" s="747">
        <f t="shared" si="87"/>
        <v>0</v>
      </c>
      <c r="AH213" s="747">
        <f t="shared" si="88"/>
        <v>0</v>
      </c>
      <c r="AI213" s="749"/>
      <c r="AJ213" s="747">
        <f t="shared" si="89"/>
        <v>0</v>
      </c>
      <c r="AK213" s="747">
        <v>28</v>
      </c>
      <c r="AL213" s="747">
        <f t="shared" si="90"/>
        <v>0</v>
      </c>
      <c r="AM213" s="747">
        <f t="shared" si="91"/>
        <v>0</v>
      </c>
      <c r="AN213" s="747">
        <f t="shared" si="92"/>
        <v>0</v>
      </c>
      <c r="AO213" s="749"/>
      <c r="AP213" s="747">
        <f t="shared" si="93"/>
        <v>0</v>
      </c>
      <c r="AQ213" s="747">
        <v>28</v>
      </c>
      <c r="AR213" s="747">
        <f t="shared" si="94"/>
        <v>0</v>
      </c>
      <c r="AS213" s="747">
        <f t="shared" si="95"/>
        <v>0</v>
      </c>
      <c r="AT213" s="747">
        <f t="shared" si="96"/>
        <v>0</v>
      </c>
      <c r="AU213" s="749"/>
      <c r="AV213" s="747">
        <f t="shared" si="97"/>
        <v>0</v>
      </c>
      <c r="AW213" s="747">
        <v>28</v>
      </c>
      <c r="AX213" s="747">
        <f t="shared" si="98"/>
        <v>0</v>
      </c>
      <c r="AY213" s="747">
        <f t="shared" si="99"/>
        <v>0</v>
      </c>
      <c r="AZ213" s="747">
        <f t="shared" si="100"/>
        <v>0</v>
      </c>
      <c r="BA213" s="749"/>
      <c r="BB213" s="747">
        <f t="shared" si="101"/>
        <v>0</v>
      </c>
      <c r="BC213" s="761"/>
    </row>
    <row r="214" spans="1:55" ht="15" customHeight="1">
      <c r="A214" s="737">
        <v>29</v>
      </c>
      <c r="B214" s="737">
        <f t="shared" si="108"/>
        <v>0</v>
      </c>
      <c r="C214" s="737">
        <f t="shared" si="108"/>
        <v>0</v>
      </c>
      <c r="D214" s="737">
        <f t="shared" si="108"/>
        <v>0</v>
      </c>
      <c r="E214" s="737">
        <f t="shared" si="108"/>
        <v>0</v>
      </c>
      <c r="F214" s="737">
        <f t="shared" si="108"/>
        <v>0</v>
      </c>
      <c r="G214" s="747">
        <v>29</v>
      </c>
      <c r="H214" s="747">
        <f t="shared" si="71"/>
        <v>0</v>
      </c>
      <c r="I214" s="747">
        <f t="shared" si="72"/>
        <v>0</v>
      </c>
      <c r="J214" s="747">
        <f t="shared" si="73"/>
        <v>0</v>
      </c>
      <c r="K214" s="747"/>
      <c r="L214" s="747">
        <f t="shared" si="102"/>
        <v>0</v>
      </c>
      <c r="M214" s="747">
        <v>29</v>
      </c>
      <c r="N214" s="747">
        <f t="shared" si="74"/>
        <v>0</v>
      </c>
      <c r="O214" s="747">
        <f t="shared" si="75"/>
        <v>0</v>
      </c>
      <c r="P214" s="747">
        <f t="shared" si="76"/>
        <v>0</v>
      </c>
      <c r="Q214" s="748"/>
      <c r="R214" s="747">
        <f t="shared" si="77"/>
        <v>0</v>
      </c>
      <c r="S214" s="747">
        <v>29</v>
      </c>
      <c r="T214" s="747">
        <f t="shared" si="78"/>
        <v>0</v>
      </c>
      <c r="U214" s="747">
        <f t="shared" si="79"/>
        <v>0</v>
      </c>
      <c r="V214" s="747">
        <f t="shared" si="80"/>
        <v>0</v>
      </c>
      <c r="W214" s="749"/>
      <c r="X214" s="747">
        <f t="shared" si="81"/>
        <v>0</v>
      </c>
      <c r="Y214" s="747">
        <v>29</v>
      </c>
      <c r="Z214" s="747">
        <f t="shared" si="82"/>
        <v>0</v>
      </c>
      <c r="AA214" s="747">
        <f t="shared" si="83"/>
        <v>0</v>
      </c>
      <c r="AB214" s="747">
        <f t="shared" si="84"/>
        <v>0</v>
      </c>
      <c r="AC214" s="749"/>
      <c r="AD214" s="747">
        <f t="shared" si="85"/>
        <v>0</v>
      </c>
      <c r="AE214" s="747">
        <v>29</v>
      </c>
      <c r="AF214" s="747">
        <f t="shared" si="86"/>
        <v>0</v>
      </c>
      <c r="AG214" s="747">
        <f t="shared" si="87"/>
        <v>0</v>
      </c>
      <c r="AH214" s="747">
        <f t="shared" si="88"/>
        <v>0</v>
      </c>
      <c r="AI214" s="749"/>
      <c r="AJ214" s="747">
        <f t="shared" si="89"/>
        <v>0</v>
      </c>
      <c r="AK214" s="747">
        <v>29</v>
      </c>
      <c r="AL214" s="747">
        <f t="shared" si="90"/>
        <v>0</v>
      </c>
      <c r="AM214" s="747">
        <f t="shared" si="91"/>
        <v>0</v>
      </c>
      <c r="AN214" s="747">
        <f t="shared" si="92"/>
        <v>0</v>
      </c>
      <c r="AO214" s="749"/>
      <c r="AP214" s="747">
        <f t="shared" si="93"/>
        <v>0</v>
      </c>
      <c r="AQ214" s="747">
        <v>29</v>
      </c>
      <c r="AR214" s="747">
        <f t="shared" si="94"/>
        <v>0</v>
      </c>
      <c r="AS214" s="747">
        <f t="shared" si="95"/>
        <v>0</v>
      </c>
      <c r="AT214" s="747">
        <f t="shared" si="96"/>
        <v>0</v>
      </c>
      <c r="AU214" s="749"/>
      <c r="AV214" s="747">
        <f t="shared" si="97"/>
        <v>0</v>
      </c>
      <c r="AW214" s="747">
        <v>29</v>
      </c>
      <c r="AX214" s="747">
        <f t="shared" si="98"/>
        <v>0</v>
      </c>
      <c r="AY214" s="747">
        <f t="shared" si="99"/>
        <v>0</v>
      </c>
      <c r="AZ214" s="747">
        <f t="shared" si="100"/>
        <v>0</v>
      </c>
      <c r="BA214" s="749"/>
      <c r="BB214" s="747">
        <f t="shared" si="101"/>
        <v>0</v>
      </c>
      <c r="BC214" s="761"/>
    </row>
    <row r="215" spans="1:55" ht="15" customHeight="1">
      <c r="A215" s="737">
        <v>30</v>
      </c>
      <c r="B215" s="737">
        <f t="shared" si="108"/>
        <v>0</v>
      </c>
      <c r="C215" s="737">
        <f t="shared" si="108"/>
        <v>0</v>
      </c>
      <c r="D215" s="737">
        <f t="shared" si="108"/>
        <v>0</v>
      </c>
      <c r="E215" s="737">
        <f t="shared" si="108"/>
        <v>0</v>
      </c>
      <c r="F215" s="737">
        <f t="shared" si="108"/>
        <v>0</v>
      </c>
      <c r="G215" s="747">
        <v>30</v>
      </c>
      <c r="H215" s="747">
        <f t="shared" si="71"/>
        <v>0</v>
      </c>
      <c r="I215" s="747">
        <f t="shared" si="72"/>
        <v>0</v>
      </c>
      <c r="J215" s="747">
        <f t="shared" si="73"/>
        <v>0</v>
      </c>
      <c r="K215" s="747"/>
      <c r="L215" s="747">
        <f t="shared" si="102"/>
        <v>0</v>
      </c>
      <c r="M215" s="747">
        <v>30</v>
      </c>
      <c r="N215" s="747">
        <f t="shared" si="74"/>
        <v>0</v>
      </c>
      <c r="O215" s="747">
        <f t="shared" si="75"/>
        <v>0</v>
      </c>
      <c r="P215" s="747">
        <f t="shared" si="76"/>
        <v>0</v>
      </c>
      <c r="Q215" s="748"/>
      <c r="R215" s="747">
        <f t="shared" si="77"/>
        <v>0</v>
      </c>
      <c r="S215" s="747">
        <v>30</v>
      </c>
      <c r="T215" s="747">
        <f t="shared" si="78"/>
        <v>0</v>
      </c>
      <c r="U215" s="747">
        <f t="shared" si="79"/>
        <v>0</v>
      </c>
      <c r="V215" s="747">
        <f t="shared" si="80"/>
        <v>0</v>
      </c>
      <c r="W215" s="749"/>
      <c r="X215" s="747">
        <f t="shared" si="81"/>
        <v>0</v>
      </c>
      <c r="Y215" s="747">
        <v>30</v>
      </c>
      <c r="Z215" s="747">
        <f t="shared" si="82"/>
        <v>0</v>
      </c>
      <c r="AA215" s="747">
        <f t="shared" si="83"/>
        <v>0</v>
      </c>
      <c r="AB215" s="747">
        <f t="shared" si="84"/>
        <v>0</v>
      </c>
      <c r="AC215" s="749"/>
      <c r="AD215" s="747">
        <f t="shared" si="85"/>
        <v>0</v>
      </c>
      <c r="AE215" s="747">
        <v>30</v>
      </c>
      <c r="AF215" s="747">
        <f t="shared" si="86"/>
        <v>0</v>
      </c>
      <c r="AG215" s="747">
        <f t="shared" si="87"/>
        <v>0</v>
      </c>
      <c r="AH215" s="747">
        <f t="shared" si="88"/>
        <v>0</v>
      </c>
      <c r="AI215" s="749"/>
      <c r="AJ215" s="747">
        <f t="shared" si="89"/>
        <v>0</v>
      </c>
      <c r="AK215" s="747">
        <v>30</v>
      </c>
      <c r="AL215" s="747">
        <f t="shared" si="90"/>
        <v>0</v>
      </c>
      <c r="AM215" s="747">
        <f t="shared" si="91"/>
        <v>0</v>
      </c>
      <c r="AN215" s="747">
        <f t="shared" si="92"/>
        <v>0</v>
      </c>
      <c r="AO215" s="749"/>
      <c r="AP215" s="747">
        <f t="shared" si="93"/>
        <v>0</v>
      </c>
      <c r="AQ215" s="747">
        <v>30</v>
      </c>
      <c r="AR215" s="747">
        <f t="shared" si="94"/>
        <v>0</v>
      </c>
      <c r="AS215" s="747">
        <f t="shared" si="95"/>
        <v>0</v>
      </c>
      <c r="AT215" s="747">
        <f t="shared" si="96"/>
        <v>0</v>
      </c>
      <c r="AU215" s="749"/>
      <c r="AV215" s="747">
        <f t="shared" si="97"/>
        <v>0</v>
      </c>
      <c r="AW215" s="747">
        <v>30</v>
      </c>
      <c r="AX215" s="747">
        <f t="shared" si="98"/>
        <v>0</v>
      </c>
      <c r="AY215" s="747">
        <f t="shared" si="99"/>
        <v>0</v>
      </c>
      <c r="AZ215" s="747">
        <f t="shared" si="100"/>
        <v>0</v>
      </c>
      <c r="BA215" s="749"/>
      <c r="BB215" s="747">
        <f t="shared" si="101"/>
        <v>0</v>
      </c>
      <c r="BC215" s="761"/>
    </row>
    <row r="216" spans="1:55" ht="15" customHeight="1">
      <c r="A216" s="737">
        <v>31</v>
      </c>
      <c r="B216" s="737">
        <f>+H216+N213+T210+Z207+AF204+AL198+AR192+AX186</f>
        <v>0</v>
      </c>
      <c r="C216" s="737">
        <f>+I216+O213+U210+AA207+AG204+AM198+AS192+AY186</f>
        <v>0</v>
      </c>
      <c r="D216" s="737">
        <f>+J216+P213+V210+AB207+AH204+AN198+AT192+AZ186</f>
        <v>0</v>
      </c>
      <c r="E216" s="737">
        <f>+K216+Q213+W210+AC207+AI204+AO198+AU192+BA186</f>
        <v>0</v>
      </c>
      <c r="F216" s="737">
        <f>+L216+R213+X210+AD207+AJ204+AP198+AV192+BB186</f>
        <v>0</v>
      </c>
      <c r="G216" s="747">
        <v>31</v>
      </c>
      <c r="H216" s="747">
        <f t="shared" si="71"/>
        <v>0</v>
      </c>
      <c r="I216" s="747">
        <f t="shared" si="72"/>
        <v>0</v>
      </c>
      <c r="J216" s="747">
        <f t="shared" si="73"/>
        <v>0</v>
      </c>
      <c r="K216" s="747"/>
      <c r="L216" s="747">
        <f t="shared" si="102"/>
        <v>0</v>
      </c>
      <c r="M216" s="747">
        <v>31</v>
      </c>
      <c r="N216" s="747">
        <f t="shared" si="74"/>
        <v>0</v>
      </c>
      <c r="O216" s="747">
        <f t="shared" si="75"/>
        <v>0</v>
      </c>
      <c r="P216" s="747">
        <f t="shared" si="76"/>
        <v>0</v>
      </c>
      <c r="Q216" s="748"/>
      <c r="R216" s="747">
        <f t="shared" si="77"/>
        <v>0</v>
      </c>
      <c r="S216" s="747">
        <v>31</v>
      </c>
      <c r="T216" s="747">
        <f t="shared" si="78"/>
        <v>0</v>
      </c>
      <c r="U216" s="747">
        <f t="shared" si="79"/>
        <v>0</v>
      </c>
      <c r="V216" s="747">
        <f t="shared" si="80"/>
        <v>0</v>
      </c>
      <c r="W216" s="749"/>
      <c r="X216" s="747">
        <f t="shared" si="81"/>
        <v>0</v>
      </c>
      <c r="Y216" s="747">
        <v>31</v>
      </c>
      <c r="Z216" s="747">
        <f t="shared" si="82"/>
        <v>0</v>
      </c>
      <c r="AA216" s="747">
        <f t="shared" si="83"/>
        <v>0</v>
      </c>
      <c r="AB216" s="747">
        <f t="shared" si="84"/>
        <v>0</v>
      </c>
      <c r="AC216" s="749"/>
      <c r="AD216" s="747">
        <f t="shared" si="85"/>
        <v>0</v>
      </c>
      <c r="AE216" s="747">
        <v>31</v>
      </c>
      <c r="AF216" s="747">
        <f t="shared" si="86"/>
        <v>0</v>
      </c>
      <c r="AG216" s="747">
        <f t="shared" si="87"/>
        <v>0</v>
      </c>
      <c r="AH216" s="747">
        <f t="shared" si="88"/>
        <v>0</v>
      </c>
      <c r="AI216" s="749"/>
      <c r="AJ216" s="747">
        <f t="shared" si="89"/>
        <v>0</v>
      </c>
      <c r="AK216" s="747">
        <v>31</v>
      </c>
      <c r="AL216" s="747">
        <f t="shared" si="90"/>
        <v>0</v>
      </c>
      <c r="AM216" s="747">
        <f t="shared" si="91"/>
        <v>0</v>
      </c>
      <c r="AN216" s="747">
        <f t="shared" si="92"/>
        <v>0</v>
      </c>
      <c r="AO216" s="749"/>
      <c r="AP216" s="747">
        <f t="shared" si="93"/>
        <v>0</v>
      </c>
      <c r="AQ216" s="747">
        <v>31</v>
      </c>
      <c r="AR216" s="747">
        <f t="shared" si="94"/>
        <v>0</v>
      </c>
      <c r="AS216" s="747">
        <f t="shared" si="95"/>
        <v>0</v>
      </c>
      <c r="AT216" s="747">
        <f t="shared" si="96"/>
        <v>0</v>
      </c>
      <c r="AU216" s="749"/>
      <c r="AV216" s="747">
        <f t="shared" si="97"/>
        <v>0</v>
      </c>
      <c r="AW216" s="747">
        <v>31</v>
      </c>
      <c r="AX216" s="747">
        <f t="shared" si="98"/>
        <v>0</v>
      </c>
      <c r="AY216" s="747">
        <f t="shared" si="99"/>
        <v>0</v>
      </c>
      <c r="AZ216" s="747">
        <f t="shared" si="100"/>
        <v>0</v>
      </c>
      <c r="BA216" s="749"/>
      <c r="BB216" s="747">
        <f t="shared" si="101"/>
        <v>0</v>
      </c>
      <c r="BC216" s="761"/>
    </row>
    <row r="217" spans="1:55" ht="15" customHeight="1">
      <c r="A217" s="737">
        <v>32</v>
      </c>
      <c r="B217" s="737">
        <f t="shared" ref="B217:F245" si="109">+H217+N214+T211+Z208+AF205+AL199+AR193+AX187</f>
        <v>0</v>
      </c>
      <c r="C217" s="737">
        <f t="shared" si="109"/>
        <v>0</v>
      </c>
      <c r="D217" s="737">
        <f t="shared" si="109"/>
        <v>0</v>
      </c>
      <c r="E217" s="737">
        <f t="shared" si="109"/>
        <v>0</v>
      </c>
      <c r="F217" s="737">
        <f t="shared" si="109"/>
        <v>0</v>
      </c>
      <c r="G217" s="747">
        <v>32</v>
      </c>
      <c r="H217" s="747">
        <f t="shared" si="71"/>
        <v>0</v>
      </c>
      <c r="I217" s="747">
        <f t="shared" si="72"/>
        <v>0</v>
      </c>
      <c r="J217" s="747">
        <f t="shared" si="73"/>
        <v>0</v>
      </c>
      <c r="K217" s="747"/>
      <c r="L217" s="747">
        <f t="shared" si="102"/>
        <v>0</v>
      </c>
      <c r="M217" s="747">
        <v>32</v>
      </c>
      <c r="N217" s="747">
        <f t="shared" si="74"/>
        <v>0</v>
      </c>
      <c r="O217" s="747">
        <f t="shared" si="75"/>
        <v>0</v>
      </c>
      <c r="P217" s="747">
        <f t="shared" si="76"/>
        <v>0</v>
      </c>
      <c r="Q217" s="748"/>
      <c r="R217" s="747">
        <f t="shared" si="77"/>
        <v>0</v>
      </c>
      <c r="S217" s="747">
        <v>32</v>
      </c>
      <c r="T217" s="747">
        <f t="shared" si="78"/>
        <v>0</v>
      </c>
      <c r="U217" s="747">
        <f t="shared" si="79"/>
        <v>0</v>
      </c>
      <c r="V217" s="747">
        <f t="shared" si="80"/>
        <v>0</v>
      </c>
      <c r="W217" s="749"/>
      <c r="X217" s="747">
        <f t="shared" si="81"/>
        <v>0</v>
      </c>
      <c r="Y217" s="747">
        <v>32</v>
      </c>
      <c r="Z217" s="747">
        <f t="shared" si="82"/>
        <v>0</v>
      </c>
      <c r="AA217" s="747">
        <f t="shared" si="83"/>
        <v>0</v>
      </c>
      <c r="AB217" s="747">
        <f t="shared" si="84"/>
        <v>0</v>
      </c>
      <c r="AC217" s="749"/>
      <c r="AD217" s="747">
        <f t="shared" si="85"/>
        <v>0</v>
      </c>
      <c r="AE217" s="747">
        <v>32</v>
      </c>
      <c r="AF217" s="747">
        <f t="shared" si="86"/>
        <v>0</v>
      </c>
      <c r="AG217" s="747">
        <f t="shared" si="87"/>
        <v>0</v>
      </c>
      <c r="AH217" s="747">
        <f t="shared" si="88"/>
        <v>0</v>
      </c>
      <c r="AI217" s="749"/>
      <c r="AJ217" s="747">
        <f t="shared" si="89"/>
        <v>0</v>
      </c>
      <c r="AK217" s="747">
        <v>32</v>
      </c>
      <c r="AL217" s="747">
        <f t="shared" si="90"/>
        <v>0</v>
      </c>
      <c r="AM217" s="747">
        <f t="shared" si="91"/>
        <v>0</v>
      </c>
      <c r="AN217" s="747">
        <f t="shared" si="92"/>
        <v>0</v>
      </c>
      <c r="AO217" s="749"/>
      <c r="AP217" s="747">
        <f t="shared" si="93"/>
        <v>0</v>
      </c>
      <c r="AQ217" s="747">
        <v>32</v>
      </c>
      <c r="AR217" s="747">
        <f t="shared" si="94"/>
        <v>0</v>
      </c>
      <c r="AS217" s="747">
        <f t="shared" si="95"/>
        <v>0</v>
      </c>
      <c r="AT217" s="747">
        <f t="shared" si="96"/>
        <v>0</v>
      </c>
      <c r="AU217" s="749"/>
      <c r="AV217" s="747">
        <f t="shared" si="97"/>
        <v>0</v>
      </c>
      <c r="AW217" s="747">
        <v>32</v>
      </c>
      <c r="AX217" s="747">
        <f t="shared" si="98"/>
        <v>0</v>
      </c>
      <c r="AY217" s="747">
        <f t="shared" si="99"/>
        <v>0</v>
      </c>
      <c r="AZ217" s="747">
        <f t="shared" si="100"/>
        <v>0</v>
      </c>
      <c r="BA217" s="749"/>
      <c r="BB217" s="747">
        <f t="shared" si="101"/>
        <v>0</v>
      </c>
      <c r="BC217" s="761"/>
    </row>
    <row r="218" spans="1:55" ht="15" customHeight="1">
      <c r="A218" s="737">
        <v>33</v>
      </c>
      <c r="B218" s="737">
        <f t="shared" si="109"/>
        <v>0</v>
      </c>
      <c r="C218" s="737">
        <f t="shared" si="109"/>
        <v>0</v>
      </c>
      <c r="D218" s="737">
        <f t="shared" si="109"/>
        <v>0</v>
      </c>
      <c r="E218" s="737">
        <f t="shared" si="109"/>
        <v>0</v>
      </c>
      <c r="F218" s="737">
        <f t="shared" si="109"/>
        <v>0</v>
      </c>
      <c r="G218" s="747">
        <v>33</v>
      </c>
      <c r="H218" s="747">
        <f t="shared" si="71"/>
        <v>0</v>
      </c>
      <c r="I218" s="747">
        <f t="shared" si="72"/>
        <v>0</v>
      </c>
      <c r="J218" s="747">
        <f t="shared" si="73"/>
        <v>0</v>
      </c>
      <c r="K218" s="747"/>
      <c r="L218" s="747">
        <f t="shared" si="102"/>
        <v>0</v>
      </c>
      <c r="M218" s="747">
        <v>33</v>
      </c>
      <c r="N218" s="747">
        <f t="shared" si="74"/>
        <v>0</v>
      </c>
      <c r="O218" s="747">
        <f t="shared" si="75"/>
        <v>0</v>
      </c>
      <c r="P218" s="747">
        <f t="shared" si="76"/>
        <v>0</v>
      </c>
      <c r="Q218" s="748"/>
      <c r="R218" s="747">
        <f t="shared" si="77"/>
        <v>0</v>
      </c>
      <c r="S218" s="747">
        <v>33</v>
      </c>
      <c r="T218" s="747">
        <f t="shared" si="78"/>
        <v>0</v>
      </c>
      <c r="U218" s="747">
        <f t="shared" si="79"/>
        <v>0</v>
      </c>
      <c r="V218" s="747">
        <f t="shared" si="80"/>
        <v>0</v>
      </c>
      <c r="W218" s="749"/>
      <c r="X218" s="747">
        <f t="shared" si="81"/>
        <v>0</v>
      </c>
      <c r="Y218" s="747">
        <v>33</v>
      </c>
      <c r="Z218" s="747">
        <f t="shared" si="82"/>
        <v>0</v>
      </c>
      <c r="AA218" s="747">
        <f t="shared" si="83"/>
        <v>0</v>
      </c>
      <c r="AB218" s="747">
        <f t="shared" si="84"/>
        <v>0</v>
      </c>
      <c r="AC218" s="749"/>
      <c r="AD218" s="747">
        <f t="shared" si="85"/>
        <v>0</v>
      </c>
      <c r="AE218" s="747">
        <v>33</v>
      </c>
      <c r="AF218" s="747">
        <f t="shared" si="86"/>
        <v>0</v>
      </c>
      <c r="AG218" s="747">
        <f t="shared" si="87"/>
        <v>0</v>
      </c>
      <c r="AH218" s="747">
        <f t="shared" si="88"/>
        <v>0</v>
      </c>
      <c r="AI218" s="749"/>
      <c r="AJ218" s="747">
        <f t="shared" si="89"/>
        <v>0</v>
      </c>
      <c r="AK218" s="747">
        <v>33</v>
      </c>
      <c r="AL218" s="747">
        <f t="shared" si="90"/>
        <v>0</v>
      </c>
      <c r="AM218" s="747">
        <f t="shared" si="91"/>
        <v>0</v>
      </c>
      <c r="AN218" s="747">
        <f t="shared" si="92"/>
        <v>0</v>
      </c>
      <c r="AO218" s="749"/>
      <c r="AP218" s="747">
        <f t="shared" si="93"/>
        <v>0</v>
      </c>
      <c r="AQ218" s="747">
        <v>33</v>
      </c>
      <c r="AR218" s="747">
        <f t="shared" si="94"/>
        <v>0</v>
      </c>
      <c r="AS218" s="747">
        <f t="shared" si="95"/>
        <v>0</v>
      </c>
      <c r="AT218" s="747">
        <f t="shared" si="96"/>
        <v>0</v>
      </c>
      <c r="AU218" s="749"/>
      <c r="AV218" s="747">
        <f t="shared" si="97"/>
        <v>0</v>
      </c>
      <c r="AW218" s="747">
        <v>33</v>
      </c>
      <c r="AX218" s="747">
        <f t="shared" si="98"/>
        <v>0</v>
      </c>
      <c r="AY218" s="747">
        <f t="shared" si="99"/>
        <v>0</v>
      </c>
      <c r="AZ218" s="747">
        <f t="shared" si="100"/>
        <v>0</v>
      </c>
      <c r="BA218" s="749"/>
      <c r="BB218" s="747">
        <f t="shared" si="101"/>
        <v>0</v>
      </c>
      <c r="BC218" s="761"/>
    </row>
    <row r="219" spans="1:55" ht="15" customHeight="1">
      <c r="A219" s="737">
        <v>34</v>
      </c>
      <c r="B219" s="737">
        <f t="shared" si="109"/>
        <v>0</v>
      </c>
      <c r="C219" s="737">
        <f t="shared" si="109"/>
        <v>0</v>
      </c>
      <c r="D219" s="737">
        <f t="shared" si="109"/>
        <v>0</v>
      </c>
      <c r="E219" s="737">
        <f t="shared" si="109"/>
        <v>0</v>
      </c>
      <c r="F219" s="737">
        <f t="shared" si="109"/>
        <v>0</v>
      </c>
      <c r="G219" s="747">
        <v>34</v>
      </c>
      <c r="H219" s="747">
        <f t="shared" si="71"/>
        <v>0</v>
      </c>
      <c r="I219" s="747">
        <f t="shared" si="72"/>
        <v>0</v>
      </c>
      <c r="J219" s="747">
        <f t="shared" si="73"/>
        <v>0</v>
      </c>
      <c r="K219" s="747"/>
      <c r="L219" s="747">
        <f t="shared" si="102"/>
        <v>0</v>
      </c>
      <c r="M219" s="747">
        <v>34</v>
      </c>
      <c r="N219" s="747">
        <f t="shared" si="74"/>
        <v>0</v>
      </c>
      <c r="O219" s="747">
        <f t="shared" si="75"/>
        <v>0</v>
      </c>
      <c r="P219" s="747">
        <f t="shared" si="76"/>
        <v>0</v>
      </c>
      <c r="Q219" s="748"/>
      <c r="R219" s="747">
        <f t="shared" si="77"/>
        <v>0</v>
      </c>
      <c r="S219" s="747">
        <v>34</v>
      </c>
      <c r="T219" s="747">
        <f t="shared" si="78"/>
        <v>0</v>
      </c>
      <c r="U219" s="747">
        <f t="shared" si="79"/>
        <v>0</v>
      </c>
      <c r="V219" s="747">
        <f t="shared" si="80"/>
        <v>0</v>
      </c>
      <c r="W219" s="749"/>
      <c r="X219" s="747">
        <f t="shared" si="81"/>
        <v>0</v>
      </c>
      <c r="Y219" s="747">
        <v>34</v>
      </c>
      <c r="Z219" s="747">
        <f t="shared" si="82"/>
        <v>0</v>
      </c>
      <c r="AA219" s="747">
        <f t="shared" si="83"/>
        <v>0</v>
      </c>
      <c r="AB219" s="747">
        <f t="shared" si="84"/>
        <v>0</v>
      </c>
      <c r="AC219" s="749"/>
      <c r="AD219" s="747">
        <f t="shared" si="85"/>
        <v>0</v>
      </c>
      <c r="AE219" s="747">
        <v>34</v>
      </c>
      <c r="AF219" s="747">
        <f t="shared" si="86"/>
        <v>0</v>
      </c>
      <c r="AG219" s="747">
        <f t="shared" si="87"/>
        <v>0</v>
      </c>
      <c r="AH219" s="747">
        <f t="shared" si="88"/>
        <v>0</v>
      </c>
      <c r="AI219" s="749"/>
      <c r="AJ219" s="747">
        <f t="shared" si="89"/>
        <v>0</v>
      </c>
      <c r="AK219" s="747">
        <v>34</v>
      </c>
      <c r="AL219" s="747">
        <f t="shared" si="90"/>
        <v>0</v>
      </c>
      <c r="AM219" s="747">
        <f t="shared" si="91"/>
        <v>0</v>
      </c>
      <c r="AN219" s="747">
        <f t="shared" si="92"/>
        <v>0</v>
      </c>
      <c r="AO219" s="749"/>
      <c r="AP219" s="747">
        <f t="shared" si="93"/>
        <v>0</v>
      </c>
      <c r="AQ219" s="747">
        <v>34</v>
      </c>
      <c r="AR219" s="747">
        <f t="shared" si="94"/>
        <v>0</v>
      </c>
      <c r="AS219" s="747">
        <f t="shared" si="95"/>
        <v>0</v>
      </c>
      <c r="AT219" s="747">
        <f t="shared" si="96"/>
        <v>0</v>
      </c>
      <c r="AU219" s="749"/>
      <c r="AV219" s="747">
        <f t="shared" si="97"/>
        <v>0</v>
      </c>
      <c r="AW219" s="747">
        <v>34</v>
      </c>
      <c r="AX219" s="747">
        <f t="shared" si="98"/>
        <v>0</v>
      </c>
      <c r="AY219" s="747">
        <f t="shared" si="99"/>
        <v>0</v>
      </c>
      <c r="AZ219" s="747">
        <f t="shared" si="100"/>
        <v>0</v>
      </c>
      <c r="BA219" s="749"/>
      <c r="BB219" s="747">
        <f t="shared" si="101"/>
        <v>0</v>
      </c>
      <c r="BC219" s="761"/>
    </row>
    <row r="220" spans="1:55" ht="15" customHeight="1">
      <c r="A220" s="737">
        <v>35</v>
      </c>
      <c r="B220" s="737">
        <f t="shared" si="109"/>
        <v>0</v>
      </c>
      <c r="C220" s="737">
        <f t="shared" si="109"/>
        <v>0</v>
      </c>
      <c r="D220" s="737">
        <f t="shared" si="109"/>
        <v>0</v>
      </c>
      <c r="E220" s="737">
        <f t="shared" si="109"/>
        <v>0</v>
      </c>
      <c r="F220" s="737">
        <f t="shared" si="109"/>
        <v>0</v>
      </c>
      <c r="G220" s="747">
        <v>35</v>
      </c>
      <c r="H220" s="747">
        <f t="shared" si="71"/>
        <v>0</v>
      </c>
      <c r="I220" s="747">
        <f t="shared" si="72"/>
        <v>0</v>
      </c>
      <c r="J220" s="747">
        <f t="shared" si="73"/>
        <v>0</v>
      </c>
      <c r="K220" s="747"/>
      <c r="L220" s="747">
        <f t="shared" si="102"/>
        <v>0</v>
      </c>
      <c r="M220" s="747">
        <v>35</v>
      </c>
      <c r="N220" s="747">
        <f t="shared" si="74"/>
        <v>0</v>
      </c>
      <c r="O220" s="747">
        <f t="shared" si="75"/>
        <v>0</v>
      </c>
      <c r="P220" s="747">
        <f t="shared" si="76"/>
        <v>0</v>
      </c>
      <c r="Q220" s="748"/>
      <c r="R220" s="747">
        <f t="shared" si="77"/>
        <v>0</v>
      </c>
      <c r="S220" s="747">
        <v>35</v>
      </c>
      <c r="T220" s="747">
        <f t="shared" si="78"/>
        <v>0</v>
      </c>
      <c r="U220" s="747">
        <f t="shared" si="79"/>
        <v>0</v>
      </c>
      <c r="V220" s="747">
        <f t="shared" si="80"/>
        <v>0</v>
      </c>
      <c r="W220" s="749"/>
      <c r="X220" s="747">
        <f t="shared" si="81"/>
        <v>0</v>
      </c>
      <c r="Y220" s="747">
        <v>35</v>
      </c>
      <c r="Z220" s="747">
        <f t="shared" si="82"/>
        <v>0</v>
      </c>
      <c r="AA220" s="747">
        <f t="shared" si="83"/>
        <v>0</v>
      </c>
      <c r="AB220" s="747">
        <f t="shared" si="84"/>
        <v>0</v>
      </c>
      <c r="AC220" s="749"/>
      <c r="AD220" s="747">
        <f t="shared" si="85"/>
        <v>0</v>
      </c>
      <c r="AE220" s="747">
        <v>35</v>
      </c>
      <c r="AF220" s="747">
        <f t="shared" si="86"/>
        <v>0</v>
      </c>
      <c r="AG220" s="747">
        <f t="shared" si="87"/>
        <v>0</v>
      </c>
      <c r="AH220" s="747">
        <f t="shared" si="88"/>
        <v>0</v>
      </c>
      <c r="AI220" s="749"/>
      <c r="AJ220" s="747">
        <f t="shared" si="89"/>
        <v>0</v>
      </c>
      <c r="AK220" s="747">
        <v>35</v>
      </c>
      <c r="AL220" s="747">
        <f t="shared" si="90"/>
        <v>0</v>
      </c>
      <c r="AM220" s="747">
        <f t="shared" si="91"/>
        <v>0</v>
      </c>
      <c r="AN220" s="747">
        <f t="shared" si="92"/>
        <v>0</v>
      </c>
      <c r="AO220" s="749"/>
      <c r="AP220" s="747">
        <f t="shared" si="93"/>
        <v>0</v>
      </c>
      <c r="AQ220" s="747">
        <v>35</v>
      </c>
      <c r="AR220" s="747">
        <f t="shared" si="94"/>
        <v>0</v>
      </c>
      <c r="AS220" s="747">
        <f t="shared" si="95"/>
        <v>0</v>
      </c>
      <c r="AT220" s="747">
        <f t="shared" si="96"/>
        <v>0</v>
      </c>
      <c r="AU220" s="749"/>
      <c r="AV220" s="747">
        <f t="shared" si="97"/>
        <v>0</v>
      </c>
      <c r="AW220" s="747">
        <v>35</v>
      </c>
      <c r="AX220" s="747">
        <f t="shared" si="98"/>
        <v>0</v>
      </c>
      <c r="AY220" s="747">
        <f t="shared" si="99"/>
        <v>0</v>
      </c>
      <c r="AZ220" s="747">
        <f t="shared" si="100"/>
        <v>0</v>
      </c>
      <c r="BA220" s="749"/>
      <c r="BB220" s="747">
        <f t="shared" si="101"/>
        <v>0</v>
      </c>
      <c r="BC220" s="761"/>
    </row>
    <row r="221" spans="1:55" ht="15" customHeight="1">
      <c r="A221" s="737">
        <v>36</v>
      </c>
      <c r="B221" s="737">
        <f t="shared" si="109"/>
        <v>0</v>
      </c>
      <c r="C221" s="737">
        <f t="shared" si="109"/>
        <v>0</v>
      </c>
      <c r="D221" s="737">
        <f t="shared" si="109"/>
        <v>0</v>
      </c>
      <c r="E221" s="737">
        <f t="shared" si="109"/>
        <v>0</v>
      </c>
      <c r="F221" s="737">
        <f t="shared" si="109"/>
        <v>0</v>
      </c>
      <c r="G221" s="747">
        <v>36</v>
      </c>
      <c r="H221" s="747">
        <f t="shared" si="71"/>
        <v>0</v>
      </c>
      <c r="I221" s="747">
        <f t="shared" si="72"/>
        <v>0</v>
      </c>
      <c r="J221" s="747">
        <f t="shared" si="73"/>
        <v>0</v>
      </c>
      <c r="K221" s="747"/>
      <c r="L221" s="747">
        <f t="shared" si="102"/>
        <v>0</v>
      </c>
      <c r="M221" s="747">
        <v>36</v>
      </c>
      <c r="N221" s="747">
        <f t="shared" si="74"/>
        <v>0</v>
      </c>
      <c r="O221" s="747">
        <f t="shared" si="75"/>
        <v>0</v>
      </c>
      <c r="P221" s="747">
        <f t="shared" si="76"/>
        <v>0</v>
      </c>
      <c r="Q221" s="748"/>
      <c r="R221" s="747">
        <f t="shared" si="77"/>
        <v>0</v>
      </c>
      <c r="S221" s="747">
        <v>36</v>
      </c>
      <c r="T221" s="747">
        <f t="shared" si="78"/>
        <v>0</v>
      </c>
      <c r="U221" s="747">
        <f t="shared" si="79"/>
        <v>0</v>
      </c>
      <c r="V221" s="747">
        <f t="shared" si="80"/>
        <v>0</v>
      </c>
      <c r="W221" s="749"/>
      <c r="X221" s="747">
        <f t="shared" si="81"/>
        <v>0</v>
      </c>
      <c r="Y221" s="747">
        <v>36</v>
      </c>
      <c r="Z221" s="747">
        <f t="shared" si="82"/>
        <v>0</v>
      </c>
      <c r="AA221" s="747">
        <f t="shared" si="83"/>
        <v>0</v>
      </c>
      <c r="AB221" s="747">
        <f t="shared" si="84"/>
        <v>0</v>
      </c>
      <c r="AC221" s="749"/>
      <c r="AD221" s="747">
        <f t="shared" si="85"/>
        <v>0</v>
      </c>
      <c r="AE221" s="747">
        <v>36</v>
      </c>
      <c r="AF221" s="747">
        <f t="shared" si="86"/>
        <v>0</v>
      </c>
      <c r="AG221" s="747">
        <f t="shared" si="87"/>
        <v>0</v>
      </c>
      <c r="AH221" s="747">
        <f t="shared" si="88"/>
        <v>0</v>
      </c>
      <c r="AI221" s="749"/>
      <c r="AJ221" s="747">
        <f t="shared" si="89"/>
        <v>0</v>
      </c>
      <c r="AK221" s="747">
        <v>36</v>
      </c>
      <c r="AL221" s="747">
        <f t="shared" si="90"/>
        <v>0</v>
      </c>
      <c r="AM221" s="747">
        <f t="shared" si="91"/>
        <v>0</v>
      </c>
      <c r="AN221" s="747">
        <f t="shared" si="92"/>
        <v>0</v>
      </c>
      <c r="AO221" s="749"/>
      <c r="AP221" s="747">
        <f t="shared" si="93"/>
        <v>0</v>
      </c>
      <c r="AQ221" s="747">
        <v>36</v>
      </c>
      <c r="AR221" s="747">
        <f t="shared" si="94"/>
        <v>0</v>
      </c>
      <c r="AS221" s="747">
        <f t="shared" si="95"/>
        <v>0</v>
      </c>
      <c r="AT221" s="747">
        <f t="shared" si="96"/>
        <v>0</v>
      </c>
      <c r="AU221" s="749"/>
      <c r="AV221" s="747">
        <f t="shared" si="97"/>
        <v>0</v>
      </c>
      <c r="AW221" s="747">
        <v>36</v>
      </c>
      <c r="AX221" s="747">
        <f t="shared" si="98"/>
        <v>0</v>
      </c>
      <c r="AY221" s="747">
        <f t="shared" si="99"/>
        <v>0</v>
      </c>
      <c r="AZ221" s="747">
        <f t="shared" si="100"/>
        <v>0</v>
      </c>
      <c r="BA221" s="749"/>
      <c r="BB221" s="747">
        <f t="shared" si="101"/>
        <v>0</v>
      </c>
      <c r="BC221" s="761"/>
    </row>
    <row r="222" spans="1:55" ht="15" customHeight="1">
      <c r="A222" s="762">
        <v>37</v>
      </c>
      <c r="B222" s="762">
        <f t="shared" si="109"/>
        <v>0</v>
      </c>
      <c r="C222" s="762">
        <f t="shared" si="109"/>
        <v>0</v>
      </c>
      <c r="D222" s="762">
        <f t="shared" si="109"/>
        <v>0</v>
      </c>
      <c r="E222" s="762">
        <f t="shared" si="109"/>
        <v>0</v>
      </c>
      <c r="F222" s="762">
        <f t="shared" si="109"/>
        <v>0</v>
      </c>
      <c r="G222" s="762">
        <v>37</v>
      </c>
      <c r="H222" s="762">
        <f t="shared" si="71"/>
        <v>0</v>
      </c>
      <c r="I222" s="762">
        <f t="shared" si="72"/>
        <v>0</v>
      </c>
      <c r="J222" s="762">
        <f t="shared" si="73"/>
        <v>0</v>
      </c>
      <c r="K222" s="762"/>
      <c r="L222" s="762">
        <f t="shared" si="102"/>
        <v>0</v>
      </c>
      <c r="M222" s="762">
        <v>37</v>
      </c>
      <c r="N222" s="762">
        <f t="shared" si="74"/>
        <v>0</v>
      </c>
      <c r="O222" s="762">
        <f t="shared" si="75"/>
        <v>0</v>
      </c>
      <c r="P222" s="762">
        <f t="shared" si="76"/>
        <v>0</v>
      </c>
      <c r="Q222" s="762"/>
      <c r="R222" s="762">
        <f t="shared" si="77"/>
        <v>0</v>
      </c>
      <c r="S222" s="762">
        <v>37</v>
      </c>
      <c r="T222" s="762">
        <f t="shared" si="78"/>
        <v>0</v>
      </c>
      <c r="U222" s="762">
        <f t="shared" si="79"/>
        <v>0</v>
      </c>
      <c r="V222" s="762">
        <f t="shared" si="80"/>
        <v>0</v>
      </c>
      <c r="W222" s="762"/>
      <c r="X222" s="762">
        <f t="shared" si="81"/>
        <v>0</v>
      </c>
      <c r="Y222" s="762">
        <v>37</v>
      </c>
      <c r="Z222" s="762">
        <f t="shared" si="82"/>
        <v>0</v>
      </c>
      <c r="AA222" s="762">
        <f t="shared" si="83"/>
        <v>0</v>
      </c>
      <c r="AB222" s="762">
        <f t="shared" si="84"/>
        <v>0</v>
      </c>
      <c r="AC222" s="762"/>
      <c r="AD222" s="762">
        <f t="shared" si="85"/>
        <v>0</v>
      </c>
      <c r="AE222" s="762">
        <v>37</v>
      </c>
      <c r="AF222" s="762">
        <f t="shared" si="86"/>
        <v>0</v>
      </c>
      <c r="AG222" s="762">
        <f t="shared" si="87"/>
        <v>0</v>
      </c>
      <c r="AH222" s="762">
        <f t="shared" si="88"/>
        <v>0</v>
      </c>
      <c r="AI222" s="762"/>
      <c r="AJ222" s="762">
        <f t="shared" si="89"/>
        <v>0</v>
      </c>
      <c r="AK222" s="762">
        <v>37</v>
      </c>
      <c r="AL222" s="762">
        <f t="shared" si="90"/>
        <v>0</v>
      </c>
      <c r="AM222" s="762">
        <f t="shared" si="91"/>
        <v>0</v>
      </c>
      <c r="AN222" s="762">
        <f t="shared" si="92"/>
        <v>0</v>
      </c>
      <c r="AO222" s="762"/>
      <c r="AP222" s="762">
        <f t="shared" si="93"/>
        <v>0</v>
      </c>
      <c r="AQ222" s="762">
        <v>37</v>
      </c>
      <c r="AR222" s="762">
        <f t="shared" si="94"/>
        <v>0</v>
      </c>
      <c r="AS222" s="762">
        <f t="shared" si="95"/>
        <v>0</v>
      </c>
      <c r="AT222" s="762">
        <f t="shared" si="96"/>
        <v>0</v>
      </c>
      <c r="AU222" s="762"/>
      <c r="AV222" s="762">
        <f t="shared" si="97"/>
        <v>0</v>
      </c>
      <c r="AW222" s="762">
        <v>37</v>
      </c>
      <c r="AX222" s="762">
        <f t="shared" si="98"/>
        <v>0</v>
      </c>
      <c r="AY222" s="762">
        <f t="shared" si="99"/>
        <v>0</v>
      </c>
      <c r="AZ222" s="762">
        <f t="shared" si="100"/>
        <v>0</v>
      </c>
      <c r="BA222" s="762"/>
      <c r="BB222" s="762">
        <f t="shared" si="101"/>
        <v>0</v>
      </c>
      <c r="BC222" s="761"/>
    </row>
    <row r="223" spans="1:55" ht="15" customHeight="1">
      <c r="A223" s="762">
        <v>38</v>
      </c>
      <c r="B223" s="762">
        <f t="shared" si="109"/>
        <v>0</v>
      </c>
      <c r="C223" s="762">
        <f t="shared" si="109"/>
        <v>0</v>
      </c>
      <c r="D223" s="762">
        <f t="shared" si="109"/>
        <v>0</v>
      </c>
      <c r="E223" s="762">
        <f t="shared" si="109"/>
        <v>0</v>
      </c>
      <c r="F223" s="762">
        <f t="shared" si="109"/>
        <v>0</v>
      </c>
      <c r="G223" s="762">
        <v>38</v>
      </c>
      <c r="H223" s="762">
        <f t="shared" si="71"/>
        <v>0</v>
      </c>
      <c r="I223" s="762">
        <f t="shared" si="72"/>
        <v>0</v>
      </c>
      <c r="J223" s="762">
        <f t="shared" si="73"/>
        <v>0</v>
      </c>
      <c r="K223" s="762"/>
      <c r="L223" s="762">
        <f t="shared" si="102"/>
        <v>0</v>
      </c>
      <c r="M223" s="762">
        <v>38</v>
      </c>
      <c r="N223" s="762">
        <f t="shared" si="74"/>
        <v>0</v>
      </c>
      <c r="O223" s="762">
        <f t="shared" si="75"/>
        <v>0</v>
      </c>
      <c r="P223" s="762">
        <f t="shared" si="76"/>
        <v>0</v>
      </c>
      <c r="Q223" s="762"/>
      <c r="R223" s="762">
        <f t="shared" si="77"/>
        <v>0</v>
      </c>
      <c r="S223" s="762">
        <v>38</v>
      </c>
      <c r="T223" s="762">
        <f t="shared" si="78"/>
        <v>0</v>
      </c>
      <c r="U223" s="762">
        <f t="shared" si="79"/>
        <v>0</v>
      </c>
      <c r="V223" s="762">
        <f t="shared" si="80"/>
        <v>0</v>
      </c>
      <c r="W223" s="762"/>
      <c r="X223" s="762">
        <f t="shared" si="81"/>
        <v>0</v>
      </c>
      <c r="Y223" s="762">
        <v>38</v>
      </c>
      <c r="Z223" s="762">
        <f t="shared" si="82"/>
        <v>0</v>
      </c>
      <c r="AA223" s="762">
        <f t="shared" si="83"/>
        <v>0</v>
      </c>
      <c r="AB223" s="762">
        <f t="shared" si="84"/>
        <v>0</v>
      </c>
      <c r="AC223" s="762"/>
      <c r="AD223" s="762">
        <f t="shared" si="85"/>
        <v>0</v>
      </c>
      <c r="AE223" s="762">
        <v>38</v>
      </c>
      <c r="AF223" s="762">
        <f t="shared" si="86"/>
        <v>0</v>
      </c>
      <c r="AG223" s="762">
        <f t="shared" si="87"/>
        <v>0</v>
      </c>
      <c r="AH223" s="762">
        <f t="shared" si="88"/>
        <v>0</v>
      </c>
      <c r="AI223" s="762"/>
      <c r="AJ223" s="762">
        <f t="shared" si="89"/>
        <v>0</v>
      </c>
      <c r="AK223" s="762">
        <v>38</v>
      </c>
      <c r="AL223" s="762">
        <f t="shared" si="90"/>
        <v>0</v>
      </c>
      <c r="AM223" s="762">
        <f t="shared" si="91"/>
        <v>0</v>
      </c>
      <c r="AN223" s="762">
        <f t="shared" si="92"/>
        <v>0</v>
      </c>
      <c r="AO223" s="762"/>
      <c r="AP223" s="762">
        <f t="shared" si="93"/>
        <v>0</v>
      </c>
      <c r="AQ223" s="762">
        <v>38</v>
      </c>
      <c r="AR223" s="762">
        <f t="shared" si="94"/>
        <v>0</v>
      </c>
      <c r="AS223" s="762">
        <f t="shared" si="95"/>
        <v>0</v>
      </c>
      <c r="AT223" s="762">
        <f t="shared" si="96"/>
        <v>0</v>
      </c>
      <c r="AU223" s="762"/>
      <c r="AV223" s="762">
        <f t="shared" si="97"/>
        <v>0</v>
      </c>
      <c r="AW223" s="762">
        <v>38</v>
      </c>
      <c r="AX223" s="762">
        <f t="shared" si="98"/>
        <v>0</v>
      </c>
      <c r="AY223" s="762">
        <f t="shared" si="99"/>
        <v>0</v>
      </c>
      <c r="AZ223" s="762">
        <f t="shared" si="100"/>
        <v>0</v>
      </c>
      <c r="BA223" s="762"/>
      <c r="BB223" s="762">
        <f t="shared" si="101"/>
        <v>0</v>
      </c>
      <c r="BC223" s="761"/>
    </row>
    <row r="224" spans="1:55" ht="15" customHeight="1">
      <c r="A224" s="762">
        <v>39</v>
      </c>
      <c r="B224" s="762">
        <f t="shared" si="109"/>
        <v>0</v>
      </c>
      <c r="C224" s="762">
        <f t="shared" si="109"/>
        <v>0</v>
      </c>
      <c r="D224" s="762">
        <f t="shared" si="109"/>
        <v>0</v>
      </c>
      <c r="E224" s="762">
        <f t="shared" si="109"/>
        <v>0</v>
      </c>
      <c r="F224" s="762">
        <f t="shared" si="109"/>
        <v>0</v>
      </c>
      <c r="G224" s="762">
        <v>39</v>
      </c>
      <c r="H224" s="762">
        <f t="shared" si="71"/>
        <v>0</v>
      </c>
      <c r="I224" s="762">
        <f t="shared" si="72"/>
        <v>0</v>
      </c>
      <c r="J224" s="762">
        <f t="shared" si="73"/>
        <v>0</v>
      </c>
      <c r="K224" s="762"/>
      <c r="L224" s="762">
        <f t="shared" si="102"/>
        <v>0</v>
      </c>
      <c r="M224" s="762">
        <v>39</v>
      </c>
      <c r="N224" s="762">
        <f t="shared" si="74"/>
        <v>0</v>
      </c>
      <c r="O224" s="762">
        <f t="shared" si="75"/>
        <v>0</v>
      </c>
      <c r="P224" s="762">
        <f t="shared" si="76"/>
        <v>0</v>
      </c>
      <c r="Q224" s="762"/>
      <c r="R224" s="762">
        <f t="shared" si="77"/>
        <v>0</v>
      </c>
      <c r="S224" s="762">
        <v>39</v>
      </c>
      <c r="T224" s="762">
        <f t="shared" si="78"/>
        <v>0</v>
      </c>
      <c r="U224" s="762">
        <f t="shared" si="79"/>
        <v>0</v>
      </c>
      <c r="V224" s="762">
        <f t="shared" si="80"/>
        <v>0</v>
      </c>
      <c r="W224" s="762"/>
      <c r="X224" s="762">
        <f t="shared" si="81"/>
        <v>0</v>
      </c>
      <c r="Y224" s="762">
        <v>39</v>
      </c>
      <c r="Z224" s="762">
        <f t="shared" si="82"/>
        <v>0</v>
      </c>
      <c r="AA224" s="762">
        <f t="shared" si="83"/>
        <v>0</v>
      </c>
      <c r="AB224" s="762">
        <f t="shared" si="84"/>
        <v>0</v>
      </c>
      <c r="AC224" s="762"/>
      <c r="AD224" s="762">
        <f t="shared" si="85"/>
        <v>0</v>
      </c>
      <c r="AE224" s="762">
        <v>39</v>
      </c>
      <c r="AF224" s="762">
        <f t="shared" si="86"/>
        <v>0</v>
      </c>
      <c r="AG224" s="762">
        <f t="shared" si="87"/>
        <v>0</v>
      </c>
      <c r="AH224" s="762">
        <f t="shared" si="88"/>
        <v>0</v>
      </c>
      <c r="AI224" s="762"/>
      <c r="AJ224" s="762">
        <f t="shared" si="89"/>
        <v>0</v>
      </c>
      <c r="AK224" s="762">
        <v>39</v>
      </c>
      <c r="AL224" s="762">
        <f t="shared" si="90"/>
        <v>0</v>
      </c>
      <c r="AM224" s="762">
        <f t="shared" si="91"/>
        <v>0</v>
      </c>
      <c r="AN224" s="762">
        <f t="shared" si="92"/>
        <v>0</v>
      </c>
      <c r="AO224" s="762"/>
      <c r="AP224" s="762">
        <f t="shared" si="93"/>
        <v>0</v>
      </c>
      <c r="AQ224" s="762">
        <v>39</v>
      </c>
      <c r="AR224" s="762">
        <f t="shared" si="94"/>
        <v>0</v>
      </c>
      <c r="AS224" s="762">
        <f t="shared" si="95"/>
        <v>0</v>
      </c>
      <c r="AT224" s="762">
        <f t="shared" si="96"/>
        <v>0</v>
      </c>
      <c r="AU224" s="762"/>
      <c r="AV224" s="762">
        <f t="shared" si="97"/>
        <v>0</v>
      </c>
      <c r="AW224" s="762">
        <v>39</v>
      </c>
      <c r="AX224" s="762">
        <f t="shared" si="98"/>
        <v>0</v>
      </c>
      <c r="AY224" s="762">
        <f t="shared" si="99"/>
        <v>0</v>
      </c>
      <c r="AZ224" s="762">
        <f t="shared" si="100"/>
        <v>0</v>
      </c>
      <c r="BA224" s="762"/>
      <c r="BB224" s="762">
        <f t="shared" si="101"/>
        <v>0</v>
      </c>
      <c r="BC224" s="761"/>
    </row>
    <row r="225" spans="1:55" ht="15" customHeight="1">
      <c r="A225" s="762">
        <v>40</v>
      </c>
      <c r="B225" s="762">
        <f t="shared" si="109"/>
        <v>0</v>
      </c>
      <c r="C225" s="762">
        <f t="shared" si="109"/>
        <v>0</v>
      </c>
      <c r="D225" s="762">
        <f t="shared" si="109"/>
        <v>0</v>
      </c>
      <c r="E225" s="762">
        <f t="shared" si="109"/>
        <v>0</v>
      </c>
      <c r="F225" s="762">
        <f t="shared" si="109"/>
        <v>0</v>
      </c>
      <c r="G225" s="762">
        <v>40</v>
      </c>
      <c r="H225" s="762">
        <f t="shared" si="71"/>
        <v>0</v>
      </c>
      <c r="I225" s="762">
        <f t="shared" si="72"/>
        <v>0</v>
      </c>
      <c r="J225" s="762">
        <f t="shared" si="73"/>
        <v>0</v>
      </c>
      <c r="K225" s="762"/>
      <c r="L225" s="762">
        <f t="shared" si="102"/>
        <v>0</v>
      </c>
      <c r="M225" s="762">
        <v>40</v>
      </c>
      <c r="N225" s="762">
        <f t="shared" si="74"/>
        <v>0</v>
      </c>
      <c r="O225" s="762">
        <f t="shared" si="75"/>
        <v>0</v>
      </c>
      <c r="P225" s="762">
        <f t="shared" si="76"/>
        <v>0</v>
      </c>
      <c r="Q225" s="762"/>
      <c r="R225" s="762">
        <f t="shared" si="77"/>
        <v>0</v>
      </c>
      <c r="S225" s="762">
        <v>40</v>
      </c>
      <c r="T225" s="762">
        <f t="shared" si="78"/>
        <v>0</v>
      </c>
      <c r="U225" s="762">
        <f t="shared" si="79"/>
        <v>0</v>
      </c>
      <c r="V225" s="762">
        <f t="shared" si="80"/>
        <v>0</v>
      </c>
      <c r="W225" s="762"/>
      <c r="X225" s="762">
        <f t="shared" si="81"/>
        <v>0</v>
      </c>
      <c r="Y225" s="762">
        <v>40</v>
      </c>
      <c r="Z225" s="762">
        <f t="shared" si="82"/>
        <v>0</v>
      </c>
      <c r="AA225" s="762">
        <f t="shared" si="83"/>
        <v>0</v>
      </c>
      <c r="AB225" s="762">
        <f t="shared" si="84"/>
        <v>0</v>
      </c>
      <c r="AC225" s="762"/>
      <c r="AD225" s="762">
        <f t="shared" si="85"/>
        <v>0</v>
      </c>
      <c r="AE225" s="762">
        <v>40</v>
      </c>
      <c r="AF225" s="762">
        <f t="shared" si="86"/>
        <v>0</v>
      </c>
      <c r="AG225" s="762">
        <f t="shared" si="87"/>
        <v>0</v>
      </c>
      <c r="AH225" s="762">
        <f t="shared" si="88"/>
        <v>0</v>
      </c>
      <c r="AI225" s="762"/>
      <c r="AJ225" s="762">
        <f t="shared" si="89"/>
        <v>0</v>
      </c>
      <c r="AK225" s="762">
        <v>40</v>
      </c>
      <c r="AL225" s="762">
        <f t="shared" si="90"/>
        <v>0</v>
      </c>
      <c r="AM225" s="762">
        <f t="shared" si="91"/>
        <v>0</v>
      </c>
      <c r="AN225" s="762">
        <f t="shared" si="92"/>
        <v>0</v>
      </c>
      <c r="AO225" s="762"/>
      <c r="AP225" s="762">
        <f t="shared" si="93"/>
        <v>0</v>
      </c>
      <c r="AQ225" s="762">
        <v>40</v>
      </c>
      <c r="AR225" s="762">
        <f t="shared" si="94"/>
        <v>0</v>
      </c>
      <c r="AS225" s="762">
        <f t="shared" si="95"/>
        <v>0</v>
      </c>
      <c r="AT225" s="762">
        <f t="shared" si="96"/>
        <v>0</v>
      </c>
      <c r="AU225" s="762"/>
      <c r="AV225" s="762">
        <f t="shared" si="97"/>
        <v>0</v>
      </c>
      <c r="AW225" s="762">
        <v>40</v>
      </c>
      <c r="AX225" s="762">
        <f t="shared" si="98"/>
        <v>0</v>
      </c>
      <c r="AY225" s="762">
        <f t="shared" si="99"/>
        <v>0</v>
      </c>
      <c r="AZ225" s="762">
        <f t="shared" si="100"/>
        <v>0</v>
      </c>
      <c r="BA225" s="762"/>
      <c r="BB225" s="762">
        <f t="shared" si="101"/>
        <v>0</v>
      </c>
      <c r="BC225" s="761"/>
    </row>
    <row r="226" spans="1:55" ht="15" customHeight="1">
      <c r="A226" s="762">
        <v>41</v>
      </c>
      <c r="B226" s="762">
        <f t="shared" si="109"/>
        <v>0</v>
      </c>
      <c r="C226" s="762">
        <f t="shared" si="109"/>
        <v>0</v>
      </c>
      <c r="D226" s="762">
        <f t="shared" si="109"/>
        <v>0</v>
      </c>
      <c r="E226" s="762">
        <f t="shared" si="109"/>
        <v>0</v>
      </c>
      <c r="F226" s="762">
        <f t="shared" si="109"/>
        <v>0</v>
      </c>
      <c r="G226" s="762">
        <v>41</v>
      </c>
      <c r="H226" s="762">
        <f t="shared" si="71"/>
        <v>0</v>
      </c>
      <c r="I226" s="762">
        <f t="shared" si="72"/>
        <v>0</v>
      </c>
      <c r="J226" s="762">
        <f t="shared" si="73"/>
        <v>0</v>
      </c>
      <c r="K226" s="762"/>
      <c r="L226" s="762">
        <f t="shared" si="102"/>
        <v>0</v>
      </c>
      <c r="M226" s="762">
        <v>41</v>
      </c>
      <c r="N226" s="762">
        <f t="shared" si="74"/>
        <v>0</v>
      </c>
      <c r="O226" s="762">
        <f t="shared" si="75"/>
        <v>0</v>
      </c>
      <c r="P226" s="762">
        <f t="shared" si="76"/>
        <v>0</v>
      </c>
      <c r="Q226" s="762"/>
      <c r="R226" s="762">
        <f t="shared" si="77"/>
        <v>0</v>
      </c>
      <c r="S226" s="762">
        <v>41</v>
      </c>
      <c r="T226" s="762">
        <f t="shared" si="78"/>
        <v>0</v>
      </c>
      <c r="U226" s="762">
        <f t="shared" si="79"/>
        <v>0</v>
      </c>
      <c r="V226" s="762">
        <f t="shared" si="80"/>
        <v>0</v>
      </c>
      <c r="W226" s="762"/>
      <c r="X226" s="762">
        <f t="shared" si="81"/>
        <v>0</v>
      </c>
      <c r="Y226" s="762">
        <v>41</v>
      </c>
      <c r="Z226" s="762">
        <f t="shared" si="82"/>
        <v>0</v>
      </c>
      <c r="AA226" s="762">
        <f t="shared" si="83"/>
        <v>0</v>
      </c>
      <c r="AB226" s="762">
        <f t="shared" si="84"/>
        <v>0</v>
      </c>
      <c r="AC226" s="762"/>
      <c r="AD226" s="762">
        <f t="shared" si="85"/>
        <v>0</v>
      </c>
      <c r="AE226" s="762">
        <v>41</v>
      </c>
      <c r="AF226" s="762">
        <f t="shared" si="86"/>
        <v>0</v>
      </c>
      <c r="AG226" s="762">
        <f t="shared" si="87"/>
        <v>0</v>
      </c>
      <c r="AH226" s="762">
        <f t="shared" si="88"/>
        <v>0</v>
      </c>
      <c r="AI226" s="762"/>
      <c r="AJ226" s="762">
        <f t="shared" si="89"/>
        <v>0</v>
      </c>
      <c r="AK226" s="762">
        <v>41</v>
      </c>
      <c r="AL226" s="762">
        <f t="shared" si="90"/>
        <v>0</v>
      </c>
      <c r="AM226" s="762">
        <f t="shared" si="91"/>
        <v>0</v>
      </c>
      <c r="AN226" s="762">
        <f t="shared" si="92"/>
        <v>0</v>
      </c>
      <c r="AO226" s="762"/>
      <c r="AP226" s="762">
        <f t="shared" si="93"/>
        <v>0</v>
      </c>
      <c r="AQ226" s="762">
        <v>41</v>
      </c>
      <c r="AR226" s="762">
        <f t="shared" si="94"/>
        <v>0</v>
      </c>
      <c r="AS226" s="762">
        <f t="shared" si="95"/>
        <v>0</v>
      </c>
      <c r="AT226" s="762">
        <f t="shared" si="96"/>
        <v>0</v>
      </c>
      <c r="AU226" s="762"/>
      <c r="AV226" s="762">
        <f t="shared" si="97"/>
        <v>0</v>
      </c>
      <c r="AW226" s="762">
        <v>41</v>
      </c>
      <c r="AX226" s="762">
        <f t="shared" si="98"/>
        <v>0</v>
      </c>
      <c r="AY226" s="762">
        <f t="shared" si="99"/>
        <v>0</v>
      </c>
      <c r="AZ226" s="762">
        <f t="shared" si="100"/>
        <v>0</v>
      </c>
      <c r="BA226" s="762"/>
      <c r="BB226" s="762">
        <f t="shared" si="101"/>
        <v>0</v>
      </c>
      <c r="BC226" s="761"/>
    </row>
    <row r="227" spans="1:55" ht="15" customHeight="1">
      <c r="A227" s="762">
        <v>42</v>
      </c>
      <c r="B227" s="762">
        <f t="shared" si="109"/>
        <v>0</v>
      </c>
      <c r="C227" s="762">
        <f t="shared" si="109"/>
        <v>0</v>
      </c>
      <c r="D227" s="762">
        <f t="shared" si="109"/>
        <v>0</v>
      </c>
      <c r="E227" s="762">
        <f t="shared" si="109"/>
        <v>0</v>
      </c>
      <c r="F227" s="762">
        <f t="shared" si="109"/>
        <v>0</v>
      </c>
      <c r="G227" s="762">
        <v>42</v>
      </c>
      <c r="H227" s="762">
        <f t="shared" si="71"/>
        <v>0</v>
      </c>
      <c r="I227" s="762">
        <f t="shared" si="72"/>
        <v>0</v>
      </c>
      <c r="J227" s="762">
        <f t="shared" si="73"/>
        <v>0</v>
      </c>
      <c r="K227" s="762"/>
      <c r="L227" s="762">
        <f t="shared" si="102"/>
        <v>0</v>
      </c>
      <c r="M227" s="762">
        <v>42</v>
      </c>
      <c r="N227" s="762">
        <f t="shared" si="74"/>
        <v>0</v>
      </c>
      <c r="O227" s="762">
        <f t="shared" si="75"/>
        <v>0</v>
      </c>
      <c r="P227" s="762">
        <f t="shared" si="76"/>
        <v>0</v>
      </c>
      <c r="Q227" s="762"/>
      <c r="R227" s="762">
        <f t="shared" si="77"/>
        <v>0</v>
      </c>
      <c r="S227" s="762">
        <v>42</v>
      </c>
      <c r="T227" s="762">
        <f t="shared" si="78"/>
        <v>0</v>
      </c>
      <c r="U227" s="762">
        <f t="shared" si="79"/>
        <v>0</v>
      </c>
      <c r="V227" s="762">
        <f t="shared" si="80"/>
        <v>0</v>
      </c>
      <c r="W227" s="762"/>
      <c r="X227" s="762">
        <f t="shared" si="81"/>
        <v>0</v>
      </c>
      <c r="Y227" s="762">
        <v>42</v>
      </c>
      <c r="Z227" s="762">
        <f t="shared" si="82"/>
        <v>0</v>
      </c>
      <c r="AA227" s="762">
        <f t="shared" si="83"/>
        <v>0</v>
      </c>
      <c r="AB227" s="762">
        <f t="shared" si="84"/>
        <v>0</v>
      </c>
      <c r="AC227" s="762"/>
      <c r="AD227" s="762">
        <f t="shared" si="85"/>
        <v>0</v>
      </c>
      <c r="AE227" s="762">
        <v>42</v>
      </c>
      <c r="AF227" s="762">
        <f t="shared" si="86"/>
        <v>0</v>
      </c>
      <c r="AG227" s="762">
        <f t="shared" si="87"/>
        <v>0</v>
      </c>
      <c r="AH227" s="762">
        <f t="shared" si="88"/>
        <v>0</v>
      </c>
      <c r="AI227" s="762"/>
      <c r="AJ227" s="762">
        <f t="shared" si="89"/>
        <v>0</v>
      </c>
      <c r="AK227" s="762">
        <v>42</v>
      </c>
      <c r="AL227" s="762">
        <f t="shared" si="90"/>
        <v>0</v>
      </c>
      <c r="AM227" s="762">
        <f t="shared" si="91"/>
        <v>0</v>
      </c>
      <c r="AN227" s="762">
        <f t="shared" si="92"/>
        <v>0</v>
      </c>
      <c r="AO227" s="762"/>
      <c r="AP227" s="762">
        <f t="shared" si="93"/>
        <v>0</v>
      </c>
      <c r="AQ227" s="762">
        <v>42</v>
      </c>
      <c r="AR227" s="762">
        <f t="shared" si="94"/>
        <v>0</v>
      </c>
      <c r="AS227" s="762">
        <f t="shared" si="95"/>
        <v>0</v>
      </c>
      <c r="AT227" s="762">
        <f t="shared" si="96"/>
        <v>0</v>
      </c>
      <c r="AU227" s="762"/>
      <c r="AV227" s="762">
        <f t="shared" si="97"/>
        <v>0</v>
      </c>
      <c r="AW227" s="762">
        <v>42</v>
      </c>
      <c r="AX227" s="762">
        <f t="shared" si="98"/>
        <v>0</v>
      </c>
      <c r="AY227" s="762">
        <f t="shared" si="99"/>
        <v>0</v>
      </c>
      <c r="AZ227" s="762">
        <f t="shared" si="100"/>
        <v>0</v>
      </c>
      <c r="BA227" s="762"/>
      <c r="BB227" s="762">
        <f t="shared" si="101"/>
        <v>0</v>
      </c>
      <c r="BC227" s="761"/>
    </row>
    <row r="228" spans="1:55" ht="15" customHeight="1">
      <c r="A228" s="762">
        <v>43</v>
      </c>
      <c r="B228" s="762">
        <f t="shared" si="109"/>
        <v>0</v>
      </c>
      <c r="C228" s="762">
        <f t="shared" si="109"/>
        <v>0</v>
      </c>
      <c r="D228" s="762">
        <f t="shared" si="109"/>
        <v>0</v>
      </c>
      <c r="E228" s="762">
        <f t="shared" si="109"/>
        <v>0</v>
      </c>
      <c r="F228" s="762">
        <f t="shared" si="109"/>
        <v>0</v>
      </c>
      <c r="G228" s="762">
        <v>43</v>
      </c>
      <c r="H228" s="762">
        <f t="shared" si="71"/>
        <v>0</v>
      </c>
      <c r="I228" s="762">
        <f t="shared" si="72"/>
        <v>0</v>
      </c>
      <c r="J228" s="762">
        <f t="shared" si="73"/>
        <v>0</v>
      </c>
      <c r="K228" s="762"/>
      <c r="L228" s="762">
        <f t="shared" si="102"/>
        <v>0</v>
      </c>
      <c r="M228" s="762">
        <v>43</v>
      </c>
      <c r="N228" s="762">
        <f t="shared" si="74"/>
        <v>0</v>
      </c>
      <c r="O228" s="762">
        <f t="shared" si="75"/>
        <v>0</v>
      </c>
      <c r="P228" s="762">
        <f t="shared" si="76"/>
        <v>0</v>
      </c>
      <c r="Q228" s="762"/>
      <c r="R228" s="762">
        <f t="shared" si="77"/>
        <v>0</v>
      </c>
      <c r="S228" s="762">
        <v>43</v>
      </c>
      <c r="T228" s="762">
        <f t="shared" si="78"/>
        <v>0</v>
      </c>
      <c r="U228" s="762">
        <f t="shared" si="79"/>
        <v>0</v>
      </c>
      <c r="V228" s="762">
        <f t="shared" si="80"/>
        <v>0</v>
      </c>
      <c r="W228" s="762"/>
      <c r="X228" s="762">
        <f t="shared" si="81"/>
        <v>0</v>
      </c>
      <c r="Y228" s="762">
        <v>43</v>
      </c>
      <c r="Z228" s="762">
        <f t="shared" si="82"/>
        <v>0</v>
      </c>
      <c r="AA228" s="762">
        <f t="shared" si="83"/>
        <v>0</v>
      </c>
      <c r="AB228" s="762">
        <f t="shared" si="84"/>
        <v>0</v>
      </c>
      <c r="AC228" s="762"/>
      <c r="AD228" s="762">
        <f t="shared" si="85"/>
        <v>0</v>
      </c>
      <c r="AE228" s="762">
        <v>43</v>
      </c>
      <c r="AF228" s="762">
        <f t="shared" si="86"/>
        <v>0</v>
      </c>
      <c r="AG228" s="762">
        <f t="shared" si="87"/>
        <v>0</v>
      </c>
      <c r="AH228" s="762">
        <f t="shared" si="88"/>
        <v>0</v>
      </c>
      <c r="AI228" s="762"/>
      <c r="AJ228" s="762">
        <f t="shared" si="89"/>
        <v>0</v>
      </c>
      <c r="AK228" s="762">
        <v>43</v>
      </c>
      <c r="AL228" s="762">
        <f t="shared" si="90"/>
        <v>0</v>
      </c>
      <c r="AM228" s="762">
        <f t="shared" si="91"/>
        <v>0</v>
      </c>
      <c r="AN228" s="762">
        <f t="shared" si="92"/>
        <v>0</v>
      </c>
      <c r="AO228" s="762"/>
      <c r="AP228" s="762">
        <f t="shared" si="93"/>
        <v>0</v>
      </c>
      <c r="AQ228" s="762">
        <v>43</v>
      </c>
      <c r="AR228" s="762">
        <f t="shared" si="94"/>
        <v>0</v>
      </c>
      <c r="AS228" s="762">
        <f t="shared" si="95"/>
        <v>0</v>
      </c>
      <c r="AT228" s="762">
        <f t="shared" si="96"/>
        <v>0</v>
      </c>
      <c r="AU228" s="762"/>
      <c r="AV228" s="762">
        <f t="shared" si="97"/>
        <v>0</v>
      </c>
      <c r="AW228" s="762">
        <v>43</v>
      </c>
      <c r="AX228" s="762">
        <f t="shared" si="98"/>
        <v>0</v>
      </c>
      <c r="AY228" s="762">
        <f t="shared" si="99"/>
        <v>0</v>
      </c>
      <c r="AZ228" s="762">
        <f t="shared" si="100"/>
        <v>0</v>
      </c>
      <c r="BA228" s="762"/>
      <c r="BB228" s="762">
        <f t="shared" si="101"/>
        <v>0</v>
      </c>
      <c r="BC228" s="761"/>
    </row>
    <row r="229" spans="1:55" ht="15" customHeight="1">
      <c r="A229" s="762">
        <v>44</v>
      </c>
      <c r="B229" s="762">
        <f t="shared" si="109"/>
        <v>0</v>
      </c>
      <c r="C229" s="762">
        <f t="shared" si="109"/>
        <v>0</v>
      </c>
      <c r="D229" s="762">
        <f t="shared" si="109"/>
        <v>0</v>
      </c>
      <c r="E229" s="762">
        <f t="shared" si="109"/>
        <v>0</v>
      </c>
      <c r="F229" s="762">
        <f t="shared" si="109"/>
        <v>0</v>
      </c>
      <c r="G229" s="762">
        <v>44</v>
      </c>
      <c r="H229" s="762">
        <f t="shared" si="71"/>
        <v>0</v>
      </c>
      <c r="I229" s="762">
        <f t="shared" si="72"/>
        <v>0</v>
      </c>
      <c r="J229" s="762">
        <f t="shared" si="73"/>
        <v>0</v>
      </c>
      <c r="K229" s="762"/>
      <c r="L229" s="762">
        <f t="shared" si="102"/>
        <v>0</v>
      </c>
      <c r="M229" s="762">
        <v>44</v>
      </c>
      <c r="N229" s="762">
        <f t="shared" si="74"/>
        <v>0</v>
      </c>
      <c r="O229" s="762">
        <f t="shared" si="75"/>
        <v>0</v>
      </c>
      <c r="P229" s="762">
        <f t="shared" si="76"/>
        <v>0</v>
      </c>
      <c r="Q229" s="762"/>
      <c r="R229" s="762">
        <f t="shared" si="77"/>
        <v>0</v>
      </c>
      <c r="S229" s="762">
        <v>44</v>
      </c>
      <c r="T229" s="762">
        <f t="shared" si="78"/>
        <v>0</v>
      </c>
      <c r="U229" s="762">
        <f t="shared" si="79"/>
        <v>0</v>
      </c>
      <c r="V229" s="762">
        <f t="shared" si="80"/>
        <v>0</v>
      </c>
      <c r="W229" s="762"/>
      <c r="X229" s="762">
        <f t="shared" si="81"/>
        <v>0</v>
      </c>
      <c r="Y229" s="762">
        <v>44</v>
      </c>
      <c r="Z229" s="762">
        <f t="shared" si="82"/>
        <v>0</v>
      </c>
      <c r="AA229" s="762">
        <f t="shared" si="83"/>
        <v>0</v>
      </c>
      <c r="AB229" s="762">
        <f t="shared" si="84"/>
        <v>0</v>
      </c>
      <c r="AC229" s="762"/>
      <c r="AD229" s="762">
        <f t="shared" si="85"/>
        <v>0</v>
      </c>
      <c r="AE229" s="762">
        <v>44</v>
      </c>
      <c r="AF229" s="762">
        <f t="shared" si="86"/>
        <v>0</v>
      </c>
      <c r="AG229" s="762">
        <f t="shared" si="87"/>
        <v>0</v>
      </c>
      <c r="AH229" s="762">
        <f t="shared" si="88"/>
        <v>0</v>
      </c>
      <c r="AI229" s="762"/>
      <c r="AJ229" s="762">
        <f t="shared" si="89"/>
        <v>0</v>
      </c>
      <c r="AK229" s="762">
        <v>44</v>
      </c>
      <c r="AL229" s="762">
        <f t="shared" si="90"/>
        <v>0</v>
      </c>
      <c r="AM229" s="762">
        <f t="shared" si="91"/>
        <v>0</v>
      </c>
      <c r="AN229" s="762">
        <f t="shared" si="92"/>
        <v>0</v>
      </c>
      <c r="AO229" s="762"/>
      <c r="AP229" s="762">
        <f t="shared" si="93"/>
        <v>0</v>
      </c>
      <c r="AQ229" s="762">
        <v>44</v>
      </c>
      <c r="AR229" s="762">
        <f t="shared" si="94"/>
        <v>0</v>
      </c>
      <c r="AS229" s="762">
        <f t="shared" si="95"/>
        <v>0</v>
      </c>
      <c r="AT229" s="762">
        <f t="shared" si="96"/>
        <v>0</v>
      </c>
      <c r="AU229" s="762"/>
      <c r="AV229" s="762">
        <f t="shared" si="97"/>
        <v>0</v>
      </c>
      <c r="AW229" s="762">
        <v>44</v>
      </c>
      <c r="AX229" s="762">
        <f t="shared" si="98"/>
        <v>0</v>
      </c>
      <c r="AY229" s="762">
        <f t="shared" si="99"/>
        <v>0</v>
      </c>
      <c r="AZ229" s="762">
        <f t="shared" si="100"/>
        <v>0</v>
      </c>
      <c r="BA229" s="762"/>
      <c r="BB229" s="762">
        <f t="shared" si="101"/>
        <v>0</v>
      </c>
      <c r="BC229" s="761"/>
    </row>
    <row r="230" spans="1:55" ht="15" customHeight="1">
      <c r="A230" s="762">
        <v>45</v>
      </c>
      <c r="B230" s="762">
        <f t="shared" si="109"/>
        <v>0</v>
      </c>
      <c r="C230" s="762">
        <f t="shared" si="109"/>
        <v>0</v>
      </c>
      <c r="D230" s="762">
        <f t="shared" si="109"/>
        <v>0</v>
      </c>
      <c r="E230" s="762">
        <f t="shared" si="109"/>
        <v>0</v>
      </c>
      <c r="F230" s="762">
        <f t="shared" si="109"/>
        <v>0</v>
      </c>
      <c r="G230" s="762">
        <v>45</v>
      </c>
      <c r="H230" s="762">
        <f t="shared" si="71"/>
        <v>0</v>
      </c>
      <c r="I230" s="762">
        <f t="shared" si="72"/>
        <v>0</v>
      </c>
      <c r="J230" s="762">
        <f t="shared" si="73"/>
        <v>0</v>
      </c>
      <c r="K230" s="762"/>
      <c r="L230" s="762">
        <f t="shared" si="102"/>
        <v>0</v>
      </c>
      <c r="M230" s="762">
        <v>45</v>
      </c>
      <c r="N230" s="762">
        <f t="shared" si="74"/>
        <v>0</v>
      </c>
      <c r="O230" s="762">
        <f t="shared" si="75"/>
        <v>0</v>
      </c>
      <c r="P230" s="762">
        <f t="shared" si="76"/>
        <v>0</v>
      </c>
      <c r="Q230" s="762"/>
      <c r="R230" s="762">
        <f t="shared" si="77"/>
        <v>0</v>
      </c>
      <c r="S230" s="762">
        <v>45</v>
      </c>
      <c r="T230" s="762">
        <f t="shared" si="78"/>
        <v>0</v>
      </c>
      <c r="U230" s="762">
        <f t="shared" si="79"/>
        <v>0</v>
      </c>
      <c r="V230" s="762">
        <f t="shared" si="80"/>
        <v>0</v>
      </c>
      <c r="W230" s="762"/>
      <c r="X230" s="762">
        <f t="shared" si="81"/>
        <v>0</v>
      </c>
      <c r="Y230" s="762">
        <v>45</v>
      </c>
      <c r="Z230" s="762">
        <f t="shared" si="82"/>
        <v>0</v>
      </c>
      <c r="AA230" s="762">
        <f t="shared" si="83"/>
        <v>0</v>
      </c>
      <c r="AB230" s="762">
        <f t="shared" si="84"/>
        <v>0</v>
      </c>
      <c r="AC230" s="762"/>
      <c r="AD230" s="762">
        <f t="shared" si="85"/>
        <v>0</v>
      </c>
      <c r="AE230" s="762">
        <v>45</v>
      </c>
      <c r="AF230" s="762">
        <f t="shared" si="86"/>
        <v>0</v>
      </c>
      <c r="AG230" s="762">
        <f t="shared" si="87"/>
        <v>0</v>
      </c>
      <c r="AH230" s="762">
        <f t="shared" si="88"/>
        <v>0</v>
      </c>
      <c r="AI230" s="762"/>
      <c r="AJ230" s="762">
        <f t="shared" si="89"/>
        <v>0</v>
      </c>
      <c r="AK230" s="762">
        <v>45</v>
      </c>
      <c r="AL230" s="762">
        <f t="shared" si="90"/>
        <v>0</v>
      </c>
      <c r="AM230" s="762">
        <f t="shared" si="91"/>
        <v>0</v>
      </c>
      <c r="AN230" s="762">
        <f t="shared" si="92"/>
        <v>0</v>
      </c>
      <c r="AO230" s="762"/>
      <c r="AP230" s="762">
        <f t="shared" si="93"/>
        <v>0</v>
      </c>
      <c r="AQ230" s="762">
        <v>45</v>
      </c>
      <c r="AR230" s="762">
        <f t="shared" si="94"/>
        <v>0</v>
      </c>
      <c r="AS230" s="762">
        <f t="shared" si="95"/>
        <v>0</v>
      </c>
      <c r="AT230" s="762">
        <f t="shared" si="96"/>
        <v>0</v>
      </c>
      <c r="AU230" s="762"/>
      <c r="AV230" s="762">
        <f t="shared" si="97"/>
        <v>0</v>
      </c>
      <c r="AW230" s="762">
        <v>45</v>
      </c>
      <c r="AX230" s="762">
        <f t="shared" si="98"/>
        <v>0</v>
      </c>
      <c r="AY230" s="762">
        <f t="shared" si="99"/>
        <v>0</v>
      </c>
      <c r="AZ230" s="762">
        <f t="shared" si="100"/>
        <v>0</v>
      </c>
      <c r="BA230" s="762"/>
      <c r="BB230" s="762">
        <f t="shared" si="101"/>
        <v>0</v>
      </c>
      <c r="BC230" s="761"/>
    </row>
    <row r="231" spans="1:55" ht="15" customHeight="1">
      <c r="A231" s="762">
        <v>46</v>
      </c>
      <c r="B231" s="762">
        <f t="shared" si="109"/>
        <v>0</v>
      </c>
      <c r="C231" s="762">
        <f t="shared" si="109"/>
        <v>0</v>
      </c>
      <c r="D231" s="762">
        <f t="shared" si="109"/>
        <v>0</v>
      </c>
      <c r="E231" s="762">
        <f t="shared" si="109"/>
        <v>0</v>
      </c>
      <c r="F231" s="762">
        <f t="shared" si="109"/>
        <v>0</v>
      </c>
      <c r="G231" s="762">
        <v>46</v>
      </c>
      <c r="H231" s="762">
        <f t="shared" si="71"/>
        <v>0</v>
      </c>
      <c r="I231" s="762">
        <f t="shared" si="72"/>
        <v>0</v>
      </c>
      <c r="J231" s="762">
        <f t="shared" si="73"/>
        <v>0</v>
      </c>
      <c r="K231" s="762"/>
      <c r="L231" s="762">
        <f t="shared" si="102"/>
        <v>0</v>
      </c>
      <c r="M231" s="762">
        <v>46</v>
      </c>
      <c r="N231" s="762">
        <f t="shared" si="74"/>
        <v>0</v>
      </c>
      <c r="O231" s="762">
        <f t="shared" si="75"/>
        <v>0</v>
      </c>
      <c r="P231" s="762">
        <f t="shared" si="76"/>
        <v>0</v>
      </c>
      <c r="Q231" s="762"/>
      <c r="R231" s="762">
        <f t="shared" si="77"/>
        <v>0</v>
      </c>
      <c r="S231" s="762">
        <v>46</v>
      </c>
      <c r="T231" s="762">
        <f t="shared" si="78"/>
        <v>0</v>
      </c>
      <c r="U231" s="762">
        <f t="shared" si="79"/>
        <v>0</v>
      </c>
      <c r="V231" s="762">
        <f t="shared" si="80"/>
        <v>0</v>
      </c>
      <c r="W231" s="762"/>
      <c r="X231" s="762">
        <f t="shared" si="81"/>
        <v>0</v>
      </c>
      <c r="Y231" s="762">
        <v>46</v>
      </c>
      <c r="Z231" s="762">
        <f t="shared" si="82"/>
        <v>0</v>
      </c>
      <c r="AA231" s="762">
        <f t="shared" si="83"/>
        <v>0</v>
      </c>
      <c r="AB231" s="762">
        <f t="shared" si="84"/>
        <v>0</v>
      </c>
      <c r="AC231" s="762"/>
      <c r="AD231" s="762">
        <f t="shared" si="85"/>
        <v>0</v>
      </c>
      <c r="AE231" s="762">
        <v>46</v>
      </c>
      <c r="AF231" s="762">
        <f t="shared" si="86"/>
        <v>0</v>
      </c>
      <c r="AG231" s="762">
        <f t="shared" si="87"/>
        <v>0</v>
      </c>
      <c r="AH231" s="762">
        <f t="shared" si="88"/>
        <v>0</v>
      </c>
      <c r="AI231" s="762"/>
      <c r="AJ231" s="762">
        <f t="shared" si="89"/>
        <v>0</v>
      </c>
      <c r="AK231" s="762">
        <v>46</v>
      </c>
      <c r="AL231" s="762">
        <f t="shared" si="90"/>
        <v>0</v>
      </c>
      <c r="AM231" s="762">
        <f t="shared" si="91"/>
        <v>0</v>
      </c>
      <c r="AN231" s="762">
        <f t="shared" si="92"/>
        <v>0</v>
      </c>
      <c r="AO231" s="762"/>
      <c r="AP231" s="762">
        <f t="shared" si="93"/>
        <v>0</v>
      </c>
      <c r="AQ231" s="762">
        <v>46</v>
      </c>
      <c r="AR231" s="762">
        <f t="shared" si="94"/>
        <v>0</v>
      </c>
      <c r="AS231" s="762">
        <f t="shared" si="95"/>
        <v>0</v>
      </c>
      <c r="AT231" s="762">
        <f t="shared" si="96"/>
        <v>0</v>
      </c>
      <c r="AU231" s="762"/>
      <c r="AV231" s="762">
        <f t="shared" si="97"/>
        <v>0</v>
      </c>
      <c r="AW231" s="762">
        <v>46</v>
      </c>
      <c r="AX231" s="762">
        <f t="shared" si="98"/>
        <v>0</v>
      </c>
      <c r="AY231" s="762">
        <f t="shared" si="99"/>
        <v>0</v>
      </c>
      <c r="AZ231" s="762">
        <f t="shared" si="100"/>
        <v>0</v>
      </c>
      <c r="BA231" s="762"/>
      <c r="BB231" s="762">
        <f t="shared" si="101"/>
        <v>0</v>
      </c>
      <c r="BC231" s="761"/>
    </row>
    <row r="232" spans="1:55" ht="15" customHeight="1">
      <c r="A232" s="762">
        <v>47</v>
      </c>
      <c r="B232" s="762">
        <f t="shared" si="109"/>
        <v>0</v>
      </c>
      <c r="C232" s="762">
        <f t="shared" si="109"/>
        <v>0</v>
      </c>
      <c r="D232" s="762">
        <f t="shared" si="109"/>
        <v>0</v>
      </c>
      <c r="E232" s="762">
        <f t="shared" si="109"/>
        <v>0</v>
      </c>
      <c r="F232" s="762">
        <f t="shared" si="109"/>
        <v>0</v>
      </c>
      <c r="G232" s="762">
        <v>47</v>
      </c>
      <c r="H232" s="762">
        <f t="shared" si="71"/>
        <v>0</v>
      </c>
      <c r="I232" s="762">
        <f t="shared" si="72"/>
        <v>0</v>
      </c>
      <c r="J232" s="762">
        <f t="shared" si="73"/>
        <v>0</v>
      </c>
      <c r="K232" s="762"/>
      <c r="L232" s="762">
        <f t="shared" si="102"/>
        <v>0</v>
      </c>
      <c r="M232" s="762">
        <v>47</v>
      </c>
      <c r="N232" s="762">
        <f t="shared" si="74"/>
        <v>0</v>
      </c>
      <c r="O232" s="762">
        <f t="shared" si="75"/>
        <v>0</v>
      </c>
      <c r="P232" s="762">
        <f t="shared" si="76"/>
        <v>0</v>
      </c>
      <c r="Q232" s="762"/>
      <c r="R232" s="762">
        <f t="shared" si="77"/>
        <v>0</v>
      </c>
      <c r="S232" s="762">
        <v>47</v>
      </c>
      <c r="T232" s="762">
        <f t="shared" si="78"/>
        <v>0</v>
      </c>
      <c r="U232" s="762">
        <f t="shared" si="79"/>
        <v>0</v>
      </c>
      <c r="V232" s="762">
        <f t="shared" si="80"/>
        <v>0</v>
      </c>
      <c r="W232" s="762"/>
      <c r="X232" s="762">
        <f t="shared" si="81"/>
        <v>0</v>
      </c>
      <c r="Y232" s="762">
        <v>47</v>
      </c>
      <c r="Z232" s="762">
        <f t="shared" si="82"/>
        <v>0</v>
      </c>
      <c r="AA232" s="762">
        <f t="shared" si="83"/>
        <v>0</v>
      </c>
      <c r="AB232" s="762">
        <f t="shared" si="84"/>
        <v>0</v>
      </c>
      <c r="AC232" s="762"/>
      <c r="AD232" s="762">
        <f t="shared" si="85"/>
        <v>0</v>
      </c>
      <c r="AE232" s="762">
        <v>47</v>
      </c>
      <c r="AF232" s="762">
        <f t="shared" si="86"/>
        <v>0</v>
      </c>
      <c r="AG232" s="762">
        <f t="shared" si="87"/>
        <v>0</v>
      </c>
      <c r="AH232" s="762">
        <f t="shared" si="88"/>
        <v>0</v>
      </c>
      <c r="AI232" s="762"/>
      <c r="AJ232" s="762">
        <f t="shared" si="89"/>
        <v>0</v>
      </c>
      <c r="AK232" s="762">
        <v>47</v>
      </c>
      <c r="AL232" s="762">
        <f t="shared" si="90"/>
        <v>0</v>
      </c>
      <c r="AM232" s="762">
        <f t="shared" si="91"/>
        <v>0</v>
      </c>
      <c r="AN232" s="762">
        <f t="shared" si="92"/>
        <v>0</v>
      </c>
      <c r="AO232" s="762"/>
      <c r="AP232" s="762">
        <f t="shared" si="93"/>
        <v>0</v>
      </c>
      <c r="AQ232" s="762">
        <v>47</v>
      </c>
      <c r="AR232" s="762">
        <f t="shared" si="94"/>
        <v>0</v>
      </c>
      <c r="AS232" s="762">
        <f t="shared" si="95"/>
        <v>0</v>
      </c>
      <c r="AT232" s="762">
        <f t="shared" si="96"/>
        <v>0</v>
      </c>
      <c r="AU232" s="762"/>
      <c r="AV232" s="762">
        <f t="shared" si="97"/>
        <v>0</v>
      </c>
      <c r="AW232" s="762">
        <v>47</v>
      </c>
      <c r="AX232" s="762">
        <f t="shared" si="98"/>
        <v>0</v>
      </c>
      <c r="AY232" s="762">
        <f t="shared" si="99"/>
        <v>0</v>
      </c>
      <c r="AZ232" s="762">
        <f t="shared" si="100"/>
        <v>0</v>
      </c>
      <c r="BA232" s="762"/>
      <c r="BB232" s="762">
        <f t="shared" si="101"/>
        <v>0</v>
      </c>
      <c r="BC232" s="761"/>
    </row>
    <row r="233" spans="1:55" ht="15" customHeight="1">
      <c r="A233" s="762">
        <v>48</v>
      </c>
      <c r="B233" s="762">
        <f t="shared" si="109"/>
        <v>0</v>
      </c>
      <c r="C233" s="762">
        <f t="shared" si="109"/>
        <v>0</v>
      </c>
      <c r="D233" s="762">
        <f t="shared" si="109"/>
        <v>0</v>
      </c>
      <c r="E233" s="762">
        <f t="shared" si="109"/>
        <v>0</v>
      </c>
      <c r="F233" s="762">
        <f t="shared" si="109"/>
        <v>0</v>
      </c>
      <c r="G233" s="762">
        <v>48</v>
      </c>
      <c r="H233" s="762">
        <f t="shared" si="71"/>
        <v>0</v>
      </c>
      <c r="I233" s="762">
        <f t="shared" si="72"/>
        <v>0</v>
      </c>
      <c r="J233" s="762">
        <f t="shared" si="73"/>
        <v>0</v>
      </c>
      <c r="K233" s="762"/>
      <c r="L233" s="762">
        <f t="shared" si="102"/>
        <v>0</v>
      </c>
      <c r="M233" s="762">
        <v>48</v>
      </c>
      <c r="N233" s="762">
        <f t="shared" si="74"/>
        <v>0</v>
      </c>
      <c r="O233" s="762">
        <f t="shared" si="75"/>
        <v>0</v>
      </c>
      <c r="P233" s="762">
        <f t="shared" si="76"/>
        <v>0</v>
      </c>
      <c r="Q233" s="762"/>
      <c r="R233" s="762">
        <f t="shared" si="77"/>
        <v>0</v>
      </c>
      <c r="S233" s="762">
        <v>48</v>
      </c>
      <c r="T233" s="762">
        <f t="shared" si="78"/>
        <v>0</v>
      </c>
      <c r="U233" s="762">
        <f t="shared" si="79"/>
        <v>0</v>
      </c>
      <c r="V233" s="762">
        <f t="shared" si="80"/>
        <v>0</v>
      </c>
      <c r="W233" s="762"/>
      <c r="X233" s="762">
        <f t="shared" si="81"/>
        <v>0</v>
      </c>
      <c r="Y233" s="762">
        <v>48</v>
      </c>
      <c r="Z233" s="762">
        <f t="shared" si="82"/>
        <v>0</v>
      </c>
      <c r="AA233" s="762">
        <f t="shared" si="83"/>
        <v>0</v>
      </c>
      <c r="AB233" s="762">
        <f t="shared" si="84"/>
        <v>0</v>
      </c>
      <c r="AC233" s="762"/>
      <c r="AD233" s="762">
        <f t="shared" si="85"/>
        <v>0</v>
      </c>
      <c r="AE233" s="762">
        <v>48</v>
      </c>
      <c r="AF233" s="762">
        <f t="shared" si="86"/>
        <v>0</v>
      </c>
      <c r="AG233" s="762">
        <f t="shared" si="87"/>
        <v>0</v>
      </c>
      <c r="AH233" s="762">
        <f t="shared" si="88"/>
        <v>0</v>
      </c>
      <c r="AI233" s="762"/>
      <c r="AJ233" s="762">
        <f t="shared" si="89"/>
        <v>0</v>
      </c>
      <c r="AK233" s="762">
        <v>48</v>
      </c>
      <c r="AL233" s="762">
        <f t="shared" si="90"/>
        <v>0</v>
      </c>
      <c r="AM233" s="762">
        <f t="shared" si="91"/>
        <v>0</v>
      </c>
      <c r="AN233" s="762">
        <f t="shared" si="92"/>
        <v>0</v>
      </c>
      <c r="AO233" s="762"/>
      <c r="AP233" s="762">
        <f t="shared" si="93"/>
        <v>0</v>
      </c>
      <c r="AQ233" s="762">
        <v>48</v>
      </c>
      <c r="AR233" s="762">
        <f t="shared" si="94"/>
        <v>0</v>
      </c>
      <c r="AS233" s="762">
        <f t="shared" si="95"/>
        <v>0</v>
      </c>
      <c r="AT233" s="762">
        <f t="shared" si="96"/>
        <v>0</v>
      </c>
      <c r="AU233" s="762"/>
      <c r="AV233" s="762">
        <f t="shared" si="97"/>
        <v>0</v>
      </c>
      <c r="AW233" s="762">
        <v>48</v>
      </c>
      <c r="AX233" s="762">
        <f t="shared" si="98"/>
        <v>0</v>
      </c>
      <c r="AY233" s="762">
        <f t="shared" si="99"/>
        <v>0</v>
      </c>
      <c r="AZ233" s="762">
        <f t="shared" si="100"/>
        <v>0</v>
      </c>
      <c r="BA233" s="762"/>
      <c r="BB233" s="762">
        <f t="shared" si="101"/>
        <v>0</v>
      </c>
      <c r="BC233" s="761"/>
    </row>
    <row r="234" spans="1:55" ht="15" customHeight="1">
      <c r="A234" s="762">
        <v>49</v>
      </c>
      <c r="B234" s="762">
        <f t="shared" si="109"/>
        <v>0</v>
      </c>
      <c r="C234" s="762">
        <f t="shared" si="109"/>
        <v>0</v>
      </c>
      <c r="D234" s="762">
        <f t="shared" si="109"/>
        <v>0</v>
      </c>
      <c r="E234" s="762">
        <f t="shared" si="109"/>
        <v>0</v>
      </c>
      <c r="F234" s="762">
        <f t="shared" si="109"/>
        <v>0</v>
      </c>
      <c r="G234" s="762">
        <v>49</v>
      </c>
      <c r="H234" s="762">
        <f t="shared" si="71"/>
        <v>0</v>
      </c>
      <c r="I234" s="762">
        <f t="shared" si="72"/>
        <v>0</v>
      </c>
      <c r="J234" s="762">
        <f t="shared" si="73"/>
        <v>0</v>
      </c>
      <c r="K234" s="762"/>
      <c r="L234" s="762">
        <f t="shared" si="102"/>
        <v>0</v>
      </c>
      <c r="M234" s="762">
        <v>49</v>
      </c>
      <c r="N234" s="762">
        <f t="shared" si="74"/>
        <v>0</v>
      </c>
      <c r="O234" s="762">
        <f t="shared" si="75"/>
        <v>0</v>
      </c>
      <c r="P234" s="762">
        <f t="shared" si="76"/>
        <v>0</v>
      </c>
      <c r="Q234" s="762"/>
      <c r="R234" s="762">
        <f t="shared" si="77"/>
        <v>0</v>
      </c>
      <c r="S234" s="762">
        <v>49</v>
      </c>
      <c r="T234" s="762">
        <f t="shared" si="78"/>
        <v>0</v>
      </c>
      <c r="U234" s="762">
        <f t="shared" si="79"/>
        <v>0</v>
      </c>
      <c r="V234" s="762">
        <f t="shared" si="80"/>
        <v>0</v>
      </c>
      <c r="W234" s="762"/>
      <c r="X234" s="762">
        <f t="shared" si="81"/>
        <v>0</v>
      </c>
      <c r="Y234" s="762">
        <v>49</v>
      </c>
      <c r="Z234" s="762">
        <f t="shared" si="82"/>
        <v>0</v>
      </c>
      <c r="AA234" s="762">
        <f t="shared" si="83"/>
        <v>0</v>
      </c>
      <c r="AB234" s="762">
        <f t="shared" si="84"/>
        <v>0</v>
      </c>
      <c r="AC234" s="762"/>
      <c r="AD234" s="762">
        <f t="shared" si="85"/>
        <v>0</v>
      </c>
      <c r="AE234" s="762">
        <v>49</v>
      </c>
      <c r="AF234" s="762">
        <f t="shared" si="86"/>
        <v>0</v>
      </c>
      <c r="AG234" s="762">
        <f t="shared" si="87"/>
        <v>0</v>
      </c>
      <c r="AH234" s="762">
        <f t="shared" si="88"/>
        <v>0</v>
      </c>
      <c r="AI234" s="762"/>
      <c r="AJ234" s="762">
        <f t="shared" si="89"/>
        <v>0</v>
      </c>
      <c r="AK234" s="762">
        <v>49</v>
      </c>
      <c r="AL234" s="762">
        <f t="shared" si="90"/>
        <v>0</v>
      </c>
      <c r="AM234" s="762">
        <f t="shared" si="91"/>
        <v>0</v>
      </c>
      <c r="AN234" s="762">
        <f t="shared" si="92"/>
        <v>0</v>
      </c>
      <c r="AO234" s="762"/>
      <c r="AP234" s="762">
        <f t="shared" si="93"/>
        <v>0</v>
      </c>
      <c r="AQ234" s="762">
        <v>49</v>
      </c>
      <c r="AR234" s="762">
        <f t="shared" si="94"/>
        <v>0</v>
      </c>
      <c r="AS234" s="762">
        <f t="shared" si="95"/>
        <v>0</v>
      </c>
      <c r="AT234" s="762">
        <f t="shared" si="96"/>
        <v>0</v>
      </c>
      <c r="AU234" s="762"/>
      <c r="AV234" s="762">
        <f t="shared" si="97"/>
        <v>0</v>
      </c>
      <c r="AW234" s="762">
        <v>49</v>
      </c>
      <c r="AX234" s="762">
        <f t="shared" si="98"/>
        <v>0</v>
      </c>
      <c r="AY234" s="762">
        <f t="shared" si="99"/>
        <v>0</v>
      </c>
      <c r="AZ234" s="762">
        <f t="shared" si="100"/>
        <v>0</v>
      </c>
      <c r="BA234" s="762"/>
      <c r="BB234" s="762">
        <f t="shared" si="101"/>
        <v>0</v>
      </c>
      <c r="BC234" s="761"/>
    </row>
    <row r="235" spans="1:55" ht="15" customHeight="1">
      <c r="A235" s="762">
        <v>50</v>
      </c>
      <c r="B235" s="762">
        <f t="shared" si="109"/>
        <v>0</v>
      </c>
      <c r="C235" s="762">
        <f t="shared" si="109"/>
        <v>0</v>
      </c>
      <c r="D235" s="762">
        <f t="shared" si="109"/>
        <v>0</v>
      </c>
      <c r="E235" s="762">
        <f t="shared" si="109"/>
        <v>0</v>
      </c>
      <c r="F235" s="762">
        <f t="shared" si="109"/>
        <v>0</v>
      </c>
      <c r="G235" s="762">
        <v>50</v>
      </c>
      <c r="H235" s="762">
        <f t="shared" si="71"/>
        <v>0</v>
      </c>
      <c r="I235" s="762">
        <f t="shared" si="72"/>
        <v>0</v>
      </c>
      <c r="J235" s="762">
        <f t="shared" si="73"/>
        <v>0</v>
      </c>
      <c r="K235" s="762"/>
      <c r="L235" s="762">
        <f t="shared" si="102"/>
        <v>0</v>
      </c>
      <c r="M235" s="762">
        <v>50</v>
      </c>
      <c r="N235" s="762">
        <f t="shared" si="74"/>
        <v>0</v>
      </c>
      <c r="O235" s="762">
        <f t="shared" si="75"/>
        <v>0</v>
      </c>
      <c r="P235" s="762">
        <f t="shared" si="76"/>
        <v>0</v>
      </c>
      <c r="Q235" s="762"/>
      <c r="R235" s="762">
        <f t="shared" si="77"/>
        <v>0</v>
      </c>
      <c r="S235" s="762">
        <v>50</v>
      </c>
      <c r="T235" s="762">
        <f t="shared" si="78"/>
        <v>0</v>
      </c>
      <c r="U235" s="762">
        <f t="shared" si="79"/>
        <v>0</v>
      </c>
      <c r="V235" s="762">
        <f t="shared" si="80"/>
        <v>0</v>
      </c>
      <c r="W235" s="762"/>
      <c r="X235" s="762">
        <f t="shared" si="81"/>
        <v>0</v>
      </c>
      <c r="Y235" s="762">
        <v>50</v>
      </c>
      <c r="Z235" s="762">
        <f t="shared" si="82"/>
        <v>0</v>
      </c>
      <c r="AA235" s="762">
        <f t="shared" si="83"/>
        <v>0</v>
      </c>
      <c r="AB235" s="762">
        <f t="shared" si="84"/>
        <v>0</v>
      </c>
      <c r="AC235" s="762"/>
      <c r="AD235" s="762">
        <f t="shared" si="85"/>
        <v>0</v>
      </c>
      <c r="AE235" s="762">
        <v>50</v>
      </c>
      <c r="AF235" s="762">
        <f t="shared" si="86"/>
        <v>0</v>
      </c>
      <c r="AG235" s="762">
        <f t="shared" si="87"/>
        <v>0</v>
      </c>
      <c r="AH235" s="762">
        <f t="shared" si="88"/>
        <v>0</v>
      </c>
      <c r="AI235" s="762"/>
      <c r="AJ235" s="762">
        <f t="shared" si="89"/>
        <v>0</v>
      </c>
      <c r="AK235" s="762">
        <v>50</v>
      </c>
      <c r="AL235" s="762">
        <f t="shared" si="90"/>
        <v>0</v>
      </c>
      <c r="AM235" s="762">
        <f t="shared" si="91"/>
        <v>0</v>
      </c>
      <c r="AN235" s="762">
        <f t="shared" si="92"/>
        <v>0</v>
      </c>
      <c r="AO235" s="762"/>
      <c r="AP235" s="762">
        <f t="shared" si="93"/>
        <v>0</v>
      </c>
      <c r="AQ235" s="762">
        <v>50</v>
      </c>
      <c r="AR235" s="762">
        <f t="shared" si="94"/>
        <v>0</v>
      </c>
      <c r="AS235" s="762">
        <f t="shared" si="95"/>
        <v>0</v>
      </c>
      <c r="AT235" s="762">
        <f t="shared" si="96"/>
        <v>0</v>
      </c>
      <c r="AU235" s="762"/>
      <c r="AV235" s="762">
        <f t="shared" si="97"/>
        <v>0</v>
      </c>
      <c r="AW235" s="762">
        <v>50</v>
      </c>
      <c r="AX235" s="762">
        <f t="shared" si="98"/>
        <v>0</v>
      </c>
      <c r="AY235" s="762">
        <f t="shared" si="99"/>
        <v>0</v>
      </c>
      <c r="AZ235" s="762">
        <f t="shared" si="100"/>
        <v>0</v>
      </c>
      <c r="BA235" s="762"/>
      <c r="BB235" s="762">
        <f t="shared" si="101"/>
        <v>0</v>
      </c>
      <c r="BC235" s="761"/>
    </row>
    <row r="236" spans="1:55" ht="15" customHeight="1">
      <c r="A236" s="762">
        <v>51</v>
      </c>
      <c r="B236" s="762">
        <f t="shared" si="109"/>
        <v>0</v>
      </c>
      <c r="C236" s="762">
        <f t="shared" si="109"/>
        <v>0</v>
      </c>
      <c r="D236" s="762">
        <f t="shared" si="109"/>
        <v>0</v>
      </c>
      <c r="E236" s="762">
        <f t="shared" si="109"/>
        <v>0</v>
      </c>
      <c r="F236" s="762">
        <f t="shared" si="109"/>
        <v>0</v>
      </c>
      <c r="G236" s="762">
        <v>51</v>
      </c>
      <c r="H236" s="762">
        <f t="shared" si="71"/>
        <v>0</v>
      </c>
      <c r="I236" s="762">
        <f t="shared" si="72"/>
        <v>0</v>
      </c>
      <c r="J236" s="762">
        <f t="shared" si="73"/>
        <v>0</v>
      </c>
      <c r="K236" s="762"/>
      <c r="L236" s="762">
        <f t="shared" si="102"/>
        <v>0</v>
      </c>
      <c r="M236" s="762">
        <v>51</v>
      </c>
      <c r="N236" s="762">
        <f t="shared" si="74"/>
        <v>0</v>
      </c>
      <c r="O236" s="762">
        <f t="shared" si="75"/>
        <v>0</v>
      </c>
      <c r="P236" s="762">
        <f t="shared" si="76"/>
        <v>0</v>
      </c>
      <c r="Q236" s="762"/>
      <c r="R236" s="762">
        <f t="shared" si="77"/>
        <v>0</v>
      </c>
      <c r="S236" s="762">
        <v>51</v>
      </c>
      <c r="T236" s="762">
        <f t="shared" si="78"/>
        <v>0</v>
      </c>
      <c r="U236" s="762">
        <f t="shared" si="79"/>
        <v>0</v>
      </c>
      <c r="V236" s="762">
        <f t="shared" si="80"/>
        <v>0</v>
      </c>
      <c r="W236" s="762"/>
      <c r="X236" s="762">
        <f t="shared" si="81"/>
        <v>0</v>
      </c>
      <c r="Y236" s="762">
        <v>51</v>
      </c>
      <c r="Z236" s="762">
        <f t="shared" si="82"/>
        <v>0</v>
      </c>
      <c r="AA236" s="762">
        <f t="shared" si="83"/>
        <v>0</v>
      </c>
      <c r="AB236" s="762">
        <f t="shared" si="84"/>
        <v>0</v>
      </c>
      <c r="AC236" s="762"/>
      <c r="AD236" s="762">
        <f t="shared" si="85"/>
        <v>0</v>
      </c>
      <c r="AE236" s="762">
        <v>51</v>
      </c>
      <c r="AF236" s="762">
        <f t="shared" si="86"/>
        <v>0</v>
      </c>
      <c r="AG236" s="762">
        <f t="shared" si="87"/>
        <v>0</v>
      </c>
      <c r="AH236" s="762">
        <f t="shared" si="88"/>
        <v>0</v>
      </c>
      <c r="AI236" s="762"/>
      <c r="AJ236" s="762">
        <f t="shared" si="89"/>
        <v>0</v>
      </c>
      <c r="AK236" s="762">
        <v>51</v>
      </c>
      <c r="AL236" s="762">
        <f t="shared" si="90"/>
        <v>0</v>
      </c>
      <c r="AM236" s="762">
        <f t="shared" si="91"/>
        <v>0</v>
      </c>
      <c r="AN236" s="762">
        <f t="shared" si="92"/>
        <v>0</v>
      </c>
      <c r="AO236" s="762"/>
      <c r="AP236" s="762">
        <f t="shared" si="93"/>
        <v>0</v>
      </c>
      <c r="AQ236" s="762">
        <v>51</v>
      </c>
      <c r="AR236" s="762">
        <f t="shared" si="94"/>
        <v>0</v>
      </c>
      <c r="AS236" s="762">
        <f t="shared" si="95"/>
        <v>0</v>
      </c>
      <c r="AT236" s="762">
        <f t="shared" si="96"/>
        <v>0</v>
      </c>
      <c r="AU236" s="762"/>
      <c r="AV236" s="762">
        <f t="shared" si="97"/>
        <v>0</v>
      </c>
      <c r="AW236" s="762">
        <v>51</v>
      </c>
      <c r="AX236" s="762">
        <f t="shared" si="98"/>
        <v>0</v>
      </c>
      <c r="AY236" s="762">
        <f t="shared" si="99"/>
        <v>0</v>
      </c>
      <c r="AZ236" s="762">
        <f t="shared" si="100"/>
        <v>0</v>
      </c>
      <c r="BA236" s="762"/>
      <c r="BB236" s="762">
        <f t="shared" si="101"/>
        <v>0</v>
      </c>
      <c r="BC236" s="761"/>
    </row>
    <row r="237" spans="1:55" ht="15" customHeight="1">
      <c r="A237" s="762">
        <v>52</v>
      </c>
      <c r="B237" s="762">
        <f t="shared" si="109"/>
        <v>0</v>
      </c>
      <c r="C237" s="762">
        <f t="shared" si="109"/>
        <v>0</v>
      </c>
      <c r="D237" s="762">
        <f t="shared" si="109"/>
        <v>0</v>
      </c>
      <c r="E237" s="762">
        <f t="shared" si="109"/>
        <v>0</v>
      </c>
      <c r="F237" s="762">
        <f t="shared" si="109"/>
        <v>0</v>
      </c>
      <c r="G237" s="762">
        <v>52</v>
      </c>
      <c r="H237" s="762">
        <f t="shared" si="71"/>
        <v>0</v>
      </c>
      <c r="I237" s="762">
        <f t="shared" si="72"/>
        <v>0</v>
      </c>
      <c r="J237" s="762">
        <f t="shared" si="73"/>
        <v>0</v>
      </c>
      <c r="K237" s="762"/>
      <c r="L237" s="762">
        <f t="shared" si="102"/>
        <v>0</v>
      </c>
      <c r="M237" s="762">
        <v>52</v>
      </c>
      <c r="N237" s="762">
        <f t="shared" si="74"/>
        <v>0</v>
      </c>
      <c r="O237" s="762">
        <f t="shared" si="75"/>
        <v>0</v>
      </c>
      <c r="P237" s="762">
        <f t="shared" si="76"/>
        <v>0</v>
      </c>
      <c r="Q237" s="762"/>
      <c r="R237" s="762">
        <f t="shared" si="77"/>
        <v>0</v>
      </c>
      <c r="S237" s="762">
        <v>52</v>
      </c>
      <c r="T237" s="762">
        <f t="shared" si="78"/>
        <v>0</v>
      </c>
      <c r="U237" s="762">
        <f t="shared" si="79"/>
        <v>0</v>
      </c>
      <c r="V237" s="762">
        <f t="shared" si="80"/>
        <v>0</v>
      </c>
      <c r="W237" s="762"/>
      <c r="X237" s="762">
        <f t="shared" si="81"/>
        <v>0</v>
      </c>
      <c r="Y237" s="762">
        <v>52</v>
      </c>
      <c r="Z237" s="762">
        <f t="shared" si="82"/>
        <v>0</v>
      </c>
      <c r="AA237" s="762">
        <f t="shared" si="83"/>
        <v>0</v>
      </c>
      <c r="AB237" s="762">
        <f t="shared" si="84"/>
        <v>0</v>
      </c>
      <c r="AC237" s="762"/>
      <c r="AD237" s="762">
        <f t="shared" si="85"/>
        <v>0</v>
      </c>
      <c r="AE237" s="762">
        <v>52</v>
      </c>
      <c r="AF237" s="762">
        <f t="shared" si="86"/>
        <v>0</v>
      </c>
      <c r="AG237" s="762">
        <f t="shared" si="87"/>
        <v>0</v>
      </c>
      <c r="AH237" s="762">
        <f t="shared" si="88"/>
        <v>0</v>
      </c>
      <c r="AI237" s="762"/>
      <c r="AJ237" s="762">
        <f t="shared" si="89"/>
        <v>0</v>
      </c>
      <c r="AK237" s="762">
        <v>52</v>
      </c>
      <c r="AL237" s="762">
        <f t="shared" si="90"/>
        <v>0</v>
      </c>
      <c r="AM237" s="762">
        <f t="shared" si="91"/>
        <v>0</v>
      </c>
      <c r="AN237" s="762">
        <f t="shared" si="92"/>
        <v>0</v>
      </c>
      <c r="AO237" s="762"/>
      <c r="AP237" s="762">
        <f t="shared" si="93"/>
        <v>0</v>
      </c>
      <c r="AQ237" s="762">
        <v>52</v>
      </c>
      <c r="AR237" s="762">
        <f t="shared" si="94"/>
        <v>0</v>
      </c>
      <c r="AS237" s="762">
        <f t="shared" si="95"/>
        <v>0</v>
      </c>
      <c r="AT237" s="762">
        <f t="shared" si="96"/>
        <v>0</v>
      </c>
      <c r="AU237" s="762"/>
      <c r="AV237" s="762">
        <f t="shared" si="97"/>
        <v>0</v>
      </c>
      <c r="AW237" s="762">
        <v>52</v>
      </c>
      <c r="AX237" s="762">
        <f t="shared" si="98"/>
        <v>0</v>
      </c>
      <c r="AY237" s="762">
        <f t="shared" si="99"/>
        <v>0</v>
      </c>
      <c r="AZ237" s="762">
        <f t="shared" si="100"/>
        <v>0</v>
      </c>
      <c r="BA237" s="762"/>
      <c r="BB237" s="762">
        <f t="shared" si="101"/>
        <v>0</v>
      </c>
      <c r="BC237" s="761"/>
    </row>
    <row r="238" spans="1:55" ht="15" customHeight="1">
      <c r="A238" s="762">
        <v>53</v>
      </c>
      <c r="B238" s="762">
        <f t="shared" si="109"/>
        <v>0</v>
      </c>
      <c r="C238" s="762">
        <f t="shared" si="109"/>
        <v>0</v>
      </c>
      <c r="D238" s="762">
        <f t="shared" si="109"/>
        <v>0</v>
      </c>
      <c r="E238" s="762">
        <f t="shared" si="109"/>
        <v>0</v>
      </c>
      <c r="F238" s="762">
        <f t="shared" si="109"/>
        <v>0</v>
      </c>
      <c r="G238" s="762">
        <v>53</v>
      </c>
      <c r="H238" s="762">
        <f t="shared" si="71"/>
        <v>0</v>
      </c>
      <c r="I238" s="762">
        <f t="shared" si="72"/>
        <v>0</v>
      </c>
      <c r="J238" s="762">
        <f t="shared" si="73"/>
        <v>0</v>
      </c>
      <c r="K238" s="762"/>
      <c r="L238" s="762">
        <f t="shared" si="102"/>
        <v>0</v>
      </c>
      <c r="M238" s="762">
        <v>53</v>
      </c>
      <c r="N238" s="762">
        <f t="shared" si="74"/>
        <v>0</v>
      </c>
      <c r="O238" s="762">
        <f t="shared" si="75"/>
        <v>0</v>
      </c>
      <c r="P238" s="762">
        <f t="shared" si="76"/>
        <v>0</v>
      </c>
      <c r="Q238" s="762"/>
      <c r="R238" s="762">
        <f t="shared" si="77"/>
        <v>0</v>
      </c>
      <c r="S238" s="762">
        <v>53</v>
      </c>
      <c r="T238" s="762">
        <f t="shared" si="78"/>
        <v>0</v>
      </c>
      <c r="U238" s="762">
        <f t="shared" si="79"/>
        <v>0</v>
      </c>
      <c r="V238" s="762">
        <f t="shared" si="80"/>
        <v>0</v>
      </c>
      <c r="W238" s="762"/>
      <c r="X238" s="762">
        <f t="shared" si="81"/>
        <v>0</v>
      </c>
      <c r="Y238" s="762">
        <v>53</v>
      </c>
      <c r="Z238" s="762">
        <f t="shared" si="82"/>
        <v>0</v>
      </c>
      <c r="AA238" s="762">
        <f t="shared" si="83"/>
        <v>0</v>
      </c>
      <c r="AB238" s="762">
        <f t="shared" si="84"/>
        <v>0</v>
      </c>
      <c r="AC238" s="762"/>
      <c r="AD238" s="762">
        <f t="shared" si="85"/>
        <v>0</v>
      </c>
      <c r="AE238" s="762">
        <v>53</v>
      </c>
      <c r="AF238" s="762">
        <f t="shared" si="86"/>
        <v>0</v>
      </c>
      <c r="AG238" s="762">
        <f t="shared" si="87"/>
        <v>0</v>
      </c>
      <c r="AH238" s="762">
        <f t="shared" si="88"/>
        <v>0</v>
      </c>
      <c r="AI238" s="762"/>
      <c r="AJ238" s="762">
        <f t="shared" si="89"/>
        <v>0</v>
      </c>
      <c r="AK238" s="762">
        <v>53</v>
      </c>
      <c r="AL238" s="762">
        <f t="shared" si="90"/>
        <v>0</v>
      </c>
      <c r="AM238" s="762">
        <f t="shared" si="91"/>
        <v>0</v>
      </c>
      <c r="AN238" s="762">
        <f t="shared" si="92"/>
        <v>0</v>
      </c>
      <c r="AO238" s="762"/>
      <c r="AP238" s="762">
        <f t="shared" si="93"/>
        <v>0</v>
      </c>
      <c r="AQ238" s="762">
        <v>53</v>
      </c>
      <c r="AR238" s="762">
        <f t="shared" si="94"/>
        <v>0</v>
      </c>
      <c r="AS238" s="762">
        <f t="shared" si="95"/>
        <v>0</v>
      </c>
      <c r="AT238" s="762">
        <f t="shared" si="96"/>
        <v>0</v>
      </c>
      <c r="AU238" s="762"/>
      <c r="AV238" s="762">
        <f t="shared" si="97"/>
        <v>0</v>
      </c>
      <c r="AW238" s="762">
        <v>53</v>
      </c>
      <c r="AX238" s="762">
        <f t="shared" si="98"/>
        <v>0</v>
      </c>
      <c r="AY238" s="762">
        <f t="shared" si="99"/>
        <v>0</v>
      </c>
      <c r="AZ238" s="762">
        <f t="shared" si="100"/>
        <v>0</v>
      </c>
      <c r="BA238" s="762"/>
      <c r="BB238" s="762">
        <f t="shared" si="101"/>
        <v>0</v>
      </c>
      <c r="BC238" s="761"/>
    </row>
    <row r="239" spans="1:55" ht="15" customHeight="1">
      <c r="A239" s="762">
        <v>54</v>
      </c>
      <c r="B239" s="762">
        <f t="shared" si="109"/>
        <v>0</v>
      </c>
      <c r="C239" s="762">
        <f t="shared" si="109"/>
        <v>0</v>
      </c>
      <c r="D239" s="762">
        <f t="shared" si="109"/>
        <v>0</v>
      </c>
      <c r="E239" s="762">
        <f t="shared" si="109"/>
        <v>0</v>
      </c>
      <c r="F239" s="762">
        <f t="shared" si="109"/>
        <v>0</v>
      </c>
      <c r="G239" s="762">
        <v>54</v>
      </c>
      <c r="H239" s="762">
        <f t="shared" si="71"/>
        <v>0</v>
      </c>
      <c r="I239" s="762">
        <f t="shared" si="72"/>
        <v>0</v>
      </c>
      <c r="J239" s="762">
        <f t="shared" si="73"/>
        <v>0</v>
      </c>
      <c r="K239" s="762"/>
      <c r="L239" s="762">
        <f t="shared" si="102"/>
        <v>0</v>
      </c>
      <c r="M239" s="762">
        <v>54</v>
      </c>
      <c r="N239" s="762">
        <f t="shared" si="74"/>
        <v>0</v>
      </c>
      <c r="O239" s="762">
        <f t="shared" si="75"/>
        <v>0</v>
      </c>
      <c r="P239" s="762">
        <f t="shared" si="76"/>
        <v>0</v>
      </c>
      <c r="Q239" s="762"/>
      <c r="R239" s="762">
        <f t="shared" si="77"/>
        <v>0</v>
      </c>
      <c r="S239" s="762">
        <v>54</v>
      </c>
      <c r="T239" s="762">
        <f t="shared" si="78"/>
        <v>0</v>
      </c>
      <c r="U239" s="762">
        <f t="shared" si="79"/>
        <v>0</v>
      </c>
      <c r="V239" s="762">
        <f t="shared" si="80"/>
        <v>0</v>
      </c>
      <c r="W239" s="762"/>
      <c r="X239" s="762">
        <f t="shared" si="81"/>
        <v>0</v>
      </c>
      <c r="Y239" s="762">
        <v>54</v>
      </c>
      <c r="Z239" s="762">
        <f t="shared" si="82"/>
        <v>0</v>
      </c>
      <c r="AA239" s="762">
        <f t="shared" si="83"/>
        <v>0</v>
      </c>
      <c r="AB239" s="762">
        <f t="shared" si="84"/>
        <v>0</v>
      </c>
      <c r="AC239" s="762"/>
      <c r="AD239" s="762">
        <f t="shared" si="85"/>
        <v>0</v>
      </c>
      <c r="AE239" s="762">
        <v>54</v>
      </c>
      <c r="AF239" s="762">
        <f t="shared" si="86"/>
        <v>0</v>
      </c>
      <c r="AG239" s="762">
        <f t="shared" si="87"/>
        <v>0</v>
      </c>
      <c r="AH239" s="762">
        <f t="shared" si="88"/>
        <v>0</v>
      </c>
      <c r="AI239" s="762"/>
      <c r="AJ239" s="762">
        <f t="shared" si="89"/>
        <v>0</v>
      </c>
      <c r="AK239" s="762">
        <v>54</v>
      </c>
      <c r="AL239" s="762">
        <f t="shared" si="90"/>
        <v>0</v>
      </c>
      <c r="AM239" s="762">
        <f t="shared" si="91"/>
        <v>0</v>
      </c>
      <c r="AN239" s="762">
        <f t="shared" si="92"/>
        <v>0</v>
      </c>
      <c r="AO239" s="762"/>
      <c r="AP239" s="762">
        <f t="shared" si="93"/>
        <v>0</v>
      </c>
      <c r="AQ239" s="762">
        <v>54</v>
      </c>
      <c r="AR239" s="762">
        <f t="shared" si="94"/>
        <v>0</v>
      </c>
      <c r="AS239" s="762">
        <f t="shared" si="95"/>
        <v>0</v>
      </c>
      <c r="AT239" s="762">
        <f t="shared" si="96"/>
        <v>0</v>
      </c>
      <c r="AU239" s="762"/>
      <c r="AV239" s="762">
        <f t="shared" si="97"/>
        <v>0</v>
      </c>
      <c r="AW239" s="762">
        <v>54</v>
      </c>
      <c r="AX239" s="762">
        <f t="shared" si="98"/>
        <v>0</v>
      </c>
      <c r="AY239" s="762">
        <f t="shared" si="99"/>
        <v>0</v>
      </c>
      <c r="AZ239" s="762">
        <f t="shared" si="100"/>
        <v>0</v>
      </c>
      <c r="BA239" s="762"/>
      <c r="BB239" s="762">
        <f t="shared" si="101"/>
        <v>0</v>
      </c>
      <c r="BC239" s="761"/>
    </row>
    <row r="240" spans="1:55" ht="15" customHeight="1">
      <c r="A240" s="762">
        <v>55</v>
      </c>
      <c r="B240" s="762">
        <f t="shared" si="109"/>
        <v>0</v>
      </c>
      <c r="C240" s="762">
        <f t="shared" si="109"/>
        <v>0</v>
      </c>
      <c r="D240" s="762">
        <f t="shared" si="109"/>
        <v>0</v>
      </c>
      <c r="E240" s="762">
        <f t="shared" si="109"/>
        <v>0</v>
      </c>
      <c r="F240" s="762">
        <f t="shared" si="109"/>
        <v>0</v>
      </c>
      <c r="G240" s="762">
        <v>55</v>
      </c>
      <c r="H240" s="762">
        <f t="shared" si="71"/>
        <v>0</v>
      </c>
      <c r="I240" s="762">
        <f t="shared" si="72"/>
        <v>0</v>
      </c>
      <c r="J240" s="762">
        <f t="shared" si="73"/>
        <v>0</v>
      </c>
      <c r="K240" s="762"/>
      <c r="L240" s="762">
        <f t="shared" si="102"/>
        <v>0</v>
      </c>
      <c r="M240" s="762">
        <v>55</v>
      </c>
      <c r="N240" s="762">
        <f t="shared" si="74"/>
        <v>0</v>
      </c>
      <c r="O240" s="762">
        <f t="shared" si="75"/>
        <v>0</v>
      </c>
      <c r="P240" s="762">
        <f t="shared" si="76"/>
        <v>0</v>
      </c>
      <c r="Q240" s="762"/>
      <c r="R240" s="762">
        <f t="shared" si="77"/>
        <v>0</v>
      </c>
      <c r="S240" s="762">
        <v>55</v>
      </c>
      <c r="T240" s="762">
        <f t="shared" si="78"/>
        <v>0</v>
      </c>
      <c r="U240" s="762">
        <f t="shared" si="79"/>
        <v>0</v>
      </c>
      <c r="V240" s="762">
        <f t="shared" si="80"/>
        <v>0</v>
      </c>
      <c r="W240" s="762"/>
      <c r="X240" s="762">
        <f t="shared" si="81"/>
        <v>0</v>
      </c>
      <c r="Y240" s="762">
        <v>55</v>
      </c>
      <c r="Z240" s="762">
        <f t="shared" si="82"/>
        <v>0</v>
      </c>
      <c r="AA240" s="762">
        <f t="shared" si="83"/>
        <v>0</v>
      </c>
      <c r="AB240" s="762">
        <f t="shared" si="84"/>
        <v>0</v>
      </c>
      <c r="AC240" s="762"/>
      <c r="AD240" s="762">
        <f t="shared" si="85"/>
        <v>0</v>
      </c>
      <c r="AE240" s="762">
        <v>55</v>
      </c>
      <c r="AF240" s="762">
        <f t="shared" si="86"/>
        <v>0</v>
      </c>
      <c r="AG240" s="762">
        <f t="shared" si="87"/>
        <v>0</v>
      </c>
      <c r="AH240" s="762">
        <f t="shared" si="88"/>
        <v>0</v>
      </c>
      <c r="AI240" s="762"/>
      <c r="AJ240" s="762">
        <f t="shared" si="89"/>
        <v>0</v>
      </c>
      <c r="AK240" s="762">
        <v>55</v>
      </c>
      <c r="AL240" s="762">
        <f t="shared" si="90"/>
        <v>0</v>
      </c>
      <c r="AM240" s="762">
        <f t="shared" si="91"/>
        <v>0</v>
      </c>
      <c r="AN240" s="762">
        <f t="shared" si="92"/>
        <v>0</v>
      </c>
      <c r="AO240" s="762"/>
      <c r="AP240" s="762">
        <f t="shared" si="93"/>
        <v>0</v>
      </c>
      <c r="AQ240" s="762">
        <v>55</v>
      </c>
      <c r="AR240" s="762">
        <f t="shared" si="94"/>
        <v>0</v>
      </c>
      <c r="AS240" s="762">
        <f t="shared" si="95"/>
        <v>0</v>
      </c>
      <c r="AT240" s="762">
        <f t="shared" si="96"/>
        <v>0</v>
      </c>
      <c r="AU240" s="762"/>
      <c r="AV240" s="762">
        <f t="shared" si="97"/>
        <v>0</v>
      </c>
      <c r="AW240" s="762">
        <v>55</v>
      </c>
      <c r="AX240" s="762">
        <f t="shared" si="98"/>
        <v>0</v>
      </c>
      <c r="AY240" s="762">
        <f t="shared" si="99"/>
        <v>0</v>
      </c>
      <c r="AZ240" s="762">
        <f t="shared" si="100"/>
        <v>0</v>
      </c>
      <c r="BA240" s="762"/>
      <c r="BB240" s="762">
        <f t="shared" si="101"/>
        <v>0</v>
      </c>
      <c r="BC240" s="761"/>
    </row>
    <row r="241" spans="1:55" ht="15" customHeight="1">
      <c r="A241" s="762">
        <v>56</v>
      </c>
      <c r="B241" s="762">
        <f t="shared" si="109"/>
        <v>0</v>
      </c>
      <c r="C241" s="762">
        <f t="shared" si="109"/>
        <v>0</v>
      </c>
      <c r="D241" s="762">
        <f t="shared" si="109"/>
        <v>0</v>
      </c>
      <c r="E241" s="762">
        <f t="shared" si="109"/>
        <v>0</v>
      </c>
      <c r="F241" s="762">
        <f t="shared" si="109"/>
        <v>0</v>
      </c>
      <c r="G241" s="762">
        <v>56</v>
      </c>
      <c r="H241" s="762">
        <f t="shared" si="71"/>
        <v>0</v>
      </c>
      <c r="I241" s="762">
        <f t="shared" si="72"/>
        <v>0</v>
      </c>
      <c r="J241" s="762">
        <f t="shared" si="73"/>
        <v>0</v>
      </c>
      <c r="K241" s="762"/>
      <c r="L241" s="762">
        <f t="shared" si="102"/>
        <v>0</v>
      </c>
      <c r="M241" s="762">
        <v>56</v>
      </c>
      <c r="N241" s="762">
        <f t="shared" si="74"/>
        <v>0</v>
      </c>
      <c r="O241" s="762">
        <f t="shared" si="75"/>
        <v>0</v>
      </c>
      <c r="P241" s="762">
        <f t="shared" si="76"/>
        <v>0</v>
      </c>
      <c r="Q241" s="762"/>
      <c r="R241" s="762">
        <f t="shared" si="77"/>
        <v>0</v>
      </c>
      <c r="S241" s="762">
        <v>56</v>
      </c>
      <c r="T241" s="762">
        <f t="shared" si="78"/>
        <v>0</v>
      </c>
      <c r="U241" s="762">
        <f t="shared" si="79"/>
        <v>0</v>
      </c>
      <c r="V241" s="762">
        <f t="shared" si="80"/>
        <v>0</v>
      </c>
      <c r="W241" s="762"/>
      <c r="X241" s="762">
        <f t="shared" si="81"/>
        <v>0</v>
      </c>
      <c r="Y241" s="762">
        <v>56</v>
      </c>
      <c r="Z241" s="762">
        <f t="shared" si="82"/>
        <v>0</v>
      </c>
      <c r="AA241" s="762">
        <f t="shared" si="83"/>
        <v>0</v>
      </c>
      <c r="AB241" s="762">
        <f t="shared" si="84"/>
        <v>0</v>
      </c>
      <c r="AC241" s="762"/>
      <c r="AD241" s="762">
        <f t="shared" si="85"/>
        <v>0</v>
      </c>
      <c r="AE241" s="762">
        <v>56</v>
      </c>
      <c r="AF241" s="762">
        <f t="shared" si="86"/>
        <v>0</v>
      </c>
      <c r="AG241" s="762">
        <f t="shared" si="87"/>
        <v>0</v>
      </c>
      <c r="AH241" s="762">
        <f t="shared" si="88"/>
        <v>0</v>
      </c>
      <c r="AI241" s="762"/>
      <c r="AJ241" s="762">
        <f t="shared" si="89"/>
        <v>0</v>
      </c>
      <c r="AK241" s="762">
        <v>56</v>
      </c>
      <c r="AL241" s="762">
        <f t="shared" si="90"/>
        <v>0</v>
      </c>
      <c r="AM241" s="762">
        <f t="shared" si="91"/>
        <v>0</v>
      </c>
      <c r="AN241" s="762">
        <f t="shared" si="92"/>
        <v>0</v>
      </c>
      <c r="AO241" s="762"/>
      <c r="AP241" s="762">
        <f t="shared" si="93"/>
        <v>0</v>
      </c>
      <c r="AQ241" s="762">
        <v>56</v>
      </c>
      <c r="AR241" s="762">
        <f t="shared" si="94"/>
        <v>0</v>
      </c>
      <c r="AS241" s="762">
        <f t="shared" si="95"/>
        <v>0</v>
      </c>
      <c r="AT241" s="762">
        <f t="shared" si="96"/>
        <v>0</v>
      </c>
      <c r="AU241" s="762"/>
      <c r="AV241" s="762">
        <f t="shared" si="97"/>
        <v>0</v>
      </c>
      <c r="AW241" s="762">
        <v>56</v>
      </c>
      <c r="AX241" s="762">
        <f t="shared" si="98"/>
        <v>0</v>
      </c>
      <c r="AY241" s="762">
        <f t="shared" si="99"/>
        <v>0</v>
      </c>
      <c r="AZ241" s="762">
        <f t="shared" si="100"/>
        <v>0</v>
      </c>
      <c r="BA241" s="762"/>
      <c r="BB241" s="762">
        <f t="shared" si="101"/>
        <v>0</v>
      </c>
      <c r="BC241" s="761"/>
    </row>
    <row r="242" spans="1:55" ht="15" customHeight="1">
      <c r="A242" s="762">
        <v>57</v>
      </c>
      <c r="B242" s="762">
        <f t="shared" si="109"/>
        <v>0</v>
      </c>
      <c r="C242" s="762">
        <f t="shared" si="109"/>
        <v>0</v>
      </c>
      <c r="D242" s="762">
        <f t="shared" si="109"/>
        <v>0</v>
      </c>
      <c r="E242" s="762">
        <f t="shared" si="109"/>
        <v>0</v>
      </c>
      <c r="F242" s="762">
        <f t="shared" si="109"/>
        <v>0</v>
      </c>
      <c r="G242" s="762">
        <v>57</v>
      </c>
      <c r="H242" s="762">
        <f t="shared" si="71"/>
        <v>0</v>
      </c>
      <c r="I242" s="762">
        <f t="shared" si="72"/>
        <v>0</v>
      </c>
      <c r="J242" s="762">
        <f t="shared" si="73"/>
        <v>0</v>
      </c>
      <c r="K242" s="762"/>
      <c r="L242" s="762">
        <f t="shared" si="102"/>
        <v>0</v>
      </c>
      <c r="M242" s="762">
        <v>57</v>
      </c>
      <c r="N242" s="762">
        <f t="shared" si="74"/>
        <v>0</v>
      </c>
      <c r="O242" s="762">
        <f t="shared" si="75"/>
        <v>0</v>
      </c>
      <c r="P242" s="762">
        <f t="shared" si="76"/>
        <v>0</v>
      </c>
      <c r="Q242" s="762"/>
      <c r="R242" s="762">
        <f t="shared" si="77"/>
        <v>0</v>
      </c>
      <c r="S242" s="762">
        <v>57</v>
      </c>
      <c r="T242" s="762">
        <f t="shared" si="78"/>
        <v>0</v>
      </c>
      <c r="U242" s="762">
        <f t="shared" si="79"/>
        <v>0</v>
      </c>
      <c r="V242" s="762">
        <f t="shared" si="80"/>
        <v>0</v>
      </c>
      <c r="W242" s="762"/>
      <c r="X242" s="762">
        <f t="shared" si="81"/>
        <v>0</v>
      </c>
      <c r="Y242" s="762">
        <v>57</v>
      </c>
      <c r="Z242" s="762">
        <f t="shared" si="82"/>
        <v>0</v>
      </c>
      <c r="AA242" s="762">
        <f t="shared" si="83"/>
        <v>0</v>
      </c>
      <c r="AB242" s="762">
        <f t="shared" si="84"/>
        <v>0</v>
      </c>
      <c r="AC242" s="762"/>
      <c r="AD242" s="762">
        <f t="shared" si="85"/>
        <v>0</v>
      </c>
      <c r="AE242" s="762">
        <v>57</v>
      </c>
      <c r="AF242" s="762">
        <f t="shared" si="86"/>
        <v>0</v>
      </c>
      <c r="AG242" s="762">
        <f t="shared" si="87"/>
        <v>0</v>
      </c>
      <c r="AH242" s="762">
        <f t="shared" si="88"/>
        <v>0</v>
      </c>
      <c r="AI242" s="762"/>
      <c r="AJ242" s="762">
        <f t="shared" si="89"/>
        <v>0</v>
      </c>
      <c r="AK242" s="762">
        <v>57</v>
      </c>
      <c r="AL242" s="762">
        <f t="shared" si="90"/>
        <v>0</v>
      </c>
      <c r="AM242" s="762">
        <f t="shared" si="91"/>
        <v>0</v>
      </c>
      <c r="AN242" s="762">
        <f t="shared" si="92"/>
        <v>0</v>
      </c>
      <c r="AO242" s="762"/>
      <c r="AP242" s="762">
        <f t="shared" si="93"/>
        <v>0</v>
      </c>
      <c r="AQ242" s="762">
        <v>57</v>
      </c>
      <c r="AR242" s="762">
        <f t="shared" si="94"/>
        <v>0</v>
      </c>
      <c r="AS242" s="762">
        <f t="shared" si="95"/>
        <v>0</v>
      </c>
      <c r="AT242" s="762">
        <f t="shared" si="96"/>
        <v>0</v>
      </c>
      <c r="AU242" s="762"/>
      <c r="AV242" s="762">
        <f t="shared" si="97"/>
        <v>0</v>
      </c>
      <c r="AW242" s="762">
        <v>57</v>
      </c>
      <c r="AX242" s="762">
        <f t="shared" si="98"/>
        <v>0</v>
      </c>
      <c r="AY242" s="762">
        <f t="shared" si="99"/>
        <v>0</v>
      </c>
      <c r="AZ242" s="762">
        <f t="shared" si="100"/>
        <v>0</v>
      </c>
      <c r="BA242" s="762"/>
      <c r="BB242" s="762">
        <f t="shared" si="101"/>
        <v>0</v>
      </c>
      <c r="BC242" s="761"/>
    </row>
    <row r="243" spans="1:55" ht="15" customHeight="1">
      <c r="A243" s="762">
        <v>58</v>
      </c>
      <c r="B243" s="762">
        <f t="shared" si="109"/>
        <v>0</v>
      </c>
      <c r="C243" s="762">
        <f t="shared" si="109"/>
        <v>0</v>
      </c>
      <c r="D243" s="762">
        <f t="shared" si="109"/>
        <v>0</v>
      </c>
      <c r="E243" s="762">
        <f t="shared" si="109"/>
        <v>0</v>
      </c>
      <c r="F243" s="762">
        <f t="shared" si="109"/>
        <v>0</v>
      </c>
      <c r="G243" s="762">
        <v>58</v>
      </c>
      <c r="H243" s="762">
        <f t="shared" si="71"/>
        <v>0</v>
      </c>
      <c r="I243" s="762">
        <f t="shared" si="72"/>
        <v>0</v>
      </c>
      <c r="J243" s="762">
        <f t="shared" si="73"/>
        <v>0</v>
      </c>
      <c r="K243" s="762"/>
      <c r="L243" s="762">
        <f t="shared" si="102"/>
        <v>0</v>
      </c>
      <c r="M243" s="762">
        <v>58</v>
      </c>
      <c r="N243" s="762">
        <f t="shared" si="74"/>
        <v>0</v>
      </c>
      <c r="O243" s="762">
        <f t="shared" si="75"/>
        <v>0</v>
      </c>
      <c r="P243" s="762">
        <f t="shared" si="76"/>
        <v>0</v>
      </c>
      <c r="Q243" s="762"/>
      <c r="R243" s="762">
        <f t="shared" si="77"/>
        <v>0</v>
      </c>
      <c r="S243" s="762">
        <v>58</v>
      </c>
      <c r="T243" s="762">
        <f t="shared" si="78"/>
        <v>0</v>
      </c>
      <c r="U243" s="762">
        <f t="shared" si="79"/>
        <v>0</v>
      </c>
      <c r="V243" s="762">
        <f t="shared" si="80"/>
        <v>0</v>
      </c>
      <c r="W243" s="762"/>
      <c r="X243" s="762">
        <f t="shared" si="81"/>
        <v>0</v>
      </c>
      <c r="Y243" s="762">
        <v>58</v>
      </c>
      <c r="Z243" s="762">
        <f t="shared" si="82"/>
        <v>0</v>
      </c>
      <c r="AA243" s="762">
        <f t="shared" si="83"/>
        <v>0</v>
      </c>
      <c r="AB243" s="762">
        <f t="shared" si="84"/>
        <v>0</v>
      </c>
      <c r="AC243" s="762"/>
      <c r="AD243" s="762">
        <f t="shared" si="85"/>
        <v>0</v>
      </c>
      <c r="AE243" s="762">
        <v>58</v>
      </c>
      <c r="AF243" s="762">
        <f t="shared" si="86"/>
        <v>0</v>
      </c>
      <c r="AG243" s="762">
        <f t="shared" si="87"/>
        <v>0</v>
      </c>
      <c r="AH243" s="762">
        <f t="shared" si="88"/>
        <v>0</v>
      </c>
      <c r="AI243" s="762"/>
      <c r="AJ243" s="762">
        <f t="shared" si="89"/>
        <v>0</v>
      </c>
      <c r="AK243" s="762">
        <v>58</v>
      </c>
      <c r="AL243" s="762">
        <f t="shared" si="90"/>
        <v>0</v>
      </c>
      <c r="AM243" s="762">
        <f t="shared" si="91"/>
        <v>0</v>
      </c>
      <c r="AN243" s="762">
        <f t="shared" si="92"/>
        <v>0</v>
      </c>
      <c r="AO243" s="762"/>
      <c r="AP243" s="762">
        <f t="shared" si="93"/>
        <v>0</v>
      </c>
      <c r="AQ243" s="762">
        <v>58</v>
      </c>
      <c r="AR243" s="762">
        <f t="shared" si="94"/>
        <v>0</v>
      </c>
      <c r="AS243" s="762">
        <f t="shared" si="95"/>
        <v>0</v>
      </c>
      <c r="AT243" s="762">
        <f t="shared" si="96"/>
        <v>0</v>
      </c>
      <c r="AU243" s="762"/>
      <c r="AV243" s="762">
        <f t="shared" si="97"/>
        <v>0</v>
      </c>
      <c r="AW243" s="762">
        <v>58</v>
      </c>
      <c r="AX243" s="762">
        <f t="shared" si="98"/>
        <v>0</v>
      </c>
      <c r="AY243" s="762">
        <f t="shared" si="99"/>
        <v>0</v>
      </c>
      <c r="AZ243" s="762">
        <f t="shared" si="100"/>
        <v>0</v>
      </c>
      <c r="BA243" s="762"/>
      <c r="BB243" s="762">
        <f t="shared" si="101"/>
        <v>0</v>
      </c>
      <c r="BC243" s="761"/>
    </row>
    <row r="244" spans="1:55" ht="15" customHeight="1">
      <c r="A244" s="762">
        <v>59</v>
      </c>
      <c r="B244" s="762">
        <f t="shared" si="109"/>
        <v>0</v>
      </c>
      <c r="C244" s="762">
        <f t="shared" si="109"/>
        <v>0</v>
      </c>
      <c r="D244" s="762">
        <f t="shared" si="109"/>
        <v>0</v>
      </c>
      <c r="E244" s="762">
        <f t="shared" si="109"/>
        <v>0</v>
      </c>
      <c r="F244" s="762">
        <f t="shared" si="109"/>
        <v>0</v>
      </c>
      <c r="G244" s="762">
        <v>59</v>
      </c>
      <c r="H244" s="762">
        <f t="shared" si="71"/>
        <v>0</v>
      </c>
      <c r="I244" s="762">
        <f t="shared" si="72"/>
        <v>0</v>
      </c>
      <c r="J244" s="762">
        <f t="shared" si="73"/>
        <v>0</v>
      </c>
      <c r="K244" s="762"/>
      <c r="L244" s="762">
        <f t="shared" si="102"/>
        <v>0</v>
      </c>
      <c r="M244" s="762">
        <v>59</v>
      </c>
      <c r="N244" s="762">
        <f t="shared" si="74"/>
        <v>0</v>
      </c>
      <c r="O244" s="762">
        <f t="shared" si="75"/>
        <v>0</v>
      </c>
      <c r="P244" s="762">
        <f t="shared" si="76"/>
        <v>0</v>
      </c>
      <c r="Q244" s="762"/>
      <c r="R244" s="762">
        <f t="shared" si="77"/>
        <v>0</v>
      </c>
      <c r="S244" s="762">
        <v>59</v>
      </c>
      <c r="T244" s="762">
        <f t="shared" si="78"/>
        <v>0</v>
      </c>
      <c r="U244" s="762">
        <f t="shared" si="79"/>
        <v>0</v>
      </c>
      <c r="V244" s="762">
        <f t="shared" si="80"/>
        <v>0</v>
      </c>
      <c r="W244" s="762"/>
      <c r="X244" s="762">
        <f t="shared" si="81"/>
        <v>0</v>
      </c>
      <c r="Y244" s="762">
        <v>59</v>
      </c>
      <c r="Z244" s="762">
        <f t="shared" si="82"/>
        <v>0</v>
      </c>
      <c r="AA244" s="762">
        <f t="shared" si="83"/>
        <v>0</v>
      </c>
      <c r="AB244" s="762">
        <f t="shared" si="84"/>
        <v>0</v>
      </c>
      <c r="AC244" s="762"/>
      <c r="AD244" s="762">
        <f t="shared" si="85"/>
        <v>0</v>
      </c>
      <c r="AE244" s="762">
        <v>59</v>
      </c>
      <c r="AF244" s="762">
        <f t="shared" si="86"/>
        <v>0</v>
      </c>
      <c r="AG244" s="762">
        <f t="shared" si="87"/>
        <v>0</v>
      </c>
      <c r="AH244" s="762">
        <f t="shared" si="88"/>
        <v>0</v>
      </c>
      <c r="AI244" s="762"/>
      <c r="AJ244" s="762">
        <f t="shared" si="89"/>
        <v>0</v>
      </c>
      <c r="AK244" s="762">
        <v>59</v>
      </c>
      <c r="AL244" s="762">
        <f t="shared" si="90"/>
        <v>0</v>
      </c>
      <c r="AM244" s="762">
        <f t="shared" si="91"/>
        <v>0</v>
      </c>
      <c r="AN244" s="762">
        <f t="shared" si="92"/>
        <v>0</v>
      </c>
      <c r="AO244" s="762"/>
      <c r="AP244" s="762">
        <f t="shared" si="93"/>
        <v>0</v>
      </c>
      <c r="AQ244" s="762">
        <v>59</v>
      </c>
      <c r="AR244" s="762">
        <f t="shared" si="94"/>
        <v>0</v>
      </c>
      <c r="AS244" s="762">
        <f t="shared" si="95"/>
        <v>0</v>
      </c>
      <c r="AT244" s="762">
        <f t="shared" si="96"/>
        <v>0</v>
      </c>
      <c r="AU244" s="762"/>
      <c r="AV244" s="762">
        <f t="shared" si="97"/>
        <v>0</v>
      </c>
      <c r="AW244" s="762">
        <v>59</v>
      </c>
      <c r="AX244" s="762">
        <f t="shared" si="98"/>
        <v>0</v>
      </c>
      <c r="AY244" s="762">
        <f t="shared" si="99"/>
        <v>0</v>
      </c>
      <c r="AZ244" s="762">
        <f t="shared" si="100"/>
        <v>0</v>
      </c>
      <c r="BA244" s="762"/>
      <c r="BB244" s="762">
        <f t="shared" si="101"/>
        <v>0</v>
      </c>
      <c r="BC244" s="761"/>
    </row>
    <row r="245" spans="1:55" ht="15" customHeight="1">
      <c r="A245" s="762">
        <v>60</v>
      </c>
      <c r="B245" s="762">
        <f t="shared" si="109"/>
        <v>0</v>
      </c>
      <c r="C245" s="762">
        <f t="shared" si="109"/>
        <v>0</v>
      </c>
      <c r="D245" s="762">
        <f t="shared" si="109"/>
        <v>0</v>
      </c>
      <c r="E245" s="762">
        <f t="shared" si="109"/>
        <v>0</v>
      </c>
      <c r="F245" s="762">
        <f t="shared" si="109"/>
        <v>0</v>
      </c>
      <c r="G245" s="762">
        <v>60</v>
      </c>
      <c r="H245" s="762">
        <f t="shared" si="71"/>
        <v>0</v>
      </c>
      <c r="I245" s="762">
        <f t="shared" si="72"/>
        <v>0</v>
      </c>
      <c r="J245" s="762">
        <f t="shared" si="73"/>
        <v>0</v>
      </c>
      <c r="K245" s="762"/>
      <c r="L245" s="762">
        <f t="shared" si="102"/>
        <v>0</v>
      </c>
      <c r="M245" s="762">
        <v>60</v>
      </c>
      <c r="N245" s="762">
        <f t="shared" si="74"/>
        <v>0</v>
      </c>
      <c r="O245" s="762">
        <f t="shared" si="75"/>
        <v>0</v>
      </c>
      <c r="P245" s="762">
        <f t="shared" si="76"/>
        <v>0</v>
      </c>
      <c r="Q245" s="762"/>
      <c r="R245" s="762">
        <f t="shared" si="77"/>
        <v>0</v>
      </c>
      <c r="S245" s="762">
        <v>60</v>
      </c>
      <c r="T245" s="762">
        <f t="shared" si="78"/>
        <v>0</v>
      </c>
      <c r="U245" s="762">
        <f t="shared" si="79"/>
        <v>0</v>
      </c>
      <c r="V245" s="762">
        <f t="shared" si="80"/>
        <v>0</v>
      </c>
      <c r="W245" s="762"/>
      <c r="X245" s="762">
        <f t="shared" si="81"/>
        <v>0</v>
      </c>
      <c r="Y245" s="762">
        <v>60</v>
      </c>
      <c r="Z245" s="762">
        <f t="shared" si="82"/>
        <v>0</v>
      </c>
      <c r="AA245" s="762">
        <f t="shared" si="83"/>
        <v>0</v>
      </c>
      <c r="AB245" s="762">
        <f t="shared" si="84"/>
        <v>0</v>
      </c>
      <c r="AC245" s="762"/>
      <c r="AD245" s="762">
        <f t="shared" si="85"/>
        <v>0</v>
      </c>
      <c r="AE245" s="762">
        <v>60</v>
      </c>
      <c r="AF245" s="762">
        <f t="shared" si="86"/>
        <v>0</v>
      </c>
      <c r="AG245" s="762">
        <f t="shared" si="87"/>
        <v>0</v>
      </c>
      <c r="AH245" s="762">
        <f t="shared" si="88"/>
        <v>0</v>
      </c>
      <c r="AI245" s="762"/>
      <c r="AJ245" s="762">
        <f t="shared" si="89"/>
        <v>0</v>
      </c>
      <c r="AK245" s="762">
        <v>60</v>
      </c>
      <c r="AL245" s="762">
        <f t="shared" si="90"/>
        <v>0</v>
      </c>
      <c r="AM245" s="762">
        <f t="shared" si="91"/>
        <v>0</v>
      </c>
      <c r="AN245" s="762">
        <f t="shared" si="92"/>
        <v>0</v>
      </c>
      <c r="AO245" s="762"/>
      <c r="AP245" s="762">
        <f t="shared" si="93"/>
        <v>0</v>
      </c>
      <c r="AQ245" s="762">
        <v>60</v>
      </c>
      <c r="AR245" s="762">
        <f t="shared" si="94"/>
        <v>0</v>
      </c>
      <c r="AS245" s="762">
        <f t="shared" si="95"/>
        <v>0</v>
      </c>
      <c r="AT245" s="762">
        <f t="shared" si="96"/>
        <v>0</v>
      </c>
      <c r="AU245" s="762"/>
      <c r="AV245" s="762">
        <f t="shared" si="97"/>
        <v>0</v>
      </c>
      <c r="AW245" s="762">
        <v>60</v>
      </c>
      <c r="AX245" s="762">
        <f t="shared" si="98"/>
        <v>0</v>
      </c>
      <c r="AY245" s="762">
        <f t="shared" si="99"/>
        <v>0</v>
      </c>
      <c r="AZ245" s="762">
        <f t="shared" si="100"/>
        <v>0</v>
      </c>
      <c r="BA245" s="762"/>
      <c r="BB245" s="762">
        <f t="shared" si="101"/>
        <v>0</v>
      </c>
      <c r="BC245" s="761"/>
    </row>
    <row r="246" spans="1:55" ht="15" customHeight="1">
      <c r="A246" s="763" t="s">
        <v>226</v>
      </c>
    </row>
    <row r="247" spans="1:55" ht="15" customHeight="1">
      <c r="A247" s="741" t="s">
        <v>62</v>
      </c>
      <c r="B247" s="741" t="s">
        <v>141</v>
      </c>
      <c r="C247" s="741" t="s">
        <v>137</v>
      </c>
      <c r="D247" s="741" t="s">
        <v>138</v>
      </c>
      <c r="E247" s="741" t="s">
        <v>142</v>
      </c>
      <c r="F247" s="741" t="s">
        <v>136</v>
      </c>
      <c r="G247" s="741" t="s">
        <v>227</v>
      </c>
    </row>
    <row r="248" spans="1:55" ht="15" customHeight="1">
      <c r="A248" s="741" t="s">
        <v>605</v>
      </c>
      <c r="B248" s="741" t="s">
        <v>605</v>
      </c>
      <c r="C248" s="741" t="s">
        <v>605</v>
      </c>
      <c r="D248" s="741" t="s">
        <v>605</v>
      </c>
      <c r="E248" s="741" t="s">
        <v>605</v>
      </c>
      <c r="F248" s="741" t="s">
        <v>605</v>
      </c>
      <c r="G248" s="741" t="s">
        <v>605</v>
      </c>
    </row>
    <row r="249" spans="1:55" ht="15" customHeight="1">
      <c r="A249" s="741"/>
      <c r="B249" s="741"/>
      <c r="C249" s="741"/>
      <c r="D249" s="741"/>
      <c r="E249" s="741"/>
      <c r="F249" s="741">
        <f t="shared" ref="F249:F309" ca="1" si="110">F118+F185</f>
        <v>0</v>
      </c>
      <c r="G249" s="741"/>
    </row>
    <row r="250" spans="1:55" ht="15" customHeight="1">
      <c r="A250" s="741">
        <v>1</v>
      </c>
      <c r="B250" s="741">
        <f t="shared" ref="B250:E265" ca="1" si="111">B119+B186</f>
        <v>0</v>
      </c>
      <c r="C250" s="741">
        <f t="shared" ca="1" si="111"/>
        <v>0</v>
      </c>
      <c r="D250" s="741">
        <f t="shared" si="111"/>
        <v>0</v>
      </c>
      <c r="E250" s="741">
        <f t="shared" si="111"/>
        <v>0</v>
      </c>
      <c r="F250" s="741">
        <f t="shared" ca="1" si="110"/>
        <v>0</v>
      </c>
      <c r="G250" s="741">
        <f>D250+E250</f>
        <v>0</v>
      </c>
    </row>
    <row r="251" spans="1:55" ht="15" customHeight="1">
      <c r="A251" s="741">
        <v>2</v>
      </c>
      <c r="B251" s="741">
        <f t="shared" ca="1" si="111"/>
        <v>0</v>
      </c>
      <c r="C251" s="741">
        <f t="shared" ca="1" si="111"/>
        <v>0</v>
      </c>
      <c r="D251" s="741">
        <f t="shared" si="111"/>
        <v>0</v>
      </c>
      <c r="E251" s="741">
        <f t="shared" si="111"/>
        <v>0</v>
      </c>
      <c r="F251" s="741">
        <f t="shared" ca="1" si="110"/>
        <v>0</v>
      </c>
      <c r="G251" s="741">
        <f t="shared" ref="G251:G309" si="112">D251+E251</f>
        <v>0</v>
      </c>
    </row>
    <row r="252" spans="1:55" ht="15" customHeight="1">
      <c r="A252" s="741">
        <v>3</v>
      </c>
      <c r="B252" s="741">
        <f t="shared" ca="1" si="111"/>
        <v>0</v>
      </c>
      <c r="C252" s="741">
        <f t="shared" ca="1" si="111"/>
        <v>0</v>
      </c>
      <c r="D252" s="741">
        <f t="shared" si="111"/>
        <v>0</v>
      </c>
      <c r="E252" s="741">
        <f t="shared" si="111"/>
        <v>0</v>
      </c>
      <c r="F252" s="741">
        <f t="shared" ca="1" si="110"/>
        <v>0</v>
      </c>
      <c r="G252" s="741">
        <f t="shared" si="112"/>
        <v>0</v>
      </c>
    </row>
    <row r="253" spans="1:55" ht="15" customHeight="1">
      <c r="A253" s="741">
        <v>4</v>
      </c>
      <c r="B253" s="741">
        <f t="shared" ca="1" si="111"/>
        <v>0</v>
      </c>
      <c r="C253" s="741">
        <f t="shared" ca="1" si="111"/>
        <v>0</v>
      </c>
      <c r="D253" s="741">
        <f t="shared" si="111"/>
        <v>0</v>
      </c>
      <c r="E253" s="741">
        <f t="shared" si="111"/>
        <v>0</v>
      </c>
      <c r="F253" s="741">
        <f t="shared" ca="1" si="110"/>
        <v>0</v>
      </c>
      <c r="G253" s="741">
        <f t="shared" si="112"/>
        <v>0</v>
      </c>
    </row>
    <row r="254" spans="1:55" ht="15" customHeight="1">
      <c r="A254" s="741">
        <v>5</v>
      </c>
      <c r="B254" s="741">
        <f t="shared" ca="1" si="111"/>
        <v>0</v>
      </c>
      <c r="C254" s="741">
        <f t="shared" ca="1" si="111"/>
        <v>0</v>
      </c>
      <c r="D254" s="741">
        <f t="shared" si="111"/>
        <v>0</v>
      </c>
      <c r="E254" s="741">
        <f t="shared" si="111"/>
        <v>0</v>
      </c>
      <c r="F254" s="741">
        <f t="shared" ca="1" si="110"/>
        <v>0</v>
      </c>
      <c r="G254" s="741">
        <f t="shared" si="112"/>
        <v>0</v>
      </c>
    </row>
    <row r="255" spans="1:55" ht="15" customHeight="1">
      <c r="A255" s="741">
        <v>6</v>
      </c>
      <c r="B255" s="741">
        <f t="shared" ca="1" si="111"/>
        <v>0</v>
      </c>
      <c r="C255" s="741">
        <f t="shared" ca="1" si="111"/>
        <v>0</v>
      </c>
      <c r="D255" s="741">
        <f t="shared" si="111"/>
        <v>0</v>
      </c>
      <c r="E255" s="741">
        <f t="shared" si="111"/>
        <v>0</v>
      </c>
      <c r="F255" s="741">
        <f t="shared" ca="1" si="110"/>
        <v>0</v>
      </c>
      <c r="G255" s="741">
        <f t="shared" si="112"/>
        <v>0</v>
      </c>
    </row>
    <row r="256" spans="1:55" ht="15" customHeight="1">
      <c r="A256" s="741">
        <v>7</v>
      </c>
      <c r="B256" s="741">
        <f t="shared" ca="1" si="111"/>
        <v>0</v>
      </c>
      <c r="C256" s="741">
        <f t="shared" ca="1" si="111"/>
        <v>0</v>
      </c>
      <c r="D256" s="741">
        <f t="shared" si="111"/>
        <v>0</v>
      </c>
      <c r="E256" s="741">
        <f t="shared" si="111"/>
        <v>0</v>
      </c>
      <c r="F256" s="741">
        <f t="shared" ca="1" si="110"/>
        <v>0</v>
      </c>
      <c r="G256" s="741">
        <f t="shared" si="112"/>
        <v>0</v>
      </c>
    </row>
    <row r="257" spans="1:7" ht="15" customHeight="1">
      <c r="A257" s="741">
        <v>8</v>
      </c>
      <c r="B257" s="741">
        <f t="shared" ca="1" si="111"/>
        <v>0</v>
      </c>
      <c r="C257" s="741">
        <f t="shared" ca="1" si="111"/>
        <v>0</v>
      </c>
      <c r="D257" s="741">
        <f t="shared" si="111"/>
        <v>0</v>
      </c>
      <c r="E257" s="741">
        <f t="shared" si="111"/>
        <v>0</v>
      </c>
      <c r="F257" s="741">
        <f t="shared" ca="1" si="110"/>
        <v>0</v>
      </c>
      <c r="G257" s="741">
        <f t="shared" si="112"/>
        <v>0</v>
      </c>
    </row>
    <row r="258" spans="1:7" ht="15" customHeight="1">
      <c r="A258" s="741">
        <v>9</v>
      </c>
      <c r="B258" s="741">
        <f t="shared" ca="1" si="111"/>
        <v>0</v>
      </c>
      <c r="C258" s="741">
        <f t="shared" ca="1" si="111"/>
        <v>0</v>
      </c>
      <c r="D258" s="741">
        <f t="shared" si="111"/>
        <v>0</v>
      </c>
      <c r="E258" s="741">
        <f t="shared" si="111"/>
        <v>0</v>
      </c>
      <c r="F258" s="741">
        <f t="shared" ca="1" si="110"/>
        <v>0</v>
      </c>
      <c r="G258" s="741">
        <f t="shared" si="112"/>
        <v>0</v>
      </c>
    </row>
    <row r="259" spans="1:7" ht="15" customHeight="1">
      <c r="A259" s="741">
        <v>10</v>
      </c>
      <c r="B259" s="741">
        <f t="shared" ca="1" si="111"/>
        <v>0</v>
      </c>
      <c r="C259" s="741">
        <f t="shared" ca="1" si="111"/>
        <v>0</v>
      </c>
      <c r="D259" s="741">
        <f t="shared" si="111"/>
        <v>0</v>
      </c>
      <c r="E259" s="741">
        <f t="shared" si="111"/>
        <v>0</v>
      </c>
      <c r="F259" s="741">
        <f t="shared" ca="1" si="110"/>
        <v>0</v>
      </c>
      <c r="G259" s="741">
        <f t="shared" si="112"/>
        <v>0</v>
      </c>
    </row>
    <row r="260" spans="1:7" ht="15" customHeight="1">
      <c r="A260" s="741">
        <v>11</v>
      </c>
      <c r="B260" s="741">
        <f t="shared" ca="1" si="111"/>
        <v>0</v>
      </c>
      <c r="C260" s="741">
        <f t="shared" ca="1" si="111"/>
        <v>0</v>
      </c>
      <c r="D260" s="741">
        <f t="shared" si="111"/>
        <v>0</v>
      </c>
      <c r="E260" s="741">
        <f t="shared" si="111"/>
        <v>0</v>
      </c>
      <c r="F260" s="741">
        <f t="shared" ca="1" si="110"/>
        <v>0</v>
      </c>
      <c r="G260" s="741">
        <f t="shared" si="112"/>
        <v>0</v>
      </c>
    </row>
    <row r="261" spans="1:7" ht="15" customHeight="1">
      <c r="A261" s="741">
        <v>12</v>
      </c>
      <c r="B261" s="741">
        <f t="shared" ca="1" si="111"/>
        <v>0</v>
      </c>
      <c r="C261" s="741">
        <f t="shared" ca="1" si="111"/>
        <v>0</v>
      </c>
      <c r="D261" s="741">
        <f t="shared" si="111"/>
        <v>0</v>
      </c>
      <c r="E261" s="741">
        <f t="shared" si="111"/>
        <v>0</v>
      </c>
      <c r="F261" s="741">
        <f t="shared" ca="1" si="110"/>
        <v>0</v>
      </c>
      <c r="G261" s="741">
        <f t="shared" si="112"/>
        <v>0</v>
      </c>
    </row>
    <row r="262" spans="1:7" ht="15" customHeight="1">
      <c r="A262" s="741">
        <v>13</v>
      </c>
      <c r="B262" s="741">
        <f t="shared" ca="1" si="111"/>
        <v>0</v>
      </c>
      <c r="C262" s="741">
        <f t="shared" ca="1" si="111"/>
        <v>0</v>
      </c>
      <c r="D262" s="741">
        <f t="shared" si="111"/>
        <v>0</v>
      </c>
      <c r="E262" s="741">
        <f t="shared" si="111"/>
        <v>0</v>
      </c>
      <c r="F262" s="741">
        <f t="shared" ca="1" si="110"/>
        <v>0</v>
      </c>
      <c r="G262" s="741">
        <f t="shared" si="112"/>
        <v>0</v>
      </c>
    </row>
    <row r="263" spans="1:7" ht="15" customHeight="1">
      <c r="A263" s="741">
        <v>14</v>
      </c>
      <c r="B263" s="741">
        <f t="shared" ca="1" si="111"/>
        <v>0</v>
      </c>
      <c r="C263" s="741">
        <f t="shared" ca="1" si="111"/>
        <v>0</v>
      </c>
      <c r="D263" s="741">
        <f t="shared" si="111"/>
        <v>0</v>
      </c>
      <c r="E263" s="741">
        <f t="shared" si="111"/>
        <v>0</v>
      </c>
      <c r="F263" s="741">
        <f t="shared" ca="1" si="110"/>
        <v>0</v>
      </c>
      <c r="G263" s="741">
        <f t="shared" si="112"/>
        <v>0</v>
      </c>
    </row>
    <row r="264" spans="1:7" ht="15" customHeight="1">
      <c r="A264" s="741">
        <v>15</v>
      </c>
      <c r="B264" s="741">
        <f t="shared" ca="1" si="111"/>
        <v>0</v>
      </c>
      <c r="C264" s="741">
        <f t="shared" ca="1" si="111"/>
        <v>0</v>
      </c>
      <c r="D264" s="741">
        <f t="shared" si="111"/>
        <v>0</v>
      </c>
      <c r="E264" s="741">
        <f t="shared" si="111"/>
        <v>0</v>
      </c>
      <c r="F264" s="741">
        <f t="shared" ca="1" si="110"/>
        <v>0</v>
      </c>
      <c r="G264" s="741">
        <f t="shared" si="112"/>
        <v>0</v>
      </c>
    </row>
    <row r="265" spans="1:7" ht="15" customHeight="1">
      <c r="A265" s="741">
        <v>16</v>
      </c>
      <c r="B265" s="741">
        <f t="shared" ca="1" si="111"/>
        <v>0</v>
      </c>
      <c r="C265" s="741">
        <f t="shared" ca="1" si="111"/>
        <v>0</v>
      </c>
      <c r="D265" s="741">
        <f t="shared" si="111"/>
        <v>0</v>
      </c>
      <c r="E265" s="741">
        <f t="shared" si="111"/>
        <v>0</v>
      </c>
      <c r="F265" s="741">
        <f t="shared" ca="1" si="110"/>
        <v>0</v>
      </c>
      <c r="G265" s="741">
        <f t="shared" si="112"/>
        <v>0</v>
      </c>
    </row>
    <row r="266" spans="1:7" ht="15" customHeight="1">
      <c r="A266" s="741">
        <v>17</v>
      </c>
      <c r="B266" s="741">
        <f t="shared" ref="B266:E281" ca="1" si="113">B135+B202</f>
        <v>0</v>
      </c>
      <c r="C266" s="741">
        <f t="shared" ca="1" si="113"/>
        <v>0</v>
      </c>
      <c r="D266" s="741">
        <f t="shared" si="113"/>
        <v>0</v>
      </c>
      <c r="E266" s="741">
        <f t="shared" si="113"/>
        <v>0</v>
      </c>
      <c r="F266" s="741">
        <f t="shared" ca="1" si="110"/>
        <v>0</v>
      </c>
      <c r="G266" s="741">
        <f t="shared" si="112"/>
        <v>0</v>
      </c>
    </row>
    <row r="267" spans="1:7" ht="15" customHeight="1">
      <c r="A267" s="741">
        <v>18</v>
      </c>
      <c r="B267" s="741">
        <f t="shared" ca="1" si="113"/>
        <v>0</v>
      </c>
      <c r="C267" s="741">
        <f t="shared" ca="1" si="113"/>
        <v>0</v>
      </c>
      <c r="D267" s="741">
        <f t="shared" si="113"/>
        <v>0</v>
      </c>
      <c r="E267" s="741">
        <f t="shared" si="113"/>
        <v>0</v>
      </c>
      <c r="F267" s="741">
        <f t="shared" ca="1" si="110"/>
        <v>0</v>
      </c>
      <c r="G267" s="741">
        <f t="shared" si="112"/>
        <v>0</v>
      </c>
    </row>
    <row r="268" spans="1:7" ht="15" customHeight="1">
      <c r="A268" s="741">
        <v>19</v>
      </c>
      <c r="B268" s="741">
        <f t="shared" ca="1" si="113"/>
        <v>0</v>
      </c>
      <c r="C268" s="741">
        <f t="shared" ca="1" si="113"/>
        <v>0</v>
      </c>
      <c r="D268" s="741">
        <f t="shared" si="113"/>
        <v>0</v>
      </c>
      <c r="E268" s="741">
        <f t="shared" si="113"/>
        <v>0</v>
      </c>
      <c r="F268" s="741">
        <f t="shared" ca="1" si="110"/>
        <v>0</v>
      </c>
      <c r="G268" s="741">
        <f t="shared" si="112"/>
        <v>0</v>
      </c>
    </row>
    <row r="269" spans="1:7" ht="15" customHeight="1">
      <c r="A269" s="741">
        <v>20</v>
      </c>
      <c r="B269" s="741">
        <f t="shared" ca="1" si="113"/>
        <v>0</v>
      </c>
      <c r="C269" s="741">
        <f t="shared" ca="1" si="113"/>
        <v>0</v>
      </c>
      <c r="D269" s="741">
        <f t="shared" si="113"/>
        <v>0</v>
      </c>
      <c r="E269" s="741">
        <f t="shared" si="113"/>
        <v>0</v>
      </c>
      <c r="F269" s="741">
        <f t="shared" ca="1" si="110"/>
        <v>0</v>
      </c>
      <c r="G269" s="741">
        <f t="shared" si="112"/>
        <v>0</v>
      </c>
    </row>
    <row r="270" spans="1:7" ht="15" customHeight="1">
      <c r="A270" s="741">
        <v>21</v>
      </c>
      <c r="B270" s="741">
        <f t="shared" ca="1" si="113"/>
        <v>0</v>
      </c>
      <c r="C270" s="741">
        <f t="shared" ca="1" si="113"/>
        <v>0</v>
      </c>
      <c r="D270" s="741">
        <f t="shared" si="113"/>
        <v>0</v>
      </c>
      <c r="E270" s="741">
        <f t="shared" si="113"/>
        <v>0</v>
      </c>
      <c r="F270" s="741">
        <f t="shared" ca="1" si="110"/>
        <v>0</v>
      </c>
      <c r="G270" s="741">
        <f t="shared" si="112"/>
        <v>0</v>
      </c>
    </row>
    <row r="271" spans="1:7" ht="15" customHeight="1">
      <c r="A271" s="741">
        <v>22</v>
      </c>
      <c r="B271" s="741">
        <f t="shared" ca="1" si="113"/>
        <v>0</v>
      </c>
      <c r="C271" s="741">
        <f t="shared" ca="1" si="113"/>
        <v>0</v>
      </c>
      <c r="D271" s="741">
        <f t="shared" si="113"/>
        <v>0</v>
      </c>
      <c r="E271" s="741">
        <f t="shared" si="113"/>
        <v>0</v>
      </c>
      <c r="F271" s="741">
        <f t="shared" ca="1" si="110"/>
        <v>0</v>
      </c>
      <c r="G271" s="741">
        <f t="shared" si="112"/>
        <v>0</v>
      </c>
    </row>
    <row r="272" spans="1:7" ht="15" customHeight="1">
      <c r="A272" s="741">
        <v>23</v>
      </c>
      <c r="B272" s="741">
        <f t="shared" ca="1" si="113"/>
        <v>0</v>
      </c>
      <c r="C272" s="741">
        <f t="shared" ca="1" si="113"/>
        <v>0</v>
      </c>
      <c r="D272" s="741">
        <f t="shared" si="113"/>
        <v>0</v>
      </c>
      <c r="E272" s="741">
        <f t="shared" si="113"/>
        <v>0</v>
      </c>
      <c r="F272" s="741">
        <f t="shared" ca="1" si="110"/>
        <v>0</v>
      </c>
      <c r="G272" s="741">
        <f t="shared" si="112"/>
        <v>0</v>
      </c>
    </row>
    <row r="273" spans="1:7" ht="15" customHeight="1">
      <c r="A273" s="741">
        <v>24</v>
      </c>
      <c r="B273" s="741">
        <f t="shared" ca="1" si="113"/>
        <v>0</v>
      </c>
      <c r="C273" s="741">
        <f t="shared" ca="1" si="113"/>
        <v>0</v>
      </c>
      <c r="D273" s="741">
        <f t="shared" si="113"/>
        <v>0</v>
      </c>
      <c r="E273" s="741">
        <f t="shared" si="113"/>
        <v>0</v>
      </c>
      <c r="F273" s="741">
        <f t="shared" ca="1" si="110"/>
        <v>0</v>
      </c>
      <c r="G273" s="741">
        <f t="shared" si="112"/>
        <v>0</v>
      </c>
    </row>
    <row r="274" spans="1:7" ht="15" customHeight="1">
      <c r="A274" s="741">
        <v>25</v>
      </c>
      <c r="B274" s="741">
        <f t="shared" ca="1" si="113"/>
        <v>0</v>
      </c>
      <c r="C274" s="741">
        <f t="shared" ca="1" si="113"/>
        <v>0</v>
      </c>
      <c r="D274" s="741">
        <f t="shared" si="113"/>
        <v>0</v>
      </c>
      <c r="E274" s="741">
        <f t="shared" si="113"/>
        <v>0</v>
      </c>
      <c r="F274" s="741">
        <f t="shared" ca="1" si="110"/>
        <v>0</v>
      </c>
      <c r="G274" s="741">
        <f t="shared" si="112"/>
        <v>0</v>
      </c>
    </row>
    <row r="275" spans="1:7" ht="15" customHeight="1">
      <c r="A275" s="741">
        <v>26</v>
      </c>
      <c r="B275" s="741">
        <f t="shared" ca="1" si="113"/>
        <v>0</v>
      </c>
      <c r="C275" s="741">
        <f t="shared" ca="1" si="113"/>
        <v>0</v>
      </c>
      <c r="D275" s="741">
        <f t="shared" si="113"/>
        <v>0</v>
      </c>
      <c r="E275" s="741">
        <f t="shared" si="113"/>
        <v>0</v>
      </c>
      <c r="F275" s="741">
        <f t="shared" ca="1" si="110"/>
        <v>0</v>
      </c>
      <c r="G275" s="741">
        <f t="shared" si="112"/>
        <v>0</v>
      </c>
    </row>
    <row r="276" spans="1:7" ht="15" customHeight="1">
      <c r="A276" s="741">
        <v>27</v>
      </c>
      <c r="B276" s="741">
        <f t="shared" ca="1" si="113"/>
        <v>0</v>
      </c>
      <c r="C276" s="741">
        <f t="shared" ca="1" si="113"/>
        <v>0</v>
      </c>
      <c r="D276" s="741">
        <f t="shared" si="113"/>
        <v>0</v>
      </c>
      <c r="E276" s="741">
        <f t="shared" si="113"/>
        <v>0</v>
      </c>
      <c r="F276" s="741">
        <f t="shared" ca="1" si="110"/>
        <v>0</v>
      </c>
      <c r="G276" s="741">
        <f t="shared" si="112"/>
        <v>0</v>
      </c>
    </row>
    <row r="277" spans="1:7" ht="15" customHeight="1">
      <c r="A277" s="741">
        <v>28</v>
      </c>
      <c r="B277" s="741">
        <f t="shared" ca="1" si="113"/>
        <v>0</v>
      </c>
      <c r="C277" s="741">
        <f t="shared" ca="1" si="113"/>
        <v>0</v>
      </c>
      <c r="D277" s="741">
        <f t="shared" si="113"/>
        <v>0</v>
      </c>
      <c r="E277" s="741">
        <f t="shared" si="113"/>
        <v>0</v>
      </c>
      <c r="F277" s="741">
        <f t="shared" ca="1" si="110"/>
        <v>0</v>
      </c>
      <c r="G277" s="741">
        <f t="shared" si="112"/>
        <v>0</v>
      </c>
    </row>
    <row r="278" spans="1:7" ht="15" customHeight="1">
      <c r="A278" s="741">
        <v>29</v>
      </c>
      <c r="B278" s="741">
        <f t="shared" ca="1" si="113"/>
        <v>0</v>
      </c>
      <c r="C278" s="741">
        <f t="shared" ca="1" si="113"/>
        <v>0</v>
      </c>
      <c r="D278" s="741">
        <f t="shared" si="113"/>
        <v>0</v>
      </c>
      <c r="E278" s="741">
        <f t="shared" si="113"/>
        <v>0</v>
      </c>
      <c r="F278" s="741">
        <f t="shared" ca="1" si="110"/>
        <v>0</v>
      </c>
      <c r="G278" s="741">
        <f t="shared" si="112"/>
        <v>0</v>
      </c>
    </row>
    <row r="279" spans="1:7" ht="15" customHeight="1">
      <c r="A279" s="741">
        <v>30</v>
      </c>
      <c r="B279" s="741">
        <f t="shared" ca="1" si="113"/>
        <v>0</v>
      </c>
      <c r="C279" s="741">
        <f t="shared" ca="1" si="113"/>
        <v>0</v>
      </c>
      <c r="D279" s="741">
        <f t="shared" si="113"/>
        <v>0</v>
      </c>
      <c r="E279" s="741">
        <f t="shared" si="113"/>
        <v>0</v>
      </c>
      <c r="F279" s="741">
        <f t="shared" ca="1" si="110"/>
        <v>0</v>
      </c>
      <c r="G279" s="741">
        <f t="shared" si="112"/>
        <v>0</v>
      </c>
    </row>
    <row r="280" spans="1:7" ht="15" customHeight="1">
      <c r="A280" s="741">
        <v>31</v>
      </c>
      <c r="B280" s="741">
        <f t="shared" ca="1" si="113"/>
        <v>0</v>
      </c>
      <c r="C280" s="741">
        <f t="shared" ca="1" si="113"/>
        <v>0</v>
      </c>
      <c r="D280" s="741">
        <f t="shared" si="113"/>
        <v>0</v>
      </c>
      <c r="E280" s="741">
        <f t="shared" si="113"/>
        <v>0</v>
      </c>
      <c r="F280" s="741">
        <f t="shared" ca="1" si="110"/>
        <v>0</v>
      </c>
      <c r="G280" s="741">
        <f t="shared" si="112"/>
        <v>0</v>
      </c>
    </row>
    <row r="281" spans="1:7" ht="15" customHeight="1">
      <c r="A281" s="741">
        <v>32</v>
      </c>
      <c r="B281" s="741">
        <f t="shared" ca="1" si="113"/>
        <v>0</v>
      </c>
      <c r="C281" s="741">
        <f t="shared" ca="1" si="113"/>
        <v>0</v>
      </c>
      <c r="D281" s="741">
        <f t="shared" si="113"/>
        <v>0</v>
      </c>
      <c r="E281" s="741">
        <f t="shared" si="113"/>
        <v>0</v>
      </c>
      <c r="F281" s="741">
        <f t="shared" ca="1" si="110"/>
        <v>0</v>
      </c>
      <c r="G281" s="741">
        <f t="shared" si="112"/>
        <v>0</v>
      </c>
    </row>
    <row r="282" spans="1:7" ht="15" customHeight="1">
      <c r="A282" s="741">
        <v>33</v>
      </c>
      <c r="B282" s="741">
        <f t="shared" ref="B282:E297" ca="1" si="114">B151+B218</f>
        <v>0</v>
      </c>
      <c r="C282" s="741">
        <f t="shared" ca="1" si="114"/>
        <v>0</v>
      </c>
      <c r="D282" s="741">
        <f t="shared" si="114"/>
        <v>0</v>
      </c>
      <c r="E282" s="741">
        <f t="shared" si="114"/>
        <v>0</v>
      </c>
      <c r="F282" s="741">
        <f t="shared" ca="1" si="110"/>
        <v>0</v>
      </c>
      <c r="G282" s="741">
        <f t="shared" si="112"/>
        <v>0</v>
      </c>
    </row>
    <row r="283" spans="1:7" ht="15" customHeight="1">
      <c r="A283" s="741">
        <v>34</v>
      </c>
      <c r="B283" s="741">
        <f t="shared" ca="1" si="114"/>
        <v>0</v>
      </c>
      <c r="C283" s="741">
        <f t="shared" ca="1" si="114"/>
        <v>0</v>
      </c>
      <c r="D283" s="741">
        <f t="shared" si="114"/>
        <v>0</v>
      </c>
      <c r="E283" s="741">
        <f t="shared" si="114"/>
        <v>0</v>
      </c>
      <c r="F283" s="741">
        <f t="shared" ca="1" si="110"/>
        <v>0</v>
      </c>
      <c r="G283" s="741">
        <f t="shared" si="112"/>
        <v>0</v>
      </c>
    </row>
    <row r="284" spans="1:7" ht="15" customHeight="1">
      <c r="A284" s="741">
        <v>35</v>
      </c>
      <c r="B284" s="741">
        <f t="shared" ca="1" si="114"/>
        <v>0</v>
      </c>
      <c r="C284" s="741">
        <f t="shared" ca="1" si="114"/>
        <v>0</v>
      </c>
      <c r="D284" s="741">
        <f t="shared" si="114"/>
        <v>0</v>
      </c>
      <c r="E284" s="741">
        <f t="shared" si="114"/>
        <v>0</v>
      </c>
      <c r="F284" s="741">
        <f t="shared" ca="1" si="110"/>
        <v>0</v>
      </c>
      <c r="G284" s="741">
        <f t="shared" si="112"/>
        <v>0</v>
      </c>
    </row>
    <row r="285" spans="1:7" ht="15" customHeight="1">
      <c r="A285" s="741">
        <v>36</v>
      </c>
      <c r="B285" s="741">
        <f t="shared" ca="1" si="114"/>
        <v>0</v>
      </c>
      <c r="C285" s="741">
        <f t="shared" ca="1" si="114"/>
        <v>0</v>
      </c>
      <c r="D285" s="741">
        <f t="shared" si="114"/>
        <v>0</v>
      </c>
      <c r="E285" s="741">
        <f t="shared" si="114"/>
        <v>0</v>
      </c>
      <c r="F285" s="741">
        <f t="shared" ca="1" si="110"/>
        <v>0</v>
      </c>
      <c r="G285" s="741">
        <f t="shared" si="112"/>
        <v>0</v>
      </c>
    </row>
    <row r="286" spans="1:7" ht="15" customHeight="1">
      <c r="A286" s="741">
        <v>37</v>
      </c>
      <c r="B286" s="741">
        <f t="shared" ca="1" si="114"/>
        <v>0</v>
      </c>
      <c r="C286" s="741">
        <f t="shared" ca="1" si="114"/>
        <v>0</v>
      </c>
      <c r="D286" s="741">
        <f t="shared" si="114"/>
        <v>0</v>
      </c>
      <c r="E286" s="741">
        <f t="shared" si="114"/>
        <v>0</v>
      </c>
      <c r="F286" s="741">
        <f t="shared" ca="1" si="110"/>
        <v>0</v>
      </c>
      <c r="G286" s="741">
        <f t="shared" si="112"/>
        <v>0</v>
      </c>
    </row>
    <row r="287" spans="1:7" ht="15" customHeight="1">
      <c r="A287" s="741">
        <v>38</v>
      </c>
      <c r="B287" s="741">
        <f t="shared" ca="1" si="114"/>
        <v>0</v>
      </c>
      <c r="C287" s="741">
        <f t="shared" ca="1" si="114"/>
        <v>0</v>
      </c>
      <c r="D287" s="741">
        <f t="shared" si="114"/>
        <v>0</v>
      </c>
      <c r="E287" s="741">
        <f t="shared" si="114"/>
        <v>0</v>
      </c>
      <c r="F287" s="741">
        <f t="shared" ca="1" si="110"/>
        <v>0</v>
      </c>
      <c r="G287" s="741">
        <f t="shared" si="112"/>
        <v>0</v>
      </c>
    </row>
    <row r="288" spans="1:7" ht="15" customHeight="1">
      <c r="A288" s="741">
        <v>39</v>
      </c>
      <c r="B288" s="741">
        <f t="shared" ca="1" si="114"/>
        <v>0</v>
      </c>
      <c r="C288" s="741">
        <f t="shared" ca="1" si="114"/>
        <v>0</v>
      </c>
      <c r="D288" s="741">
        <f t="shared" si="114"/>
        <v>0</v>
      </c>
      <c r="E288" s="741">
        <f t="shared" si="114"/>
        <v>0</v>
      </c>
      <c r="F288" s="741">
        <f t="shared" ca="1" si="110"/>
        <v>0</v>
      </c>
      <c r="G288" s="741">
        <f t="shared" si="112"/>
        <v>0</v>
      </c>
    </row>
    <row r="289" spans="1:7" ht="15" customHeight="1">
      <c r="A289" s="741">
        <v>40</v>
      </c>
      <c r="B289" s="741">
        <f t="shared" ca="1" si="114"/>
        <v>0</v>
      </c>
      <c r="C289" s="741">
        <f t="shared" ca="1" si="114"/>
        <v>0</v>
      </c>
      <c r="D289" s="741">
        <f t="shared" si="114"/>
        <v>0</v>
      </c>
      <c r="E289" s="741">
        <f t="shared" si="114"/>
        <v>0</v>
      </c>
      <c r="F289" s="741">
        <f t="shared" ca="1" si="110"/>
        <v>0</v>
      </c>
      <c r="G289" s="741">
        <f t="shared" si="112"/>
        <v>0</v>
      </c>
    </row>
    <row r="290" spans="1:7" ht="15" customHeight="1">
      <c r="A290" s="741">
        <v>41</v>
      </c>
      <c r="B290" s="741">
        <f t="shared" ca="1" si="114"/>
        <v>0</v>
      </c>
      <c r="C290" s="741">
        <f t="shared" ca="1" si="114"/>
        <v>0</v>
      </c>
      <c r="D290" s="741">
        <f t="shared" si="114"/>
        <v>0</v>
      </c>
      <c r="E290" s="741">
        <f t="shared" si="114"/>
        <v>0</v>
      </c>
      <c r="F290" s="741">
        <f t="shared" ca="1" si="110"/>
        <v>0</v>
      </c>
      <c r="G290" s="741">
        <f t="shared" si="112"/>
        <v>0</v>
      </c>
    </row>
    <row r="291" spans="1:7" ht="15" customHeight="1">
      <c r="A291" s="741">
        <v>42</v>
      </c>
      <c r="B291" s="741">
        <f t="shared" ca="1" si="114"/>
        <v>0</v>
      </c>
      <c r="C291" s="741">
        <f t="shared" ca="1" si="114"/>
        <v>0</v>
      </c>
      <c r="D291" s="741">
        <f t="shared" si="114"/>
        <v>0</v>
      </c>
      <c r="E291" s="741">
        <f t="shared" si="114"/>
        <v>0</v>
      </c>
      <c r="F291" s="741">
        <f t="shared" ca="1" si="110"/>
        <v>0</v>
      </c>
      <c r="G291" s="741">
        <f t="shared" si="112"/>
        <v>0</v>
      </c>
    </row>
    <row r="292" spans="1:7" ht="15" customHeight="1">
      <c r="A292" s="741">
        <v>43</v>
      </c>
      <c r="B292" s="741">
        <f t="shared" ca="1" si="114"/>
        <v>0</v>
      </c>
      <c r="C292" s="741">
        <f t="shared" ca="1" si="114"/>
        <v>0</v>
      </c>
      <c r="D292" s="741">
        <f t="shared" si="114"/>
        <v>0</v>
      </c>
      <c r="E292" s="741">
        <f t="shared" si="114"/>
        <v>0</v>
      </c>
      <c r="F292" s="741">
        <f t="shared" ca="1" si="110"/>
        <v>0</v>
      </c>
      <c r="G292" s="741">
        <f t="shared" si="112"/>
        <v>0</v>
      </c>
    </row>
    <row r="293" spans="1:7" ht="15" customHeight="1">
      <c r="A293" s="741">
        <v>44</v>
      </c>
      <c r="B293" s="741">
        <f t="shared" ca="1" si="114"/>
        <v>0</v>
      </c>
      <c r="C293" s="741">
        <f t="shared" ca="1" si="114"/>
        <v>0</v>
      </c>
      <c r="D293" s="741">
        <f t="shared" si="114"/>
        <v>0</v>
      </c>
      <c r="E293" s="741">
        <f t="shared" si="114"/>
        <v>0</v>
      </c>
      <c r="F293" s="741">
        <f t="shared" ca="1" si="110"/>
        <v>0</v>
      </c>
      <c r="G293" s="741">
        <f t="shared" si="112"/>
        <v>0</v>
      </c>
    </row>
    <row r="294" spans="1:7" ht="15" customHeight="1">
      <c r="A294" s="741">
        <v>45</v>
      </c>
      <c r="B294" s="741">
        <f t="shared" ca="1" si="114"/>
        <v>0</v>
      </c>
      <c r="C294" s="741">
        <f t="shared" ca="1" si="114"/>
        <v>0</v>
      </c>
      <c r="D294" s="741">
        <f t="shared" si="114"/>
        <v>0</v>
      </c>
      <c r="E294" s="741">
        <f t="shared" si="114"/>
        <v>0</v>
      </c>
      <c r="F294" s="741">
        <f t="shared" ca="1" si="110"/>
        <v>0</v>
      </c>
      <c r="G294" s="741">
        <f t="shared" si="112"/>
        <v>0</v>
      </c>
    </row>
    <row r="295" spans="1:7" ht="15" customHeight="1">
      <c r="A295" s="741">
        <v>46</v>
      </c>
      <c r="B295" s="741">
        <f t="shared" ca="1" si="114"/>
        <v>0</v>
      </c>
      <c r="C295" s="741">
        <f t="shared" ca="1" si="114"/>
        <v>0</v>
      </c>
      <c r="D295" s="741">
        <f t="shared" si="114"/>
        <v>0</v>
      </c>
      <c r="E295" s="741">
        <f t="shared" si="114"/>
        <v>0</v>
      </c>
      <c r="F295" s="741">
        <f t="shared" ca="1" si="110"/>
        <v>0</v>
      </c>
      <c r="G295" s="741">
        <f t="shared" si="112"/>
        <v>0</v>
      </c>
    </row>
    <row r="296" spans="1:7" ht="15" customHeight="1">
      <c r="A296" s="741">
        <v>47</v>
      </c>
      <c r="B296" s="741">
        <f t="shared" ca="1" si="114"/>
        <v>0</v>
      </c>
      <c r="C296" s="741">
        <f t="shared" ca="1" si="114"/>
        <v>0</v>
      </c>
      <c r="D296" s="741">
        <f t="shared" si="114"/>
        <v>0</v>
      </c>
      <c r="E296" s="741">
        <f t="shared" si="114"/>
        <v>0</v>
      </c>
      <c r="F296" s="741">
        <f t="shared" ca="1" si="110"/>
        <v>0</v>
      </c>
      <c r="G296" s="741">
        <f t="shared" si="112"/>
        <v>0</v>
      </c>
    </row>
    <row r="297" spans="1:7" ht="15" customHeight="1">
      <c r="A297" s="741">
        <v>48</v>
      </c>
      <c r="B297" s="741">
        <f t="shared" ca="1" si="114"/>
        <v>0</v>
      </c>
      <c r="C297" s="741">
        <f t="shared" ca="1" si="114"/>
        <v>0</v>
      </c>
      <c r="D297" s="741">
        <f t="shared" si="114"/>
        <v>0</v>
      </c>
      <c r="E297" s="741">
        <f t="shared" si="114"/>
        <v>0</v>
      </c>
      <c r="F297" s="741">
        <f t="shared" ca="1" si="110"/>
        <v>0</v>
      </c>
      <c r="G297" s="741">
        <f t="shared" si="112"/>
        <v>0</v>
      </c>
    </row>
    <row r="298" spans="1:7" ht="15" customHeight="1">
      <c r="A298" s="741">
        <v>49</v>
      </c>
      <c r="B298" s="741">
        <f t="shared" ref="B298:E309" ca="1" si="115">B167+B234</f>
        <v>0</v>
      </c>
      <c r="C298" s="741">
        <f t="shared" ca="1" si="115"/>
        <v>0</v>
      </c>
      <c r="D298" s="741">
        <f t="shared" si="115"/>
        <v>0</v>
      </c>
      <c r="E298" s="741">
        <f t="shared" si="115"/>
        <v>0</v>
      </c>
      <c r="F298" s="741">
        <f t="shared" ca="1" si="110"/>
        <v>0</v>
      </c>
      <c r="G298" s="741">
        <f t="shared" si="112"/>
        <v>0</v>
      </c>
    </row>
    <row r="299" spans="1:7" ht="15" customHeight="1">
      <c r="A299" s="741">
        <v>50</v>
      </c>
      <c r="B299" s="741">
        <f t="shared" ca="1" si="115"/>
        <v>0</v>
      </c>
      <c r="C299" s="741">
        <f t="shared" ca="1" si="115"/>
        <v>0</v>
      </c>
      <c r="D299" s="741">
        <f t="shared" si="115"/>
        <v>0</v>
      </c>
      <c r="E299" s="741">
        <f t="shared" si="115"/>
        <v>0</v>
      </c>
      <c r="F299" s="741">
        <f t="shared" ca="1" si="110"/>
        <v>0</v>
      </c>
      <c r="G299" s="741">
        <f t="shared" si="112"/>
        <v>0</v>
      </c>
    </row>
    <row r="300" spans="1:7" ht="15" customHeight="1">
      <c r="A300" s="741">
        <v>51</v>
      </c>
      <c r="B300" s="741">
        <f t="shared" ca="1" si="115"/>
        <v>0</v>
      </c>
      <c r="C300" s="741">
        <f t="shared" ca="1" si="115"/>
        <v>0</v>
      </c>
      <c r="D300" s="741">
        <f t="shared" si="115"/>
        <v>0</v>
      </c>
      <c r="E300" s="741">
        <f t="shared" si="115"/>
        <v>0</v>
      </c>
      <c r="F300" s="741">
        <f t="shared" ca="1" si="110"/>
        <v>0</v>
      </c>
      <c r="G300" s="741">
        <f t="shared" si="112"/>
        <v>0</v>
      </c>
    </row>
    <row r="301" spans="1:7" ht="15" customHeight="1">
      <c r="A301" s="741">
        <v>52</v>
      </c>
      <c r="B301" s="741">
        <f t="shared" ca="1" si="115"/>
        <v>0</v>
      </c>
      <c r="C301" s="741">
        <f t="shared" ca="1" si="115"/>
        <v>0</v>
      </c>
      <c r="D301" s="741">
        <f t="shared" si="115"/>
        <v>0</v>
      </c>
      <c r="E301" s="741">
        <f t="shared" si="115"/>
        <v>0</v>
      </c>
      <c r="F301" s="741">
        <f t="shared" ca="1" si="110"/>
        <v>0</v>
      </c>
      <c r="G301" s="741">
        <f t="shared" si="112"/>
        <v>0</v>
      </c>
    </row>
    <row r="302" spans="1:7" ht="15" customHeight="1">
      <c r="A302" s="741">
        <v>53</v>
      </c>
      <c r="B302" s="741">
        <f t="shared" ca="1" si="115"/>
        <v>0</v>
      </c>
      <c r="C302" s="741">
        <f t="shared" ca="1" si="115"/>
        <v>0</v>
      </c>
      <c r="D302" s="741">
        <f t="shared" si="115"/>
        <v>0</v>
      </c>
      <c r="E302" s="741">
        <f t="shared" si="115"/>
        <v>0</v>
      </c>
      <c r="F302" s="741">
        <f t="shared" ca="1" si="110"/>
        <v>0</v>
      </c>
      <c r="G302" s="741">
        <f t="shared" si="112"/>
        <v>0</v>
      </c>
    </row>
    <row r="303" spans="1:7" ht="15" customHeight="1">
      <c r="A303" s="741">
        <v>54</v>
      </c>
      <c r="B303" s="741">
        <f t="shared" ca="1" si="115"/>
        <v>0</v>
      </c>
      <c r="C303" s="741">
        <f t="shared" ca="1" si="115"/>
        <v>0</v>
      </c>
      <c r="D303" s="741">
        <f t="shared" si="115"/>
        <v>0</v>
      </c>
      <c r="E303" s="741">
        <f t="shared" si="115"/>
        <v>0</v>
      </c>
      <c r="F303" s="741">
        <f t="shared" ca="1" si="110"/>
        <v>0</v>
      </c>
      <c r="G303" s="741">
        <f t="shared" si="112"/>
        <v>0</v>
      </c>
    </row>
    <row r="304" spans="1:7" ht="15" customHeight="1">
      <c r="A304" s="741">
        <v>55</v>
      </c>
      <c r="B304" s="741">
        <f t="shared" ca="1" si="115"/>
        <v>0</v>
      </c>
      <c r="C304" s="741">
        <f t="shared" ca="1" si="115"/>
        <v>0</v>
      </c>
      <c r="D304" s="741">
        <f t="shared" si="115"/>
        <v>0</v>
      </c>
      <c r="E304" s="741">
        <f t="shared" si="115"/>
        <v>0</v>
      </c>
      <c r="F304" s="741">
        <f t="shared" ca="1" si="110"/>
        <v>0</v>
      </c>
      <c r="G304" s="741">
        <f t="shared" si="112"/>
        <v>0</v>
      </c>
    </row>
    <row r="305" spans="1:7" ht="15" customHeight="1">
      <c r="A305" s="741">
        <v>56</v>
      </c>
      <c r="B305" s="741">
        <f t="shared" ca="1" si="115"/>
        <v>0</v>
      </c>
      <c r="C305" s="741">
        <f t="shared" ca="1" si="115"/>
        <v>0</v>
      </c>
      <c r="D305" s="741">
        <f t="shared" si="115"/>
        <v>0</v>
      </c>
      <c r="E305" s="741">
        <f t="shared" si="115"/>
        <v>0</v>
      </c>
      <c r="F305" s="741">
        <f t="shared" ca="1" si="110"/>
        <v>0</v>
      </c>
      <c r="G305" s="741">
        <f t="shared" si="112"/>
        <v>0</v>
      </c>
    </row>
    <row r="306" spans="1:7" ht="15" customHeight="1">
      <c r="A306" s="741">
        <v>57</v>
      </c>
      <c r="B306" s="741">
        <f t="shared" ca="1" si="115"/>
        <v>0</v>
      </c>
      <c r="C306" s="741">
        <f t="shared" ca="1" si="115"/>
        <v>0</v>
      </c>
      <c r="D306" s="741">
        <f t="shared" si="115"/>
        <v>0</v>
      </c>
      <c r="E306" s="741">
        <f t="shared" si="115"/>
        <v>0</v>
      </c>
      <c r="F306" s="741">
        <f t="shared" ca="1" si="110"/>
        <v>0</v>
      </c>
      <c r="G306" s="741">
        <f t="shared" si="112"/>
        <v>0</v>
      </c>
    </row>
    <row r="307" spans="1:7" ht="15" customHeight="1">
      <c r="A307" s="741">
        <v>58</v>
      </c>
      <c r="B307" s="741">
        <f t="shared" ca="1" si="115"/>
        <v>0</v>
      </c>
      <c r="C307" s="741">
        <f t="shared" ca="1" si="115"/>
        <v>0</v>
      </c>
      <c r="D307" s="741">
        <f t="shared" si="115"/>
        <v>0</v>
      </c>
      <c r="E307" s="741">
        <f t="shared" si="115"/>
        <v>0</v>
      </c>
      <c r="F307" s="741">
        <f t="shared" ca="1" si="110"/>
        <v>0</v>
      </c>
      <c r="G307" s="741">
        <f t="shared" si="112"/>
        <v>0</v>
      </c>
    </row>
    <row r="308" spans="1:7" ht="15" customHeight="1">
      <c r="A308" s="741">
        <v>59</v>
      </c>
      <c r="B308" s="741">
        <f t="shared" ca="1" si="115"/>
        <v>0</v>
      </c>
      <c r="C308" s="741">
        <f t="shared" ca="1" si="115"/>
        <v>0</v>
      </c>
      <c r="D308" s="741">
        <f t="shared" si="115"/>
        <v>0</v>
      </c>
      <c r="E308" s="741">
        <f t="shared" si="115"/>
        <v>0</v>
      </c>
      <c r="F308" s="741">
        <f t="shared" ca="1" si="110"/>
        <v>0</v>
      </c>
      <c r="G308" s="741">
        <f t="shared" si="112"/>
        <v>0</v>
      </c>
    </row>
    <row r="309" spans="1:7" ht="15" customHeight="1">
      <c r="A309" s="741">
        <v>60</v>
      </c>
      <c r="B309" s="741">
        <f t="shared" ca="1" si="115"/>
        <v>0</v>
      </c>
      <c r="C309" s="741">
        <f t="shared" ca="1" si="115"/>
        <v>0</v>
      </c>
      <c r="D309" s="741">
        <f t="shared" si="115"/>
        <v>0</v>
      </c>
      <c r="E309" s="741">
        <f t="shared" si="115"/>
        <v>0</v>
      </c>
      <c r="F309" s="741">
        <f t="shared" ca="1" si="110"/>
        <v>0</v>
      </c>
      <c r="G309" s="741">
        <f t="shared" si="112"/>
        <v>0</v>
      </c>
    </row>
    <row r="310" spans="1:7" ht="15" customHeight="1">
      <c r="A310" s="737" t="s">
        <v>605</v>
      </c>
      <c r="B310" s="737" t="s">
        <v>605</v>
      </c>
      <c r="C310" s="737" t="s">
        <v>605</v>
      </c>
      <c r="D310" s="737" t="s">
        <v>605</v>
      </c>
      <c r="E310" s="737" t="s">
        <v>605</v>
      </c>
      <c r="F310" s="737" t="s">
        <v>605</v>
      </c>
      <c r="G310" s="737" t="s">
        <v>605</v>
      </c>
    </row>
    <row r="312" spans="1:7" ht="15" customHeight="1">
      <c r="A312" s="737" t="s">
        <v>228</v>
      </c>
    </row>
    <row r="314" spans="1:7" ht="15" customHeight="1">
      <c r="A314" s="737" t="s">
        <v>605</v>
      </c>
      <c r="B314" s="737" t="s">
        <v>605</v>
      </c>
      <c r="C314" s="737" t="s">
        <v>605</v>
      </c>
      <c r="D314" s="737" t="s">
        <v>605</v>
      </c>
      <c r="E314" s="737" t="s">
        <v>605</v>
      </c>
      <c r="F314" s="737" t="s">
        <v>605</v>
      </c>
      <c r="G314" s="737" t="s">
        <v>605</v>
      </c>
    </row>
    <row r="315" spans="1:7" ht="15" customHeight="1">
      <c r="B315" s="737" t="s">
        <v>692</v>
      </c>
      <c r="C315" s="737" t="s">
        <v>693</v>
      </c>
      <c r="D315" s="737" t="s">
        <v>694</v>
      </c>
      <c r="E315" s="737" t="s">
        <v>186</v>
      </c>
      <c r="F315" s="737" t="s">
        <v>187</v>
      </c>
      <c r="G315" s="737" t="s">
        <v>49</v>
      </c>
    </row>
    <row r="316" spans="1:7" ht="15" customHeight="1">
      <c r="A316" s="737" t="s">
        <v>605</v>
      </c>
      <c r="B316" s="737" t="s">
        <v>605</v>
      </c>
      <c r="C316" s="737" t="s">
        <v>605</v>
      </c>
      <c r="D316" s="737" t="s">
        <v>605</v>
      </c>
      <c r="E316" s="737" t="s">
        <v>605</v>
      </c>
      <c r="F316" s="737" t="s">
        <v>605</v>
      </c>
      <c r="G316" s="737" t="s">
        <v>605</v>
      </c>
    </row>
    <row r="317" spans="1:7" ht="15" customHeight="1">
      <c r="A317" s="737" t="s">
        <v>136</v>
      </c>
      <c r="B317" s="737">
        <f ca="1">F261</f>
        <v>0</v>
      </c>
      <c r="C317" s="737">
        <f ca="1">F273</f>
        <v>0</v>
      </c>
      <c r="D317" s="737">
        <f ca="1">F285</f>
        <v>0</v>
      </c>
      <c r="E317" s="737">
        <f ca="1">F297</f>
        <v>0</v>
      </c>
      <c r="F317" s="737">
        <f ca="1">F309</f>
        <v>0</v>
      </c>
    </row>
    <row r="318" spans="1:7" ht="15" customHeight="1">
      <c r="A318" s="737" t="s">
        <v>137</v>
      </c>
      <c r="B318" s="737">
        <f ca="1">SUM(C250:C261)</f>
        <v>0</v>
      </c>
      <c r="C318" s="737">
        <f ca="1">SUM(C262:C273)</f>
        <v>0</v>
      </c>
      <c r="D318" s="737">
        <f ca="1">SUM(C274:C285)</f>
        <v>0</v>
      </c>
      <c r="E318" s="737">
        <f ca="1">SUM(C286:C297)</f>
        <v>0</v>
      </c>
      <c r="F318" s="737">
        <f ca="1">SUM(C298:C309)</f>
        <v>0</v>
      </c>
      <c r="G318" s="737">
        <f ca="1">SUM(B318:F318)</f>
        <v>0</v>
      </c>
    </row>
    <row r="319" spans="1:7" ht="15" customHeight="1">
      <c r="A319" s="737" t="s">
        <v>138</v>
      </c>
      <c r="B319" s="737">
        <f>SUM(D250:E261)</f>
        <v>0</v>
      </c>
      <c r="C319" s="737">
        <f>SUM(D262:E273)</f>
        <v>0</v>
      </c>
      <c r="D319" s="737">
        <f>SUM(D274:E285)</f>
        <v>0</v>
      </c>
      <c r="E319" s="737">
        <f>SUM(D286:E297)</f>
        <v>0</v>
      </c>
      <c r="F319" s="737">
        <f>SUM(D298:E309)</f>
        <v>0</v>
      </c>
      <c r="G319" s="737">
        <f>SUM(B319:F319)</f>
        <v>0</v>
      </c>
    </row>
    <row r="320" spans="1:7" ht="15" customHeight="1">
      <c r="A320" s="737" t="s">
        <v>605</v>
      </c>
      <c r="B320" s="737" t="s">
        <v>605</v>
      </c>
      <c r="C320" s="737" t="s">
        <v>605</v>
      </c>
      <c r="D320" s="737" t="s">
        <v>605</v>
      </c>
      <c r="E320" s="737" t="s">
        <v>605</v>
      </c>
      <c r="F320" s="737" t="s">
        <v>605</v>
      </c>
      <c r="G320" s="737" t="s">
        <v>605</v>
      </c>
    </row>
    <row r="321" spans="1:7" ht="15" customHeight="1">
      <c r="A321" s="737" t="s">
        <v>139</v>
      </c>
      <c r="B321" s="737">
        <f t="shared" ref="B321:G321" ca="1" si="116">B319+B318</f>
        <v>0</v>
      </c>
      <c r="C321" s="737">
        <f t="shared" ca="1" si="116"/>
        <v>0</v>
      </c>
      <c r="D321" s="737">
        <f t="shared" ca="1" si="116"/>
        <v>0</v>
      </c>
      <c r="E321" s="737">
        <f t="shared" ca="1" si="116"/>
        <v>0</v>
      </c>
      <c r="F321" s="737">
        <f t="shared" ca="1" si="116"/>
        <v>0</v>
      </c>
      <c r="G321" s="737">
        <f t="shared" ca="1" si="116"/>
        <v>0</v>
      </c>
    </row>
    <row r="322" spans="1:7" ht="15" customHeight="1">
      <c r="A322" s="737" t="s">
        <v>605</v>
      </c>
      <c r="B322" s="737" t="s">
        <v>605</v>
      </c>
      <c r="C322" s="737" t="s">
        <v>605</v>
      </c>
      <c r="D322" s="737" t="s">
        <v>605</v>
      </c>
      <c r="E322" s="737" t="s">
        <v>605</v>
      </c>
      <c r="F322" s="737" t="s">
        <v>605</v>
      </c>
      <c r="G322" s="737" t="s">
        <v>605</v>
      </c>
    </row>
    <row r="324" spans="1:7" ht="15" customHeight="1">
      <c r="A324" s="737" t="s">
        <v>229</v>
      </c>
    </row>
    <row r="325" spans="1:7" ht="15" customHeight="1">
      <c r="A325" s="737" t="s">
        <v>605</v>
      </c>
      <c r="B325" s="737" t="s">
        <v>605</v>
      </c>
      <c r="C325" s="737" t="s">
        <v>600</v>
      </c>
      <c r="D325" s="764" t="s">
        <v>601</v>
      </c>
      <c r="E325" s="764" t="s">
        <v>602</v>
      </c>
      <c r="F325" s="764" t="s">
        <v>67</v>
      </c>
      <c r="G325" s="764" t="s">
        <v>68</v>
      </c>
    </row>
    <row r="326" spans="1:7" ht="15" customHeight="1">
      <c r="A326" s="737" t="s">
        <v>230</v>
      </c>
      <c r="B326" s="737">
        <f ca="1">H88</f>
        <v>47350000</v>
      </c>
    </row>
    <row r="327" spans="1:7" ht="15" customHeight="1">
      <c r="A327" s="737" t="s">
        <v>231</v>
      </c>
      <c r="B327" s="737">
        <v>0</v>
      </c>
    </row>
    <row r="328" spans="1:7" ht="15" customHeight="1">
      <c r="A328" s="737" t="s">
        <v>213</v>
      </c>
      <c r="B328" s="737">
        <f ca="1">B327*B326</f>
        <v>0</v>
      </c>
      <c r="C328" s="737">
        <f ca="1">+'inversion af'!C174</f>
        <v>5535000</v>
      </c>
      <c r="D328" s="737">
        <f ca="1">+'inversion af'!D174</f>
        <v>5535000</v>
      </c>
      <c r="E328" s="737">
        <f ca="1">+'inversion af'!E174</f>
        <v>5535000</v>
      </c>
      <c r="F328" s="737">
        <f ca="1">+H26+H51+H76</f>
        <v>5535000</v>
      </c>
      <c r="G328" s="737">
        <f ca="1">+I26+I51+I76</f>
        <v>5535000</v>
      </c>
    </row>
    <row r="329" spans="1:7" ht="15" customHeight="1">
      <c r="A329" s="737" t="s">
        <v>605</v>
      </c>
      <c r="B329" s="737" t="s">
        <v>605</v>
      </c>
    </row>
    <row r="331" spans="1:7" ht="15" customHeight="1">
      <c r="A331" s="737" t="s">
        <v>232</v>
      </c>
      <c r="B331" s="737">
        <f ca="1">MAX(B250:B309)</f>
        <v>0</v>
      </c>
    </row>
  </sheetData>
  <sheetProtection password="902B" sheet="1" objects="1" scenarios="1"/>
  <phoneticPr fontId="62" type="noConversion"/>
  <pageMargins left="0.75" right="0.75" top="1" bottom="1" header="0" footer="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Z420"/>
  <sheetViews>
    <sheetView workbookViewId="0">
      <selection activeCell="A4" sqref="A4"/>
    </sheetView>
  </sheetViews>
  <sheetFormatPr baseColWidth="10" defaultRowHeight="12.75"/>
  <cols>
    <col min="1" max="1" width="36.42578125" style="102" customWidth="1"/>
    <col min="2" max="2" width="16" style="102" customWidth="1"/>
    <col min="3" max="3" width="25.42578125" style="102" customWidth="1"/>
    <col min="4" max="4" width="17.140625" style="102" customWidth="1"/>
    <col min="5" max="5" width="16.85546875" style="102" customWidth="1"/>
    <col min="6" max="6" width="16.7109375" style="124" customWidth="1"/>
    <col min="7" max="8" width="17.42578125" style="102" customWidth="1"/>
    <col min="9" max="9" width="17.5703125" style="125" customWidth="1"/>
    <col min="10" max="10" width="16.7109375" style="102" customWidth="1"/>
    <col min="11" max="11" width="17.140625" style="110" customWidth="1"/>
    <col min="12" max="12" width="18.28515625" style="102" bestFit="1" customWidth="1"/>
    <col min="13" max="13" width="12" style="102" customWidth="1"/>
    <col min="14" max="14" width="10.28515625" style="102" bestFit="1" customWidth="1"/>
    <col min="15" max="15" width="13.7109375" style="102" customWidth="1"/>
    <col min="16" max="16" width="14.42578125" style="102" customWidth="1"/>
    <col min="17" max="17" width="15" style="102" customWidth="1"/>
    <col min="18" max="18" width="15.140625" style="102" customWidth="1"/>
    <col min="19" max="19" width="16.85546875" style="102" customWidth="1"/>
    <col min="20" max="20" width="16.5703125" style="103" customWidth="1"/>
    <col min="21" max="21" width="11.42578125" style="102"/>
    <col min="22" max="22" width="16" style="102" customWidth="1"/>
    <col min="23" max="16384" width="11.42578125" style="102"/>
  </cols>
  <sheetData>
    <row r="1" spans="1:21" ht="15" customHeight="1">
      <c r="A1" s="96" t="s">
        <v>635</v>
      </c>
      <c r="B1" s="97" t="s">
        <v>384</v>
      </c>
      <c r="C1" s="98" t="s">
        <v>672</v>
      </c>
      <c r="D1" s="99" t="s">
        <v>263</v>
      </c>
      <c r="E1" s="98" t="s">
        <v>264</v>
      </c>
      <c r="F1" s="100" t="s">
        <v>265</v>
      </c>
      <c r="G1" s="101" t="s">
        <v>637</v>
      </c>
      <c r="H1" s="8" t="s">
        <v>266</v>
      </c>
      <c r="I1" s="8"/>
      <c r="J1" s="98"/>
      <c r="K1" s="98"/>
      <c r="L1" s="5"/>
      <c r="M1" s="5"/>
      <c r="N1" s="5"/>
      <c r="O1" s="5"/>
    </row>
    <row r="2" spans="1:21" ht="15.75">
      <c r="A2" s="108" t="s">
        <v>893</v>
      </c>
      <c r="B2" s="108">
        <v>1</v>
      </c>
      <c r="C2" s="906">
        <v>30800000</v>
      </c>
      <c r="D2" s="907" t="s">
        <v>625</v>
      </c>
      <c r="E2" s="104">
        <f t="shared" ref="E2:E65" si="0">+B2*C2</f>
        <v>30800000</v>
      </c>
      <c r="F2" s="908" t="s">
        <v>653</v>
      </c>
      <c r="G2" s="9">
        <f t="shared" ref="G2:G61" si="1">IF(ISERROR(VLOOKUP(D2,$C$188:$D$197,2,FALSE))=TRUE,"",VLOOKUP(D2,$C$188:$D$197,2,FALSE))</f>
        <v>10</v>
      </c>
      <c r="H2" s="909" t="s">
        <v>892</v>
      </c>
      <c r="I2" s="105">
        <f t="shared" ref="I2:I65" si="2">IF(ISERROR(VLOOKUP(U2,$I$188:$J$211,2,FALSE))=TRUE,"",VLOOKUP(U2,$I$188:$J$211,2,FALSE))</f>
        <v>0</v>
      </c>
      <c r="J2" s="9"/>
      <c r="K2" s="9"/>
      <c r="L2" s="5">
        <f t="shared" ref="L2:L65" si="3">IF(F2="APORTE DE SOCIOS",E2,0)</f>
        <v>30800000</v>
      </c>
      <c r="M2" s="5">
        <f t="shared" ref="M2:M65" si="4">IF(ISERROR(IF(F2="CREDITO",IF(I2=0,E2,0),0))=TRUE,0,IF(F2="CREDITO",IF(I2=0,E2,0),0))</f>
        <v>0</v>
      </c>
      <c r="N2" s="5">
        <f t="shared" ref="N2:N65" si="5">IF(F2="NO REEMBOLSABLES",E2,IF(F2="DONACIONES",E2,0))</f>
        <v>0</v>
      </c>
      <c r="O2" s="5">
        <f>IF(H2="CREDITO",G2,0)</f>
        <v>0</v>
      </c>
      <c r="P2" s="102">
        <f t="shared" ref="P2:P65" si="6">VLOOKUP(H2,$G$188:$I$203,2,FALSE)</f>
        <v>11</v>
      </c>
      <c r="Q2" s="102">
        <f t="shared" ref="Q2:Q65" si="7">VLOOKUP(F2,$E$188:$F$191,2,FALSE)</f>
        <v>1</v>
      </c>
      <c r="R2" s="102">
        <f t="shared" ref="R2:R65" si="8">VLOOKUP(D2,$A$188:$B$196,2,FALSE)</f>
        <v>3</v>
      </c>
      <c r="S2" s="102" t="str">
        <f t="shared" ref="S2:S65" si="9">CONCATENATE(P2,Q2,R2)</f>
        <v>1113</v>
      </c>
      <c r="T2" s="103">
        <f t="shared" ref="T2:T65" si="10">IF(I2=0,E2,0)</f>
        <v>30800000</v>
      </c>
      <c r="U2" s="102">
        <f t="shared" ref="U2:U65" si="11">VALUE(CONCATENATE(Q2,P2))</f>
        <v>111</v>
      </c>
    </row>
    <row r="3" spans="1:21" ht="15.75">
      <c r="A3" s="108" t="s">
        <v>908</v>
      </c>
      <c r="B3" s="108">
        <v>1</v>
      </c>
      <c r="C3" s="906">
        <v>8000000</v>
      </c>
      <c r="D3" s="907" t="s">
        <v>627</v>
      </c>
      <c r="E3" s="104">
        <f t="shared" si="0"/>
        <v>8000000</v>
      </c>
      <c r="F3" s="908" t="s">
        <v>653</v>
      </c>
      <c r="G3" s="9">
        <f t="shared" si="1"/>
        <v>5</v>
      </c>
      <c r="H3" s="909" t="s">
        <v>892</v>
      </c>
      <c r="I3" s="105">
        <f t="shared" si="2"/>
        <v>0</v>
      </c>
      <c r="J3" s="9"/>
      <c r="K3" s="9"/>
      <c r="L3" s="5">
        <f t="shared" si="3"/>
        <v>8000000</v>
      </c>
      <c r="M3" s="5">
        <f t="shared" si="4"/>
        <v>0</v>
      </c>
      <c r="N3" s="5">
        <f t="shared" si="5"/>
        <v>0</v>
      </c>
      <c r="O3" s="5"/>
      <c r="P3" s="102">
        <f t="shared" si="6"/>
        <v>11</v>
      </c>
      <c r="Q3" s="102">
        <f t="shared" si="7"/>
        <v>1</v>
      </c>
      <c r="R3" s="102">
        <f t="shared" si="8"/>
        <v>5</v>
      </c>
      <c r="S3" s="102" t="str">
        <f t="shared" si="9"/>
        <v>1115</v>
      </c>
      <c r="T3" s="103">
        <f t="shared" si="10"/>
        <v>8000000</v>
      </c>
      <c r="U3" s="102">
        <f t="shared" si="11"/>
        <v>111</v>
      </c>
    </row>
    <row r="4" spans="1:21" ht="15.75">
      <c r="A4" s="108" t="s">
        <v>894</v>
      </c>
      <c r="B4" s="108">
        <v>1</v>
      </c>
      <c r="C4" s="906">
        <v>8550000</v>
      </c>
      <c r="D4" s="907" t="s">
        <v>628</v>
      </c>
      <c r="E4" s="104">
        <f t="shared" si="0"/>
        <v>8550000</v>
      </c>
      <c r="F4" s="908" t="s">
        <v>653</v>
      </c>
      <c r="G4" s="9">
        <f t="shared" si="1"/>
        <v>10</v>
      </c>
      <c r="H4" s="909" t="s">
        <v>892</v>
      </c>
      <c r="I4" s="105">
        <f t="shared" si="2"/>
        <v>0</v>
      </c>
      <c r="J4" s="9"/>
      <c r="K4" s="9"/>
      <c r="L4" s="5">
        <f t="shared" si="3"/>
        <v>8550000</v>
      </c>
      <c r="M4" s="5">
        <f t="shared" si="4"/>
        <v>0</v>
      </c>
      <c r="N4" s="5">
        <f t="shared" si="5"/>
        <v>0</v>
      </c>
      <c r="O4" s="5"/>
      <c r="P4" s="102">
        <f t="shared" si="6"/>
        <v>11</v>
      </c>
      <c r="Q4" s="102">
        <f t="shared" si="7"/>
        <v>1</v>
      </c>
      <c r="R4" s="102">
        <f t="shared" si="8"/>
        <v>6</v>
      </c>
      <c r="S4" s="102" t="str">
        <f t="shared" si="9"/>
        <v>1116</v>
      </c>
      <c r="T4" s="103">
        <f t="shared" si="10"/>
        <v>8550000</v>
      </c>
      <c r="U4" s="102">
        <f t="shared" si="11"/>
        <v>111</v>
      </c>
    </row>
    <row r="5" spans="1:21" ht="15.75">
      <c r="A5" s="108"/>
      <c r="B5" s="108"/>
      <c r="C5" s="906"/>
      <c r="D5" s="907"/>
      <c r="E5" s="104">
        <f t="shared" si="0"/>
        <v>0</v>
      </c>
      <c r="F5" s="908"/>
      <c r="G5" s="9" t="str">
        <f t="shared" si="1"/>
        <v/>
      </c>
      <c r="H5" s="909"/>
      <c r="I5" s="105" t="str">
        <f t="shared" si="2"/>
        <v/>
      </c>
      <c r="J5" s="9"/>
      <c r="K5" s="9"/>
      <c r="L5" s="5">
        <f t="shared" si="3"/>
        <v>0</v>
      </c>
      <c r="M5" s="5">
        <f t="shared" si="4"/>
        <v>0</v>
      </c>
      <c r="N5" s="5">
        <f t="shared" si="5"/>
        <v>0</v>
      </c>
      <c r="O5" s="7"/>
      <c r="P5" s="102" t="e">
        <f t="shared" si="6"/>
        <v>#N/A</v>
      </c>
      <c r="Q5" s="102" t="e">
        <f t="shared" si="7"/>
        <v>#N/A</v>
      </c>
      <c r="R5" s="102" t="e">
        <f t="shared" si="8"/>
        <v>#N/A</v>
      </c>
      <c r="S5" s="102" t="e">
        <f t="shared" si="9"/>
        <v>#N/A</v>
      </c>
      <c r="T5" s="103">
        <f t="shared" si="10"/>
        <v>0</v>
      </c>
      <c r="U5" s="102" t="e">
        <f t="shared" si="11"/>
        <v>#N/A</v>
      </c>
    </row>
    <row r="6" spans="1:21" ht="15.75">
      <c r="A6" s="108"/>
      <c r="B6" s="108"/>
      <c r="C6" s="906"/>
      <c r="D6" s="907"/>
      <c r="E6" s="104">
        <f t="shared" si="0"/>
        <v>0</v>
      </c>
      <c r="F6" s="908"/>
      <c r="G6" s="9" t="str">
        <f t="shared" si="1"/>
        <v/>
      </c>
      <c r="H6" s="909"/>
      <c r="I6" s="105" t="str">
        <f t="shared" si="2"/>
        <v/>
      </c>
      <c r="J6" s="9"/>
      <c r="K6" s="9"/>
      <c r="L6" s="5">
        <f t="shared" si="3"/>
        <v>0</v>
      </c>
      <c r="M6" s="5">
        <f t="shared" si="4"/>
        <v>0</v>
      </c>
      <c r="N6" s="5">
        <f t="shared" si="5"/>
        <v>0</v>
      </c>
      <c r="O6" s="7"/>
      <c r="P6" s="102" t="e">
        <f t="shared" si="6"/>
        <v>#N/A</v>
      </c>
      <c r="Q6" s="102" t="e">
        <f t="shared" si="7"/>
        <v>#N/A</v>
      </c>
      <c r="R6" s="102" t="e">
        <f t="shared" si="8"/>
        <v>#N/A</v>
      </c>
      <c r="S6" s="102" t="e">
        <f t="shared" si="9"/>
        <v>#N/A</v>
      </c>
      <c r="T6" s="103">
        <f t="shared" si="10"/>
        <v>0</v>
      </c>
      <c r="U6" s="102" t="e">
        <f t="shared" si="11"/>
        <v>#N/A</v>
      </c>
    </row>
    <row r="7" spans="1:21" ht="15.75">
      <c r="A7" s="108"/>
      <c r="B7" s="108"/>
      <c r="C7" s="906"/>
      <c r="D7" s="907"/>
      <c r="E7" s="104">
        <f t="shared" si="0"/>
        <v>0</v>
      </c>
      <c r="F7" s="908"/>
      <c r="G7" s="9" t="str">
        <f t="shared" si="1"/>
        <v/>
      </c>
      <c r="H7" s="909"/>
      <c r="I7" s="105" t="str">
        <f t="shared" si="2"/>
        <v/>
      </c>
      <c r="J7" s="9"/>
      <c r="K7" s="9"/>
      <c r="L7" s="5">
        <f t="shared" si="3"/>
        <v>0</v>
      </c>
      <c r="M7" s="5">
        <f t="shared" si="4"/>
        <v>0</v>
      </c>
      <c r="N7" s="5">
        <f t="shared" si="5"/>
        <v>0</v>
      </c>
      <c r="O7" s="7"/>
      <c r="P7" s="102" t="e">
        <f t="shared" si="6"/>
        <v>#N/A</v>
      </c>
      <c r="Q7" s="102" t="e">
        <f t="shared" si="7"/>
        <v>#N/A</v>
      </c>
      <c r="R7" s="102" t="e">
        <f t="shared" si="8"/>
        <v>#N/A</v>
      </c>
      <c r="S7" s="102" t="e">
        <f t="shared" si="9"/>
        <v>#N/A</v>
      </c>
      <c r="T7" s="103">
        <f t="shared" si="10"/>
        <v>0</v>
      </c>
      <c r="U7" s="102" t="e">
        <f t="shared" si="11"/>
        <v>#N/A</v>
      </c>
    </row>
    <row r="8" spans="1:21" ht="15.75">
      <c r="A8" s="108"/>
      <c r="B8" s="108"/>
      <c r="C8" s="906"/>
      <c r="D8" s="907"/>
      <c r="E8" s="104">
        <f t="shared" si="0"/>
        <v>0</v>
      </c>
      <c r="F8" s="908"/>
      <c r="G8" s="9" t="str">
        <f t="shared" si="1"/>
        <v/>
      </c>
      <c r="H8" s="909"/>
      <c r="I8" s="105" t="str">
        <f t="shared" si="2"/>
        <v/>
      </c>
      <c r="J8" s="9"/>
      <c r="K8" s="9"/>
      <c r="L8" s="5">
        <f t="shared" si="3"/>
        <v>0</v>
      </c>
      <c r="M8" s="5">
        <f t="shared" si="4"/>
        <v>0</v>
      </c>
      <c r="N8" s="5">
        <f t="shared" si="5"/>
        <v>0</v>
      </c>
      <c r="O8" s="7"/>
      <c r="P8" s="102" t="e">
        <f t="shared" si="6"/>
        <v>#N/A</v>
      </c>
      <c r="Q8" s="102" t="e">
        <f t="shared" si="7"/>
        <v>#N/A</v>
      </c>
      <c r="R8" s="102" t="e">
        <f t="shared" si="8"/>
        <v>#N/A</v>
      </c>
      <c r="S8" s="102" t="e">
        <f t="shared" si="9"/>
        <v>#N/A</v>
      </c>
      <c r="T8" s="103">
        <f t="shared" si="10"/>
        <v>0</v>
      </c>
      <c r="U8" s="102" t="e">
        <f t="shared" si="11"/>
        <v>#N/A</v>
      </c>
    </row>
    <row r="9" spans="1:21" ht="15.75">
      <c r="A9" s="108"/>
      <c r="B9" s="108"/>
      <c r="C9" s="906"/>
      <c r="D9" s="907"/>
      <c r="E9" s="104">
        <f t="shared" si="0"/>
        <v>0</v>
      </c>
      <c r="F9" s="908"/>
      <c r="G9" s="9" t="str">
        <f t="shared" si="1"/>
        <v/>
      </c>
      <c r="H9" s="909"/>
      <c r="I9" s="105" t="str">
        <f t="shared" si="2"/>
        <v/>
      </c>
      <c r="J9" s="9"/>
      <c r="K9" s="9"/>
      <c r="L9" s="5">
        <f t="shared" si="3"/>
        <v>0</v>
      </c>
      <c r="M9" s="5">
        <f t="shared" si="4"/>
        <v>0</v>
      </c>
      <c r="N9" s="5">
        <f t="shared" si="5"/>
        <v>0</v>
      </c>
      <c r="O9" s="7"/>
      <c r="P9" s="102" t="e">
        <f t="shared" si="6"/>
        <v>#N/A</v>
      </c>
      <c r="Q9" s="102" t="e">
        <f t="shared" si="7"/>
        <v>#N/A</v>
      </c>
      <c r="R9" s="102" t="e">
        <f t="shared" si="8"/>
        <v>#N/A</v>
      </c>
      <c r="S9" s="102" t="e">
        <f t="shared" si="9"/>
        <v>#N/A</v>
      </c>
      <c r="T9" s="103">
        <f t="shared" si="10"/>
        <v>0</v>
      </c>
      <c r="U9" s="102" t="e">
        <f t="shared" si="11"/>
        <v>#N/A</v>
      </c>
    </row>
    <row r="10" spans="1:21" ht="15.75">
      <c r="A10" s="108"/>
      <c r="B10" s="108"/>
      <c r="C10" s="906"/>
      <c r="D10" s="907"/>
      <c r="E10" s="104">
        <f t="shared" si="0"/>
        <v>0</v>
      </c>
      <c r="F10" s="908"/>
      <c r="G10" s="9" t="str">
        <f t="shared" si="1"/>
        <v/>
      </c>
      <c r="H10" s="909"/>
      <c r="I10" s="105" t="str">
        <f t="shared" si="2"/>
        <v/>
      </c>
      <c r="J10" s="9"/>
      <c r="K10" s="9"/>
      <c r="L10" s="5">
        <f t="shared" si="3"/>
        <v>0</v>
      </c>
      <c r="M10" s="5">
        <f t="shared" si="4"/>
        <v>0</v>
      </c>
      <c r="N10" s="5">
        <f t="shared" si="5"/>
        <v>0</v>
      </c>
      <c r="O10" s="7"/>
      <c r="P10" s="102" t="e">
        <f t="shared" si="6"/>
        <v>#N/A</v>
      </c>
      <c r="Q10" s="102" t="e">
        <f t="shared" si="7"/>
        <v>#N/A</v>
      </c>
      <c r="R10" s="102" t="e">
        <f t="shared" si="8"/>
        <v>#N/A</v>
      </c>
      <c r="S10" s="102" t="e">
        <f t="shared" si="9"/>
        <v>#N/A</v>
      </c>
      <c r="T10" s="103">
        <f t="shared" si="10"/>
        <v>0</v>
      </c>
      <c r="U10" s="102" t="e">
        <f t="shared" si="11"/>
        <v>#N/A</v>
      </c>
    </row>
    <row r="11" spans="1:21" ht="15.75">
      <c r="A11" s="108"/>
      <c r="B11" s="108"/>
      <c r="C11" s="906"/>
      <c r="D11" s="907"/>
      <c r="E11" s="104">
        <f t="shared" si="0"/>
        <v>0</v>
      </c>
      <c r="F11" s="908"/>
      <c r="G11" s="9" t="str">
        <f t="shared" si="1"/>
        <v/>
      </c>
      <c r="H11" s="909"/>
      <c r="I11" s="105" t="str">
        <f t="shared" si="2"/>
        <v/>
      </c>
      <c r="J11" s="9"/>
      <c r="K11" s="9"/>
      <c r="L11" s="5">
        <f t="shared" si="3"/>
        <v>0</v>
      </c>
      <c r="M11" s="5">
        <f t="shared" si="4"/>
        <v>0</v>
      </c>
      <c r="N11" s="5">
        <f t="shared" si="5"/>
        <v>0</v>
      </c>
      <c r="O11" s="7"/>
      <c r="P11" s="102" t="e">
        <f t="shared" si="6"/>
        <v>#N/A</v>
      </c>
      <c r="Q11" s="102" t="e">
        <f t="shared" si="7"/>
        <v>#N/A</v>
      </c>
      <c r="R11" s="102" t="e">
        <f t="shared" si="8"/>
        <v>#N/A</v>
      </c>
      <c r="S11" s="102" t="e">
        <f t="shared" si="9"/>
        <v>#N/A</v>
      </c>
      <c r="T11" s="103">
        <f t="shared" si="10"/>
        <v>0</v>
      </c>
      <c r="U11" s="102" t="e">
        <f t="shared" si="11"/>
        <v>#N/A</v>
      </c>
    </row>
    <row r="12" spans="1:21" ht="15.75">
      <c r="A12" s="108"/>
      <c r="B12" s="108"/>
      <c r="C12" s="906"/>
      <c r="D12" s="907"/>
      <c r="E12" s="104">
        <f t="shared" si="0"/>
        <v>0</v>
      </c>
      <c r="F12" s="910"/>
      <c r="G12" s="9" t="str">
        <f t="shared" si="1"/>
        <v/>
      </c>
      <c r="H12" s="909"/>
      <c r="I12" s="105" t="str">
        <f t="shared" si="2"/>
        <v/>
      </c>
      <c r="J12" s="9"/>
      <c r="K12" s="9"/>
      <c r="L12" s="5">
        <f t="shared" si="3"/>
        <v>0</v>
      </c>
      <c r="M12" s="5">
        <f t="shared" si="4"/>
        <v>0</v>
      </c>
      <c r="N12" s="5">
        <f t="shared" si="5"/>
        <v>0</v>
      </c>
      <c r="O12" s="7"/>
      <c r="P12" s="102" t="e">
        <f t="shared" si="6"/>
        <v>#N/A</v>
      </c>
      <c r="Q12" s="102" t="e">
        <f t="shared" si="7"/>
        <v>#N/A</v>
      </c>
      <c r="R12" s="102" t="e">
        <f t="shared" si="8"/>
        <v>#N/A</v>
      </c>
      <c r="S12" s="102" t="e">
        <f t="shared" si="9"/>
        <v>#N/A</v>
      </c>
      <c r="T12" s="103">
        <f t="shared" si="10"/>
        <v>0</v>
      </c>
      <c r="U12" s="102" t="e">
        <f t="shared" si="11"/>
        <v>#N/A</v>
      </c>
    </row>
    <row r="13" spans="1:21" ht="15.75">
      <c r="A13" s="108"/>
      <c r="B13" s="108"/>
      <c r="C13" s="906"/>
      <c r="D13" s="907"/>
      <c r="E13" s="104">
        <f t="shared" si="0"/>
        <v>0</v>
      </c>
      <c r="F13" s="910"/>
      <c r="G13" s="9" t="str">
        <f t="shared" si="1"/>
        <v/>
      </c>
      <c r="H13" s="909"/>
      <c r="I13" s="105" t="str">
        <f t="shared" si="2"/>
        <v/>
      </c>
      <c r="J13" s="9"/>
      <c r="K13" s="9"/>
      <c r="L13" s="5">
        <f t="shared" si="3"/>
        <v>0</v>
      </c>
      <c r="M13" s="5">
        <f t="shared" si="4"/>
        <v>0</v>
      </c>
      <c r="N13" s="5">
        <f t="shared" si="5"/>
        <v>0</v>
      </c>
      <c r="O13" s="7"/>
      <c r="P13" s="102" t="e">
        <f t="shared" si="6"/>
        <v>#N/A</v>
      </c>
      <c r="Q13" s="102" t="e">
        <f t="shared" si="7"/>
        <v>#N/A</v>
      </c>
      <c r="R13" s="102" t="e">
        <f t="shared" si="8"/>
        <v>#N/A</v>
      </c>
      <c r="S13" s="102" t="e">
        <f t="shared" si="9"/>
        <v>#N/A</v>
      </c>
      <c r="T13" s="103">
        <f t="shared" si="10"/>
        <v>0</v>
      </c>
      <c r="U13" s="102" t="e">
        <f t="shared" si="11"/>
        <v>#N/A</v>
      </c>
    </row>
    <row r="14" spans="1:21" ht="15.75">
      <c r="A14" s="108"/>
      <c r="B14" s="108"/>
      <c r="C14" s="906"/>
      <c r="D14" s="907"/>
      <c r="E14" s="104">
        <f t="shared" si="0"/>
        <v>0</v>
      </c>
      <c r="F14" s="910"/>
      <c r="G14" s="9" t="str">
        <f t="shared" si="1"/>
        <v/>
      </c>
      <c r="H14" s="909"/>
      <c r="I14" s="105" t="str">
        <f t="shared" si="2"/>
        <v/>
      </c>
      <c r="J14" s="9"/>
      <c r="K14" s="9"/>
      <c r="L14" s="5">
        <f t="shared" si="3"/>
        <v>0</v>
      </c>
      <c r="M14" s="5">
        <f t="shared" si="4"/>
        <v>0</v>
      </c>
      <c r="N14" s="5">
        <f t="shared" si="5"/>
        <v>0</v>
      </c>
      <c r="O14" s="7"/>
      <c r="P14" s="102" t="e">
        <f t="shared" si="6"/>
        <v>#N/A</v>
      </c>
      <c r="Q14" s="102" t="e">
        <f t="shared" si="7"/>
        <v>#N/A</v>
      </c>
      <c r="R14" s="102" t="e">
        <f t="shared" si="8"/>
        <v>#N/A</v>
      </c>
      <c r="S14" s="102" t="e">
        <f t="shared" si="9"/>
        <v>#N/A</v>
      </c>
      <c r="T14" s="103">
        <f t="shared" si="10"/>
        <v>0</v>
      </c>
      <c r="U14" s="102" t="e">
        <f t="shared" si="11"/>
        <v>#N/A</v>
      </c>
    </row>
    <row r="15" spans="1:21" ht="15.75">
      <c r="A15" s="108"/>
      <c r="B15" s="108"/>
      <c r="C15" s="906"/>
      <c r="D15" s="907"/>
      <c r="E15" s="104">
        <f t="shared" si="0"/>
        <v>0</v>
      </c>
      <c r="F15" s="910"/>
      <c r="G15" s="9" t="str">
        <f t="shared" si="1"/>
        <v/>
      </c>
      <c r="H15" s="909"/>
      <c r="I15" s="105" t="str">
        <f t="shared" si="2"/>
        <v/>
      </c>
      <c r="J15" s="9"/>
      <c r="K15" s="9"/>
      <c r="L15" s="5">
        <f t="shared" si="3"/>
        <v>0</v>
      </c>
      <c r="M15" s="5">
        <f t="shared" si="4"/>
        <v>0</v>
      </c>
      <c r="N15" s="5">
        <f t="shared" si="5"/>
        <v>0</v>
      </c>
      <c r="O15" s="7"/>
      <c r="P15" s="102" t="e">
        <f t="shared" si="6"/>
        <v>#N/A</v>
      </c>
      <c r="Q15" s="102" t="e">
        <f t="shared" si="7"/>
        <v>#N/A</v>
      </c>
      <c r="R15" s="102" t="e">
        <f t="shared" si="8"/>
        <v>#N/A</v>
      </c>
      <c r="S15" s="102" t="e">
        <f t="shared" si="9"/>
        <v>#N/A</v>
      </c>
      <c r="T15" s="103">
        <f t="shared" si="10"/>
        <v>0</v>
      </c>
      <c r="U15" s="102" t="e">
        <f t="shared" si="11"/>
        <v>#N/A</v>
      </c>
    </row>
    <row r="16" spans="1:21" ht="15.75">
      <c r="A16" s="108"/>
      <c r="B16" s="108"/>
      <c r="C16" s="906"/>
      <c r="D16" s="907"/>
      <c r="E16" s="104">
        <f t="shared" si="0"/>
        <v>0</v>
      </c>
      <c r="F16" s="910"/>
      <c r="G16" s="9" t="str">
        <f t="shared" si="1"/>
        <v/>
      </c>
      <c r="H16" s="909"/>
      <c r="I16" s="105" t="str">
        <f t="shared" si="2"/>
        <v/>
      </c>
      <c r="J16" s="9"/>
      <c r="K16" s="9"/>
      <c r="L16" s="5">
        <f t="shared" si="3"/>
        <v>0</v>
      </c>
      <c r="M16" s="5">
        <f t="shared" si="4"/>
        <v>0</v>
      </c>
      <c r="N16" s="5">
        <f t="shared" si="5"/>
        <v>0</v>
      </c>
      <c r="O16" s="7"/>
      <c r="P16" s="102" t="e">
        <f t="shared" si="6"/>
        <v>#N/A</v>
      </c>
      <c r="Q16" s="102" t="e">
        <f t="shared" si="7"/>
        <v>#N/A</v>
      </c>
      <c r="R16" s="102" t="e">
        <f t="shared" si="8"/>
        <v>#N/A</v>
      </c>
      <c r="S16" s="102" t="e">
        <f t="shared" si="9"/>
        <v>#N/A</v>
      </c>
      <c r="T16" s="103">
        <f t="shared" si="10"/>
        <v>0</v>
      </c>
      <c r="U16" s="102" t="e">
        <f t="shared" si="11"/>
        <v>#N/A</v>
      </c>
    </row>
    <row r="17" spans="1:21" ht="15.75">
      <c r="A17" s="108"/>
      <c r="B17" s="108"/>
      <c r="C17" s="906"/>
      <c r="D17" s="907"/>
      <c r="E17" s="104">
        <f t="shared" si="0"/>
        <v>0</v>
      </c>
      <c r="F17" s="910"/>
      <c r="G17" s="9" t="str">
        <f t="shared" si="1"/>
        <v/>
      </c>
      <c r="H17" s="909"/>
      <c r="I17" s="105" t="str">
        <f t="shared" si="2"/>
        <v/>
      </c>
      <c r="J17" s="9"/>
      <c r="K17" s="9"/>
      <c r="L17" s="5">
        <f t="shared" si="3"/>
        <v>0</v>
      </c>
      <c r="M17" s="5">
        <f t="shared" si="4"/>
        <v>0</v>
      </c>
      <c r="N17" s="5">
        <f t="shared" si="5"/>
        <v>0</v>
      </c>
      <c r="O17" s="7"/>
      <c r="P17" s="102" t="e">
        <f t="shared" si="6"/>
        <v>#N/A</v>
      </c>
      <c r="Q17" s="102" t="e">
        <f t="shared" si="7"/>
        <v>#N/A</v>
      </c>
      <c r="R17" s="102" t="e">
        <f t="shared" si="8"/>
        <v>#N/A</v>
      </c>
      <c r="S17" s="102" t="e">
        <f t="shared" si="9"/>
        <v>#N/A</v>
      </c>
      <c r="T17" s="103">
        <f t="shared" si="10"/>
        <v>0</v>
      </c>
      <c r="U17" s="102" t="e">
        <f t="shared" si="11"/>
        <v>#N/A</v>
      </c>
    </row>
    <row r="18" spans="1:21" ht="15.75">
      <c r="A18" s="108"/>
      <c r="B18" s="108"/>
      <c r="C18" s="906"/>
      <c r="D18" s="907"/>
      <c r="E18" s="104">
        <f t="shared" si="0"/>
        <v>0</v>
      </c>
      <c r="F18" s="910"/>
      <c r="G18" s="9" t="str">
        <f t="shared" si="1"/>
        <v/>
      </c>
      <c r="H18" s="909"/>
      <c r="I18" s="105" t="str">
        <f t="shared" si="2"/>
        <v/>
      </c>
      <c r="J18" s="9"/>
      <c r="K18" s="9"/>
      <c r="L18" s="5">
        <f t="shared" si="3"/>
        <v>0</v>
      </c>
      <c r="M18" s="5">
        <f t="shared" si="4"/>
        <v>0</v>
      </c>
      <c r="N18" s="5">
        <f t="shared" si="5"/>
        <v>0</v>
      </c>
      <c r="O18" s="7"/>
      <c r="P18" s="102" t="e">
        <f t="shared" si="6"/>
        <v>#N/A</v>
      </c>
      <c r="Q18" s="102" t="e">
        <f t="shared" si="7"/>
        <v>#N/A</v>
      </c>
      <c r="R18" s="102" t="e">
        <f t="shared" si="8"/>
        <v>#N/A</v>
      </c>
      <c r="S18" s="102" t="e">
        <f t="shared" si="9"/>
        <v>#N/A</v>
      </c>
      <c r="T18" s="103">
        <f t="shared" si="10"/>
        <v>0</v>
      </c>
      <c r="U18" s="102" t="e">
        <f t="shared" si="11"/>
        <v>#N/A</v>
      </c>
    </row>
    <row r="19" spans="1:21" ht="15.75">
      <c r="A19" s="108"/>
      <c r="B19" s="108"/>
      <c r="C19" s="906"/>
      <c r="D19" s="907"/>
      <c r="E19" s="104">
        <f t="shared" si="0"/>
        <v>0</v>
      </c>
      <c r="F19" s="910"/>
      <c r="G19" s="9" t="str">
        <f t="shared" si="1"/>
        <v/>
      </c>
      <c r="H19" s="909"/>
      <c r="I19" s="105" t="str">
        <f t="shared" si="2"/>
        <v/>
      </c>
      <c r="J19" s="9"/>
      <c r="K19" s="9"/>
      <c r="L19" s="5">
        <f t="shared" si="3"/>
        <v>0</v>
      </c>
      <c r="M19" s="5">
        <f t="shared" si="4"/>
        <v>0</v>
      </c>
      <c r="N19" s="5">
        <f t="shared" si="5"/>
        <v>0</v>
      </c>
      <c r="O19" s="7"/>
      <c r="P19" s="102" t="e">
        <f t="shared" si="6"/>
        <v>#N/A</v>
      </c>
      <c r="Q19" s="102" t="e">
        <f t="shared" si="7"/>
        <v>#N/A</v>
      </c>
      <c r="R19" s="102" t="e">
        <f t="shared" si="8"/>
        <v>#N/A</v>
      </c>
      <c r="S19" s="102" t="e">
        <f t="shared" si="9"/>
        <v>#N/A</v>
      </c>
      <c r="T19" s="103">
        <f t="shared" si="10"/>
        <v>0</v>
      </c>
      <c r="U19" s="102" t="e">
        <f t="shared" si="11"/>
        <v>#N/A</v>
      </c>
    </row>
    <row r="20" spans="1:21" ht="15.75">
      <c r="A20" s="108"/>
      <c r="B20" s="108"/>
      <c r="C20" s="906"/>
      <c r="D20" s="907"/>
      <c r="E20" s="104">
        <f t="shared" si="0"/>
        <v>0</v>
      </c>
      <c r="F20" s="910"/>
      <c r="G20" s="9" t="str">
        <f t="shared" si="1"/>
        <v/>
      </c>
      <c r="H20" s="909"/>
      <c r="I20" s="105" t="str">
        <f t="shared" si="2"/>
        <v/>
      </c>
      <c r="J20" s="9"/>
      <c r="K20" s="9"/>
      <c r="L20" s="5">
        <f t="shared" si="3"/>
        <v>0</v>
      </c>
      <c r="M20" s="5">
        <f t="shared" si="4"/>
        <v>0</v>
      </c>
      <c r="N20" s="5">
        <f t="shared" si="5"/>
        <v>0</v>
      </c>
      <c r="O20" s="7"/>
      <c r="P20" s="102" t="e">
        <f t="shared" si="6"/>
        <v>#N/A</v>
      </c>
      <c r="Q20" s="102" t="e">
        <f t="shared" si="7"/>
        <v>#N/A</v>
      </c>
      <c r="R20" s="102" t="e">
        <f t="shared" si="8"/>
        <v>#N/A</v>
      </c>
      <c r="S20" s="102" t="e">
        <f t="shared" si="9"/>
        <v>#N/A</v>
      </c>
      <c r="T20" s="103">
        <f t="shared" si="10"/>
        <v>0</v>
      </c>
      <c r="U20" s="102" t="e">
        <f t="shared" si="11"/>
        <v>#N/A</v>
      </c>
    </row>
    <row r="21" spans="1:21" ht="15.75">
      <c r="A21" s="108"/>
      <c r="B21" s="108"/>
      <c r="C21" s="906"/>
      <c r="D21" s="907"/>
      <c r="E21" s="104">
        <f t="shared" si="0"/>
        <v>0</v>
      </c>
      <c r="F21" s="910"/>
      <c r="G21" s="9" t="str">
        <f t="shared" si="1"/>
        <v/>
      </c>
      <c r="H21" s="909"/>
      <c r="I21" s="105" t="str">
        <f t="shared" si="2"/>
        <v/>
      </c>
      <c r="J21" s="9"/>
      <c r="K21" s="9"/>
      <c r="L21" s="5">
        <f t="shared" si="3"/>
        <v>0</v>
      </c>
      <c r="M21" s="5">
        <f t="shared" si="4"/>
        <v>0</v>
      </c>
      <c r="N21" s="5">
        <f t="shared" si="5"/>
        <v>0</v>
      </c>
      <c r="O21" s="7"/>
      <c r="P21" s="102" t="e">
        <f t="shared" si="6"/>
        <v>#N/A</v>
      </c>
      <c r="Q21" s="102" t="e">
        <f t="shared" si="7"/>
        <v>#N/A</v>
      </c>
      <c r="R21" s="102" t="e">
        <f t="shared" si="8"/>
        <v>#N/A</v>
      </c>
      <c r="S21" s="102" t="e">
        <f t="shared" si="9"/>
        <v>#N/A</v>
      </c>
      <c r="T21" s="103">
        <f t="shared" si="10"/>
        <v>0</v>
      </c>
      <c r="U21" s="102" t="e">
        <f t="shared" si="11"/>
        <v>#N/A</v>
      </c>
    </row>
    <row r="22" spans="1:21" ht="15.75">
      <c r="A22" s="108"/>
      <c r="B22" s="108"/>
      <c r="C22" s="906"/>
      <c r="D22" s="907"/>
      <c r="E22" s="104">
        <f t="shared" si="0"/>
        <v>0</v>
      </c>
      <c r="F22" s="910"/>
      <c r="G22" s="9" t="str">
        <f t="shared" si="1"/>
        <v/>
      </c>
      <c r="H22" s="909"/>
      <c r="I22" s="105" t="str">
        <f t="shared" si="2"/>
        <v/>
      </c>
      <c r="J22" s="9"/>
      <c r="K22" s="9"/>
      <c r="L22" s="5">
        <f t="shared" si="3"/>
        <v>0</v>
      </c>
      <c r="M22" s="5">
        <f t="shared" si="4"/>
        <v>0</v>
      </c>
      <c r="N22" s="5">
        <f t="shared" si="5"/>
        <v>0</v>
      </c>
      <c r="O22" s="7"/>
      <c r="P22" s="102" t="e">
        <f t="shared" si="6"/>
        <v>#N/A</v>
      </c>
      <c r="Q22" s="102" t="e">
        <f t="shared" si="7"/>
        <v>#N/A</v>
      </c>
      <c r="R22" s="102" t="e">
        <f t="shared" si="8"/>
        <v>#N/A</v>
      </c>
      <c r="S22" s="102" t="e">
        <f t="shared" si="9"/>
        <v>#N/A</v>
      </c>
      <c r="T22" s="103">
        <f t="shared" si="10"/>
        <v>0</v>
      </c>
      <c r="U22" s="102" t="e">
        <f t="shared" si="11"/>
        <v>#N/A</v>
      </c>
    </row>
    <row r="23" spans="1:21" ht="15.75">
      <c r="A23" s="108"/>
      <c r="B23" s="108"/>
      <c r="C23" s="906"/>
      <c r="D23" s="907"/>
      <c r="E23" s="104">
        <f t="shared" si="0"/>
        <v>0</v>
      </c>
      <c r="F23" s="910"/>
      <c r="G23" s="9" t="str">
        <f t="shared" si="1"/>
        <v/>
      </c>
      <c r="H23" s="909"/>
      <c r="I23" s="105" t="str">
        <f t="shared" si="2"/>
        <v/>
      </c>
      <c r="J23" s="9"/>
      <c r="K23" s="9"/>
      <c r="L23" s="5">
        <f t="shared" si="3"/>
        <v>0</v>
      </c>
      <c r="M23" s="5">
        <f t="shared" si="4"/>
        <v>0</v>
      </c>
      <c r="N23" s="5">
        <f t="shared" si="5"/>
        <v>0</v>
      </c>
      <c r="O23" s="7"/>
      <c r="P23" s="102" t="e">
        <f t="shared" si="6"/>
        <v>#N/A</v>
      </c>
      <c r="Q23" s="102" t="e">
        <f t="shared" si="7"/>
        <v>#N/A</v>
      </c>
      <c r="R23" s="102" t="e">
        <f t="shared" si="8"/>
        <v>#N/A</v>
      </c>
      <c r="S23" s="102" t="e">
        <f t="shared" si="9"/>
        <v>#N/A</v>
      </c>
      <c r="T23" s="103">
        <f t="shared" si="10"/>
        <v>0</v>
      </c>
      <c r="U23" s="102" t="e">
        <f t="shared" si="11"/>
        <v>#N/A</v>
      </c>
    </row>
    <row r="24" spans="1:21" ht="15.75">
      <c r="A24" s="108"/>
      <c r="B24" s="108"/>
      <c r="C24" s="906"/>
      <c r="D24" s="907"/>
      <c r="E24" s="104">
        <f t="shared" si="0"/>
        <v>0</v>
      </c>
      <c r="F24" s="910"/>
      <c r="G24" s="9" t="str">
        <f t="shared" si="1"/>
        <v/>
      </c>
      <c r="H24" s="909"/>
      <c r="I24" s="105" t="str">
        <f t="shared" si="2"/>
        <v/>
      </c>
      <c r="J24" s="9"/>
      <c r="K24" s="9"/>
      <c r="L24" s="5">
        <f t="shared" si="3"/>
        <v>0</v>
      </c>
      <c r="M24" s="5">
        <f t="shared" si="4"/>
        <v>0</v>
      </c>
      <c r="N24" s="5">
        <f t="shared" si="5"/>
        <v>0</v>
      </c>
      <c r="O24" s="7"/>
      <c r="P24" s="102" t="e">
        <f t="shared" si="6"/>
        <v>#N/A</v>
      </c>
      <c r="Q24" s="102" t="e">
        <f t="shared" si="7"/>
        <v>#N/A</v>
      </c>
      <c r="R24" s="102" t="e">
        <f t="shared" si="8"/>
        <v>#N/A</v>
      </c>
      <c r="S24" s="102" t="e">
        <f t="shared" si="9"/>
        <v>#N/A</v>
      </c>
      <c r="T24" s="103">
        <f t="shared" si="10"/>
        <v>0</v>
      </c>
      <c r="U24" s="102" t="e">
        <f t="shared" si="11"/>
        <v>#N/A</v>
      </c>
    </row>
    <row r="25" spans="1:21" ht="15.75">
      <c r="A25" s="108"/>
      <c r="B25" s="108"/>
      <c r="C25" s="906"/>
      <c r="D25" s="907"/>
      <c r="E25" s="104">
        <f t="shared" si="0"/>
        <v>0</v>
      </c>
      <c r="F25" s="910"/>
      <c r="G25" s="9" t="str">
        <f t="shared" si="1"/>
        <v/>
      </c>
      <c r="H25" s="909"/>
      <c r="I25" s="105" t="str">
        <f t="shared" si="2"/>
        <v/>
      </c>
      <c r="J25" s="9"/>
      <c r="K25" s="9"/>
      <c r="L25" s="5">
        <f t="shared" si="3"/>
        <v>0</v>
      </c>
      <c r="M25" s="5">
        <f t="shared" si="4"/>
        <v>0</v>
      </c>
      <c r="N25" s="5">
        <f t="shared" si="5"/>
        <v>0</v>
      </c>
      <c r="O25" s="7"/>
      <c r="P25" s="102" t="e">
        <f t="shared" si="6"/>
        <v>#N/A</v>
      </c>
      <c r="Q25" s="102" t="e">
        <f t="shared" si="7"/>
        <v>#N/A</v>
      </c>
      <c r="R25" s="102" t="e">
        <f t="shared" si="8"/>
        <v>#N/A</v>
      </c>
      <c r="S25" s="102" t="e">
        <f t="shared" si="9"/>
        <v>#N/A</v>
      </c>
      <c r="T25" s="103">
        <f t="shared" si="10"/>
        <v>0</v>
      </c>
      <c r="U25" s="102" t="e">
        <f t="shared" si="11"/>
        <v>#N/A</v>
      </c>
    </row>
    <row r="26" spans="1:21" ht="15.75">
      <c r="A26" s="108"/>
      <c r="B26" s="108"/>
      <c r="C26" s="906"/>
      <c r="D26" s="907"/>
      <c r="E26" s="104">
        <f t="shared" si="0"/>
        <v>0</v>
      </c>
      <c r="F26" s="910"/>
      <c r="G26" s="9" t="str">
        <f t="shared" si="1"/>
        <v/>
      </c>
      <c r="H26" s="909"/>
      <c r="I26" s="105" t="str">
        <f t="shared" si="2"/>
        <v/>
      </c>
      <c r="J26" s="9"/>
      <c r="K26" s="9"/>
      <c r="L26" s="5">
        <f t="shared" si="3"/>
        <v>0</v>
      </c>
      <c r="M26" s="5">
        <f t="shared" si="4"/>
        <v>0</v>
      </c>
      <c r="N26" s="5">
        <f t="shared" si="5"/>
        <v>0</v>
      </c>
      <c r="O26" s="7"/>
      <c r="P26" s="102" t="e">
        <f t="shared" si="6"/>
        <v>#N/A</v>
      </c>
      <c r="Q26" s="102" t="e">
        <f t="shared" si="7"/>
        <v>#N/A</v>
      </c>
      <c r="R26" s="102" t="e">
        <f t="shared" si="8"/>
        <v>#N/A</v>
      </c>
      <c r="S26" s="102" t="e">
        <f t="shared" si="9"/>
        <v>#N/A</v>
      </c>
      <c r="T26" s="103">
        <f t="shared" si="10"/>
        <v>0</v>
      </c>
      <c r="U26" s="102" t="e">
        <f t="shared" si="11"/>
        <v>#N/A</v>
      </c>
    </row>
    <row r="27" spans="1:21" ht="15.75">
      <c r="A27" s="108"/>
      <c r="B27" s="108"/>
      <c r="C27" s="906"/>
      <c r="D27" s="907"/>
      <c r="E27" s="104">
        <f t="shared" si="0"/>
        <v>0</v>
      </c>
      <c r="F27" s="910"/>
      <c r="G27" s="9" t="str">
        <f t="shared" si="1"/>
        <v/>
      </c>
      <c r="H27" s="909"/>
      <c r="I27" s="105" t="str">
        <f t="shared" si="2"/>
        <v/>
      </c>
      <c r="J27" s="9"/>
      <c r="K27" s="9"/>
      <c r="L27" s="5">
        <f t="shared" si="3"/>
        <v>0</v>
      </c>
      <c r="M27" s="5">
        <f t="shared" si="4"/>
        <v>0</v>
      </c>
      <c r="N27" s="5">
        <f t="shared" si="5"/>
        <v>0</v>
      </c>
      <c r="O27" s="7"/>
      <c r="P27" s="102" t="e">
        <f t="shared" si="6"/>
        <v>#N/A</v>
      </c>
      <c r="Q27" s="102" t="e">
        <f t="shared" si="7"/>
        <v>#N/A</v>
      </c>
      <c r="R27" s="102" t="e">
        <f t="shared" si="8"/>
        <v>#N/A</v>
      </c>
      <c r="S27" s="102" t="e">
        <f t="shared" si="9"/>
        <v>#N/A</v>
      </c>
      <c r="T27" s="103">
        <f t="shared" si="10"/>
        <v>0</v>
      </c>
      <c r="U27" s="102" t="e">
        <f t="shared" si="11"/>
        <v>#N/A</v>
      </c>
    </row>
    <row r="28" spans="1:21" ht="15.75">
      <c r="A28" s="108"/>
      <c r="B28" s="108"/>
      <c r="C28" s="906"/>
      <c r="D28" s="907"/>
      <c r="E28" s="104">
        <f t="shared" si="0"/>
        <v>0</v>
      </c>
      <c r="F28" s="910"/>
      <c r="G28" s="9" t="str">
        <f t="shared" si="1"/>
        <v/>
      </c>
      <c r="H28" s="909"/>
      <c r="I28" s="105" t="str">
        <f t="shared" si="2"/>
        <v/>
      </c>
      <c r="J28" s="9"/>
      <c r="K28" s="9"/>
      <c r="L28" s="5">
        <f t="shared" si="3"/>
        <v>0</v>
      </c>
      <c r="M28" s="5">
        <f t="shared" si="4"/>
        <v>0</v>
      </c>
      <c r="N28" s="5">
        <f t="shared" si="5"/>
        <v>0</v>
      </c>
      <c r="O28" s="7"/>
      <c r="P28" s="102" t="e">
        <f t="shared" si="6"/>
        <v>#N/A</v>
      </c>
      <c r="Q28" s="102" t="e">
        <f t="shared" si="7"/>
        <v>#N/A</v>
      </c>
      <c r="R28" s="102" t="e">
        <f t="shared" si="8"/>
        <v>#N/A</v>
      </c>
      <c r="S28" s="102" t="e">
        <f t="shared" si="9"/>
        <v>#N/A</v>
      </c>
      <c r="T28" s="103">
        <f t="shared" si="10"/>
        <v>0</v>
      </c>
      <c r="U28" s="102" t="e">
        <f t="shared" si="11"/>
        <v>#N/A</v>
      </c>
    </row>
    <row r="29" spans="1:21" ht="15.75">
      <c r="A29" s="108"/>
      <c r="B29" s="108"/>
      <c r="C29" s="906"/>
      <c r="D29" s="907"/>
      <c r="E29" s="104">
        <f t="shared" si="0"/>
        <v>0</v>
      </c>
      <c r="F29" s="910"/>
      <c r="G29" s="9" t="str">
        <f t="shared" si="1"/>
        <v/>
      </c>
      <c r="H29" s="909"/>
      <c r="I29" s="105" t="str">
        <f t="shared" si="2"/>
        <v/>
      </c>
      <c r="J29" s="9"/>
      <c r="K29" s="9"/>
      <c r="L29" s="5">
        <f t="shared" si="3"/>
        <v>0</v>
      </c>
      <c r="M29" s="5">
        <f t="shared" si="4"/>
        <v>0</v>
      </c>
      <c r="N29" s="5">
        <f t="shared" si="5"/>
        <v>0</v>
      </c>
      <c r="O29" s="7"/>
      <c r="P29" s="102" t="e">
        <f t="shared" si="6"/>
        <v>#N/A</v>
      </c>
      <c r="Q29" s="102" t="e">
        <f t="shared" si="7"/>
        <v>#N/A</v>
      </c>
      <c r="R29" s="102" t="e">
        <f t="shared" si="8"/>
        <v>#N/A</v>
      </c>
      <c r="S29" s="102" t="e">
        <f t="shared" si="9"/>
        <v>#N/A</v>
      </c>
      <c r="T29" s="103">
        <f t="shared" si="10"/>
        <v>0</v>
      </c>
      <c r="U29" s="102" t="e">
        <f t="shared" si="11"/>
        <v>#N/A</v>
      </c>
    </row>
    <row r="30" spans="1:21" ht="15.75">
      <c r="A30" s="108"/>
      <c r="B30" s="108"/>
      <c r="C30" s="906"/>
      <c r="D30" s="907"/>
      <c r="E30" s="104">
        <f t="shared" si="0"/>
        <v>0</v>
      </c>
      <c r="F30" s="910"/>
      <c r="G30" s="9" t="str">
        <f t="shared" si="1"/>
        <v/>
      </c>
      <c r="H30" s="909"/>
      <c r="I30" s="105" t="str">
        <f t="shared" si="2"/>
        <v/>
      </c>
      <c r="J30" s="9"/>
      <c r="K30" s="9"/>
      <c r="L30" s="5">
        <f t="shared" si="3"/>
        <v>0</v>
      </c>
      <c r="M30" s="5">
        <f t="shared" si="4"/>
        <v>0</v>
      </c>
      <c r="N30" s="5">
        <f t="shared" si="5"/>
        <v>0</v>
      </c>
      <c r="O30" s="7"/>
      <c r="P30" s="102" t="e">
        <f t="shared" si="6"/>
        <v>#N/A</v>
      </c>
      <c r="Q30" s="102" t="e">
        <f t="shared" si="7"/>
        <v>#N/A</v>
      </c>
      <c r="R30" s="102" t="e">
        <f t="shared" si="8"/>
        <v>#N/A</v>
      </c>
      <c r="S30" s="102" t="e">
        <f t="shared" si="9"/>
        <v>#N/A</v>
      </c>
      <c r="T30" s="103">
        <f t="shared" si="10"/>
        <v>0</v>
      </c>
      <c r="U30" s="102" t="e">
        <f t="shared" si="11"/>
        <v>#N/A</v>
      </c>
    </row>
    <row r="31" spans="1:21" ht="15.75">
      <c r="A31" s="108"/>
      <c r="B31" s="108"/>
      <c r="C31" s="906"/>
      <c r="D31" s="907"/>
      <c r="E31" s="104">
        <f t="shared" si="0"/>
        <v>0</v>
      </c>
      <c r="F31" s="910"/>
      <c r="G31" s="9" t="str">
        <f t="shared" si="1"/>
        <v/>
      </c>
      <c r="H31" s="909"/>
      <c r="I31" s="105" t="str">
        <f t="shared" si="2"/>
        <v/>
      </c>
      <c r="J31" s="9"/>
      <c r="K31" s="9"/>
      <c r="L31" s="5">
        <f t="shared" si="3"/>
        <v>0</v>
      </c>
      <c r="M31" s="5">
        <f t="shared" si="4"/>
        <v>0</v>
      </c>
      <c r="N31" s="5">
        <f t="shared" si="5"/>
        <v>0</v>
      </c>
      <c r="O31" s="7"/>
      <c r="P31" s="102" t="e">
        <f t="shared" si="6"/>
        <v>#N/A</v>
      </c>
      <c r="Q31" s="102" t="e">
        <f t="shared" si="7"/>
        <v>#N/A</v>
      </c>
      <c r="R31" s="102" t="e">
        <f t="shared" si="8"/>
        <v>#N/A</v>
      </c>
      <c r="S31" s="102" t="e">
        <f t="shared" si="9"/>
        <v>#N/A</v>
      </c>
      <c r="T31" s="103">
        <f t="shared" si="10"/>
        <v>0</v>
      </c>
      <c r="U31" s="102" t="e">
        <f t="shared" si="11"/>
        <v>#N/A</v>
      </c>
    </row>
    <row r="32" spans="1:21" ht="15.75">
      <c r="A32" s="108"/>
      <c r="B32" s="108"/>
      <c r="C32" s="906"/>
      <c r="D32" s="907"/>
      <c r="E32" s="104">
        <f t="shared" si="0"/>
        <v>0</v>
      </c>
      <c r="F32" s="910"/>
      <c r="G32" s="9" t="str">
        <f t="shared" si="1"/>
        <v/>
      </c>
      <c r="H32" s="909"/>
      <c r="I32" s="105" t="str">
        <f t="shared" si="2"/>
        <v/>
      </c>
      <c r="J32" s="9"/>
      <c r="K32" s="9"/>
      <c r="L32" s="5">
        <f t="shared" si="3"/>
        <v>0</v>
      </c>
      <c r="M32" s="5">
        <f t="shared" si="4"/>
        <v>0</v>
      </c>
      <c r="N32" s="5">
        <f t="shared" si="5"/>
        <v>0</v>
      </c>
      <c r="O32" s="7"/>
      <c r="P32" s="102" t="e">
        <f t="shared" si="6"/>
        <v>#N/A</v>
      </c>
      <c r="Q32" s="102" t="e">
        <f t="shared" si="7"/>
        <v>#N/A</v>
      </c>
      <c r="R32" s="102" t="e">
        <f t="shared" si="8"/>
        <v>#N/A</v>
      </c>
      <c r="S32" s="102" t="e">
        <f t="shared" si="9"/>
        <v>#N/A</v>
      </c>
      <c r="T32" s="103">
        <f t="shared" si="10"/>
        <v>0</v>
      </c>
      <c r="U32" s="102" t="e">
        <f t="shared" si="11"/>
        <v>#N/A</v>
      </c>
    </row>
    <row r="33" spans="1:21" ht="15.75">
      <c r="A33" s="108"/>
      <c r="B33" s="108"/>
      <c r="C33" s="906"/>
      <c r="D33" s="907"/>
      <c r="E33" s="104">
        <f t="shared" si="0"/>
        <v>0</v>
      </c>
      <c r="F33" s="910"/>
      <c r="G33" s="9" t="str">
        <f t="shared" si="1"/>
        <v/>
      </c>
      <c r="H33" s="909"/>
      <c r="I33" s="105" t="str">
        <f t="shared" si="2"/>
        <v/>
      </c>
      <c r="J33" s="9"/>
      <c r="K33" s="9"/>
      <c r="L33" s="5">
        <f t="shared" si="3"/>
        <v>0</v>
      </c>
      <c r="M33" s="5">
        <f t="shared" si="4"/>
        <v>0</v>
      </c>
      <c r="N33" s="5">
        <f t="shared" si="5"/>
        <v>0</v>
      </c>
      <c r="O33" s="7"/>
      <c r="P33" s="102" t="e">
        <f t="shared" si="6"/>
        <v>#N/A</v>
      </c>
      <c r="Q33" s="102" t="e">
        <f t="shared" si="7"/>
        <v>#N/A</v>
      </c>
      <c r="R33" s="102" t="e">
        <f t="shared" si="8"/>
        <v>#N/A</v>
      </c>
      <c r="S33" s="102" t="e">
        <f t="shared" si="9"/>
        <v>#N/A</v>
      </c>
      <c r="T33" s="103">
        <f t="shared" si="10"/>
        <v>0</v>
      </c>
      <c r="U33" s="102" t="e">
        <f t="shared" si="11"/>
        <v>#N/A</v>
      </c>
    </row>
    <row r="34" spans="1:21" ht="15.75">
      <c r="A34" s="108"/>
      <c r="B34" s="108"/>
      <c r="C34" s="906"/>
      <c r="D34" s="907"/>
      <c r="E34" s="104">
        <f t="shared" si="0"/>
        <v>0</v>
      </c>
      <c r="F34" s="910"/>
      <c r="G34" s="9" t="str">
        <f t="shared" si="1"/>
        <v/>
      </c>
      <c r="H34" s="909"/>
      <c r="I34" s="105" t="str">
        <f t="shared" si="2"/>
        <v/>
      </c>
      <c r="J34" s="9"/>
      <c r="K34" s="5">
        <f>IF(ISERROR(IF(D34="CREDITO",IF(G34=0,C34,0),0))=TRUE,0,IF(D34="CREDITO",IF(G34=0,C34,0),0))</f>
        <v>0</v>
      </c>
      <c r="L34" s="5">
        <f t="shared" si="3"/>
        <v>0</v>
      </c>
      <c r="M34" s="5">
        <f t="shared" si="4"/>
        <v>0</v>
      </c>
      <c r="N34" s="5">
        <f t="shared" si="5"/>
        <v>0</v>
      </c>
      <c r="O34" s="7"/>
      <c r="P34" s="102" t="e">
        <f t="shared" si="6"/>
        <v>#N/A</v>
      </c>
      <c r="Q34" s="102" t="e">
        <f t="shared" si="7"/>
        <v>#N/A</v>
      </c>
      <c r="R34" s="102" t="e">
        <f t="shared" si="8"/>
        <v>#N/A</v>
      </c>
      <c r="S34" s="102" t="e">
        <f t="shared" si="9"/>
        <v>#N/A</v>
      </c>
      <c r="T34" s="103">
        <f t="shared" si="10"/>
        <v>0</v>
      </c>
      <c r="U34" s="102" t="e">
        <f t="shared" si="11"/>
        <v>#N/A</v>
      </c>
    </row>
    <row r="35" spans="1:21" ht="15.75" customHeight="1">
      <c r="A35" s="106"/>
      <c r="B35" s="106"/>
      <c r="C35" s="107"/>
      <c r="D35" s="106"/>
      <c r="E35" s="104">
        <f t="shared" si="0"/>
        <v>0</v>
      </c>
      <c r="F35" s="106"/>
      <c r="G35" s="9" t="str">
        <f t="shared" si="1"/>
        <v/>
      </c>
      <c r="H35" s="106"/>
      <c r="I35" s="105" t="str">
        <f t="shared" si="2"/>
        <v/>
      </c>
      <c r="J35" s="7"/>
      <c r="K35" s="7"/>
      <c r="L35" s="5">
        <f t="shared" si="3"/>
        <v>0</v>
      </c>
      <c r="M35" s="5">
        <f t="shared" si="4"/>
        <v>0</v>
      </c>
      <c r="N35" s="5">
        <f t="shared" si="5"/>
        <v>0</v>
      </c>
      <c r="O35" s="7"/>
      <c r="P35" s="102" t="e">
        <f t="shared" si="6"/>
        <v>#N/A</v>
      </c>
      <c r="Q35" s="102" t="e">
        <f t="shared" si="7"/>
        <v>#N/A</v>
      </c>
      <c r="R35" s="102" t="e">
        <f t="shared" si="8"/>
        <v>#N/A</v>
      </c>
      <c r="S35" s="102" t="e">
        <f t="shared" si="9"/>
        <v>#N/A</v>
      </c>
      <c r="T35" s="103">
        <f t="shared" si="10"/>
        <v>0</v>
      </c>
      <c r="U35" s="102" t="e">
        <f t="shared" si="11"/>
        <v>#N/A</v>
      </c>
    </row>
    <row r="36" spans="1:21" ht="15.75">
      <c r="A36" s="108"/>
      <c r="B36" s="108"/>
      <c r="C36" s="109"/>
      <c r="D36" s="108"/>
      <c r="E36" s="104">
        <f t="shared" si="0"/>
        <v>0</v>
      </c>
      <c r="F36" s="108"/>
      <c r="G36" s="9" t="str">
        <f t="shared" si="1"/>
        <v/>
      </c>
      <c r="H36" s="108"/>
      <c r="I36" s="105" t="str">
        <f t="shared" si="2"/>
        <v/>
      </c>
      <c r="J36" s="7"/>
      <c r="K36" s="9"/>
      <c r="L36" s="5">
        <f t="shared" si="3"/>
        <v>0</v>
      </c>
      <c r="M36" s="5">
        <f t="shared" si="4"/>
        <v>0</v>
      </c>
      <c r="N36" s="5">
        <f t="shared" si="5"/>
        <v>0</v>
      </c>
      <c r="O36" s="7"/>
      <c r="P36" s="102" t="e">
        <f t="shared" si="6"/>
        <v>#N/A</v>
      </c>
      <c r="Q36" s="102" t="e">
        <f t="shared" si="7"/>
        <v>#N/A</v>
      </c>
      <c r="R36" s="102" t="e">
        <f t="shared" si="8"/>
        <v>#N/A</v>
      </c>
      <c r="S36" s="102" t="e">
        <f t="shared" si="9"/>
        <v>#N/A</v>
      </c>
      <c r="T36" s="103">
        <f t="shared" si="10"/>
        <v>0</v>
      </c>
      <c r="U36" s="102" t="e">
        <f t="shared" si="11"/>
        <v>#N/A</v>
      </c>
    </row>
    <row r="37" spans="1:21" ht="15.75">
      <c r="A37" s="108"/>
      <c r="B37" s="108"/>
      <c r="C37" s="109"/>
      <c r="D37" s="108"/>
      <c r="E37" s="104">
        <f t="shared" si="0"/>
        <v>0</v>
      </c>
      <c r="F37" s="108"/>
      <c r="G37" s="9" t="str">
        <f t="shared" si="1"/>
        <v/>
      </c>
      <c r="H37" s="108"/>
      <c r="I37" s="105" t="str">
        <f t="shared" si="2"/>
        <v/>
      </c>
      <c r="J37" s="7"/>
      <c r="L37" s="5">
        <f t="shared" si="3"/>
        <v>0</v>
      </c>
      <c r="M37" s="5">
        <f t="shared" si="4"/>
        <v>0</v>
      </c>
      <c r="N37" s="5">
        <f t="shared" si="5"/>
        <v>0</v>
      </c>
      <c r="O37" s="7"/>
      <c r="P37" s="102" t="e">
        <f t="shared" si="6"/>
        <v>#N/A</v>
      </c>
      <c r="Q37" s="102" t="e">
        <f t="shared" si="7"/>
        <v>#N/A</v>
      </c>
      <c r="R37" s="102" t="e">
        <f t="shared" si="8"/>
        <v>#N/A</v>
      </c>
      <c r="S37" s="102" t="e">
        <f t="shared" si="9"/>
        <v>#N/A</v>
      </c>
      <c r="T37" s="103">
        <f t="shared" si="10"/>
        <v>0</v>
      </c>
      <c r="U37" s="102" t="e">
        <f t="shared" si="11"/>
        <v>#N/A</v>
      </c>
    </row>
    <row r="38" spans="1:21" ht="15.75">
      <c r="A38" s="108"/>
      <c r="B38" s="108"/>
      <c r="C38" s="109"/>
      <c r="D38" s="108"/>
      <c r="E38" s="104">
        <f t="shared" si="0"/>
        <v>0</v>
      </c>
      <c r="F38" s="108"/>
      <c r="G38" s="9" t="str">
        <f t="shared" si="1"/>
        <v/>
      </c>
      <c r="H38" s="108"/>
      <c r="I38" s="105" t="str">
        <f t="shared" si="2"/>
        <v/>
      </c>
      <c r="J38" s="7"/>
      <c r="L38" s="5">
        <f t="shared" si="3"/>
        <v>0</v>
      </c>
      <c r="M38" s="5">
        <f t="shared" si="4"/>
        <v>0</v>
      </c>
      <c r="N38" s="5">
        <f t="shared" si="5"/>
        <v>0</v>
      </c>
      <c r="O38" s="7"/>
      <c r="P38" s="102" t="e">
        <f t="shared" si="6"/>
        <v>#N/A</v>
      </c>
      <c r="Q38" s="102" t="e">
        <f t="shared" si="7"/>
        <v>#N/A</v>
      </c>
      <c r="R38" s="102" t="e">
        <f t="shared" si="8"/>
        <v>#N/A</v>
      </c>
      <c r="S38" s="102" t="e">
        <f t="shared" si="9"/>
        <v>#N/A</v>
      </c>
      <c r="T38" s="103">
        <f t="shared" si="10"/>
        <v>0</v>
      </c>
      <c r="U38" s="102" t="e">
        <f t="shared" si="11"/>
        <v>#N/A</v>
      </c>
    </row>
    <row r="39" spans="1:21" ht="15.75">
      <c r="A39" s="108"/>
      <c r="B39" s="108"/>
      <c r="C39" s="109"/>
      <c r="D39" s="108"/>
      <c r="E39" s="104">
        <f t="shared" si="0"/>
        <v>0</v>
      </c>
      <c r="F39" s="108"/>
      <c r="G39" s="9" t="str">
        <f t="shared" si="1"/>
        <v/>
      </c>
      <c r="H39" s="108"/>
      <c r="I39" s="105" t="str">
        <f t="shared" si="2"/>
        <v/>
      </c>
      <c r="J39" s="7"/>
      <c r="L39" s="5">
        <f t="shared" si="3"/>
        <v>0</v>
      </c>
      <c r="M39" s="5">
        <f t="shared" si="4"/>
        <v>0</v>
      </c>
      <c r="N39" s="5">
        <f t="shared" si="5"/>
        <v>0</v>
      </c>
      <c r="O39" s="7"/>
      <c r="P39" s="102" t="e">
        <f t="shared" si="6"/>
        <v>#N/A</v>
      </c>
      <c r="Q39" s="102" t="e">
        <f t="shared" si="7"/>
        <v>#N/A</v>
      </c>
      <c r="R39" s="102" t="e">
        <f t="shared" si="8"/>
        <v>#N/A</v>
      </c>
      <c r="S39" s="102" t="e">
        <f t="shared" si="9"/>
        <v>#N/A</v>
      </c>
      <c r="T39" s="103">
        <f t="shared" si="10"/>
        <v>0</v>
      </c>
      <c r="U39" s="102" t="e">
        <f t="shared" si="11"/>
        <v>#N/A</v>
      </c>
    </row>
    <row r="40" spans="1:21" ht="15.75">
      <c r="A40" s="108"/>
      <c r="B40" s="108"/>
      <c r="C40" s="109"/>
      <c r="D40" s="108"/>
      <c r="E40" s="104">
        <f t="shared" si="0"/>
        <v>0</v>
      </c>
      <c r="F40" s="108"/>
      <c r="G40" s="9" t="str">
        <f t="shared" si="1"/>
        <v/>
      </c>
      <c r="H40" s="108"/>
      <c r="I40" s="105" t="str">
        <f t="shared" si="2"/>
        <v/>
      </c>
      <c r="J40" s="7"/>
      <c r="L40" s="5">
        <f t="shared" si="3"/>
        <v>0</v>
      </c>
      <c r="M40" s="5">
        <f t="shared" si="4"/>
        <v>0</v>
      </c>
      <c r="N40" s="5">
        <f t="shared" si="5"/>
        <v>0</v>
      </c>
      <c r="O40" s="7"/>
      <c r="P40" s="102" t="e">
        <f t="shared" si="6"/>
        <v>#N/A</v>
      </c>
      <c r="Q40" s="102" t="e">
        <f t="shared" si="7"/>
        <v>#N/A</v>
      </c>
      <c r="R40" s="102" t="e">
        <f t="shared" si="8"/>
        <v>#N/A</v>
      </c>
      <c r="S40" s="102" t="e">
        <f t="shared" si="9"/>
        <v>#N/A</v>
      </c>
      <c r="T40" s="103">
        <f t="shared" si="10"/>
        <v>0</v>
      </c>
      <c r="U40" s="102" t="e">
        <f t="shared" si="11"/>
        <v>#N/A</v>
      </c>
    </row>
    <row r="41" spans="1:21" ht="15.75">
      <c r="A41" s="108"/>
      <c r="B41" s="108"/>
      <c r="C41" s="109"/>
      <c r="D41" s="108"/>
      <c r="E41" s="104">
        <f t="shared" si="0"/>
        <v>0</v>
      </c>
      <c r="F41" s="108"/>
      <c r="G41" s="9" t="str">
        <f t="shared" si="1"/>
        <v/>
      </c>
      <c r="H41" s="108"/>
      <c r="I41" s="105" t="str">
        <f t="shared" si="2"/>
        <v/>
      </c>
      <c r="J41" s="7"/>
      <c r="L41" s="5">
        <f t="shared" si="3"/>
        <v>0</v>
      </c>
      <c r="M41" s="5">
        <f t="shared" si="4"/>
        <v>0</v>
      </c>
      <c r="N41" s="5">
        <f t="shared" si="5"/>
        <v>0</v>
      </c>
      <c r="O41" s="7"/>
      <c r="P41" s="102" t="e">
        <f t="shared" si="6"/>
        <v>#N/A</v>
      </c>
      <c r="Q41" s="102" t="e">
        <f t="shared" si="7"/>
        <v>#N/A</v>
      </c>
      <c r="R41" s="102" t="e">
        <f t="shared" si="8"/>
        <v>#N/A</v>
      </c>
      <c r="S41" s="102" t="e">
        <f t="shared" si="9"/>
        <v>#N/A</v>
      </c>
      <c r="T41" s="103">
        <f t="shared" si="10"/>
        <v>0</v>
      </c>
      <c r="U41" s="102" t="e">
        <f t="shared" si="11"/>
        <v>#N/A</v>
      </c>
    </row>
    <row r="42" spans="1:21" ht="15.75">
      <c r="A42" s="108"/>
      <c r="B42" s="108"/>
      <c r="C42" s="109"/>
      <c r="D42" s="108"/>
      <c r="E42" s="104">
        <f t="shared" si="0"/>
        <v>0</v>
      </c>
      <c r="F42" s="108"/>
      <c r="G42" s="9" t="str">
        <f t="shared" si="1"/>
        <v/>
      </c>
      <c r="H42" s="108"/>
      <c r="I42" s="105" t="str">
        <f t="shared" si="2"/>
        <v/>
      </c>
      <c r="J42" s="7"/>
      <c r="L42" s="5">
        <f t="shared" si="3"/>
        <v>0</v>
      </c>
      <c r="M42" s="5">
        <f t="shared" si="4"/>
        <v>0</v>
      </c>
      <c r="N42" s="5">
        <f t="shared" si="5"/>
        <v>0</v>
      </c>
      <c r="O42" s="7"/>
      <c r="P42" s="102" t="e">
        <f t="shared" si="6"/>
        <v>#N/A</v>
      </c>
      <c r="Q42" s="102" t="e">
        <f t="shared" si="7"/>
        <v>#N/A</v>
      </c>
      <c r="R42" s="102" t="e">
        <f t="shared" si="8"/>
        <v>#N/A</v>
      </c>
      <c r="S42" s="102" t="e">
        <f t="shared" si="9"/>
        <v>#N/A</v>
      </c>
      <c r="T42" s="103">
        <f t="shared" si="10"/>
        <v>0</v>
      </c>
      <c r="U42" s="102" t="e">
        <f t="shared" si="11"/>
        <v>#N/A</v>
      </c>
    </row>
    <row r="43" spans="1:21" ht="15.75">
      <c r="A43" s="108"/>
      <c r="B43" s="108"/>
      <c r="C43" s="109"/>
      <c r="D43" s="108"/>
      <c r="E43" s="104">
        <f t="shared" si="0"/>
        <v>0</v>
      </c>
      <c r="F43" s="108"/>
      <c r="G43" s="9" t="str">
        <f t="shared" si="1"/>
        <v/>
      </c>
      <c r="H43" s="108"/>
      <c r="I43" s="105" t="str">
        <f t="shared" si="2"/>
        <v/>
      </c>
      <c r="J43" s="7"/>
      <c r="K43" s="5">
        <f>IF(C43="NO REEMBOLSABLES",B43,IF(C43="DONACIONES",B43,0))</f>
        <v>0</v>
      </c>
      <c r="L43" s="5">
        <f t="shared" si="3"/>
        <v>0</v>
      </c>
      <c r="M43" s="5">
        <f t="shared" si="4"/>
        <v>0</v>
      </c>
      <c r="N43" s="5">
        <f t="shared" si="5"/>
        <v>0</v>
      </c>
      <c r="O43" s="7"/>
      <c r="P43" s="102" t="e">
        <f t="shared" si="6"/>
        <v>#N/A</v>
      </c>
      <c r="Q43" s="102" t="e">
        <f t="shared" si="7"/>
        <v>#N/A</v>
      </c>
      <c r="R43" s="102" t="e">
        <f t="shared" si="8"/>
        <v>#N/A</v>
      </c>
      <c r="S43" s="102" t="e">
        <f t="shared" si="9"/>
        <v>#N/A</v>
      </c>
      <c r="T43" s="103">
        <f t="shared" si="10"/>
        <v>0</v>
      </c>
      <c r="U43" s="102" t="e">
        <f t="shared" si="11"/>
        <v>#N/A</v>
      </c>
    </row>
    <row r="44" spans="1:21" ht="15.75">
      <c r="A44" s="108"/>
      <c r="B44" s="108"/>
      <c r="C44" s="109"/>
      <c r="D44" s="108"/>
      <c r="E44" s="104">
        <f t="shared" si="0"/>
        <v>0</v>
      </c>
      <c r="F44" s="108"/>
      <c r="G44" s="9" t="str">
        <f t="shared" si="1"/>
        <v/>
      </c>
      <c r="H44" s="108"/>
      <c r="I44" s="105" t="str">
        <f t="shared" si="2"/>
        <v/>
      </c>
      <c r="J44" s="7"/>
      <c r="K44" s="5">
        <f t="shared" ref="K44:K70" si="12">IF(C44="NO REEMBOLSABLES",B44,IF(C44="DONACIONES",B44,0))</f>
        <v>0</v>
      </c>
      <c r="L44" s="5">
        <f t="shared" si="3"/>
        <v>0</v>
      </c>
      <c r="M44" s="5">
        <f t="shared" si="4"/>
        <v>0</v>
      </c>
      <c r="N44" s="5">
        <f t="shared" si="5"/>
        <v>0</v>
      </c>
      <c r="O44" s="7"/>
      <c r="P44" s="102" t="e">
        <f t="shared" si="6"/>
        <v>#N/A</v>
      </c>
      <c r="Q44" s="102" t="e">
        <f t="shared" si="7"/>
        <v>#N/A</v>
      </c>
      <c r="R44" s="102" t="e">
        <f t="shared" si="8"/>
        <v>#N/A</v>
      </c>
      <c r="S44" s="102" t="e">
        <f t="shared" si="9"/>
        <v>#N/A</v>
      </c>
      <c r="T44" s="103">
        <f t="shared" si="10"/>
        <v>0</v>
      </c>
      <c r="U44" s="102" t="e">
        <f t="shared" si="11"/>
        <v>#N/A</v>
      </c>
    </row>
    <row r="45" spans="1:21" ht="15.75">
      <c r="A45" s="108"/>
      <c r="B45" s="108"/>
      <c r="C45" s="109"/>
      <c r="D45" s="108"/>
      <c r="E45" s="104">
        <f t="shared" si="0"/>
        <v>0</v>
      </c>
      <c r="F45" s="108"/>
      <c r="G45" s="9" t="str">
        <f t="shared" si="1"/>
        <v/>
      </c>
      <c r="H45" s="108"/>
      <c r="I45" s="105" t="str">
        <f t="shared" si="2"/>
        <v/>
      </c>
      <c r="J45" s="7"/>
      <c r="K45" s="5">
        <f t="shared" si="12"/>
        <v>0</v>
      </c>
      <c r="L45" s="5">
        <f t="shared" si="3"/>
        <v>0</v>
      </c>
      <c r="M45" s="5">
        <f t="shared" si="4"/>
        <v>0</v>
      </c>
      <c r="N45" s="5">
        <f t="shared" si="5"/>
        <v>0</v>
      </c>
      <c r="O45" s="7"/>
      <c r="P45" s="102" t="e">
        <f t="shared" si="6"/>
        <v>#N/A</v>
      </c>
      <c r="Q45" s="102" t="e">
        <f t="shared" si="7"/>
        <v>#N/A</v>
      </c>
      <c r="R45" s="102" t="e">
        <f t="shared" si="8"/>
        <v>#N/A</v>
      </c>
      <c r="S45" s="102" t="e">
        <f t="shared" si="9"/>
        <v>#N/A</v>
      </c>
      <c r="T45" s="103">
        <f t="shared" si="10"/>
        <v>0</v>
      </c>
      <c r="U45" s="102" t="e">
        <f t="shared" si="11"/>
        <v>#N/A</v>
      </c>
    </row>
    <row r="46" spans="1:21" ht="15.75">
      <c r="A46" s="108"/>
      <c r="B46" s="108"/>
      <c r="C46" s="109"/>
      <c r="D46" s="108"/>
      <c r="E46" s="104">
        <f t="shared" si="0"/>
        <v>0</v>
      </c>
      <c r="F46" s="108"/>
      <c r="G46" s="9" t="str">
        <f t="shared" si="1"/>
        <v/>
      </c>
      <c r="H46" s="108"/>
      <c r="I46" s="105" t="str">
        <f t="shared" si="2"/>
        <v/>
      </c>
      <c r="J46" s="7"/>
      <c r="K46" s="5">
        <f t="shared" si="12"/>
        <v>0</v>
      </c>
      <c r="L46" s="5">
        <f t="shared" si="3"/>
        <v>0</v>
      </c>
      <c r="M46" s="5">
        <f t="shared" si="4"/>
        <v>0</v>
      </c>
      <c r="N46" s="5">
        <f t="shared" si="5"/>
        <v>0</v>
      </c>
      <c r="O46" s="7"/>
      <c r="P46" s="102" t="e">
        <f t="shared" si="6"/>
        <v>#N/A</v>
      </c>
      <c r="Q46" s="102" t="e">
        <f t="shared" si="7"/>
        <v>#N/A</v>
      </c>
      <c r="R46" s="102" t="e">
        <f t="shared" si="8"/>
        <v>#N/A</v>
      </c>
      <c r="S46" s="102" t="e">
        <f t="shared" si="9"/>
        <v>#N/A</v>
      </c>
      <c r="T46" s="103">
        <f t="shared" si="10"/>
        <v>0</v>
      </c>
      <c r="U46" s="102" t="e">
        <f t="shared" si="11"/>
        <v>#N/A</v>
      </c>
    </row>
    <row r="47" spans="1:21" ht="15.75">
      <c r="A47" s="108"/>
      <c r="B47" s="108"/>
      <c r="C47" s="109"/>
      <c r="D47" s="108"/>
      <c r="E47" s="104">
        <f t="shared" si="0"/>
        <v>0</v>
      </c>
      <c r="F47" s="108"/>
      <c r="G47" s="9" t="str">
        <f t="shared" si="1"/>
        <v/>
      </c>
      <c r="H47" s="108"/>
      <c r="I47" s="105" t="str">
        <f t="shared" si="2"/>
        <v/>
      </c>
      <c r="J47" s="7"/>
      <c r="K47" s="5">
        <f t="shared" si="12"/>
        <v>0</v>
      </c>
      <c r="L47" s="5">
        <f t="shared" si="3"/>
        <v>0</v>
      </c>
      <c r="M47" s="5">
        <f t="shared" si="4"/>
        <v>0</v>
      </c>
      <c r="N47" s="5">
        <f t="shared" si="5"/>
        <v>0</v>
      </c>
      <c r="O47" s="7"/>
      <c r="P47" s="102" t="e">
        <f t="shared" si="6"/>
        <v>#N/A</v>
      </c>
      <c r="Q47" s="102" t="e">
        <f t="shared" si="7"/>
        <v>#N/A</v>
      </c>
      <c r="R47" s="102" t="e">
        <f t="shared" si="8"/>
        <v>#N/A</v>
      </c>
      <c r="S47" s="102" t="e">
        <f t="shared" si="9"/>
        <v>#N/A</v>
      </c>
      <c r="T47" s="103">
        <f t="shared" si="10"/>
        <v>0</v>
      </c>
      <c r="U47" s="102" t="e">
        <f t="shared" si="11"/>
        <v>#N/A</v>
      </c>
    </row>
    <row r="48" spans="1:21" ht="15.75">
      <c r="A48" s="108"/>
      <c r="B48" s="108"/>
      <c r="C48" s="109"/>
      <c r="D48" s="108"/>
      <c r="E48" s="104">
        <f t="shared" si="0"/>
        <v>0</v>
      </c>
      <c r="F48" s="108"/>
      <c r="G48" s="9" t="str">
        <f t="shared" si="1"/>
        <v/>
      </c>
      <c r="H48" s="108"/>
      <c r="I48" s="105" t="str">
        <f t="shared" si="2"/>
        <v/>
      </c>
      <c r="J48" s="7"/>
      <c r="K48" s="5">
        <f t="shared" si="12"/>
        <v>0</v>
      </c>
      <c r="L48" s="5">
        <f t="shared" si="3"/>
        <v>0</v>
      </c>
      <c r="M48" s="5">
        <f t="shared" si="4"/>
        <v>0</v>
      </c>
      <c r="N48" s="5">
        <f t="shared" si="5"/>
        <v>0</v>
      </c>
      <c r="O48" s="7"/>
      <c r="P48" s="102" t="e">
        <f t="shared" si="6"/>
        <v>#N/A</v>
      </c>
      <c r="Q48" s="102" t="e">
        <f t="shared" si="7"/>
        <v>#N/A</v>
      </c>
      <c r="R48" s="102" t="e">
        <f t="shared" si="8"/>
        <v>#N/A</v>
      </c>
      <c r="S48" s="102" t="e">
        <f t="shared" si="9"/>
        <v>#N/A</v>
      </c>
      <c r="T48" s="103">
        <f t="shared" si="10"/>
        <v>0</v>
      </c>
      <c r="U48" s="102" t="e">
        <f t="shared" si="11"/>
        <v>#N/A</v>
      </c>
    </row>
    <row r="49" spans="1:21" ht="15.75">
      <c r="A49" s="108"/>
      <c r="B49" s="108"/>
      <c r="C49" s="109"/>
      <c r="D49" s="108"/>
      <c r="E49" s="104">
        <f t="shared" si="0"/>
        <v>0</v>
      </c>
      <c r="F49" s="108"/>
      <c r="G49" s="9" t="str">
        <f t="shared" si="1"/>
        <v/>
      </c>
      <c r="H49" s="108"/>
      <c r="I49" s="105" t="str">
        <f t="shared" si="2"/>
        <v/>
      </c>
      <c r="J49" s="7"/>
      <c r="K49" s="5">
        <f t="shared" si="12"/>
        <v>0</v>
      </c>
      <c r="L49" s="5">
        <f t="shared" si="3"/>
        <v>0</v>
      </c>
      <c r="M49" s="5">
        <f t="shared" si="4"/>
        <v>0</v>
      </c>
      <c r="N49" s="5">
        <f t="shared" si="5"/>
        <v>0</v>
      </c>
      <c r="O49" s="7"/>
      <c r="P49" s="102" t="e">
        <f t="shared" si="6"/>
        <v>#N/A</v>
      </c>
      <c r="Q49" s="102" t="e">
        <f t="shared" si="7"/>
        <v>#N/A</v>
      </c>
      <c r="R49" s="102" t="e">
        <f t="shared" si="8"/>
        <v>#N/A</v>
      </c>
      <c r="S49" s="102" t="e">
        <f t="shared" si="9"/>
        <v>#N/A</v>
      </c>
      <c r="T49" s="103">
        <f t="shared" si="10"/>
        <v>0</v>
      </c>
      <c r="U49" s="102" t="e">
        <f t="shared" si="11"/>
        <v>#N/A</v>
      </c>
    </row>
    <row r="50" spans="1:21" ht="15.75">
      <c r="A50" s="108"/>
      <c r="B50" s="108"/>
      <c r="C50" s="109"/>
      <c r="D50" s="108"/>
      <c r="E50" s="104">
        <f t="shared" si="0"/>
        <v>0</v>
      </c>
      <c r="F50" s="108"/>
      <c r="G50" s="9" t="str">
        <f t="shared" si="1"/>
        <v/>
      </c>
      <c r="H50" s="108"/>
      <c r="I50" s="105" t="str">
        <f t="shared" si="2"/>
        <v/>
      </c>
      <c r="J50" s="7"/>
      <c r="K50" s="5">
        <f t="shared" si="12"/>
        <v>0</v>
      </c>
      <c r="L50" s="5">
        <f t="shared" si="3"/>
        <v>0</v>
      </c>
      <c r="M50" s="5">
        <f t="shared" si="4"/>
        <v>0</v>
      </c>
      <c r="N50" s="5">
        <f t="shared" si="5"/>
        <v>0</v>
      </c>
      <c r="O50" s="7"/>
      <c r="P50" s="102" t="e">
        <f t="shared" si="6"/>
        <v>#N/A</v>
      </c>
      <c r="Q50" s="102" t="e">
        <f t="shared" si="7"/>
        <v>#N/A</v>
      </c>
      <c r="R50" s="102" t="e">
        <f t="shared" si="8"/>
        <v>#N/A</v>
      </c>
      <c r="S50" s="102" t="e">
        <f t="shared" si="9"/>
        <v>#N/A</v>
      </c>
      <c r="T50" s="103">
        <f t="shared" si="10"/>
        <v>0</v>
      </c>
      <c r="U50" s="102" t="e">
        <f t="shared" si="11"/>
        <v>#N/A</v>
      </c>
    </row>
    <row r="51" spans="1:21" ht="15.75">
      <c r="A51" s="108"/>
      <c r="B51" s="108"/>
      <c r="C51" s="109"/>
      <c r="D51" s="108"/>
      <c r="E51" s="104">
        <f t="shared" si="0"/>
        <v>0</v>
      </c>
      <c r="F51" s="108"/>
      <c r="G51" s="9" t="str">
        <f t="shared" si="1"/>
        <v/>
      </c>
      <c r="H51" s="108"/>
      <c r="I51" s="105" t="str">
        <f t="shared" si="2"/>
        <v/>
      </c>
      <c r="J51" s="7"/>
      <c r="K51" s="5">
        <f t="shared" si="12"/>
        <v>0</v>
      </c>
      <c r="L51" s="5">
        <f t="shared" si="3"/>
        <v>0</v>
      </c>
      <c r="M51" s="5">
        <f t="shared" si="4"/>
        <v>0</v>
      </c>
      <c r="N51" s="5">
        <f t="shared" si="5"/>
        <v>0</v>
      </c>
      <c r="O51" s="7"/>
      <c r="P51" s="102" t="e">
        <f t="shared" si="6"/>
        <v>#N/A</v>
      </c>
      <c r="Q51" s="102" t="e">
        <f t="shared" si="7"/>
        <v>#N/A</v>
      </c>
      <c r="R51" s="102" t="e">
        <f t="shared" si="8"/>
        <v>#N/A</v>
      </c>
      <c r="S51" s="102" t="e">
        <f t="shared" si="9"/>
        <v>#N/A</v>
      </c>
      <c r="T51" s="103">
        <f t="shared" si="10"/>
        <v>0</v>
      </c>
      <c r="U51" s="102" t="e">
        <f t="shared" si="11"/>
        <v>#N/A</v>
      </c>
    </row>
    <row r="52" spans="1:21" ht="15.75">
      <c r="A52" s="108"/>
      <c r="B52" s="108"/>
      <c r="C52" s="109"/>
      <c r="D52" s="108"/>
      <c r="E52" s="104">
        <f t="shared" si="0"/>
        <v>0</v>
      </c>
      <c r="F52" s="108"/>
      <c r="G52" s="9" t="str">
        <f t="shared" si="1"/>
        <v/>
      </c>
      <c r="H52" s="108"/>
      <c r="I52" s="105" t="str">
        <f t="shared" si="2"/>
        <v/>
      </c>
      <c r="J52" s="7"/>
      <c r="K52" s="5">
        <f t="shared" si="12"/>
        <v>0</v>
      </c>
      <c r="L52" s="5">
        <f t="shared" si="3"/>
        <v>0</v>
      </c>
      <c r="M52" s="5">
        <f t="shared" si="4"/>
        <v>0</v>
      </c>
      <c r="N52" s="5">
        <f t="shared" si="5"/>
        <v>0</v>
      </c>
      <c r="O52" s="7"/>
      <c r="P52" s="102" t="e">
        <f t="shared" si="6"/>
        <v>#N/A</v>
      </c>
      <c r="Q52" s="102" t="e">
        <f t="shared" si="7"/>
        <v>#N/A</v>
      </c>
      <c r="R52" s="102" t="e">
        <f t="shared" si="8"/>
        <v>#N/A</v>
      </c>
      <c r="S52" s="102" t="e">
        <f t="shared" si="9"/>
        <v>#N/A</v>
      </c>
      <c r="T52" s="103">
        <f t="shared" si="10"/>
        <v>0</v>
      </c>
      <c r="U52" s="102" t="e">
        <f t="shared" si="11"/>
        <v>#N/A</v>
      </c>
    </row>
    <row r="53" spans="1:21" ht="15.75">
      <c r="A53" s="108"/>
      <c r="B53" s="108"/>
      <c r="C53" s="109"/>
      <c r="D53" s="108"/>
      <c r="E53" s="104">
        <f t="shared" si="0"/>
        <v>0</v>
      </c>
      <c r="F53" s="108"/>
      <c r="G53" s="9" t="str">
        <f t="shared" si="1"/>
        <v/>
      </c>
      <c r="H53" s="108"/>
      <c r="I53" s="105" t="str">
        <f t="shared" si="2"/>
        <v/>
      </c>
      <c r="J53" s="7"/>
      <c r="K53" s="5">
        <f t="shared" si="12"/>
        <v>0</v>
      </c>
      <c r="L53" s="5">
        <f t="shared" si="3"/>
        <v>0</v>
      </c>
      <c r="M53" s="5">
        <f t="shared" si="4"/>
        <v>0</v>
      </c>
      <c r="N53" s="5">
        <f t="shared" si="5"/>
        <v>0</v>
      </c>
      <c r="O53" s="7"/>
      <c r="P53" s="102" t="e">
        <f t="shared" si="6"/>
        <v>#N/A</v>
      </c>
      <c r="Q53" s="102" t="e">
        <f t="shared" si="7"/>
        <v>#N/A</v>
      </c>
      <c r="R53" s="102" t="e">
        <f t="shared" si="8"/>
        <v>#N/A</v>
      </c>
      <c r="S53" s="102" t="e">
        <f t="shared" si="9"/>
        <v>#N/A</v>
      </c>
      <c r="T53" s="103">
        <f t="shared" si="10"/>
        <v>0</v>
      </c>
      <c r="U53" s="102" t="e">
        <f t="shared" si="11"/>
        <v>#N/A</v>
      </c>
    </row>
    <row r="54" spans="1:21" ht="15" customHeight="1">
      <c r="A54" s="108"/>
      <c r="B54" s="108"/>
      <c r="C54" s="109"/>
      <c r="D54" s="108"/>
      <c r="E54" s="104">
        <f t="shared" si="0"/>
        <v>0</v>
      </c>
      <c r="F54" s="108"/>
      <c r="G54" s="9" t="str">
        <f t="shared" si="1"/>
        <v/>
      </c>
      <c r="H54" s="108"/>
      <c r="I54" s="105" t="str">
        <f t="shared" si="2"/>
        <v/>
      </c>
      <c r="J54" s="7"/>
      <c r="K54" s="5">
        <f t="shared" si="12"/>
        <v>0</v>
      </c>
      <c r="L54" s="5">
        <f t="shared" si="3"/>
        <v>0</v>
      </c>
      <c r="M54" s="5">
        <f t="shared" si="4"/>
        <v>0</v>
      </c>
      <c r="N54" s="5">
        <f t="shared" si="5"/>
        <v>0</v>
      </c>
      <c r="O54" s="7"/>
      <c r="P54" s="102" t="e">
        <f t="shared" si="6"/>
        <v>#N/A</v>
      </c>
      <c r="Q54" s="102" t="e">
        <f t="shared" si="7"/>
        <v>#N/A</v>
      </c>
      <c r="R54" s="102" t="e">
        <f t="shared" si="8"/>
        <v>#N/A</v>
      </c>
      <c r="S54" s="102" t="e">
        <f t="shared" si="9"/>
        <v>#N/A</v>
      </c>
      <c r="T54" s="103">
        <f t="shared" si="10"/>
        <v>0</v>
      </c>
      <c r="U54" s="102" t="e">
        <f t="shared" si="11"/>
        <v>#N/A</v>
      </c>
    </row>
    <row r="55" spans="1:21" ht="15" customHeight="1">
      <c r="A55" s="108"/>
      <c r="B55" s="108"/>
      <c r="C55" s="109"/>
      <c r="D55" s="108"/>
      <c r="E55" s="104">
        <f t="shared" si="0"/>
        <v>0</v>
      </c>
      <c r="F55" s="108"/>
      <c r="G55" s="9" t="str">
        <f t="shared" si="1"/>
        <v/>
      </c>
      <c r="H55" s="108"/>
      <c r="I55" s="105" t="str">
        <f t="shared" si="2"/>
        <v/>
      </c>
      <c r="J55" s="7"/>
      <c r="K55" s="5">
        <f t="shared" si="12"/>
        <v>0</v>
      </c>
      <c r="L55" s="5">
        <f t="shared" si="3"/>
        <v>0</v>
      </c>
      <c r="M55" s="5">
        <f t="shared" si="4"/>
        <v>0</v>
      </c>
      <c r="N55" s="5">
        <f t="shared" si="5"/>
        <v>0</v>
      </c>
      <c r="O55" s="7"/>
      <c r="P55" s="102" t="e">
        <f t="shared" si="6"/>
        <v>#N/A</v>
      </c>
      <c r="Q55" s="102" t="e">
        <f t="shared" si="7"/>
        <v>#N/A</v>
      </c>
      <c r="R55" s="102" t="e">
        <f t="shared" si="8"/>
        <v>#N/A</v>
      </c>
      <c r="S55" s="102" t="e">
        <f t="shared" si="9"/>
        <v>#N/A</v>
      </c>
      <c r="T55" s="103">
        <f t="shared" si="10"/>
        <v>0</v>
      </c>
      <c r="U55" s="102" t="e">
        <f t="shared" si="11"/>
        <v>#N/A</v>
      </c>
    </row>
    <row r="56" spans="1:21" ht="15" customHeight="1">
      <c r="A56" s="108"/>
      <c r="B56" s="108"/>
      <c r="C56" s="109"/>
      <c r="D56" s="108"/>
      <c r="E56" s="104">
        <f t="shared" si="0"/>
        <v>0</v>
      </c>
      <c r="F56" s="108"/>
      <c r="G56" s="9" t="str">
        <f t="shared" si="1"/>
        <v/>
      </c>
      <c r="H56" s="108"/>
      <c r="I56" s="105" t="str">
        <f t="shared" si="2"/>
        <v/>
      </c>
      <c r="J56" s="98"/>
      <c r="K56" s="5">
        <f t="shared" si="12"/>
        <v>0</v>
      </c>
      <c r="L56" s="5">
        <f t="shared" si="3"/>
        <v>0</v>
      </c>
      <c r="M56" s="5">
        <f t="shared" si="4"/>
        <v>0</v>
      </c>
      <c r="N56" s="5">
        <f t="shared" si="5"/>
        <v>0</v>
      </c>
      <c r="O56" s="7"/>
      <c r="P56" s="102" t="e">
        <f t="shared" si="6"/>
        <v>#N/A</v>
      </c>
      <c r="Q56" s="102" t="e">
        <f t="shared" si="7"/>
        <v>#N/A</v>
      </c>
      <c r="R56" s="102" t="e">
        <f t="shared" si="8"/>
        <v>#N/A</v>
      </c>
      <c r="S56" s="102" t="e">
        <f t="shared" si="9"/>
        <v>#N/A</v>
      </c>
      <c r="T56" s="103">
        <f t="shared" si="10"/>
        <v>0</v>
      </c>
      <c r="U56" s="102" t="e">
        <f t="shared" si="11"/>
        <v>#N/A</v>
      </c>
    </row>
    <row r="57" spans="1:21" ht="15" customHeight="1">
      <c r="A57" s="108"/>
      <c r="B57" s="108"/>
      <c r="C57" s="109"/>
      <c r="D57" s="108"/>
      <c r="E57" s="104">
        <f t="shared" si="0"/>
        <v>0</v>
      </c>
      <c r="F57" s="108"/>
      <c r="G57" s="9" t="str">
        <f t="shared" si="1"/>
        <v/>
      </c>
      <c r="H57" s="108"/>
      <c r="I57" s="105" t="str">
        <f t="shared" si="2"/>
        <v/>
      </c>
      <c r="J57" s="98"/>
      <c r="K57" s="5">
        <f t="shared" si="12"/>
        <v>0</v>
      </c>
      <c r="L57" s="5">
        <f t="shared" si="3"/>
        <v>0</v>
      </c>
      <c r="M57" s="5">
        <f t="shared" si="4"/>
        <v>0</v>
      </c>
      <c r="N57" s="5">
        <f t="shared" si="5"/>
        <v>0</v>
      </c>
      <c r="O57" s="7"/>
      <c r="P57" s="102" t="e">
        <f t="shared" si="6"/>
        <v>#N/A</v>
      </c>
      <c r="Q57" s="102" t="e">
        <f t="shared" si="7"/>
        <v>#N/A</v>
      </c>
      <c r="R57" s="102" t="e">
        <f t="shared" si="8"/>
        <v>#N/A</v>
      </c>
      <c r="S57" s="102" t="e">
        <f t="shared" si="9"/>
        <v>#N/A</v>
      </c>
      <c r="T57" s="103">
        <f t="shared" si="10"/>
        <v>0</v>
      </c>
      <c r="U57" s="102" t="e">
        <f t="shared" si="11"/>
        <v>#N/A</v>
      </c>
    </row>
    <row r="58" spans="1:21" ht="15" customHeight="1">
      <c r="A58" s="108"/>
      <c r="B58" s="108"/>
      <c r="C58" s="109"/>
      <c r="D58" s="108"/>
      <c r="E58" s="104">
        <f t="shared" si="0"/>
        <v>0</v>
      </c>
      <c r="F58" s="108"/>
      <c r="G58" s="9" t="str">
        <f t="shared" si="1"/>
        <v/>
      </c>
      <c r="H58" s="108"/>
      <c r="I58" s="105" t="str">
        <f t="shared" si="2"/>
        <v/>
      </c>
      <c r="J58" s="9"/>
      <c r="K58" s="5">
        <f t="shared" si="12"/>
        <v>0</v>
      </c>
      <c r="L58" s="5">
        <f t="shared" si="3"/>
        <v>0</v>
      </c>
      <c r="M58" s="5">
        <f t="shared" si="4"/>
        <v>0</v>
      </c>
      <c r="N58" s="5">
        <f t="shared" si="5"/>
        <v>0</v>
      </c>
      <c r="O58" s="7"/>
      <c r="P58" s="102" t="e">
        <f t="shared" si="6"/>
        <v>#N/A</v>
      </c>
      <c r="Q58" s="102" t="e">
        <f t="shared" si="7"/>
        <v>#N/A</v>
      </c>
      <c r="R58" s="102" t="e">
        <f t="shared" si="8"/>
        <v>#N/A</v>
      </c>
      <c r="S58" s="102" t="e">
        <f t="shared" si="9"/>
        <v>#N/A</v>
      </c>
      <c r="T58" s="103">
        <f t="shared" si="10"/>
        <v>0</v>
      </c>
      <c r="U58" s="102" t="e">
        <f t="shared" si="11"/>
        <v>#N/A</v>
      </c>
    </row>
    <row r="59" spans="1:21" ht="15" customHeight="1">
      <c r="A59" s="108"/>
      <c r="B59" s="108"/>
      <c r="C59" s="109"/>
      <c r="D59" s="108"/>
      <c r="E59" s="104">
        <f t="shared" si="0"/>
        <v>0</v>
      </c>
      <c r="F59" s="108"/>
      <c r="G59" s="9" t="str">
        <f t="shared" si="1"/>
        <v/>
      </c>
      <c r="H59" s="108"/>
      <c r="I59" s="105" t="str">
        <f t="shared" si="2"/>
        <v/>
      </c>
      <c r="J59" s="9"/>
      <c r="K59" s="5">
        <f t="shared" si="12"/>
        <v>0</v>
      </c>
      <c r="L59" s="5">
        <f t="shared" si="3"/>
        <v>0</v>
      </c>
      <c r="M59" s="5">
        <f t="shared" si="4"/>
        <v>0</v>
      </c>
      <c r="N59" s="5">
        <f t="shared" si="5"/>
        <v>0</v>
      </c>
      <c r="O59" s="7"/>
      <c r="P59" s="102" t="e">
        <f t="shared" si="6"/>
        <v>#N/A</v>
      </c>
      <c r="Q59" s="102" t="e">
        <f t="shared" si="7"/>
        <v>#N/A</v>
      </c>
      <c r="R59" s="102" t="e">
        <f t="shared" si="8"/>
        <v>#N/A</v>
      </c>
      <c r="S59" s="102" t="e">
        <f t="shared" si="9"/>
        <v>#N/A</v>
      </c>
      <c r="T59" s="103">
        <f t="shared" si="10"/>
        <v>0</v>
      </c>
      <c r="U59" s="102" t="e">
        <f t="shared" si="11"/>
        <v>#N/A</v>
      </c>
    </row>
    <row r="60" spans="1:21" ht="15" customHeight="1">
      <c r="A60" s="108"/>
      <c r="B60" s="108"/>
      <c r="C60" s="109"/>
      <c r="D60" s="108"/>
      <c r="E60" s="104">
        <f t="shared" si="0"/>
        <v>0</v>
      </c>
      <c r="F60" s="108"/>
      <c r="G60" s="9" t="str">
        <f t="shared" si="1"/>
        <v/>
      </c>
      <c r="H60" s="108"/>
      <c r="I60" s="105" t="str">
        <f t="shared" si="2"/>
        <v/>
      </c>
      <c r="J60" s="9"/>
      <c r="K60" s="5">
        <f t="shared" si="12"/>
        <v>0</v>
      </c>
      <c r="L60" s="5">
        <f t="shared" si="3"/>
        <v>0</v>
      </c>
      <c r="M60" s="5">
        <f t="shared" si="4"/>
        <v>0</v>
      </c>
      <c r="N60" s="5">
        <f t="shared" si="5"/>
        <v>0</v>
      </c>
      <c r="O60" s="7"/>
      <c r="P60" s="102" t="e">
        <f t="shared" si="6"/>
        <v>#N/A</v>
      </c>
      <c r="Q60" s="102" t="e">
        <f t="shared" si="7"/>
        <v>#N/A</v>
      </c>
      <c r="R60" s="102" t="e">
        <f t="shared" si="8"/>
        <v>#N/A</v>
      </c>
      <c r="S60" s="102" t="e">
        <f t="shared" si="9"/>
        <v>#N/A</v>
      </c>
      <c r="T60" s="103">
        <f t="shared" si="10"/>
        <v>0</v>
      </c>
      <c r="U60" s="102" t="e">
        <f t="shared" si="11"/>
        <v>#N/A</v>
      </c>
    </row>
    <row r="61" spans="1:21" ht="15" customHeight="1">
      <c r="A61" s="111"/>
      <c r="B61" s="111"/>
      <c r="C61" s="112"/>
      <c r="D61" s="111"/>
      <c r="E61" s="104">
        <f t="shared" si="0"/>
        <v>0</v>
      </c>
      <c r="F61" s="113"/>
      <c r="G61" s="9" t="str">
        <f t="shared" si="1"/>
        <v/>
      </c>
      <c r="H61" s="106"/>
      <c r="I61" s="105" t="str">
        <f t="shared" si="2"/>
        <v/>
      </c>
      <c r="J61" s="9"/>
      <c r="K61" s="5">
        <f t="shared" si="12"/>
        <v>0</v>
      </c>
      <c r="L61" s="5">
        <f t="shared" si="3"/>
        <v>0</v>
      </c>
      <c r="M61" s="5">
        <f t="shared" si="4"/>
        <v>0</v>
      </c>
      <c r="N61" s="5">
        <f t="shared" si="5"/>
        <v>0</v>
      </c>
      <c r="O61" s="7"/>
      <c r="P61" s="102" t="e">
        <f t="shared" si="6"/>
        <v>#N/A</v>
      </c>
      <c r="Q61" s="102" t="e">
        <f t="shared" si="7"/>
        <v>#N/A</v>
      </c>
      <c r="R61" s="102" t="e">
        <f t="shared" si="8"/>
        <v>#N/A</v>
      </c>
      <c r="S61" s="102" t="e">
        <f t="shared" si="9"/>
        <v>#N/A</v>
      </c>
      <c r="T61" s="103">
        <f t="shared" si="10"/>
        <v>0</v>
      </c>
      <c r="U61" s="102" t="e">
        <f t="shared" si="11"/>
        <v>#N/A</v>
      </c>
    </row>
    <row r="62" spans="1:21" ht="15" customHeight="1">
      <c r="A62" s="111"/>
      <c r="B62" s="111"/>
      <c r="C62" s="112"/>
      <c r="D62" s="111"/>
      <c r="E62" s="104">
        <f t="shared" si="0"/>
        <v>0</v>
      </c>
      <c r="F62" s="113"/>
      <c r="G62" s="9"/>
      <c r="H62" s="106"/>
      <c r="I62" s="105" t="str">
        <f t="shared" si="2"/>
        <v/>
      </c>
      <c r="J62" s="9"/>
      <c r="K62" s="5">
        <f t="shared" si="12"/>
        <v>0</v>
      </c>
      <c r="L62" s="5">
        <f t="shared" si="3"/>
        <v>0</v>
      </c>
      <c r="M62" s="5">
        <f t="shared" si="4"/>
        <v>0</v>
      </c>
      <c r="N62" s="5">
        <f t="shared" si="5"/>
        <v>0</v>
      </c>
      <c r="O62" s="7"/>
      <c r="P62" s="102" t="e">
        <f t="shared" si="6"/>
        <v>#N/A</v>
      </c>
      <c r="Q62" s="102" t="e">
        <f t="shared" si="7"/>
        <v>#N/A</v>
      </c>
      <c r="R62" s="102" t="e">
        <f t="shared" si="8"/>
        <v>#N/A</v>
      </c>
      <c r="S62" s="102" t="e">
        <f t="shared" si="9"/>
        <v>#N/A</v>
      </c>
      <c r="T62" s="103">
        <f t="shared" si="10"/>
        <v>0</v>
      </c>
      <c r="U62" s="102" t="e">
        <f t="shared" si="11"/>
        <v>#N/A</v>
      </c>
    </row>
    <row r="63" spans="1:21" ht="15.75">
      <c r="A63" s="114"/>
      <c r="B63" s="111"/>
      <c r="C63" s="112"/>
      <c r="D63" s="111"/>
      <c r="E63" s="104">
        <f t="shared" si="0"/>
        <v>0</v>
      </c>
      <c r="F63" s="113"/>
      <c r="G63" s="9"/>
      <c r="H63" s="106"/>
      <c r="I63" s="105" t="str">
        <f t="shared" si="2"/>
        <v/>
      </c>
      <c r="J63" s="9"/>
      <c r="K63" s="5">
        <f t="shared" si="12"/>
        <v>0</v>
      </c>
      <c r="L63" s="5">
        <f t="shared" si="3"/>
        <v>0</v>
      </c>
      <c r="M63" s="5">
        <f t="shared" si="4"/>
        <v>0</v>
      </c>
      <c r="N63" s="5">
        <f t="shared" si="5"/>
        <v>0</v>
      </c>
      <c r="O63" s="7"/>
      <c r="P63" s="102" t="e">
        <f t="shared" si="6"/>
        <v>#N/A</v>
      </c>
      <c r="Q63" s="102" t="e">
        <f t="shared" si="7"/>
        <v>#N/A</v>
      </c>
      <c r="R63" s="102" t="e">
        <f t="shared" si="8"/>
        <v>#N/A</v>
      </c>
      <c r="S63" s="102" t="e">
        <f t="shared" si="9"/>
        <v>#N/A</v>
      </c>
      <c r="T63" s="103">
        <f t="shared" si="10"/>
        <v>0</v>
      </c>
      <c r="U63" s="102" t="e">
        <f t="shared" si="11"/>
        <v>#N/A</v>
      </c>
    </row>
    <row r="64" spans="1:21" ht="15.75">
      <c r="A64" s="111"/>
      <c r="B64" s="111"/>
      <c r="C64" s="112"/>
      <c r="D64" s="111"/>
      <c r="E64" s="104">
        <f t="shared" si="0"/>
        <v>0</v>
      </c>
      <c r="F64" s="113"/>
      <c r="G64" s="9"/>
      <c r="H64" s="106"/>
      <c r="I64" s="105" t="str">
        <f t="shared" si="2"/>
        <v/>
      </c>
      <c r="J64" s="9"/>
      <c r="K64" s="5">
        <f t="shared" si="12"/>
        <v>0</v>
      </c>
      <c r="L64" s="5">
        <f t="shared" si="3"/>
        <v>0</v>
      </c>
      <c r="M64" s="5">
        <f t="shared" si="4"/>
        <v>0</v>
      </c>
      <c r="N64" s="5">
        <f t="shared" si="5"/>
        <v>0</v>
      </c>
      <c r="O64" s="7"/>
      <c r="P64" s="102" t="e">
        <f t="shared" si="6"/>
        <v>#N/A</v>
      </c>
      <c r="Q64" s="102" t="e">
        <f t="shared" si="7"/>
        <v>#N/A</v>
      </c>
      <c r="R64" s="102" t="e">
        <f t="shared" si="8"/>
        <v>#N/A</v>
      </c>
      <c r="S64" s="102" t="e">
        <f t="shared" si="9"/>
        <v>#N/A</v>
      </c>
      <c r="T64" s="103">
        <f t="shared" si="10"/>
        <v>0</v>
      </c>
      <c r="U64" s="102" t="e">
        <f t="shared" si="11"/>
        <v>#N/A</v>
      </c>
    </row>
    <row r="65" spans="1:22" ht="15.75">
      <c r="A65" s="111"/>
      <c r="B65" s="111"/>
      <c r="C65" s="112"/>
      <c r="D65" s="111"/>
      <c r="E65" s="104">
        <f t="shared" si="0"/>
        <v>0</v>
      </c>
      <c r="F65" s="113"/>
      <c r="G65" s="9"/>
      <c r="H65" s="106"/>
      <c r="I65" s="105" t="str">
        <f t="shared" si="2"/>
        <v/>
      </c>
      <c r="J65" s="9"/>
      <c r="K65" s="5">
        <f t="shared" si="12"/>
        <v>0</v>
      </c>
      <c r="L65" s="5">
        <f t="shared" si="3"/>
        <v>0</v>
      </c>
      <c r="M65" s="5">
        <f t="shared" si="4"/>
        <v>0</v>
      </c>
      <c r="N65" s="5">
        <f t="shared" si="5"/>
        <v>0</v>
      </c>
      <c r="O65" s="7"/>
      <c r="P65" s="102" t="e">
        <f t="shared" si="6"/>
        <v>#N/A</v>
      </c>
      <c r="Q65" s="102" t="e">
        <f t="shared" si="7"/>
        <v>#N/A</v>
      </c>
      <c r="R65" s="102" t="e">
        <f t="shared" si="8"/>
        <v>#N/A</v>
      </c>
      <c r="S65" s="102" t="e">
        <f t="shared" si="9"/>
        <v>#N/A</v>
      </c>
      <c r="T65" s="103">
        <f t="shared" si="10"/>
        <v>0</v>
      </c>
      <c r="U65" s="102" t="e">
        <f t="shared" si="11"/>
        <v>#N/A</v>
      </c>
    </row>
    <row r="66" spans="1:22" ht="15.75">
      <c r="A66" s="114"/>
      <c r="B66" s="111"/>
      <c r="C66" s="112"/>
      <c r="D66" s="111"/>
      <c r="E66" s="104">
        <f>+B66*C66</f>
        <v>0</v>
      </c>
      <c r="F66" s="113"/>
      <c r="G66" s="9"/>
      <c r="H66" s="106"/>
      <c r="I66" s="105" t="str">
        <f>IF(ISERROR(VLOOKUP(U66,$I$188:$J$211,2,FALSE))=TRUE,"",VLOOKUP(U66,$I$188:$J$211,2,FALSE))</f>
        <v/>
      </c>
      <c r="J66" s="9"/>
      <c r="K66" s="5">
        <f t="shared" si="12"/>
        <v>0</v>
      </c>
      <c r="L66" s="5">
        <f t="shared" ref="L66:L75" si="13">IF(F66="APORTE DE SOCIOS",E66,0)</f>
        <v>0</v>
      </c>
      <c r="M66" s="5">
        <f t="shared" ref="M66:M75" si="14">IF(ISERROR(IF(F66="CREDITO",IF(I66=0,E66,0),0))=TRUE,0,IF(F66="CREDITO",IF(I66=0,E66,0),0))</f>
        <v>0</v>
      </c>
      <c r="N66" s="5">
        <f t="shared" ref="N66:N75" si="15">IF(F66="NO REEMBOLSABLES",E66,IF(F66="DONACIONES",E66,0))</f>
        <v>0</v>
      </c>
      <c r="O66" s="7"/>
      <c r="P66" s="102" t="e">
        <f t="shared" ref="P66:P75" si="16">VLOOKUP(H66,$G$188:$I$203,2,FALSE)</f>
        <v>#N/A</v>
      </c>
      <c r="Q66" s="102" t="e">
        <f t="shared" ref="Q66:Q75" si="17">VLOOKUP(F66,$E$188:$F$191,2,FALSE)</f>
        <v>#N/A</v>
      </c>
      <c r="R66" s="102" t="e">
        <f>VLOOKUP(D66,$A$188:$B$196,2,FALSE)</f>
        <v>#N/A</v>
      </c>
      <c r="S66" s="102" t="e">
        <f t="shared" ref="S66:S75" si="18">CONCATENATE(P66,Q66,R66)</f>
        <v>#N/A</v>
      </c>
      <c r="T66" s="103">
        <f t="shared" ref="T66:T75" si="19">IF(I66=0,E66,0)</f>
        <v>0</v>
      </c>
      <c r="U66" s="102" t="e">
        <f t="shared" ref="U66:U75" si="20">VALUE(CONCATENATE(Q66,P66))</f>
        <v>#N/A</v>
      </c>
    </row>
    <row r="67" spans="1:22" ht="15.75">
      <c r="A67" s="111"/>
      <c r="B67" s="111"/>
      <c r="C67" s="112"/>
      <c r="D67" s="111"/>
      <c r="E67" s="104">
        <f>+B67*C67</f>
        <v>0</v>
      </c>
      <c r="F67" s="113"/>
      <c r="G67" s="9"/>
      <c r="H67" s="106"/>
      <c r="I67" s="105" t="str">
        <f>IF(ISERROR(VLOOKUP(U67,$I$188:$J$211,2,FALSE))=TRUE,"",VLOOKUP(U67,$I$188:$J$211,2,FALSE))</f>
        <v/>
      </c>
      <c r="J67" s="9"/>
      <c r="K67" s="5">
        <f t="shared" si="12"/>
        <v>0</v>
      </c>
      <c r="L67" s="5">
        <f t="shared" si="13"/>
        <v>0</v>
      </c>
      <c r="M67" s="5">
        <f t="shared" si="14"/>
        <v>0</v>
      </c>
      <c r="N67" s="5">
        <f t="shared" si="15"/>
        <v>0</v>
      </c>
      <c r="O67" s="7"/>
      <c r="P67" s="102" t="e">
        <f t="shared" si="16"/>
        <v>#N/A</v>
      </c>
      <c r="Q67" s="102" t="e">
        <f t="shared" si="17"/>
        <v>#N/A</v>
      </c>
      <c r="R67" s="102" t="e">
        <f>VLOOKUP(D67,$A$188:$B$196,2,FALSE)</f>
        <v>#N/A</v>
      </c>
      <c r="S67" s="102" t="e">
        <f t="shared" si="18"/>
        <v>#N/A</v>
      </c>
      <c r="T67" s="103">
        <f t="shared" si="19"/>
        <v>0</v>
      </c>
      <c r="U67" s="102" t="e">
        <f t="shared" si="20"/>
        <v>#N/A</v>
      </c>
    </row>
    <row r="68" spans="1:22" ht="15.75">
      <c r="A68" s="111"/>
      <c r="B68" s="111"/>
      <c r="C68" s="112"/>
      <c r="D68" s="111"/>
      <c r="E68" s="104">
        <f>+B68*C68</f>
        <v>0</v>
      </c>
      <c r="F68" s="113"/>
      <c r="G68" s="9"/>
      <c r="H68" s="106"/>
      <c r="I68" s="105" t="str">
        <f>IF(ISERROR(VLOOKUP(U68,$I$188:$J$211,2,FALSE))=TRUE,"",VLOOKUP(U68,$I$188:$J$211,2,FALSE))</f>
        <v/>
      </c>
      <c r="J68" s="9"/>
      <c r="K68" s="5">
        <f t="shared" si="12"/>
        <v>0</v>
      </c>
      <c r="L68" s="5">
        <f t="shared" si="13"/>
        <v>0</v>
      </c>
      <c r="M68" s="5">
        <f t="shared" si="14"/>
        <v>0</v>
      </c>
      <c r="N68" s="5">
        <f t="shared" si="15"/>
        <v>0</v>
      </c>
      <c r="O68" s="7"/>
      <c r="P68" s="102" t="e">
        <f t="shared" si="16"/>
        <v>#N/A</v>
      </c>
      <c r="Q68" s="102" t="e">
        <f t="shared" si="17"/>
        <v>#N/A</v>
      </c>
      <c r="R68" s="102" t="e">
        <f>VLOOKUP(D68,$A$188:$B$196,2,FALSE)</f>
        <v>#N/A</v>
      </c>
      <c r="S68" s="102" t="e">
        <f t="shared" si="18"/>
        <v>#N/A</v>
      </c>
      <c r="T68" s="103">
        <f t="shared" si="19"/>
        <v>0</v>
      </c>
      <c r="U68" s="102" t="e">
        <f t="shared" si="20"/>
        <v>#N/A</v>
      </c>
    </row>
    <row r="69" spans="1:22" ht="13.5" customHeight="1">
      <c r="A69" s="106"/>
      <c r="B69" s="106"/>
      <c r="C69" s="115"/>
      <c r="D69" s="106"/>
      <c r="E69" s="104">
        <f>+B69*C69</f>
        <v>0</v>
      </c>
      <c r="F69" s="106"/>
      <c r="G69" s="7"/>
      <c r="H69" s="106"/>
      <c r="I69" s="105" t="str">
        <f>IF(ISERROR(VLOOKUP(U69,$I$188:$J$211,2,FALSE))=TRUE,"",VLOOKUP(U69,$I$188:$J$211,2,FALSE))</f>
        <v/>
      </c>
      <c r="J69" s="7"/>
      <c r="K69" s="5">
        <f t="shared" si="12"/>
        <v>0</v>
      </c>
      <c r="L69" s="5">
        <f t="shared" si="13"/>
        <v>0</v>
      </c>
      <c r="M69" s="5">
        <f t="shared" si="14"/>
        <v>0</v>
      </c>
      <c r="N69" s="5">
        <f t="shared" si="15"/>
        <v>0</v>
      </c>
      <c r="O69" s="7"/>
      <c r="P69" s="102" t="e">
        <f t="shared" si="16"/>
        <v>#N/A</v>
      </c>
      <c r="Q69" s="102" t="e">
        <f t="shared" si="17"/>
        <v>#N/A</v>
      </c>
      <c r="R69" s="102" t="e">
        <f>VLOOKUP(D69,$A$188:$B$196,2,FALSE)</f>
        <v>#N/A</v>
      </c>
      <c r="S69" s="102" t="e">
        <f t="shared" si="18"/>
        <v>#N/A</v>
      </c>
      <c r="T69" s="103">
        <f t="shared" si="19"/>
        <v>0</v>
      </c>
      <c r="U69" s="102" t="e">
        <f t="shared" si="20"/>
        <v>#N/A</v>
      </c>
    </row>
    <row r="70" spans="1:22" ht="15.75">
      <c r="A70" s="106"/>
      <c r="B70" s="106"/>
      <c r="C70" s="115"/>
      <c r="D70" s="106"/>
      <c r="E70" s="104">
        <f>+B70*C70</f>
        <v>0</v>
      </c>
      <c r="F70" s="116"/>
      <c r="G70" s="7"/>
      <c r="H70" s="106"/>
      <c r="I70" s="105" t="str">
        <f>IF(ISERROR(VLOOKUP(U70,$I$188:$J$211,2,FALSE))=TRUE,"",VLOOKUP(U70,$I$188:$J$211,2,FALSE))</f>
        <v/>
      </c>
      <c r="J70" s="7"/>
      <c r="K70" s="5">
        <f t="shared" si="12"/>
        <v>0</v>
      </c>
      <c r="L70" s="5">
        <f t="shared" si="13"/>
        <v>0</v>
      </c>
      <c r="M70" s="5">
        <f t="shared" si="14"/>
        <v>0</v>
      </c>
      <c r="N70" s="5">
        <f t="shared" si="15"/>
        <v>0</v>
      </c>
      <c r="O70" s="7"/>
      <c r="P70" s="102" t="e">
        <f t="shared" si="16"/>
        <v>#N/A</v>
      </c>
      <c r="Q70" s="102" t="e">
        <f t="shared" si="17"/>
        <v>#N/A</v>
      </c>
      <c r="R70" s="102" t="e">
        <f>VLOOKUP(D70,$A$188:$B$196,2,FALSE)</f>
        <v>#N/A</v>
      </c>
      <c r="S70" s="102" t="e">
        <f t="shared" si="18"/>
        <v>#N/A</v>
      </c>
      <c r="T70" s="103">
        <f t="shared" si="19"/>
        <v>0</v>
      </c>
      <c r="U70" s="102" t="e">
        <f t="shared" si="20"/>
        <v>#N/A</v>
      </c>
    </row>
    <row r="71" spans="1:22" ht="15.75">
      <c r="A71" s="7"/>
      <c r="B71" s="7"/>
      <c r="C71" s="7"/>
      <c r="D71" s="7" t="s">
        <v>661</v>
      </c>
      <c r="E71" s="117">
        <f>+'datos de entrada'!G193</f>
        <v>70000000</v>
      </c>
      <c r="F71" s="117" t="str">
        <f>+'datos de entrada'!H193</f>
        <v>APORTE DE SOCIOS</v>
      </c>
      <c r="G71" s="118"/>
      <c r="H71" s="119" t="str">
        <f>+'datos de entrada'!I193</f>
        <v>INICIO DEL PROYECTO</v>
      </c>
      <c r="I71" s="120"/>
      <c r="J71" s="7"/>
      <c r="K71" s="9"/>
      <c r="L71" s="5">
        <f t="shared" si="13"/>
        <v>70000000</v>
      </c>
      <c r="M71" s="5">
        <f t="shared" si="14"/>
        <v>0</v>
      </c>
      <c r="N71" s="5">
        <f t="shared" si="15"/>
        <v>0</v>
      </c>
      <c r="O71" s="5">
        <f>IF(H71="CREDITO",G71,0)</f>
        <v>0</v>
      </c>
      <c r="P71" s="102">
        <f t="shared" si="16"/>
        <v>11</v>
      </c>
      <c r="Q71" s="102">
        <f t="shared" si="17"/>
        <v>1</v>
      </c>
      <c r="R71" s="102">
        <v>0</v>
      </c>
      <c r="S71" s="102" t="str">
        <f t="shared" si="18"/>
        <v>1110</v>
      </c>
      <c r="T71" s="103">
        <f t="shared" si="19"/>
        <v>70000000</v>
      </c>
      <c r="U71" s="102">
        <f t="shared" si="20"/>
        <v>111</v>
      </c>
      <c r="V71" s="102">
        <v>71</v>
      </c>
    </row>
    <row r="72" spans="1:22" ht="15.75">
      <c r="A72" s="7"/>
      <c r="B72" s="7"/>
      <c r="C72" s="7"/>
      <c r="D72" s="7" t="s">
        <v>661</v>
      </c>
      <c r="E72" s="117">
        <f>+'datos de entrada'!G194</f>
        <v>0</v>
      </c>
      <c r="F72" s="117">
        <f>+'datos de entrada'!H194</f>
        <v>0</v>
      </c>
      <c r="G72" s="118"/>
      <c r="H72" s="119">
        <f>+'datos de entrada'!I194</f>
        <v>0</v>
      </c>
      <c r="I72" s="120"/>
      <c r="J72" s="7"/>
      <c r="K72" s="9"/>
      <c r="L72" s="5">
        <f t="shared" si="13"/>
        <v>0</v>
      </c>
      <c r="M72" s="5">
        <f t="shared" si="14"/>
        <v>0</v>
      </c>
      <c r="N72" s="5">
        <f t="shared" si="15"/>
        <v>0</v>
      </c>
      <c r="O72" s="5">
        <f>IF(H72="CREDITO",G72,0)</f>
        <v>0</v>
      </c>
      <c r="P72" s="102" t="e">
        <f t="shared" si="16"/>
        <v>#N/A</v>
      </c>
      <c r="Q72" s="102" t="e">
        <f t="shared" si="17"/>
        <v>#N/A</v>
      </c>
      <c r="R72" s="102">
        <v>0</v>
      </c>
      <c r="S72" s="102" t="e">
        <f t="shared" si="18"/>
        <v>#N/A</v>
      </c>
      <c r="T72" s="103">
        <f t="shared" si="19"/>
        <v>0</v>
      </c>
      <c r="U72" s="102" t="e">
        <f t="shared" si="20"/>
        <v>#N/A</v>
      </c>
    </row>
    <row r="73" spans="1:22" ht="15.75">
      <c r="A73" s="7"/>
      <c r="B73" s="7"/>
      <c r="C73" s="7"/>
      <c r="D73" s="7" t="s">
        <v>661</v>
      </c>
      <c r="E73" s="117">
        <f>+'datos de entrada'!G195</f>
        <v>0</v>
      </c>
      <c r="F73" s="117">
        <f>+'datos de entrada'!H195</f>
        <v>0</v>
      </c>
      <c r="G73" s="118"/>
      <c r="H73" s="119">
        <f>+'datos de entrada'!I195</f>
        <v>0</v>
      </c>
      <c r="I73" s="120"/>
      <c r="J73" s="7"/>
      <c r="K73" s="9"/>
      <c r="L73" s="5">
        <f t="shared" si="13"/>
        <v>0</v>
      </c>
      <c r="M73" s="5">
        <f t="shared" si="14"/>
        <v>0</v>
      </c>
      <c r="N73" s="5">
        <f t="shared" si="15"/>
        <v>0</v>
      </c>
      <c r="O73" s="5">
        <f>IF(H73="CREDITO",G73,0)</f>
        <v>0</v>
      </c>
      <c r="P73" s="102" t="e">
        <f t="shared" si="16"/>
        <v>#N/A</v>
      </c>
      <c r="Q73" s="102" t="e">
        <f t="shared" si="17"/>
        <v>#N/A</v>
      </c>
      <c r="R73" s="102">
        <v>0</v>
      </c>
      <c r="S73" s="102" t="e">
        <f t="shared" si="18"/>
        <v>#N/A</v>
      </c>
      <c r="T73" s="103">
        <f t="shared" si="19"/>
        <v>0</v>
      </c>
      <c r="U73" s="102" t="e">
        <f t="shared" si="20"/>
        <v>#N/A</v>
      </c>
    </row>
    <row r="74" spans="1:22" ht="15.75">
      <c r="A74" s="7"/>
      <c r="B74" s="7"/>
      <c r="C74" s="7"/>
      <c r="D74" s="7" t="s">
        <v>661</v>
      </c>
      <c r="E74" s="117">
        <f>+'datos de entrada'!G196</f>
        <v>0</v>
      </c>
      <c r="F74" s="117">
        <f>+'datos de entrada'!H196</f>
        <v>0</v>
      </c>
      <c r="G74" s="118"/>
      <c r="H74" s="119">
        <f>+'datos de entrada'!I196</f>
        <v>0</v>
      </c>
      <c r="I74" s="120"/>
      <c r="J74" s="7"/>
      <c r="K74" s="9"/>
      <c r="L74" s="5">
        <f t="shared" si="13"/>
        <v>0</v>
      </c>
      <c r="M74" s="5">
        <f t="shared" si="14"/>
        <v>0</v>
      </c>
      <c r="N74" s="5">
        <f t="shared" si="15"/>
        <v>0</v>
      </c>
      <c r="O74" s="5">
        <f>IF(H74="CREDITO",G74,0)</f>
        <v>0</v>
      </c>
      <c r="P74" s="102" t="e">
        <f t="shared" si="16"/>
        <v>#N/A</v>
      </c>
      <c r="Q74" s="102" t="e">
        <f t="shared" si="17"/>
        <v>#N/A</v>
      </c>
      <c r="R74" s="102">
        <v>0</v>
      </c>
      <c r="S74" s="102" t="e">
        <f t="shared" si="18"/>
        <v>#N/A</v>
      </c>
      <c r="T74" s="103">
        <f t="shared" si="19"/>
        <v>0</v>
      </c>
      <c r="U74" s="102" t="e">
        <f t="shared" si="20"/>
        <v>#N/A</v>
      </c>
    </row>
    <row r="75" spans="1:22" ht="15.75">
      <c r="A75" s="7"/>
      <c r="B75" s="7"/>
      <c r="C75" s="7"/>
      <c r="D75" s="7" t="s">
        <v>661</v>
      </c>
      <c r="E75" s="117">
        <f>+'datos de entrada'!G197</f>
        <v>0</v>
      </c>
      <c r="F75" s="117">
        <f>+'datos de entrada'!H197</f>
        <v>0</v>
      </c>
      <c r="G75" s="118"/>
      <c r="H75" s="119">
        <f>+'datos de entrada'!I197</f>
        <v>0</v>
      </c>
      <c r="I75" s="120"/>
      <c r="J75" s="7"/>
      <c r="K75" s="9"/>
      <c r="L75" s="5">
        <f t="shared" si="13"/>
        <v>0</v>
      </c>
      <c r="M75" s="5">
        <f t="shared" si="14"/>
        <v>0</v>
      </c>
      <c r="N75" s="5">
        <f t="shared" si="15"/>
        <v>0</v>
      </c>
      <c r="O75" s="5">
        <f>IF(H75="CREDITO",G75,0)</f>
        <v>0</v>
      </c>
      <c r="P75" s="102" t="e">
        <f t="shared" si="16"/>
        <v>#N/A</v>
      </c>
      <c r="Q75" s="102" t="e">
        <f t="shared" si="17"/>
        <v>#N/A</v>
      </c>
      <c r="R75" s="102">
        <v>0</v>
      </c>
      <c r="S75" s="102" t="e">
        <f t="shared" si="18"/>
        <v>#N/A</v>
      </c>
      <c r="T75" s="103">
        <f t="shared" si="19"/>
        <v>0</v>
      </c>
      <c r="U75" s="102" t="e">
        <f t="shared" si="20"/>
        <v>#N/A</v>
      </c>
    </row>
    <row r="76" spans="1:22">
      <c r="A76" s="103" t="s">
        <v>404</v>
      </c>
      <c r="B76" s="103">
        <v>1</v>
      </c>
      <c r="C76" s="103">
        <v>2</v>
      </c>
      <c r="D76" s="103">
        <v>3</v>
      </c>
      <c r="E76" s="103">
        <v>4</v>
      </c>
      <c r="F76" s="103">
        <v>5</v>
      </c>
      <c r="G76" s="103">
        <v>6</v>
      </c>
      <c r="H76" s="103">
        <v>7</v>
      </c>
      <c r="I76" s="103">
        <v>8</v>
      </c>
      <c r="J76" s="103">
        <v>9</v>
      </c>
      <c r="K76" s="121">
        <v>10</v>
      </c>
      <c r="L76" s="103">
        <v>11</v>
      </c>
      <c r="M76" s="103">
        <v>12</v>
      </c>
      <c r="N76" s="103">
        <v>1</v>
      </c>
      <c r="O76" s="102">
        <v>1.5</v>
      </c>
      <c r="P76" s="102">
        <v>2</v>
      </c>
      <c r="Q76" s="102">
        <v>2.5</v>
      </c>
      <c r="R76" s="102">
        <v>3</v>
      </c>
    </row>
    <row r="77" spans="1:22">
      <c r="A77" s="103" t="s">
        <v>623</v>
      </c>
      <c r="B77" s="103"/>
      <c r="C77" s="103"/>
      <c r="D77" s="103"/>
      <c r="E77" s="103"/>
      <c r="F77" s="103"/>
      <c r="G77" s="103"/>
      <c r="H77" s="103"/>
      <c r="I77" s="103"/>
      <c r="J77" s="103"/>
      <c r="K77" s="121"/>
      <c r="L77" s="103"/>
      <c r="M77" s="103"/>
      <c r="N77" s="103"/>
      <c r="S77" s="102" t="s">
        <v>600</v>
      </c>
      <c r="T77" s="103" t="s">
        <v>601</v>
      </c>
      <c r="U77" s="102" t="s">
        <v>602</v>
      </c>
    </row>
    <row r="78" spans="1:22">
      <c r="A78" s="103" t="s">
        <v>624</v>
      </c>
      <c r="B78" s="103">
        <f ca="1">+C129/240</f>
        <v>0</v>
      </c>
      <c r="C78" s="103">
        <f ca="1">+B78</f>
        <v>0</v>
      </c>
      <c r="D78" s="103">
        <f ca="1">+C78</f>
        <v>0</v>
      </c>
      <c r="E78" s="103">
        <f ca="1">+D78+D129/240</f>
        <v>0</v>
      </c>
      <c r="F78" s="103">
        <f ca="1">+E78</f>
        <v>0</v>
      </c>
      <c r="G78" s="103">
        <f ca="1">+F78</f>
        <v>0</v>
      </c>
      <c r="H78" s="103">
        <f ca="1">+G78+E129/240</f>
        <v>0</v>
      </c>
      <c r="I78" s="103">
        <f t="shared" ref="I78:J85" ca="1" si="21">+H78</f>
        <v>0</v>
      </c>
      <c r="J78" s="103">
        <f t="shared" ca="1" si="21"/>
        <v>0</v>
      </c>
      <c r="K78" s="103">
        <f ca="1">+J78+F129/240</f>
        <v>0</v>
      </c>
      <c r="L78" s="103">
        <f ca="1">+K78</f>
        <v>0</v>
      </c>
      <c r="M78" s="103">
        <f ca="1">+L78</f>
        <v>0</v>
      </c>
      <c r="N78" s="103">
        <f ca="1">SUM(B78:M78)</f>
        <v>0</v>
      </c>
      <c r="O78" s="122">
        <f ca="1">(G129/240)*6</f>
        <v>0</v>
      </c>
      <c r="P78" s="122">
        <f ca="1">(O78+H129/40)</f>
        <v>0</v>
      </c>
      <c r="Q78" s="122">
        <f ca="1">(I129/240)*6</f>
        <v>0</v>
      </c>
      <c r="R78" s="123">
        <f ca="1">(Q78+J129/40)</f>
        <v>0</v>
      </c>
      <c r="S78" s="123">
        <f ca="1">+N78</f>
        <v>0</v>
      </c>
      <c r="T78" s="103">
        <f ca="1">+O78+P78+M78*12</f>
        <v>0</v>
      </c>
      <c r="U78" s="123">
        <f t="shared" ref="U78:U85" ca="1" si="22">+M78*12+O78*6+P78*6+Q78+R78</f>
        <v>0</v>
      </c>
    </row>
    <row r="79" spans="1:22">
      <c r="A79" s="103" t="s">
        <v>625</v>
      </c>
      <c r="B79" s="103">
        <f ca="1">+C130/120</f>
        <v>256666.66666666666</v>
      </c>
      <c r="C79" s="103">
        <f t="shared" ref="C79:D85" ca="1" si="23">+B79</f>
        <v>256666.66666666666</v>
      </c>
      <c r="D79" s="103">
        <f t="shared" ca="1" si="23"/>
        <v>256666.66666666666</v>
      </c>
      <c r="E79" s="103">
        <f ca="1">+D79+D130/120</f>
        <v>256666.66666666666</v>
      </c>
      <c r="F79" s="103">
        <f t="shared" ref="F79:G85" ca="1" si="24">+E79</f>
        <v>256666.66666666666</v>
      </c>
      <c r="G79" s="103">
        <f t="shared" ca="1" si="24"/>
        <v>256666.66666666666</v>
      </c>
      <c r="H79" s="103">
        <f ca="1">+G79+E130/120</f>
        <v>256666.66666666666</v>
      </c>
      <c r="I79" s="103">
        <f t="shared" ca="1" si="21"/>
        <v>256666.66666666666</v>
      </c>
      <c r="J79" s="103">
        <f t="shared" ca="1" si="21"/>
        <v>256666.66666666666</v>
      </c>
      <c r="K79" s="103">
        <f ca="1">+J79+F130/120</f>
        <v>256666.66666666666</v>
      </c>
      <c r="L79" s="103">
        <f t="shared" ref="L79:M85" ca="1" si="25">+K79</f>
        <v>256666.66666666666</v>
      </c>
      <c r="M79" s="103">
        <f t="shared" ca="1" si="25"/>
        <v>256666.66666666666</v>
      </c>
      <c r="N79" s="103">
        <f t="shared" ref="N79:N85" ca="1" si="26">SUM(B79:M79)</f>
        <v>3079999.9999999995</v>
      </c>
      <c r="O79" s="122">
        <f ca="1">(G130/120)*6</f>
        <v>0</v>
      </c>
      <c r="P79" s="122">
        <f ca="1">(O79+H130/20)</f>
        <v>0</v>
      </c>
      <c r="Q79" s="122">
        <f ca="1">(I130/120)*6</f>
        <v>0</v>
      </c>
      <c r="R79" s="123">
        <f ca="1">(Q79+J130/20)</f>
        <v>0</v>
      </c>
      <c r="S79" s="123">
        <f t="shared" ref="S79:S85" ca="1" si="27">+N79</f>
        <v>3079999.9999999995</v>
      </c>
      <c r="T79" s="103">
        <f ca="1">+O79+P79+M79*12</f>
        <v>3080000</v>
      </c>
      <c r="U79" s="123">
        <f t="shared" ca="1" si="22"/>
        <v>3080000</v>
      </c>
    </row>
    <row r="80" spans="1:22">
      <c r="A80" s="103" t="s">
        <v>626</v>
      </c>
      <c r="B80" s="103">
        <f ca="1">+C131/60</f>
        <v>0</v>
      </c>
      <c r="C80" s="103">
        <f t="shared" ca="1" si="23"/>
        <v>0</v>
      </c>
      <c r="D80" s="103">
        <f t="shared" ca="1" si="23"/>
        <v>0</v>
      </c>
      <c r="E80" s="103">
        <f ca="1">+D80+D131/60</f>
        <v>0</v>
      </c>
      <c r="F80" s="103">
        <f t="shared" ca="1" si="24"/>
        <v>0</v>
      </c>
      <c r="G80" s="103">
        <f t="shared" ca="1" si="24"/>
        <v>0</v>
      </c>
      <c r="H80" s="103">
        <f ca="1">+G80+E131/60</f>
        <v>0</v>
      </c>
      <c r="I80" s="103">
        <f t="shared" ca="1" si="21"/>
        <v>0</v>
      </c>
      <c r="J80" s="103">
        <f t="shared" ca="1" si="21"/>
        <v>0</v>
      </c>
      <c r="K80" s="103">
        <f ca="1">+J80+F131/60</f>
        <v>0</v>
      </c>
      <c r="L80" s="103">
        <f t="shared" ca="1" si="25"/>
        <v>0</v>
      </c>
      <c r="M80" s="103">
        <f t="shared" ca="1" si="25"/>
        <v>0</v>
      </c>
      <c r="N80" s="103">
        <f t="shared" ca="1" si="26"/>
        <v>0</v>
      </c>
      <c r="O80" s="122">
        <f ca="1">(G131/60)*6</f>
        <v>0</v>
      </c>
      <c r="P80" s="122">
        <f ca="1">(O80+H131/10)</f>
        <v>0</v>
      </c>
      <c r="Q80" s="122">
        <f ca="1">(I131/60)*6</f>
        <v>0</v>
      </c>
      <c r="R80" s="123">
        <f ca="1">(Q80+J131/10)</f>
        <v>0</v>
      </c>
      <c r="S80" s="123">
        <f t="shared" ca="1" si="27"/>
        <v>0</v>
      </c>
      <c r="T80" s="103">
        <f ca="1">+M80*12+O80+P80</f>
        <v>0</v>
      </c>
      <c r="U80" s="123">
        <f t="shared" ca="1" si="22"/>
        <v>0</v>
      </c>
    </row>
    <row r="81" spans="1:26">
      <c r="A81" s="103" t="s">
        <v>627</v>
      </c>
      <c r="B81" s="103">
        <f ca="1">+C132/60</f>
        <v>133333.33333333334</v>
      </c>
      <c r="C81" s="103">
        <f t="shared" ca="1" si="23"/>
        <v>133333.33333333334</v>
      </c>
      <c r="D81" s="103">
        <f t="shared" ca="1" si="23"/>
        <v>133333.33333333334</v>
      </c>
      <c r="E81" s="103">
        <f ca="1">+D81+D132/60</f>
        <v>133333.33333333334</v>
      </c>
      <c r="F81" s="103">
        <f t="shared" ca="1" si="24"/>
        <v>133333.33333333334</v>
      </c>
      <c r="G81" s="103">
        <f t="shared" ca="1" si="24"/>
        <v>133333.33333333334</v>
      </c>
      <c r="H81" s="103">
        <f ca="1">+G81+E132/60</f>
        <v>133333.33333333334</v>
      </c>
      <c r="I81" s="103">
        <f t="shared" ca="1" si="21"/>
        <v>133333.33333333334</v>
      </c>
      <c r="J81" s="103">
        <f t="shared" ca="1" si="21"/>
        <v>133333.33333333334</v>
      </c>
      <c r="K81" s="103">
        <f ca="1">+J81+F132/60</f>
        <v>133333.33333333334</v>
      </c>
      <c r="L81" s="103">
        <f t="shared" ca="1" si="25"/>
        <v>133333.33333333334</v>
      </c>
      <c r="M81" s="103">
        <f t="shared" ca="1" si="25"/>
        <v>133333.33333333334</v>
      </c>
      <c r="N81" s="103">
        <f t="shared" ca="1" si="26"/>
        <v>1599999.9999999998</v>
      </c>
      <c r="O81" s="122">
        <f ca="1">(G132/60)*6</f>
        <v>0</v>
      </c>
      <c r="P81" s="122">
        <f ca="1">(O81+H132/10)</f>
        <v>0</v>
      </c>
      <c r="Q81" s="122">
        <f ca="1">(I132/60)*6</f>
        <v>0</v>
      </c>
      <c r="R81" s="123">
        <f ca="1">(Q81+J132/10)</f>
        <v>0</v>
      </c>
      <c r="S81" s="123">
        <f t="shared" ca="1" si="27"/>
        <v>1599999.9999999998</v>
      </c>
      <c r="T81" s="103">
        <f ca="1">+O81+P81+M81*12</f>
        <v>1600000</v>
      </c>
      <c r="U81" s="123">
        <f t="shared" ca="1" si="22"/>
        <v>1600000</v>
      </c>
    </row>
    <row r="82" spans="1:26">
      <c r="A82" s="103" t="s">
        <v>628</v>
      </c>
      <c r="B82" s="103">
        <f ca="1">+C133/120</f>
        <v>71250</v>
      </c>
      <c r="C82" s="103">
        <f t="shared" ca="1" si="23"/>
        <v>71250</v>
      </c>
      <c r="D82" s="103">
        <f t="shared" ca="1" si="23"/>
        <v>71250</v>
      </c>
      <c r="E82" s="103">
        <f ca="1">+D82+D133/120</f>
        <v>71250</v>
      </c>
      <c r="F82" s="103">
        <f t="shared" ca="1" si="24"/>
        <v>71250</v>
      </c>
      <c r="G82" s="103">
        <f t="shared" ca="1" si="24"/>
        <v>71250</v>
      </c>
      <c r="H82" s="103">
        <f ca="1">+G82+E133/120</f>
        <v>71250</v>
      </c>
      <c r="I82" s="103">
        <f t="shared" ca="1" si="21"/>
        <v>71250</v>
      </c>
      <c r="J82" s="103">
        <f t="shared" ca="1" si="21"/>
        <v>71250</v>
      </c>
      <c r="K82" s="103">
        <f ca="1">+J82+F133/120</f>
        <v>71250</v>
      </c>
      <c r="L82" s="103">
        <f t="shared" ca="1" si="25"/>
        <v>71250</v>
      </c>
      <c r="M82" s="103">
        <f t="shared" ca="1" si="25"/>
        <v>71250</v>
      </c>
      <c r="N82" s="103">
        <f t="shared" ca="1" si="26"/>
        <v>855000</v>
      </c>
      <c r="O82" s="122">
        <f ca="1">(G133/120)*6</f>
        <v>0</v>
      </c>
      <c r="P82" s="122">
        <f ca="1">(O82+H133/20)</f>
        <v>0</v>
      </c>
      <c r="Q82" s="122">
        <f ca="1">(I133/120)*6</f>
        <v>0</v>
      </c>
      <c r="R82" s="123">
        <f ca="1">(Q82+J133/20)</f>
        <v>0</v>
      </c>
      <c r="S82" s="123">
        <f t="shared" ca="1" si="27"/>
        <v>855000</v>
      </c>
      <c r="T82" s="103">
        <f ca="1">+O82+P82+M82*12</f>
        <v>855000</v>
      </c>
      <c r="U82" s="123">
        <f t="shared" ca="1" si="22"/>
        <v>855000</v>
      </c>
    </row>
    <row r="83" spans="1:26">
      <c r="A83" s="103" t="s">
        <v>629</v>
      </c>
      <c r="B83" s="103">
        <f ca="1">+C134/12</f>
        <v>0</v>
      </c>
      <c r="C83" s="103">
        <f t="shared" ca="1" si="23"/>
        <v>0</v>
      </c>
      <c r="D83" s="103">
        <f t="shared" ca="1" si="23"/>
        <v>0</v>
      </c>
      <c r="E83" s="103">
        <f ca="1">+D83+D134/12</f>
        <v>0</v>
      </c>
      <c r="F83" s="103">
        <f t="shared" ca="1" si="24"/>
        <v>0</v>
      </c>
      <c r="G83" s="103">
        <f t="shared" ca="1" si="24"/>
        <v>0</v>
      </c>
      <c r="H83" s="103">
        <f ca="1">+G83+E134/12</f>
        <v>0</v>
      </c>
      <c r="I83" s="103">
        <f t="shared" ca="1" si="21"/>
        <v>0</v>
      </c>
      <c r="J83" s="103">
        <f t="shared" ca="1" si="21"/>
        <v>0</v>
      </c>
      <c r="K83" s="103">
        <f ca="1">+J83+F134/12</f>
        <v>0</v>
      </c>
      <c r="L83" s="103">
        <f t="shared" ca="1" si="25"/>
        <v>0</v>
      </c>
      <c r="M83" s="103">
        <f t="shared" ca="1" si="25"/>
        <v>0</v>
      </c>
      <c r="N83" s="103">
        <f t="shared" ca="1" si="26"/>
        <v>0</v>
      </c>
      <c r="O83" s="122">
        <f ca="1">(G134/12)*6</f>
        <v>0</v>
      </c>
      <c r="P83" s="122">
        <f ca="1">(O83+H134/2)</f>
        <v>0</v>
      </c>
      <c r="Q83" s="122">
        <f ca="1">(I134/12)*6</f>
        <v>0</v>
      </c>
      <c r="R83" s="123">
        <f ca="1">(Q83+J134/2)</f>
        <v>0</v>
      </c>
      <c r="S83" s="123">
        <f t="shared" ca="1" si="27"/>
        <v>0</v>
      </c>
      <c r="T83" s="103">
        <f ca="1">+O83+P83+M83*12</f>
        <v>0</v>
      </c>
      <c r="U83" s="123">
        <f t="shared" ca="1" si="22"/>
        <v>0</v>
      </c>
    </row>
    <row r="84" spans="1:26">
      <c r="A84" s="103" t="s">
        <v>630</v>
      </c>
      <c r="B84" s="103">
        <f ca="1">+C135/36</f>
        <v>0</v>
      </c>
      <c r="C84" s="103">
        <f t="shared" ca="1" si="23"/>
        <v>0</v>
      </c>
      <c r="D84" s="103">
        <f t="shared" ca="1" si="23"/>
        <v>0</v>
      </c>
      <c r="E84" s="103">
        <f ca="1">+D84+D135/36</f>
        <v>0</v>
      </c>
      <c r="F84" s="103">
        <f t="shared" ca="1" si="24"/>
        <v>0</v>
      </c>
      <c r="G84" s="103">
        <f t="shared" ca="1" si="24"/>
        <v>0</v>
      </c>
      <c r="H84" s="103">
        <f ca="1">+G84+E135/36</f>
        <v>0</v>
      </c>
      <c r="I84" s="103">
        <f t="shared" ca="1" si="21"/>
        <v>0</v>
      </c>
      <c r="J84" s="103">
        <f t="shared" ca="1" si="21"/>
        <v>0</v>
      </c>
      <c r="K84" s="103">
        <f ca="1">+J84+F135/36</f>
        <v>0</v>
      </c>
      <c r="L84" s="103">
        <f t="shared" ca="1" si="25"/>
        <v>0</v>
      </c>
      <c r="M84" s="103">
        <f t="shared" ca="1" si="25"/>
        <v>0</v>
      </c>
      <c r="N84" s="103">
        <f t="shared" ca="1" si="26"/>
        <v>0</v>
      </c>
      <c r="O84" s="122">
        <f ca="1">(G135/36)*6</f>
        <v>0</v>
      </c>
      <c r="P84" s="122">
        <f ca="1">(O84+H135/6)</f>
        <v>0</v>
      </c>
      <c r="Q84" s="122">
        <f ca="1">(I135/36)*6</f>
        <v>0</v>
      </c>
      <c r="R84" s="123">
        <f ca="1">(Q84+J135/6)</f>
        <v>0</v>
      </c>
      <c r="S84" s="123">
        <f t="shared" ca="1" si="27"/>
        <v>0</v>
      </c>
      <c r="T84" s="103">
        <f ca="1">+O84+P84+M84*12</f>
        <v>0</v>
      </c>
      <c r="U84" s="123">
        <f t="shared" ca="1" si="22"/>
        <v>0</v>
      </c>
    </row>
    <row r="85" spans="1:26">
      <c r="A85" s="103" t="s">
        <v>631</v>
      </c>
      <c r="B85" s="103">
        <f ca="1">+C136/36</f>
        <v>0</v>
      </c>
      <c r="C85" s="103">
        <f t="shared" ca="1" si="23"/>
        <v>0</v>
      </c>
      <c r="D85" s="103">
        <f t="shared" ca="1" si="23"/>
        <v>0</v>
      </c>
      <c r="E85" s="103">
        <f ca="1">+D85+D136/36</f>
        <v>0</v>
      </c>
      <c r="F85" s="103">
        <f t="shared" ca="1" si="24"/>
        <v>0</v>
      </c>
      <c r="G85" s="103">
        <f t="shared" ca="1" si="24"/>
        <v>0</v>
      </c>
      <c r="H85" s="103">
        <f ca="1">+G85+E136/36</f>
        <v>0</v>
      </c>
      <c r="I85" s="103">
        <f t="shared" ca="1" si="21"/>
        <v>0</v>
      </c>
      <c r="J85" s="103">
        <f t="shared" ca="1" si="21"/>
        <v>0</v>
      </c>
      <c r="K85" s="103">
        <f ca="1">+J85+F136/36</f>
        <v>0</v>
      </c>
      <c r="L85" s="103">
        <f t="shared" ca="1" si="25"/>
        <v>0</v>
      </c>
      <c r="M85" s="103">
        <f t="shared" ca="1" si="25"/>
        <v>0</v>
      </c>
      <c r="N85" s="103">
        <f t="shared" ca="1" si="26"/>
        <v>0</v>
      </c>
      <c r="O85" s="122">
        <f ca="1">(G136/36)*6</f>
        <v>0</v>
      </c>
      <c r="P85" s="122">
        <f ca="1">(O85+H136/6)</f>
        <v>0</v>
      </c>
      <c r="Q85" s="122">
        <f ca="1">(I136/36)*6</f>
        <v>0</v>
      </c>
      <c r="R85" s="123">
        <f ca="1">(Q85+J136/6)</f>
        <v>0</v>
      </c>
      <c r="S85" s="123">
        <f t="shared" ca="1" si="27"/>
        <v>0</v>
      </c>
      <c r="T85" s="103">
        <f ca="1">+O85+P85+M85*12</f>
        <v>0</v>
      </c>
      <c r="U85" s="123">
        <f t="shared" ca="1" si="22"/>
        <v>0</v>
      </c>
    </row>
    <row r="91" spans="1:26" ht="12">
      <c r="A91" s="123"/>
      <c r="B91" s="123"/>
      <c r="C91" s="123"/>
      <c r="D91" s="123"/>
      <c r="E91" s="123"/>
      <c r="F91" s="123"/>
      <c r="G91" s="123"/>
      <c r="H91" s="123"/>
      <c r="I91" s="123"/>
      <c r="J91" s="123"/>
      <c r="K91" s="123"/>
      <c r="L91" s="123"/>
      <c r="M91" s="123"/>
      <c r="N91" s="123"/>
      <c r="O91" s="123"/>
      <c r="P91" s="123"/>
      <c r="Q91" s="123"/>
      <c r="R91" s="123"/>
      <c r="S91" s="123"/>
      <c r="T91" s="123"/>
      <c r="U91" s="123"/>
      <c r="V91" s="123"/>
    </row>
    <row r="92" spans="1:26" ht="12">
      <c r="A92" s="123" t="s">
        <v>386</v>
      </c>
      <c r="B92" s="123"/>
      <c r="C92" s="123">
        <v>1</v>
      </c>
      <c r="D92" s="123">
        <v>1.25</v>
      </c>
      <c r="E92" s="123">
        <v>1.5</v>
      </c>
      <c r="F92" s="123">
        <v>1.75</v>
      </c>
      <c r="G92" s="123">
        <v>2</v>
      </c>
      <c r="H92" s="123">
        <v>2.5</v>
      </c>
      <c r="I92" s="123">
        <v>3</v>
      </c>
      <c r="J92" s="123">
        <v>3.5</v>
      </c>
      <c r="K92" s="123"/>
      <c r="L92" s="123"/>
      <c r="M92" s="123"/>
      <c r="N92" s="123"/>
      <c r="O92" s="123"/>
      <c r="P92" s="123"/>
      <c r="Q92" s="123"/>
      <c r="R92" s="123">
        <v>7.5</v>
      </c>
      <c r="S92" s="123"/>
      <c r="T92" s="123"/>
      <c r="U92" s="123"/>
      <c r="V92" s="123"/>
      <c r="W92" s="123"/>
      <c r="X92" s="123"/>
      <c r="Y92" s="123"/>
      <c r="Z92" s="123"/>
    </row>
    <row r="93" spans="1:26" ht="12">
      <c r="A93" s="123" t="s">
        <v>387</v>
      </c>
      <c r="B93" s="123"/>
      <c r="C93" s="123">
        <v>11</v>
      </c>
      <c r="D93" s="123">
        <v>12</v>
      </c>
      <c r="E93" s="123">
        <v>13</v>
      </c>
      <c r="F93" s="123">
        <v>14</v>
      </c>
      <c r="G93" s="123">
        <v>21</v>
      </c>
      <c r="H93" s="123">
        <v>22</v>
      </c>
      <c r="I93" s="123">
        <v>31</v>
      </c>
      <c r="J93" s="123">
        <v>32</v>
      </c>
      <c r="K93" s="123"/>
      <c r="L93" s="123"/>
      <c r="M93" s="123"/>
      <c r="N93" s="123"/>
      <c r="O93" s="123"/>
      <c r="P93" s="123"/>
      <c r="Q93" s="123"/>
      <c r="R93" s="123">
        <v>72</v>
      </c>
      <c r="S93" s="123"/>
      <c r="T93" s="123"/>
      <c r="U93" s="123"/>
      <c r="V93" s="123"/>
      <c r="W93" s="123"/>
      <c r="X93" s="123"/>
      <c r="Y93" s="123"/>
      <c r="Z93" s="123"/>
    </row>
    <row r="94" spans="1:26" ht="12">
      <c r="A94" s="911" t="s">
        <v>387</v>
      </c>
      <c r="B94" s="123">
        <v>1</v>
      </c>
      <c r="C94" s="126" t="s">
        <v>388</v>
      </c>
      <c r="D94" s="126" t="s">
        <v>389</v>
      </c>
      <c r="E94" s="126" t="s">
        <v>390</v>
      </c>
      <c r="F94" s="126" t="s">
        <v>391</v>
      </c>
      <c r="G94" s="126" t="s">
        <v>392</v>
      </c>
      <c r="H94" s="126" t="s">
        <v>393</v>
      </c>
      <c r="I94" s="126" t="s">
        <v>394</v>
      </c>
      <c r="J94" s="126" t="s">
        <v>385</v>
      </c>
      <c r="K94" s="126"/>
      <c r="L94" s="126"/>
      <c r="M94" s="126"/>
      <c r="N94" s="126"/>
      <c r="O94" s="126"/>
      <c r="P94" s="126"/>
      <c r="Q94" s="126"/>
      <c r="R94" s="126"/>
      <c r="S94" s="912" t="s">
        <v>395</v>
      </c>
      <c r="T94" s="912" t="s">
        <v>396</v>
      </c>
      <c r="U94" s="912" t="s">
        <v>397</v>
      </c>
      <c r="V94" s="912" t="s">
        <v>398</v>
      </c>
      <c r="W94" s="912"/>
      <c r="X94" s="123"/>
      <c r="Y94" s="123"/>
      <c r="Z94" s="123"/>
    </row>
    <row r="95" spans="1:26">
      <c r="A95" s="127" t="s">
        <v>623</v>
      </c>
      <c r="B95" s="128">
        <v>1</v>
      </c>
      <c r="C95" s="122">
        <f ca="1">SUMIF('inversion af'!$S$2:$T$70,CONCATENATE(C$93,$B$94,$B95),'inversion af'!$T$2:$T$70)</f>
        <v>0</v>
      </c>
      <c r="D95" s="122">
        <f ca="1">SUMIF('inversion af'!$S$2:$T$70,CONCATENATE(D$93,$B$94,$B95),'inversion af'!$T$2:$T$70)</f>
        <v>0</v>
      </c>
      <c r="E95" s="122">
        <f ca="1">SUMIF('inversion af'!$S$2:$T$70,CONCATENATE(E$93,B$94,$B95),'inversion af'!$T$2:$T$70)</f>
        <v>0</v>
      </c>
      <c r="F95" s="122">
        <f ca="1">SUMIF('inversion af'!$S$2:$T$70,CONCATENATE(F$93,B$94,$B95),'inversion af'!$T$2:$T$70)</f>
        <v>0</v>
      </c>
      <c r="G95" s="122">
        <f ca="1">SUMIF('inversion af'!$S$2:$T$70,CONCATENATE(G$93,B$94,$B95),'inversion af'!$T$2:$T$70)</f>
        <v>0</v>
      </c>
      <c r="H95" s="122">
        <f ca="1">SUMIF('inversion af'!$S$2:$T$70,CONCATENATE(H$93,B$94,$B95),'inversion af'!$T$2:$T$70)</f>
        <v>0</v>
      </c>
      <c r="I95" s="122">
        <f ca="1">SUMIF('inversion af'!$S$2:$T$70,CONCATENATE(I$93,$B$94,$B95),'inversion af'!$T$2:$T$70)</f>
        <v>0</v>
      </c>
      <c r="J95" s="122">
        <f ca="1">SUMIF('inversion af'!$S$2:$T$70,CONCATENATE(J$93,$B$94,$B95),'inversion af'!$T$2:$T$70)</f>
        <v>0</v>
      </c>
      <c r="K95" s="122">
        <f ca="1">SUM(C95:J95)</f>
        <v>0</v>
      </c>
      <c r="L95" s="122"/>
      <c r="M95" s="122"/>
      <c r="N95" s="122"/>
      <c r="O95" s="122"/>
      <c r="P95" s="122"/>
      <c r="Q95" s="122"/>
      <c r="R95" s="122"/>
      <c r="S95" s="913">
        <f t="shared" ref="S95:S103" ca="1" si="28">SUM(C95:R95)</f>
        <v>0</v>
      </c>
      <c r="T95" s="913">
        <f t="shared" ref="T95:T103" ca="1" si="29">SUM(C95:F95)</f>
        <v>0</v>
      </c>
      <c r="U95" s="913">
        <f t="shared" ref="U95:U103" ca="1" si="30">SUM(G95:H95)</f>
        <v>0</v>
      </c>
      <c r="V95" s="913">
        <f t="shared" ref="V95:V103" ca="1" si="31">SUM(I95:J95)</f>
        <v>0</v>
      </c>
      <c r="W95" s="913"/>
      <c r="X95" s="122"/>
      <c r="Y95" s="122"/>
      <c r="Z95" s="122"/>
    </row>
    <row r="96" spans="1:26">
      <c r="A96" s="127" t="s">
        <v>624</v>
      </c>
      <c r="B96" s="128">
        <v>2</v>
      </c>
      <c r="C96" s="122">
        <f ca="1">SUMIF('inversion af'!$S$2:$T$70,CONCATENATE(C$93,$B$94,$B96),'inversion af'!$T$2:$T$70)</f>
        <v>0</v>
      </c>
      <c r="D96" s="122">
        <f ca="1">SUMIF('inversion af'!$S$2:$T$70,CONCATENATE(D$93,$B$94,$B96),'inversion af'!$T$2:$T$70)</f>
        <v>0</v>
      </c>
      <c r="E96" s="122">
        <f ca="1">SUMIF('inversion af'!$S$2:$T$70,CONCATENATE(E$93,B$94,$B96),'inversion af'!$T$2:$T$70)</f>
        <v>0</v>
      </c>
      <c r="F96" s="122">
        <f ca="1">SUMIF('inversion af'!$S$2:$T$70,CONCATENATE(F$93,B$94,$B96),'inversion af'!$T$2:$T$70)</f>
        <v>0</v>
      </c>
      <c r="G96" s="122">
        <f ca="1">SUMIF('inversion af'!$S$2:$T$70,CONCATENATE(G$93,B$94,$B96),'inversion af'!$T$2:$T$70)</f>
        <v>0</v>
      </c>
      <c r="H96" s="122">
        <f ca="1">SUMIF('inversion af'!$S$2:$T$70,CONCATENATE(H$93,B$94,$B96),'inversion af'!$T$2:$T$70)</f>
        <v>0</v>
      </c>
      <c r="I96" s="122">
        <f ca="1">SUMIF('inversion af'!$S$2:$T$70,CONCATENATE(I$93,$B$94,$B96),'inversion af'!$T$2:$T$70)</f>
        <v>0</v>
      </c>
      <c r="J96" s="122">
        <f ca="1">SUMIF('inversion af'!$S$2:$T$70,CONCATENATE(J$93,$B$94,$B96),'inversion af'!$T$2:$T$70)</f>
        <v>0</v>
      </c>
      <c r="K96" s="122">
        <f t="shared" ref="K96:K103" ca="1" si="32">SUM(C96:J96)</f>
        <v>0</v>
      </c>
      <c r="L96" s="122"/>
      <c r="M96" s="122"/>
      <c r="N96" s="122"/>
      <c r="O96" s="122"/>
      <c r="P96" s="122"/>
      <c r="Q96" s="122"/>
      <c r="R96" s="122"/>
      <c r="S96" s="913">
        <f t="shared" ca="1" si="28"/>
        <v>0</v>
      </c>
      <c r="T96" s="913">
        <f t="shared" ca="1" si="29"/>
        <v>0</v>
      </c>
      <c r="U96" s="913">
        <f t="shared" ca="1" si="30"/>
        <v>0</v>
      </c>
      <c r="V96" s="913">
        <f t="shared" ca="1" si="31"/>
        <v>0</v>
      </c>
      <c r="W96" s="913"/>
      <c r="X96" s="122"/>
      <c r="Y96" s="122"/>
      <c r="Z96" s="122"/>
    </row>
    <row r="97" spans="1:26">
      <c r="A97" s="127" t="s">
        <v>625</v>
      </c>
      <c r="B97" s="128">
        <v>3</v>
      </c>
      <c r="C97" s="122">
        <f ca="1">SUMIF('inversion af'!$S$2:$T$70,CONCATENATE(C$93,$B$94,$B97),'inversion af'!$T$2:$T$70)</f>
        <v>30800000</v>
      </c>
      <c r="D97" s="122">
        <f ca="1">SUMIF('inversion af'!$S$2:$T$70,CONCATENATE(D$93,$B$94,$B97),'inversion af'!$T$2:$T$70)</f>
        <v>0</v>
      </c>
      <c r="E97" s="122">
        <f ca="1">SUMIF('inversion af'!$S$2:$T$70,CONCATENATE(E$93,B$94,$B97),'inversion af'!$T$2:$T$70)</f>
        <v>0</v>
      </c>
      <c r="F97" s="122">
        <f ca="1">SUMIF('inversion af'!$S$2:$T$70,CONCATENATE(F$93,B$94,$B97),'inversion af'!$T$2:$T$70)</f>
        <v>0</v>
      </c>
      <c r="G97" s="122">
        <f ca="1">SUMIF('inversion af'!$S$2:$T$70,CONCATENATE(G$93,B$94,$B97),'inversion af'!$T$2:$T$70)</f>
        <v>0</v>
      </c>
      <c r="H97" s="122">
        <f ca="1">SUMIF('inversion af'!$S$2:$T$70,CONCATENATE(H$93,B$94,$B97),'inversion af'!$T$2:$T$70)</f>
        <v>0</v>
      </c>
      <c r="I97" s="122">
        <f ca="1">SUMIF('inversion af'!$S$2:$T$70,CONCATENATE(I$93,$B$94,$B97),'inversion af'!$T$2:$T$70)</f>
        <v>0</v>
      </c>
      <c r="J97" s="122">
        <f ca="1">SUMIF('inversion af'!$S$2:$T$70,CONCATENATE(J$93,$B$94,$B97),'inversion af'!$T$2:$T$70)</f>
        <v>0</v>
      </c>
      <c r="K97" s="122">
        <f t="shared" ca="1" si="32"/>
        <v>30800000</v>
      </c>
      <c r="L97" s="122"/>
      <c r="M97" s="122"/>
      <c r="N97" s="122"/>
      <c r="O97" s="122"/>
      <c r="P97" s="122"/>
      <c r="Q97" s="122"/>
      <c r="R97" s="122"/>
      <c r="S97" s="913">
        <f t="shared" ca="1" si="28"/>
        <v>61600000</v>
      </c>
      <c r="T97" s="913">
        <f t="shared" ca="1" si="29"/>
        <v>30800000</v>
      </c>
      <c r="U97" s="913">
        <f t="shared" ca="1" si="30"/>
        <v>0</v>
      </c>
      <c r="V97" s="913">
        <f t="shared" ca="1" si="31"/>
        <v>0</v>
      </c>
      <c r="W97" s="913"/>
      <c r="X97" s="122"/>
      <c r="Y97" s="122"/>
      <c r="Z97" s="122"/>
    </row>
    <row r="98" spans="1:26">
      <c r="A98" s="127" t="s">
        <v>626</v>
      </c>
      <c r="B98" s="128">
        <v>4</v>
      </c>
      <c r="C98" s="122">
        <f ca="1">SUMIF('inversion af'!$S$2:$T$70,CONCATENATE(C$93,$B$94,$B98),'inversion af'!$T$2:$T$70)</f>
        <v>0</v>
      </c>
      <c r="D98" s="122">
        <f ca="1">SUMIF('inversion af'!$S$2:$T$70,CONCATENATE(D$93,$B$94,$B98),'inversion af'!$T$2:$T$70)</f>
        <v>0</v>
      </c>
      <c r="E98" s="122">
        <f ca="1">SUMIF('inversion af'!$S$2:$T$70,CONCATENATE(E$93,B$94,$B98),'inversion af'!$T$2:$T$70)</f>
        <v>0</v>
      </c>
      <c r="F98" s="122">
        <f ca="1">SUMIF('inversion af'!$S$2:$T$70,CONCATENATE(F$93,B$94,$B98),'inversion af'!$T$2:$T$70)</f>
        <v>0</v>
      </c>
      <c r="G98" s="122">
        <f ca="1">SUMIF('inversion af'!$S$2:$T$70,CONCATENATE(G$93,B$94,$B98),'inversion af'!$T$2:$T$70)</f>
        <v>0</v>
      </c>
      <c r="H98" s="122">
        <f ca="1">SUMIF('inversion af'!$S$2:$T$70,CONCATENATE(H$93,B$94,$B98),'inversion af'!$T$2:$T$70)</f>
        <v>0</v>
      </c>
      <c r="I98" s="122">
        <f ca="1">SUMIF('inversion af'!$S$2:$T$70,CONCATENATE(I$93,$B$94,$B98),'inversion af'!$T$2:$T$70)</f>
        <v>0</v>
      </c>
      <c r="J98" s="122">
        <f ca="1">SUMIF('inversion af'!$S$2:$T$70,CONCATENATE(J$93,$B$94,$B98),'inversion af'!$T$2:$T$70)</f>
        <v>0</v>
      </c>
      <c r="K98" s="122">
        <f t="shared" ca="1" si="32"/>
        <v>0</v>
      </c>
      <c r="L98" s="122"/>
      <c r="M98" s="122"/>
      <c r="N98" s="122"/>
      <c r="O98" s="122"/>
      <c r="P98" s="122"/>
      <c r="Q98" s="122"/>
      <c r="R98" s="122"/>
      <c r="S98" s="913">
        <f t="shared" ca="1" si="28"/>
        <v>0</v>
      </c>
      <c r="T98" s="913">
        <f t="shared" ca="1" si="29"/>
        <v>0</v>
      </c>
      <c r="U98" s="913">
        <f t="shared" ca="1" si="30"/>
        <v>0</v>
      </c>
      <c r="V98" s="913">
        <f t="shared" ca="1" si="31"/>
        <v>0</v>
      </c>
      <c r="W98" s="913"/>
      <c r="X98" s="122"/>
      <c r="Y98" s="122"/>
      <c r="Z98" s="122"/>
    </row>
    <row r="99" spans="1:26">
      <c r="A99" s="127" t="s">
        <v>627</v>
      </c>
      <c r="B99" s="128">
        <v>5</v>
      </c>
      <c r="C99" s="122">
        <f ca="1">SUMIF('inversion af'!$S$2:$T$70,CONCATENATE(C$93,$B$94,$B99),'inversion af'!$T$2:$T$70)</f>
        <v>8000000</v>
      </c>
      <c r="D99" s="122">
        <f ca="1">SUMIF('inversion af'!$S$2:$T$70,CONCATENATE(D$93,$B$94,$B99),'inversion af'!$T$2:$T$70)</f>
        <v>0</v>
      </c>
      <c r="E99" s="122">
        <f ca="1">SUMIF('inversion af'!$S$2:$T$70,CONCATENATE(E$93,B$94,$B99),'inversion af'!$T$2:$T$70)</f>
        <v>0</v>
      </c>
      <c r="F99" s="122">
        <f ca="1">SUMIF('inversion af'!$S$2:$T$70,CONCATENATE(F$93,B$94,$B99),'inversion af'!$T$2:$T$70)</f>
        <v>0</v>
      </c>
      <c r="G99" s="122">
        <f ca="1">SUMIF('inversion af'!$S$2:$T$70,CONCATENATE(G$93,B$94,$B99),'inversion af'!$T$2:$T$70)</f>
        <v>0</v>
      </c>
      <c r="H99" s="122">
        <f ca="1">SUMIF('inversion af'!$S$2:$T$70,CONCATENATE(H$93,B$94,$B99),'inversion af'!$T$2:$T$70)</f>
        <v>0</v>
      </c>
      <c r="I99" s="122">
        <f ca="1">SUMIF('inversion af'!$S$2:$T$70,CONCATENATE(I$93,$B$94,$B99),'inversion af'!$T$2:$T$70)</f>
        <v>0</v>
      </c>
      <c r="J99" s="122">
        <f ca="1">SUMIF('inversion af'!$S$2:$T$70,CONCATENATE(J$93,$B$94,$B99),'inversion af'!$T$2:$T$70)</f>
        <v>0</v>
      </c>
      <c r="K99" s="122">
        <f t="shared" ca="1" si="32"/>
        <v>8000000</v>
      </c>
      <c r="L99" s="122"/>
      <c r="M99" s="122"/>
      <c r="N99" s="122"/>
      <c r="O99" s="122"/>
      <c r="P99" s="122"/>
      <c r="Q99" s="122"/>
      <c r="R99" s="122"/>
      <c r="S99" s="913">
        <f t="shared" ca="1" si="28"/>
        <v>16000000</v>
      </c>
      <c r="T99" s="913">
        <f t="shared" ca="1" si="29"/>
        <v>8000000</v>
      </c>
      <c r="U99" s="913">
        <f t="shared" ca="1" si="30"/>
        <v>0</v>
      </c>
      <c r="V99" s="913">
        <f t="shared" ca="1" si="31"/>
        <v>0</v>
      </c>
      <c r="W99" s="913"/>
      <c r="X99" s="122"/>
      <c r="Y99" s="122"/>
      <c r="Z99" s="122"/>
    </row>
    <row r="100" spans="1:26">
      <c r="A100" s="127" t="s">
        <v>628</v>
      </c>
      <c r="B100" s="128">
        <v>6</v>
      </c>
      <c r="C100" s="122">
        <f ca="1">SUMIF('inversion af'!$S$2:$T$70,CONCATENATE(C$93,$B$94,$B100),'inversion af'!$T$2:$T$70)</f>
        <v>8550000</v>
      </c>
      <c r="D100" s="122">
        <f ca="1">SUMIF('inversion af'!$S$2:$T$70,CONCATENATE(D$93,$B$94,$B100),'inversion af'!$T$2:$T$70)</f>
        <v>0</v>
      </c>
      <c r="E100" s="122">
        <f ca="1">SUMIF('inversion af'!$S$2:$T$70,CONCATENATE(E$93,B$94,$B100),'inversion af'!$T$2:$T$70)</f>
        <v>0</v>
      </c>
      <c r="F100" s="122">
        <f ca="1">SUMIF('inversion af'!$S$2:$T$70,CONCATENATE(F$93,B$94,$B100),'inversion af'!$T$2:$T$70)</f>
        <v>0</v>
      </c>
      <c r="G100" s="122">
        <f ca="1">SUMIF('inversion af'!$S$2:$T$70,CONCATENATE(G$93,B$94,$B100),'inversion af'!$T$2:$T$70)</f>
        <v>0</v>
      </c>
      <c r="H100" s="122">
        <f ca="1">SUMIF('inversion af'!$S$2:$T$70,CONCATENATE(H$93,B$94,$B100),'inversion af'!$T$2:$T$70)</f>
        <v>0</v>
      </c>
      <c r="I100" s="122">
        <f ca="1">SUMIF('inversion af'!$S$2:$T$70,CONCATENATE(I$93,$B$94,$B100),'inversion af'!$T$2:$T$70)</f>
        <v>0</v>
      </c>
      <c r="J100" s="122">
        <f ca="1">SUMIF('inversion af'!$S$2:$T$70,CONCATENATE(J$93,$B$94,$B100),'inversion af'!$T$2:$T$70)</f>
        <v>0</v>
      </c>
      <c r="K100" s="122">
        <f t="shared" ca="1" si="32"/>
        <v>8550000</v>
      </c>
      <c r="L100" s="122"/>
      <c r="M100" s="122"/>
      <c r="N100" s="122"/>
      <c r="O100" s="122"/>
      <c r="P100" s="122"/>
      <c r="Q100" s="122"/>
      <c r="R100" s="122"/>
      <c r="S100" s="913">
        <f t="shared" ca="1" si="28"/>
        <v>17100000</v>
      </c>
      <c r="T100" s="913">
        <f t="shared" ca="1" si="29"/>
        <v>8550000</v>
      </c>
      <c r="U100" s="913">
        <f t="shared" ca="1" si="30"/>
        <v>0</v>
      </c>
      <c r="V100" s="913">
        <f t="shared" ca="1" si="31"/>
        <v>0</v>
      </c>
      <c r="W100" s="913"/>
      <c r="X100" s="122"/>
      <c r="Y100" s="122"/>
      <c r="Z100" s="122"/>
    </row>
    <row r="101" spans="1:26">
      <c r="A101" s="127" t="s">
        <v>629</v>
      </c>
      <c r="B101" s="128">
        <v>7</v>
      </c>
      <c r="C101" s="122">
        <f ca="1">SUMIF('inversion af'!$S$2:$T$70,CONCATENATE(C$93,$B$94,$B101),'inversion af'!$T$2:$T$70)</f>
        <v>0</v>
      </c>
      <c r="D101" s="122">
        <f ca="1">SUMIF('inversion af'!$S$2:$T$70,CONCATENATE(D$93,$B$94,$B101),'inversion af'!$T$2:$T$70)</f>
        <v>0</v>
      </c>
      <c r="E101" s="122">
        <f ca="1">SUMIF('inversion af'!$S$2:$T$70,CONCATENATE(E$93,B$94,$B101),'inversion af'!$T$2:$T$70)</f>
        <v>0</v>
      </c>
      <c r="F101" s="122">
        <f ca="1">SUMIF('inversion af'!$S$2:$T$70,CONCATENATE(F$93,B$94,$B101),'inversion af'!$T$2:$T$70)</f>
        <v>0</v>
      </c>
      <c r="G101" s="122">
        <f ca="1">SUMIF('inversion af'!$S$2:$T$70,CONCATENATE(G$93,B$94,$B101),'inversion af'!$T$2:$T$70)</f>
        <v>0</v>
      </c>
      <c r="H101" s="122">
        <f ca="1">SUMIF('inversion af'!$S$2:$T$70,CONCATENATE(H$93,B$94,$B101),'inversion af'!$T$2:$T$70)</f>
        <v>0</v>
      </c>
      <c r="I101" s="122">
        <f ca="1">SUMIF('inversion af'!$S$2:$T$70,CONCATENATE(I$93,$B$94,$B101),'inversion af'!$T$2:$T$70)</f>
        <v>0</v>
      </c>
      <c r="J101" s="122">
        <f ca="1">SUMIF('inversion af'!$S$2:$T$70,CONCATENATE(J$93,$B$94,$B101),'inversion af'!$T$2:$T$70)</f>
        <v>0</v>
      </c>
      <c r="K101" s="122">
        <f t="shared" ca="1" si="32"/>
        <v>0</v>
      </c>
      <c r="L101" s="122"/>
      <c r="M101" s="122"/>
      <c r="N101" s="122"/>
      <c r="O101" s="122"/>
      <c r="P101" s="122"/>
      <c r="Q101" s="122"/>
      <c r="R101" s="122"/>
      <c r="S101" s="913">
        <f t="shared" ca="1" si="28"/>
        <v>0</v>
      </c>
      <c r="T101" s="913">
        <f t="shared" ca="1" si="29"/>
        <v>0</v>
      </c>
      <c r="U101" s="913">
        <f t="shared" ca="1" si="30"/>
        <v>0</v>
      </c>
      <c r="V101" s="913">
        <f t="shared" ca="1" si="31"/>
        <v>0</v>
      </c>
      <c r="W101" s="913"/>
      <c r="X101" s="122"/>
      <c r="Y101" s="122"/>
      <c r="Z101" s="122"/>
    </row>
    <row r="102" spans="1:26">
      <c r="A102" s="127" t="s">
        <v>630</v>
      </c>
      <c r="B102" s="128">
        <v>8</v>
      </c>
      <c r="C102" s="122">
        <f ca="1">SUMIF('inversion af'!$S$2:$T$70,CONCATENATE(C$93,$B$94,$B102),'inversion af'!$T$2:$T$70)</f>
        <v>0</v>
      </c>
      <c r="D102" s="122">
        <f ca="1">SUMIF('inversion af'!$S$2:$T$70,CONCATENATE(D$93,$B$94,$B102),'inversion af'!$T$2:$T$70)</f>
        <v>0</v>
      </c>
      <c r="E102" s="122">
        <f ca="1">SUMIF('inversion af'!$S$2:$T$70,CONCATENATE(E$93,B$94,$B102),'inversion af'!$T$2:$T$70)</f>
        <v>0</v>
      </c>
      <c r="F102" s="122">
        <f ca="1">SUMIF('inversion af'!$S$2:$T$70,CONCATENATE(F$93,B$94,$B102),'inversion af'!$T$2:$T$70)</f>
        <v>0</v>
      </c>
      <c r="G102" s="122">
        <f ca="1">SUMIF('inversion af'!$S$2:$T$70,CONCATENATE(G$93,B$94,$B102),'inversion af'!$T$2:$T$70)</f>
        <v>0</v>
      </c>
      <c r="H102" s="122">
        <f ca="1">SUMIF('inversion af'!$S$2:$T$70,CONCATENATE(H$93,B$94,$B102),'inversion af'!$T$2:$T$70)</f>
        <v>0</v>
      </c>
      <c r="I102" s="122">
        <f ca="1">SUMIF('inversion af'!$S$2:$T$70,CONCATENATE(I$93,$B$94,$B102),'inversion af'!$T$2:$T$70)</f>
        <v>0</v>
      </c>
      <c r="J102" s="122">
        <f ca="1">SUMIF('inversion af'!$S$2:$T$70,CONCATENATE(J$93,$B$94,$B102),'inversion af'!$T$2:$T$70)</f>
        <v>0</v>
      </c>
      <c r="K102" s="122">
        <f t="shared" ca="1" si="32"/>
        <v>0</v>
      </c>
      <c r="L102" s="122"/>
      <c r="M102" s="122"/>
      <c r="N102" s="122"/>
      <c r="O102" s="122"/>
      <c r="P102" s="122"/>
      <c r="Q102" s="122"/>
      <c r="R102" s="122"/>
      <c r="S102" s="913">
        <f t="shared" ca="1" si="28"/>
        <v>0</v>
      </c>
      <c r="T102" s="913">
        <f t="shared" ca="1" si="29"/>
        <v>0</v>
      </c>
      <c r="U102" s="913">
        <f t="shared" ca="1" si="30"/>
        <v>0</v>
      </c>
      <c r="V102" s="913">
        <f t="shared" ca="1" si="31"/>
        <v>0</v>
      </c>
      <c r="W102" s="913"/>
      <c r="X102" s="122"/>
      <c r="Y102" s="122"/>
      <c r="Z102" s="122"/>
    </row>
    <row r="103" spans="1:26">
      <c r="A103" s="127" t="s">
        <v>631</v>
      </c>
      <c r="B103" s="128">
        <v>9</v>
      </c>
      <c r="C103" s="122">
        <f ca="1">SUMIF('inversion af'!$S$2:$T$70,CONCATENATE(C$93,$B$94,$B103),'inversion af'!$T$2:$T$70)</f>
        <v>0</v>
      </c>
      <c r="D103" s="122">
        <f ca="1">SUMIF('inversion af'!$S$2:$T$70,CONCATENATE(D$93,$B$94,$B103),'inversion af'!$T$2:$T$70)</f>
        <v>0</v>
      </c>
      <c r="E103" s="122">
        <f ca="1">SUMIF('inversion af'!$S$2:$T$70,CONCATENATE(E$93,B$94,$B103),'inversion af'!$T$2:$T$70)</f>
        <v>0</v>
      </c>
      <c r="F103" s="122">
        <f ca="1">SUMIF('inversion af'!$S$2:$T$70,CONCATENATE(F$93,B$94,$B103),'inversion af'!$T$2:$T$70)</f>
        <v>0</v>
      </c>
      <c r="G103" s="122">
        <f ca="1">SUMIF('inversion af'!$S$2:$T$70,CONCATENATE(G$93,B$94,$B103),'inversion af'!$T$2:$T$70)</f>
        <v>0</v>
      </c>
      <c r="H103" s="122">
        <f ca="1">SUMIF('inversion af'!$S$2:$T$70,CONCATENATE(H$93,B$94,$B103),'inversion af'!$T$2:$T$70)</f>
        <v>0</v>
      </c>
      <c r="I103" s="122">
        <f ca="1">SUMIF('inversion af'!$S$2:$T$70,CONCATENATE(I$93,$B$94,$B103),'inversion af'!$T$2:$T$70)</f>
        <v>0</v>
      </c>
      <c r="J103" s="122">
        <f ca="1">SUMIF('inversion af'!$S$2:$T$70,CONCATENATE(J$93,$B$94,$B103),'inversion af'!$T$2:$T$70)</f>
        <v>0</v>
      </c>
      <c r="K103" s="122">
        <f t="shared" ca="1" si="32"/>
        <v>0</v>
      </c>
      <c r="L103" s="122"/>
      <c r="M103" s="122"/>
      <c r="N103" s="122"/>
      <c r="O103" s="122"/>
      <c r="P103" s="122"/>
      <c r="Q103" s="122"/>
      <c r="R103" s="122"/>
      <c r="S103" s="913">
        <f t="shared" ca="1" si="28"/>
        <v>0</v>
      </c>
      <c r="T103" s="913">
        <f t="shared" ca="1" si="29"/>
        <v>0</v>
      </c>
      <c r="U103" s="913">
        <f t="shared" ca="1" si="30"/>
        <v>0</v>
      </c>
      <c r="V103" s="913">
        <f t="shared" ca="1" si="31"/>
        <v>0</v>
      </c>
      <c r="W103" s="913"/>
      <c r="X103" s="122"/>
      <c r="Y103" s="122"/>
      <c r="Z103" s="122"/>
    </row>
    <row r="104" spans="1:26">
      <c r="A104" s="127"/>
      <c r="B104" s="128"/>
      <c r="C104" s="122">
        <f t="shared" ref="C104:J104" ca="1" si="33">SUM(C95:C103)</f>
        <v>47350000</v>
      </c>
      <c r="D104" s="122">
        <f t="shared" ca="1" si="33"/>
        <v>0</v>
      </c>
      <c r="E104" s="122">
        <f t="shared" ca="1" si="33"/>
        <v>0</v>
      </c>
      <c r="F104" s="122">
        <f t="shared" ca="1" si="33"/>
        <v>0</v>
      </c>
      <c r="G104" s="122">
        <f t="shared" ca="1" si="33"/>
        <v>0</v>
      </c>
      <c r="H104" s="122">
        <f t="shared" ca="1" si="33"/>
        <v>0</v>
      </c>
      <c r="I104" s="122">
        <f t="shared" ca="1" si="33"/>
        <v>0</v>
      </c>
      <c r="J104" s="122">
        <f t="shared" ca="1" si="33"/>
        <v>0</v>
      </c>
      <c r="K104" s="122" t="s">
        <v>419</v>
      </c>
      <c r="L104" s="122">
        <f ca="1">SUM(C104:J104)</f>
        <v>47350000</v>
      </c>
      <c r="M104" s="122"/>
      <c r="N104" s="122"/>
      <c r="O104" s="122"/>
      <c r="P104" s="122"/>
      <c r="Q104" s="122"/>
      <c r="R104" s="122"/>
      <c r="S104" s="913">
        <f ca="1">SUM(S95:S103)</f>
        <v>94700000</v>
      </c>
      <c r="T104" s="913">
        <f ca="1">SUM(T95:T103)</f>
        <v>47350000</v>
      </c>
      <c r="U104" s="913">
        <f ca="1">SUM(U95:U103)</f>
        <v>0</v>
      </c>
      <c r="V104" s="913">
        <f ca="1">SUM(V95:V103)</f>
        <v>0</v>
      </c>
      <c r="W104" s="913"/>
      <c r="X104" s="122"/>
      <c r="Y104" s="122"/>
      <c r="Z104" s="122"/>
    </row>
    <row r="105" spans="1:26">
      <c r="A105" s="121" t="s">
        <v>271</v>
      </c>
      <c r="B105" s="126">
        <v>2</v>
      </c>
      <c r="C105" s="123">
        <v>2</v>
      </c>
      <c r="D105" s="123"/>
      <c r="E105" s="123"/>
      <c r="F105" s="123"/>
      <c r="G105" s="123"/>
      <c r="H105" s="123"/>
      <c r="I105" s="123"/>
      <c r="J105" s="123"/>
      <c r="K105" s="123"/>
      <c r="L105" s="123"/>
      <c r="M105" s="123"/>
      <c r="N105" s="123"/>
      <c r="O105" s="123"/>
      <c r="P105" s="123"/>
      <c r="Q105" s="123"/>
      <c r="R105" s="123"/>
      <c r="S105" s="912"/>
      <c r="T105" s="912">
        <f ca="1">SUM(T95:T103)</f>
        <v>47350000</v>
      </c>
      <c r="U105" s="912">
        <f ca="1">SUM(U95:U103)</f>
        <v>0</v>
      </c>
      <c r="V105" s="912">
        <f ca="1">SUM(V95:V103)</f>
        <v>0</v>
      </c>
      <c r="W105" s="912"/>
      <c r="X105" s="123"/>
      <c r="Y105" s="123"/>
      <c r="Z105" s="123"/>
    </row>
    <row r="106" spans="1:26">
      <c r="A106" s="127" t="s">
        <v>623</v>
      </c>
      <c r="B106" s="128">
        <v>1</v>
      </c>
      <c r="C106" s="122">
        <f ca="1">SUMIF('inversion af'!$S$2:$T$70,CONCATENATE(C$93,$B$105,$B106),'inversion af'!$T$2:$T$70)</f>
        <v>0</v>
      </c>
      <c r="D106" s="122">
        <f ca="1">SUMIF('inversion af'!$S$2:$T$70,CONCATENATE(D$93,$B$105,$B106),'inversion af'!$T$2:$T$70)</f>
        <v>0</v>
      </c>
      <c r="E106" s="122">
        <f ca="1">SUMIF('inversion af'!$S$2:$T$70,CONCATENATE(E$93,$B$105,$B106),'inversion af'!$T$2:$T$70)</f>
        <v>0</v>
      </c>
      <c r="F106" s="122">
        <f ca="1">SUMIF('inversion af'!$S$2:$T$70,CONCATENATE(F$93,$B$105,$B106),'inversion af'!$T$2:$T$70)</f>
        <v>0</v>
      </c>
      <c r="G106" s="122">
        <f ca="1">SUMIF('inversion af'!$S$2:$T$70,CONCATENATE(G$93,$B$105,$B106),'inversion af'!$T$2:$T$70)</f>
        <v>0</v>
      </c>
      <c r="H106" s="122">
        <f ca="1">SUMIF('inversion af'!$S$2:$T$70,CONCATENATE(H$93,$B$105,$B106),'inversion af'!$T$2:$T$70)</f>
        <v>0</v>
      </c>
      <c r="I106" s="122">
        <f ca="1">SUMIF('inversion af'!$S$2:$T$70,CONCATENATE(I$93,$B$105,$B106),'inversion af'!$T$2:$T$70)</f>
        <v>0</v>
      </c>
      <c r="J106" s="122">
        <f ca="1">SUMIF('inversion af'!$S$2:$T$70,CONCATENATE(J$93,$B$105,$B106),'inversion af'!$T$2:$T$70)</f>
        <v>0</v>
      </c>
      <c r="K106" s="122">
        <f ca="1">SUM(C106:J106)</f>
        <v>0</v>
      </c>
      <c r="L106" s="122"/>
      <c r="M106" s="122"/>
      <c r="N106" s="122"/>
      <c r="O106" s="122"/>
      <c r="P106" s="122"/>
      <c r="Q106" s="122"/>
      <c r="R106" s="122"/>
      <c r="S106" s="913">
        <f t="shared" ref="S106:S114" ca="1" si="34">SUM(C106:R106)</f>
        <v>0</v>
      </c>
      <c r="T106" s="913">
        <f t="shared" ref="T106:T114" ca="1" si="35">SUM(C106:F106)</f>
        <v>0</v>
      </c>
      <c r="U106" s="913">
        <f t="shared" ref="U106:U114" ca="1" si="36">SUM(G106:H106)</f>
        <v>0</v>
      </c>
      <c r="V106" s="913">
        <f t="shared" ref="V106:V114" ca="1" si="37">SUM(I106:J106)</f>
        <v>0</v>
      </c>
      <c r="W106" s="913"/>
      <c r="X106" s="122"/>
      <c r="Y106" s="122"/>
      <c r="Z106" s="122"/>
    </row>
    <row r="107" spans="1:26">
      <c r="A107" s="127" t="s">
        <v>624</v>
      </c>
      <c r="B107" s="128">
        <v>2</v>
      </c>
      <c r="C107" s="122">
        <f ca="1">SUMIF('inversion af'!$S$2:$T$70,CONCATENATE(C$93,$B$105,$B107),'inversion af'!$T$2:$T$70)</f>
        <v>0</v>
      </c>
      <c r="D107" s="122">
        <f ca="1">SUMIF('inversion af'!$S$2:$T$70,CONCATENATE(D$93,$B$105,$B107),'inversion af'!$T$2:$T$70)</f>
        <v>0</v>
      </c>
      <c r="E107" s="122">
        <f ca="1">SUMIF('inversion af'!$S$2:$T$70,CONCATENATE(E$93,$B$105,$B107),'inversion af'!$T$2:$T$70)</f>
        <v>0</v>
      </c>
      <c r="F107" s="122">
        <f ca="1">SUMIF('inversion af'!$S$2:$T$70,CONCATENATE(F$93,$B$105,$B107),'inversion af'!$T$2:$T$70)</f>
        <v>0</v>
      </c>
      <c r="G107" s="122">
        <f ca="1">SUMIF('inversion af'!$S$2:$T$70,CONCATENATE(G$93,$B$105,$B107),'inversion af'!$T$2:$T$70)</f>
        <v>0</v>
      </c>
      <c r="H107" s="122">
        <f ca="1">SUMIF('inversion af'!$S$2:$T$70,CONCATENATE(H$93,$B$105,$B107),'inversion af'!$T$2:$T$70)</f>
        <v>0</v>
      </c>
      <c r="I107" s="122">
        <f ca="1">SUMIF('inversion af'!$S$2:$T$70,CONCATENATE(I$93,$B$105,$B107),'inversion af'!$T$2:$T$70)</f>
        <v>0</v>
      </c>
      <c r="J107" s="122">
        <f ca="1">SUMIF('inversion af'!$S$2:$T$70,CONCATENATE(J$93,$B$105,$B107),'inversion af'!$T$2:$T$70)</f>
        <v>0</v>
      </c>
      <c r="K107" s="122">
        <f t="shared" ref="K107:K114" ca="1" si="38">SUM(C107:J107)</f>
        <v>0</v>
      </c>
      <c r="L107" s="122"/>
      <c r="M107" s="122"/>
      <c r="N107" s="122"/>
      <c r="O107" s="122"/>
      <c r="P107" s="122"/>
      <c r="Q107" s="122"/>
      <c r="R107" s="122"/>
      <c r="S107" s="913">
        <f t="shared" ca="1" si="34"/>
        <v>0</v>
      </c>
      <c r="T107" s="913">
        <f t="shared" ca="1" si="35"/>
        <v>0</v>
      </c>
      <c r="U107" s="913">
        <f t="shared" ca="1" si="36"/>
        <v>0</v>
      </c>
      <c r="V107" s="913">
        <f t="shared" ca="1" si="37"/>
        <v>0</v>
      </c>
      <c r="W107" s="913"/>
      <c r="X107" s="122"/>
      <c r="Y107" s="122"/>
      <c r="Z107" s="122"/>
    </row>
    <row r="108" spans="1:26">
      <c r="A108" s="127" t="s">
        <v>625</v>
      </c>
      <c r="B108" s="128">
        <v>3</v>
      </c>
      <c r="C108" s="122">
        <f ca="1">SUMIF('inversion af'!$S$2:$T$70,CONCATENATE(C$93,$B$105,$B108),'inversion af'!$T$2:$T$70)</f>
        <v>0</v>
      </c>
      <c r="D108" s="122">
        <f ca="1">SUMIF('inversion af'!$S$2:$T$70,CONCATENATE(D$93,$B$105,$B108),'inversion af'!$T$2:$T$70)</f>
        <v>0</v>
      </c>
      <c r="E108" s="122">
        <f ca="1">SUMIF('inversion af'!$S$2:$T$70,CONCATENATE(E$93,$B$105,$B108),'inversion af'!$T$2:$T$70)</f>
        <v>0</v>
      </c>
      <c r="F108" s="122">
        <f ca="1">SUMIF('inversion af'!$S$2:$T$70,CONCATENATE(F$93,$B$105,$B108),'inversion af'!$T$2:$T$70)</f>
        <v>0</v>
      </c>
      <c r="G108" s="122">
        <f ca="1">SUMIF('inversion af'!$S$2:$T$70,CONCATENATE(G$93,$B$105,$B108),'inversion af'!$T$2:$T$70)</f>
        <v>0</v>
      </c>
      <c r="H108" s="122">
        <f ca="1">SUMIF('inversion af'!$S$2:$T$70,CONCATENATE(H$93,$B$105,$B108),'inversion af'!$T$2:$T$70)</f>
        <v>0</v>
      </c>
      <c r="I108" s="122">
        <f ca="1">SUMIF('inversion af'!$S$2:$T$70,CONCATENATE(I$93,$B$105,$B108),'inversion af'!$T$2:$T$70)</f>
        <v>0</v>
      </c>
      <c r="J108" s="122">
        <f ca="1">SUMIF('inversion af'!$S$2:$T$70,CONCATENATE(J$93,$B$105,$B108),'inversion af'!$T$2:$T$70)</f>
        <v>0</v>
      </c>
      <c r="K108" s="122">
        <f t="shared" ca="1" si="38"/>
        <v>0</v>
      </c>
      <c r="L108" s="122"/>
      <c r="M108" s="122"/>
      <c r="N108" s="122"/>
      <c r="O108" s="122"/>
      <c r="P108" s="122"/>
      <c r="Q108" s="122"/>
      <c r="R108" s="122"/>
      <c r="S108" s="913">
        <f t="shared" ca="1" si="34"/>
        <v>0</v>
      </c>
      <c r="T108" s="913">
        <f t="shared" ca="1" si="35"/>
        <v>0</v>
      </c>
      <c r="U108" s="913">
        <f t="shared" ca="1" si="36"/>
        <v>0</v>
      </c>
      <c r="V108" s="913">
        <f t="shared" ca="1" si="37"/>
        <v>0</v>
      </c>
      <c r="W108" s="913"/>
      <c r="X108" s="122"/>
      <c r="Y108" s="122"/>
      <c r="Z108" s="122"/>
    </row>
    <row r="109" spans="1:26">
      <c r="A109" s="127" t="s">
        <v>626</v>
      </c>
      <c r="B109" s="128">
        <v>4</v>
      </c>
      <c r="C109" s="122">
        <f ca="1">SUMIF('inversion af'!$S$2:$T$70,CONCATENATE(C$93,$B$105,$B109),'inversion af'!$T$2:$T$70)</f>
        <v>0</v>
      </c>
      <c r="D109" s="122">
        <f ca="1">SUMIF('inversion af'!$S$2:$T$70,CONCATENATE(D$93,$B$105,$B109),'inversion af'!$T$2:$T$70)</f>
        <v>0</v>
      </c>
      <c r="E109" s="122">
        <f ca="1">SUMIF('inversion af'!$S$2:$T$70,CONCATENATE(E$93,$B$105,$B109),'inversion af'!$T$2:$T$70)</f>
        <v>0</v>
      </c>
      <c r="F109" s="122">
        <f ca="1">SUMIF('inversion af'!$S$2:$T$70,CONCATENATE(F$93,$B$105,$B109),'inversion af'!$T$2:$T$70)</f>
        <v>0</v>
      </c>
      <c r="G109" s="122">
        <f ca="1">SUMIF('inversion af'!$S$2:$T$70,CONCATENATE(G$93,$B$105,$B109),'inversion af'!$T$2:$T$70)</f>
        <v>0</v>
      </c>
      <c r="H109" s="122">
        <f ca="1">SUMIF('inversion af'!$S$2:$T$70,CONCATENATE(H$93,$B$105,$B109),'inversion af'!$T$2:$T$70)</f>
        <v>0</v>
      </c>
      <c r="I109" s="122">
        <f ca="1">SUMIF('inversion af'!$S$2:$T$70,CONCATENATE(I$93,$B$105,$B109),'inversion af'!$T$2:$T$70)</f>
        <v>0</v>
      </c>
      <c r="J109" s="122">
        <f ca="1">SUMIF('inversion af'!$S$2:$T$70,CONCATENATE(J$93,$B$105,$B109),'inversion af'!$T$2:$T$70)</f>
        <v>0</v>
      </c>
      <c r="K109" s="122">
        <f t="shared" ca="1" si="38"/>
        <v>0</v>
      </c>
      <c r="L109" s="122"/>
      <c r="M109" s="122"/>
      <c r="N109" s="122"/>
      <c r="O109" s="122"/>
      <c r="P109" s="122"/>
      <c r="Q109" s="122"/>
      <c r="R109" s="122"/>
      <c r="S109" s="913">
        <f t="shared" ca="1" si="34"/>
        <v>0</v>
      </c>
      <c r="T109" s="913">
        <f t="shared" ca="1" si="35"/>
        <v>0</v>
      </c>
      <c r="U109" s="913">
        <f t="shared" ca="1" si="36"/>
        <v>0</v>
      </c>
      <c r="V109" s="913">
        <f t="shared" ca="1" si="37"/>
        <v>0</v>
      </c>
      <c r="W109" s="913"/>
      <c r="X109" s="122"/>
      <c r="Y109" s="122"/>
      <c r="Z109" s="122"/>
    </row>
    <row r="110" spans="1:26">
      <c r="A110" s="127" t="s">
        <v>627</v>
      </c>
      <c r="B110" s="128">
        <v>5</v>
      </c>
      <c r="C110" s="122">
        <f ca="1">SUMIF('inversion af'!$S$2:$T$70,CONCATENATE(C$93,$B$105,$B110),'inversion af'!$T$2:$T$70)</f>
        <v>0</v>
      </c>
      <c r="D110" s="122">
        <f ca="1">SUMIF('inversion af'!$S$2:$T$70,CONCATENATE(D$93,$B$105,$B110),'inversion af'!$T$2:$T$70)</f>
        <v>0</v>
      </c>
      <c r="E110" s="122">
        <f ca="1">SUMIF('inversion af'!$S$2:$T$70,CONCATENATE(E$93,$B$105,$B110),'inversion af'!$T$2:$T$70)</f>
        <v>0</v>
      </c>
      <c r="F110" s="122">
        <f ca="1">SUMIF('inversion af'!$S$2:$T$70,CONCATENATE(F$93,$B$105,$B110),'inversion af'!$T$2:$T$70)</f>
        <v>0</v>
      </c>
      <c r="G110" s="122">
        <f ca="1">SUMIF('inversion af'!$S$2:$T$70,CONCATENATE(G$93,$B$105,$B110),'inversion af'!$T$2:$T$70)</f>
        <v>0</v>
      </c>
      <c r="H110" s="122">
        <f ca="1">SUMIF('inversion af'!$S$2:$T$70,CONCATENATE(H$93,$B$105,$B110),'inversion af'!$T$2:$T$70)</f>
        <v>0</v>
      </c>
      <c r="I110" s="122">
        <f ca="1">SUMIF('inversion af'!$S$2:$T$70,CONCATENATE(I$93,$B$105,$B110),'inversion af'!$T$2:$T$70)</f>
        <v>0</v>
      </c>
      <c r="J110" s="122">
        <f ca="1">SUMIF('inversion af'!$S$2:$T$70,CONCATENATE(J$93,$B$105,$B110),'inversion af'!$T$2:$T$70)</f>
        <v>0</v>
      </c>
      <c r="K110" s="122">
        <f t="shared" ca="1" si="38"/>
        <v>0</v>
      </c>
      <c r="L110" s="122"/>
      <c r="M110" s="122"/>
      <c r="N110" s="122"/>
      <c r="O110" s="122"/>
      <c r="P110" s="122"/>
      <c r="Q110" s="122"/>
      <c r="R110" s="122"/>
      <c r="S110" s="913">
        <f t="shared" ca="1" si="34"/>
        <v>0</v>
      </c>
      <c r="T110" s="913">
        <f t="shared" ca="1" si="35"/>
        <v>0</v>
      </c>
      <c r="U110" s="913">
        <f t="shared" ca="1" si="36"/>
        <v>0</v>
      </c>
      <c r="V110" s="913">
        <f t="shared" ca="1" si="37"/>
        <v>0</v>
      </c>
      <c r="W110" s="913"/>
      <c r="X110" s="122"/>
      <c r="Y110" s="122"/>
      <c r="Z110" s="122"/>
    </row>
    <row r="111" spans="1:26">
      <c r="A111" s="127" t="s">
        <v>628</v>
      </c>
      <c r="B111" s="128">
        <v>6</v>
      </c>
      <c r="C111" s="122">
        <f ca="1">SUMIF('inversion af'!$S$2:$T$70,CONCATENATE(C$93,$B$105,$B111),'inversion af'!$T$2:$T$70)</f>
        <v>0</v>
      </c>
      <c r="D111" s="122">
        <f ca="1">SUMIF('inversion af'!$S$2:$T$70,CONCATENATE(D$93,$B$105,$B111),'inversion af'!$T$2:$T$70)</f>
        <v>0</v>
      </c>
      <c r="E111" s="122">
        <f ca="1">SUMIF('inversion af'!$S$2:$T$70,CONCATENATE(E$93,$B$105,$B111),'inversion af'!$T$2:$T$70)</f>
        <v>0</v>
      </c>
      <c r="F111" s="122">
        <f ca="1">SUMIF('inversion af'!$S$2:$T$70,CONCATENATE(F$93,$B$105,$B111),'inversion af'!$T$2:$T$70)</f>
        <v>0</v>
      </c>
      <c r="G111" s="122">
        <f ca="1">SUMIF('inversion af'!$S$2:$T$70,CONCATENATE(G$93,$B$105,$B111),'inversion af'!$T$2:$T$70)</f>
        <v>0</v>
      </c>
      <c r="H111" s="122">
        <f ca="1">SUMIF('inversion af'!$S$2:$T$70,CONCATENATE(H$93,$B$105,$B111),'inversion af'!$T$2:$T$70)</f>
        <v>0</v>
      </c>
      <c r="I111" s="122">
        <f ca="1">SUMIF('inversion af'!$S$2:$T$70,CONCATENATE(I$93,$B$105,$B111),'inversion af'!$T$2:$T$70)</f>
        <v>0</v>
      </c>
      <c r="J111" s="122">
        <f ca="1">SUMIF('inversion af'!$S$2:$T$70,CONCATENATE(J$93,$B$105,$B111),'inversion af'!$T$2:$T$70)</f>
        <v>0</v>
      </c>
      <c r="K111" s="122">
        <f t="shared" ca="1" si="38"/>
        <v>0</v>
      </c>
      <c r="L111" s="122"/>
      <c r="M111" s="122"/>
      <c r="N111" s="122"/>
      <c r="O111" s="122"/>
      <c r="P111" s="122"/>
      <c r="Q111" s="122"/>
      <c r="R111" s="122"/>
      <c r="S111" s="913">
        <f t="shared" ca="1" si="34"/>
        <v>0</v>
      </c>
      <c r="T111" s="913">
        <f t="shared" ca="1" si="35"/>
        <v>0</v>
      </c>
      <c r="U111" s="913">
        <f t="shared" ca="1" si="36"/>
        <v>0</v>
      </c>
      <c r="V111" s="913">
        <f t="shared" ca="1" si="37"/>
        <v>0</v>
      </c>
      <c r="W111" s="913"/>
      <c r="X111" s="122"/>
      <c r="Y111" s="122"/>
      <c r="Z111" s="122"/>
    </row>
    <row r="112" spans="1:26">
      <c r="A112" s="127" t="s">
        <v>629</v>
      </c>
      <c r="B112" s="128">
        <v>7</v>
      </c>
      <c r="C112" s="122">
        <f ca="1">SUMIF('inversion af'!$S$2:$T$70,CONCATENATE(C$93,$B$105,$B112),'inversion af'!$T$2:$T$70)</f>
        <v>0</v>
      </c>
      <c r="D112" s="122">
        <f ca="1">SUMIF('inversion af'!$S$2:$T$70,CONCATENATE(D$93,$B$105,$B112),'inversion af'!$T$2:$T$70)</f>
        <v>0</v>
      </c>
      <c r="E112" s="122">
        <f ca="1">SUMIF('inversion af'!$S$2:$T$70,CONCATENATE(E$93,$B$105,$B112),'inversion af'!$T$2:$T$70)</f>
        <v>0</v>
      </c>
      <c r="F112" s="122">
        <f ca="1">SUMIF('inversion af'!$S$2:$T$70,CONCATENATE(F$93,$B$105,$B112),'inversion af'!$T$2:$T$70)</f>
        <v>0</v>
      </c>
      <c r="G112" s="122">
        <f ca="1">SUMIF('inversion af'!$S$2:$T$70,CONCATENATE(G$93,$B$105,$B112),'inversion af'!$T$2:$T$70)</f>
        <v>0</v>
      </c>
      <c r="H112" s="122">
        <f ca="1">SUMIF('inversion af'!$S$2:$T$70,CONCATENATE(H$93,$B$105,$B112),'inversion af'!$T$2:$T$70)</f>
        <v>0</v>
      </c>
      <c r="I112" s="122">
        <f ca="1">SUMIF('inversion af'!$S$2:$T$70,CONCATENATE(I$93,$B$105,$B112),'inversion af'!$T$2:$T$70)</f>
        <v>0</v>
      </c>
      <c r="J112" s="122">
        <f ca="1">SUMIF('inversion af'!$S$2:$T$70,CONCATENATE(J$93,$B$105,$B112),'inversion af'!$T$2:$T$70)</f>
        <v>0</v>
      </c>
      <c r="K112" s="122">
        <f t="shared" ca="1" si="38"/>
        <v>0</v>
      </c>
      <c r="L112" s="122"/>
      <c r="M112" s="122"/>
      <c r="N112" s="122"/>
      <c r="O112" s="122"/>
      <c r="P112" s="122"/>
      <c r="Q112" s="122"/>
      <c r="R112" s="122"/>
      <c r="S112" s="913">
        <f t="shared" ca="1" si="34"/>
        <v>0</v>
      </c>
      <c r="T112" s="913">
        <f t="shared" ca="1" si="35"/>
        <v>0</v>
      </c>
      <c r="U112" s="913">
        <f t="shared" ca="1" si="36"/>
        <v>0</v>
      </c>
      <c r="V112" s="913">
        <f t="shared" ca="1" si="37"/>
        <v>0</v>
      </c>
      <c r="W112" s="913"/>
      <c r="X112" s="122"/>
      <c r="Y112" s="122"/>
      <c r="Z112" s="122"/>
    </row>
    <row r="113" spans="1:26">
      <c r="A113" s="127" t="s">
        <v>630</v>
      </c>
      <c r="B113" s="128">
        <v>8</v>
      </c>
      <c r="C113" s="122">
        <f ca="1">SUMIF('inversion af'!$S$2:$T$70,CONCATENATE(C$93,$B$105,$B113),'inversion af'!$T$2:$T$70)</f>
        <v>0</v>
      </c>
      <c r="D113" s="122">
        <f ca="1">SUMIF('inversion af'!$S$2:$T$70,CONCATENATE(D$93,$B$105,$B113),'inversion af'!$T$2:$T$70)</f>
        <v>0</v>
      </c>
      <c r="E113" s="122">
        <f ca="1">SUMIF('inversion af'!$S$2:$T$70,CONCATENATE(E$93,$B$105,$B113),'inversion af'!$T$2:$T$70)</f>
        <v>0</v>
      </c>
      <c r="F113" s="122">
        <f ca="1">SUMIF('inversion af'!$S$2:$T$70,CONCATENATE(F$93,$B$105,$B113),'inversion af'!$T$2:$T$70)</f>
        <v>0</v>
      </c>
      <c r="G113" s="122">
        <f ca="1">SUMIF('inversion af'!$S$2:$T$70,CONCATENATE(G$93,$B$105,$B113),'inversion af'!$T$2:$T$70)</f>
        <v>0</v>
      </c>
      <c r="H113" s="122">
        <f ca="1">SUMIF('inversion af'!$S$2:$T$70,CONCATENATE(H$93,$B$105,$B113),'inversion af'!$T$2:$T$70)</f>
        <v>0</v>
      </c>
      <c r="I113" s="122">
        <f ca="1">SUMIF('inversion af'!$S$2:$T$70,CONCATENATE(I$93,$B$105,$B113),'inversion af'!$T$2:$T$70)</f>
        <v>0</v>
      </c>
      <c r="J113" s="122">
        <f ca="1">SUMIF('inversion af'!$S$2:$T$70,CONCATENATE(J$93,$B$105,$B113),'inversion af'!$T$2:$T$70)</f>
        <v>0</v>
      </c>
      <c r="K113" s="122">
        <f t="shared" ca="1" si="38"/>
        <v>0</v>
      </c>
      <c r="L113" s="122"/>
      <c r="M113" s="122"/>
      <c r="N113" s="122"/>
      <c r="O113" s="122"/>
      <c r="P113" s="122"/>
      <c r="Q113" s="122"/>
      <c r="R113" s="122"/>
      <c r="S113" s="913">
        <f t="shared" ca="1" si="34"/>
        <v>0</v>
      </c>
      <c r="T113" s="913">
        <f t="shared" ca="1" si="35"/>
        <v>0</v>
      </c>
      <c r="U113" s="913">
        <f t="shared" ca="1" si="36"/>
        <v>0</v>
      </c>
      <c r="V113" s="913">
        <f t="shared" ca="1" si="37"/>
        <v>0</v>
      </c>
      <c r="W113" s="913"/>
      <c r="X113" s="122"/>
      <c r="Y113" s="122"/>
      <c r="Z113" s="122"/>
    </row>
    <row r="114" spans="1:26">
      <c r="A114" s="127" t="s">
        <v>631</v>
      </c>
      <c r="B114" s="128">
        <v>9</v>
      </c>
      <c r="C114" s="122">
        <f ca="1">SUMIF('inversion af'!$S$2:$T$70,CONCATENATE(C$93,$B$105,$B114),'inversion af'!$T$2:$T$70)</f>
        <v>0</v>
      </c>
      <c r="D114" s="122">
        <f ca="1">SUMIF('inversion af'!$S$2:$T$70,CONCATENATE(D$93,$B$105,$B114),'inversion af'!$T$2:$T$70)</f>
        <v>0</v>
      </c>
      <c r="E114" s="122">
        <f ca="1">SUMIF('inversion af'!$S$2:$T$70,CONCATENATE(E$93,$B$105,$B114),'inversion af'!$T$2:$T$70)</f>
        <v>0</v>
      </c>
      <c r="F114" s="122">
        <f ca="1">SUMIF('inversion af'!$S$2:$T$70,CONCATENATE(F$93,$B$105,$B114),'inversion af'!$T$2:$T$70)</f>
        <v>0</v>
      </c>
      <c r="G114" s="122">
        <f ca="1">SUMIF('inversion af'!$S$2:$T$70,CONCATENATE(G$93,$B$105,$B114),'inversion af'!$T$2:$T$70)</f>
        <v>0</v>
      </c>
      <c r="H114" s="122">
        <f ca="1">SUMIF('inversion af'!$S$2:$T$70,CONCATENATE(H$93,$B$105,$B114),'inversion af'!$T$2:$T$70)</f>
        <v>0</v>
      </c>
      <c r="I114" s="122">
        <f ca="1">SUMIF('inversion af'!$S$2:$T$70,CONCATENATE(I$93,$B$105,$B114),'inversion af'!$T$2:$T$70)</f>
        <v>0</v>
      </c>
      <c r="J114" s="122">
        <f ca="1">SUMIF('inversion af'!$S$2:$T$70,CONCATENATE(J$93,$B$105,$B114),'inversion af'!$T$2:$T$70)</f>
        <v>0</v>
      </c>
      <c r="K114" s="122">
        <f t="shared" ca="1" si="38"/>
        <v>0</v>
      </c>
      <c r="L114" s="122"/>
      <c r="M114" s="122"/>
      <c r="N114" s="122"/>
      <c r="O114" s="122"/>
      <c r="P114" s="122"/>
      <c r="Q114" s="122"/>
      <c r="R114" s="122"/>
      <c r="S114" s="913">
        <f t="shared" ca="1" si="34"/>
        <v>0</v>
      </c>
      <c r="T114" s="913">
        <f t="shared" ca="1" si="35"/>
        <v>0</v>
      </c>
      <c r="U114" s="913">
        <f t="shared" ca="1" si="36"/>
        <v>0</v>
      </c>
      <c r="V114" s="913">
        <f t="shared" ca="1" si="37"/>
        <v>0</v>
      </c>
      <c r="W114" s="913"/>
      <c r="X114" s="122"/>
      <c r="Y114" s="122"/>
      <c r="Z114" s="122"/>
    </row>
    <row r="115" spans="1:26">
      <c r="A115" s="127"/>
      <c r="B115" s="128"/>
      <c r="C115" s="122">
        <f t="shared" ref="C115:J115" ca="1" si="39">SUM(C106:C114)</f>
        <v>0</v>
      </c>
      <c r="D115" s="122">
        <f t="shared" ca="1" si="39"/>
        <v>0</v>
      </c>
      <c r="E115" s="122">
        <f t="shared" ca="1" si="39"/>
        <v>0</v>
      </c>
      <c r="F115" s="122">
        <f t="shared" ca="1" si="39"/>
        <v>0</v>
      </c>
      <c r="G115" s="122">
        <f t="shared" ca="1" si="39"/>
        <v>0</v>
      </c>
      <c r="H115" s="122">
        <f t="shared" ca="1" si="39"/>
        <v>0</v>
      </c>
      <c r="I115" s="122">
        <f t="shared" ca="1" si="39"/>
        <v>0</v>
      </c>
      <c r="J115" s="122">
        <f t="shared" ca="1" si="39"/>
        <v>0</v>
      </c>
      <c r="K115" s="122" t="s">
        <v>271</v>
      </c>
      <c r="L115" s="122">
        <f ca="1">SUM(C115:J115)</f>
        <v>0</v>
      </c>
      <c r="M115" s="122"/>
      <c r="N115" s="122"/>
      <c r="O115" s="122"/>
      <c r="P115" s="122"/>
      <c r="Q115" s="122"/>
      <c r="R115" s="122"/>
      <c r="S115" s="913">
        <f ca="1">SUM(S106:S114)</f>
        <v>0</v>
      </c>
      <c r="T115" s="913">
        <f ca="1">SUM(T106:T114)</f>
        <v>0</v>
      </c>
      <c r="U115" s="913">
        <f ca="1">SUM(U106:U114)</f>
        <v>0</v>
      </c>
      <c r="V115" s="913">
        <f ca="1">SUM(V106:V114)</f>
        <v>0</v>
      </c>
      <c r="W115" s="913"/>
      <c r="X115" s="122"/>
      <c r="Y115" s="122"/>
      <c r="Z115" s="122"/>
    </row>
    <row r="116" spans="1:26">
      <c r="A116" s="121" t="s">
        <v>399</v>
      </c>
      <c r="B116" s="126">
        <v>3</v>
      </c>
      <c r="C116" s="123">
        <v>3</v>
      </c>
      <c r="D116" s="123"/>
      <c r="E116" s="123"/>
      <c r="F116" s="123"/>
      <c r="G116" s="123"/>
      <c r="H116" s="123"/>
      <c r="I116" s="123"/>
      <c r="J116" s="123"/>
      <c r="K116" s="123"/>
      <c r="L116" s="123"/>
      <c r="M116" s="123"/>
      <c r="N116" s="123"/>
      <c r="O116" s="123"/>
      <c r="P116" s="123"/>
      <c r="Q116" s="123"/>
      <c r="R116" s="123"/>
      <c r="S116" s="912"/>
      <c r="T116" s="912">
        <f ca="1">SUM(T106:T114)</f>
        <v>0</v>
      </c>
      <c r="U116" s="912">
        <f ca="1">SUM(U106:U114)</f>
        <v>0</v>
      </c>
      <c r="V116" s="912">
        <f ca="1">SUM(V106:V114)</f>
        <v>0</v>
      </c>
      <c r="W116" s="912"/>
      <c r="X116" s="123"/>
      <c r="Y116" s="123"/>
      <c r="Z116" s="123"/>
    </row>
    <row r="117" spans="1:26">
      <c r="A117" s="127" t="s">
        <v>623</v>
      </c>
      <c r="B117" s="128">
        <v>1</v>
      </c>
      <c r="C117" s="122">
        <f ca="1">SUMIF('inversion af'!$S$2:$T$70,CONCATENATE(C$93,$B$116,$B117),'inversion af'!$T$2:$T$70)</f>
        <v>0</v>
      </c>
      <c r="D117" s="122">
        <f ca="1">SUMIF('inversion af'!$S$2:$T$70,CONCATENATE(D$93,$B$116,$B117),'inversion af'!$T$2:$T$70)</f>
        <v>0</v>
      </c>
      <c r="E117" s="122">
        <f ca="1">SUMIF('inversion af'!$S$2:$T$70,CONCATENATE(E$93,$B$116,$B117),'inversion af'!$T$2:$T$70)</f>
        <v>0</v>
      </c>
      <c r="F117" s="122">
        <f ca="1">SUMIF('inversion af'!$S$2:$T$70,CONCATENATE(F$93,$B$116,$B117),'inversion af'!$T$2:$T$70)</f>
        <v>0</v>
      </c>
      <c r="G117" s="122">
        <f ca="1">SUMIF('inversion af'!$S$2:$T$70,CONCATENATE(G$93,$B$116,$B117),'inversion af'!$T$2:$T$70)</f>
        <v>0</v>
      </c>
      <c r="H117" s="122">
        <f ca="1">SUMIF('inversion af'!$S$2:$T$70,CONCATENATE(H$93,$B$116,$B117),'inversion af'!$T$2:$T$70)</f>
        <v>0</v>
      </c>
      <c r="I117" s="122">
        <f ca="1">SUMIF('inversion af'!$S$2:$T$70,CONCATENATE(I$93,$B$116,$B117),'inversion af'!$T$2:$T$70)</f>
        <v>0</v>
      </c>
      <c r="J117" s="122">
        <f ca="1">SUMIF('inversion af'!$S$2:$T$70,CONCATENATE(J$93,$B$116,$B117),'inversion af'!$T$2:$T$70)</f>
        <v>0</v>
      </c>
      <c r="K117" s="122">
        <f ca="1">SUM(C117:J117)</f>
        <v>0</v>
      </c>
      <c r="L117" s="122"/>
      <c r="M117" s="122"/>
      <c r="N117" s="122"/>
      <c r="O117" s="122"/>
      <c r="P117" s="122"/>
      <c r="Q117" s="122"/>
      <c r="R117" s="122"/>
      <c r="S117" s="913">
        <f t="shared" ref="S117:S125" ca="1" si="40">SUM(C117:R117)</f>
        <v>0</v>
      </c>
      <c r="T117" s="913">
        <f t="shared" ref="T117:T125" ca="1" si="41">SUM(C117:F117)</f>
        <v>0</v>
      </c>
      <c r="U117" s="913">
        <f t="shared" ref="U117:U125" ca="1" si="42">SUM(G117:H117)</f>
        <v>0</v>
      </c>
      <c r="V117" s="913">
        <f t="shared" ref="V117:V125" ca="1" si="43">SUM(I117:J117)</f>
        <v>0</v>
      </c>
      <c r="W117" s="913"/>
      <c r="X117" s="122"/>
      <c r="Y117" s="122"/>
      <c r="Z117" s="122"/>
    </row>
    <row r="118" spans="1:26">
      <c r="A118" s="127" t="s">
        <v>624</v>
      </c>
      <c r="B118" s="128">
        <v>2</v>
      </c>
      <c r="C118" s="122">
        <f ca="1">SUMIF('inversion af'!$S$2:$T$70,CONCATENATE(C$93,$B$116,$B118),'inversion af'!$T$2:$T$70)</f>
        <v>0</v>
      </c>
      <c r="D118" s="122">
        <f ca="1">SUMIF('inversion af'!$S$2:$T$70,CONCATENATE(D$93,$B$116,$B118),'inversion af'!$T$2:$T$70)</f>
        <v>0</v>
      </c>
      <c r="E118" s="122">
        <f ca="1">SUMIF('inversion af'!$S$2:$T$70,CONCATENATE(E$93,$B$116,$B118),'inversion af'!$T$2:$T$70)</f>
        <v>0</v>
      </c>
      <c r="F118" s="122">
        <f ca="1">SUMIF('inversion af'!$S$2:$T$70,CONCATENATE(F$93,$B$116,$B118),'inversion af'!$T$2:$T$70)</f>
        <v>0</v>
      </c>
      <c r="G118" s="122">
        <f ca="1">SUMIF('inversion af'!$S$2:$T$70,CONCATENATE(G$93,$B$116,$B118),'inversion af'!$T$2:$T$70)</f>
        <v>0</v>
      </c>
      <c r="H118" s="122">
        <f ca="1">SUMIF('inversion af'!$S$2:$T$70,CONCATENATE(H$93,$B$116,$B118),'inversion af'!$T$2:$T$70)</f>
        <v>0</v>
      </c>
      <c r="I118" s="122">
        <f ca="1">SUMIF('inversion af'!$S$2:$T$70,CONCATENATE(I$93,$B$116,$B118),'inversion af'!$T$2:$T$70)</f>
        <v>0</v>
      </c>
      <c r="J118" s="122">
        <f ca="1">SUMIF('inversion af'!$S$2:$T$70,CONCATENATE(J$93,$B$116,$B118),'inversion af'!$T$2:$T$70)</f>
        <v>0</v>
      </c>
      <c r="K118" s="122">
        <f t="shared" ref="K118:K125" ca="1" si="44">SUM(C118:J118)</f>
        <v>0</v>
      </c>
      <c r="L118" s="122"/>
      <c r="M118" s="122"/>
      <c r="N118" s="122"/>
      <c r="O118" s="122"/>
      <c r="P118" s="122"/>
      <c r="Q118" s="122"/>
      <c r="R118" s="122"/>
      <c r="S118" s="913">
        <f t="shared" ca="1" si="40"/>
        <v>0</v>
      </c>
      <c r="T118" s="913">
        <f t="shared" ca="1" si="41"/>
        <v>0</v>
      </c>
      <c r="U118" s="913">
        <f t="shared" ca="1" si="42"/>
        <v>0</v>
      </c>
      <c r="V118" s="913">
        <f t="shared" ca="1" si="43"/>
        <v>0</v>
      </c>
      <c r="W118" s="913"/>
      <c r="X118" s="122"/>
      <c r="Y118" s="122"/>
      <c r="Z118" s="122"/>
    </row>
    <row r="119" spans="1:26">
      <c r="A119" s="127" t="s">
        <v>625</v>
      </c>
      <c r="B119" s="128">
        <v>3</v>
      </c>
      <c r="C119" s="122">
        <f ca="1">SUMIF('inversion af'!$S$2:$T$70,CONCATENATE(C$93,$B$116,$B119),'inversion af'!$T$2:$T$70)</f>
        <v>0</v>
      </c>
      <c r="D119" s="122">
        <f ca="1">SUMIF('inversion af'!$S$2:$T$70,CONCATENATE(D$93,$B$116,$B119),'inversion af'!$T$2:$T$70)</f>
        <v>0</v>
      </c>
      <c r="E119" s="122">
        <f ca="1">SUMIF('inversion af'!$S$2:$T$70,CONCATENATE(E$93,$B$116,$B119),'inversion af'!$T$2:$T$70)</f>
        <v>0</v>
      </c>
      <c r="F119" s="122">
        <f ca="1">SUMIF('inversion af'!$S$2:$T$70,CONCATENATE(F$93,$B$116,$B119),'inversion af'!$T$2:$T$70)</f>
        <v>0</v>
      </c>
      <c r="G119" s="122">
        <f ca="1">SUMIF('inversion af'!$S$2:$T$70,CONCATENATE(G$93,$B$116,$B119),'inversion af'!$T$2:$T$70)</f>
        <v>0</v>
      </c>
      <c r="H119" s="122">
        <f ca="1">SUMIF('inversion af'!$S$2:$T$70,CONCATENATE(H$93,$B$116,$B119),'inversion af'!$T$2:$T$70)</f>
        <v>0</v>
      </c>
      <c r="I119" s="122">
        <f ca="1">SUMIF('inversion af'!$S$2:$T$70,CONCATENATE(I$93,$B$116,$B119),'inversion af'!$T$2:$T$70)</f>
        <v>0</v>
      </c>
      <c r="J119" s="122">
        <f ca="1">SUMIF('inversion af'!$S$2:$T$70,CONCATENATE(J$93,$B$116,$B119),'inversion af'!$T$2:$T$70)</f>
        <v>0</v>
      </c>
      <c r="K119" s="122">
        <f t="shared" ca="1" si="44"/>
        <v>0</v>
      </c>
      <c r="L119" s="122"/>
      <c r="M119" s="122"/>
      <c r="N119" s="122"/>
      <c r="O119" s="122"/>
      <c r="P119" s="122"/>
      <c r="Q119" s="122"/>
      <c r="R119" s="122"/>
      <c r="S119" s="913">
        <f t="shared" ca="1" si="40"/>
        <v>0</v>
      </c>
      <c r="T119" s="913">
        <f t="shared" ca="1" si="41"/>
        <v>0</v>
      </c>
      <c r="U119" s="913">
        <f t="shared" ca="1" si="42"/>
        <v>0</v>
      </c>
      <c r="V119" s="913">
        <f t="shared" ca="1" si="43"/>
        <v>0</v>
      </c>
      <c r="W119" s="913"/>
      <c r="X119" s="122"/>
      <c r="Y119" s="122"/>
      <c r="Z119" s="122"/>
    </row>
    <row r="120" spans="1:26">
      <c r="A120" s="127" t="s">
        <v>626</v>
      </c>
      <c r="B120" s="128">
        <v>4</v>
      </c>
      <c r="C120" s="122">
        <f ca="1">SUMIF('inversion af'!$S$2:$T$70,CONCATENATE(C$93,$B$116,$B120),'inversion af'!$T$2:$T$70)</f>
        <v>0</v>
      </c>
      <c r="D120" s="122">
        <f ca="1">SUMIF('inversion af'!$S$2:$T$70,CONCATENATE(D$93,$B$116,$B120),'inversion af'!$T$2:$T$70)</f>
        <v>0</v>
      </c>
      <c r="E120" s="122">
        <f ca="1">SUMIF('inversion af'!$S$2:$T$70,CONCATENATE(E$93,$B$116,$B120),'inversion af'!$T$2:$T$70)</f>
        <v>0</v>
      </c>
      <c r="F120" s="122">
        <f ca="1">SUMIF('inversion af'!$S$2:$T$70,CONCATENATE(F$93,$B$116,$B120),'inversion af'!$T$2:$T$70)</f>
        <v>0</v>
      </c>
      <c r="G120" s="122">
        <f ca="1">SUMIF('inversion af'!$S$2:$T$70,CONCATENATE(G$93,$B$116,$B120),'inversion af'!$T$2:$T$70)</f>
        <v>0</v>
      </c>
      <c r="H120" s="122">
        <f ca="1">SUMIF('inversion af'!$S$2:$T$70,CONCATENATE(H$93,$B$116,$B120),'inversion af'!$T$2:$T$70)</f>
        <v>0</v>
      </c>
      <c r="I120" s="122">
        <f ca="1">SUMIF('inversion af'!$S$2:$T$70,CONCATENATE(I$93,$B$116,$B120),'inversion af'!$T$2:$T$70)</f>
        <v>0</v>
      </c>
      <c r="J120" s="122">
        <f ca="1">SUMIF('inversion af'!$S$2:$T$70,CONCATENATE(J$93,$B$116,$B120),'inversion af'!$T$2:$T$70)</f>
        <v>0</v>
      </c>
      <c r="K120" s="122">
        <f t="shared" ca="1" si="44"/>
        <v>0</v>
      </c>
      <c r="L120" s="122"/>
      <c r="M120" s="122"/>
      <c r="N120" s="122"/>
      <c r="O120" s="122"/>
      <c r="P120" s="122"/>
      <c r="Q120" s="122"/>
      <c r="R120" s="122"/>
      <c r="S120" s="913">
        <f t="shared" ca="1" si="40"/>
        <v>0</v>
      </c>
      <c r="T120" s="913">
        <f t="shared" ca="1" si="41"/>
        <v>0</v>
      </c>
      <c r="U120" s="913">
        <f t="shared" ca="1" si="42"/>
        <v>0</v>
      </c>
      <c r="V120" s="913">
        <f t="shared" ca="1" si="43"/>
        <v>0</v>
      </c>
      <c r="W120" s="913"/>
      <c r="X120" s="122"/>
      <c r="Y120" s="122"/>
      <c r="Z120" s="122"/>
    </row>
    <row r="121" spans="1:26">
      <c r="A121" s="127" t="s">
        <v>627</v>
      </c>
      <c r="B121" s="128">
        <v>5</v>
      </c>
      <c r="C121" s="122">
        <f ca="1">SUMIF('inversion af'!$S$2:$T$70,CONCATENATE(C$93,$B$116,$B121),'inversion af'!$T$2:$T$70)</f>
        <v>0</v>
      </c>
      <c r="D121" s="122">
        <f ca="1">SUMIF('inversion af'!$S$2:$T$70,CONCATENATE(D$93,$B$116,$B121),'inversion af'!$T$2:$T$70)</f>
        <v>0</v>
      </c>
      <c r="E121" s="122">
        <f ca="1">SUMIF('inversion af'!$S$2:$T$70,CONCATENATE(E$93,$B$116,$B121),'inversion af'!$T$2:$T$70)</f>
        <v>0</v>
      </c>
      <c r="F121" s="122">
        <f ca="1">SUMIF('inversion af'!$S$2:$T$70,CONCATENATE(F$93,$B$116,$B121),'inversion af'!$T$2:$T$70)</f>
        <v>0</v>
      </c>
      <c r="G121" s="122">
        <f ca="1">SUMIF('inversion af'!$S$2:$T$70,CONCATENATE(G$93,$B$116,$B121),'inversion af'!$T$2:$T$70)</f>
        <v>0</v>
      </c>
      <c r="H121" s="122">
        <f ca="1">SUMIF('inversion af'!$S$2:$T$70,CONCATENATE(H$93,$B$116,$B121),'inversion af'!$T$2:$T$70)</f>
        <v>0</v>
      </c>
      <c r="I121" s="122">
        <f ca="1">SUMIF('inversion af'!$S$2:$T$70,CONCATENATE(I$93,$B$116,$B121),'inversion af'!$T$2:$T$70)</f>
        <v>0</v>
      </c>
      <c r="J121" s="122">
        <f ca="1">SUMIF('inversion af'!$S$2:$T$70,CONCATENATE(J$93,$B$116,$B121),'inversion af'!$T$2:$T$70)</f>
        <v>0</v>
      </c>
      <c r="K121" s="122">
        <f t="shared" ca="1" si="44"/>
        <v>0</v>
      </c>
      <c r="L121" s="122"/>
      <c r="M121" s="122"/>
      <c r="N121" s="122"/>
      <c r="O121" s="122"/>
      <c r="P121" s="122"/>
      <c r="Q121" s="122"/>
      <c r="R121" s="122"/>
      <c r="S121" s="913">
        <f t="shared" ca="1" si="40"/>
        <v>0</v>
      </c>
      <c r="T121" s="913">
        <f t="shared" ca="1" si="41"/>
        <v>0</v>
      </c>
      <c r="U121" s="913">
        <f t="shared" ca="1" si="42"/>
        <v>0</v>
      </c>
      <c r="V121" s="913">
        <f t="shared" ca="1" si="43"/>
        <v>0</v>
      </c>
      <c r="W121" s="913"/>
      <c r="X121" s="122"/>
      <c r="Y121" s="122"/>
      <c r="Z121" s="122"/>
    </row>
    <row r="122" spans="1:26">
      <c r="A122" s="127" t="s">
        <v>628</v>
      </c>
      <c r="B122" s="128">
        <v>6</v>
      </c>
      <c r="C122" s="122">
        <f ca="1">SUMIF('inversion af'!$S$2:$T$70,CONCATENATE(C$93,$B$116,$B122),'inversion af'!$T$2:$T$70)</f>
        <v>0</v>
      </c>
      <c r="D122" s="122">
        <f ca="1">SUMIF('inversion af'!$S$2:$T$70,CONCATENATE(D$93,$B$116,$B122),'inversion af'!$T$2:$T$70)</f>
        <v>0</v>
      </c>
      <c r="E122" s="122">
        <f ca="1">SUMIF('inversion af'!$S$2:$T$70,CONCATENATE(E$93,$B$116,$B122),'inversion af'!$T$2:$T$70)</f>
        <v>0</v>
      </c>
      <c r="F122" s="122">
        <f ca="1">SUMIF('inversion af'!$S$2:$T$70,CONCATENATE(F$93,$B$116,$B122),'inversion af'!$T$2:$T$70)</f>
        <v>0</v>
      </c>
      <c r="G122" s="122">
        <f ca="1">SUMIF('inversion af'!$S$2:$T$70,CONCATENATE(G$93,$B$116,$B122),'inversion af'!$T$2:$T$70)</f>
        <v>0</v>
      </c>
      <c r="H122" s="122">
        <f ca="1">SUMIF('inversion af'!$S$2:$T$70,CONCATENATE(H$93,$B$116,$B122),'inversion af'!$T$2:$T$70)</f>
        <v>0</v>
      </c>
      <c r="I122" s="122">
        <f ca="1">SUMIF('inversion af'!$S$2:$T$70,CONCATENATE(I$93,$B$116,$B122),'inversion af'!$T$2:$T$70)</f>
        <v>0</v>
      </c>
      <c r="J122" s="122">
        <f ca="1">SUMIF('inversion af'!$S$2:$T$70,CONCATENATE(J$93,$B$116,$B122),'inversion af'!$T$2:$T$70)</f>
        <v>0</v>
      </c>
      <c r="K122" s="122">
        <f t="shared" ca="1" si="44"/>
        <v>0</v>
      </c>
      <c r="L122" s="122"/>
      <c r="M122" s="122"/>
      <c r="N122" s="122"/>
      <c r="O122" s="122"/>
      <c r="P122" s="122"/>
      <c r="Q122" s="122"/>
      <c r="R122" s="122"/>
      <c r="S122" s="913">
        <f t="shared" ca="1" si="40"/>
        <v>0</v>
      </c>
      <c r="T122" s="913">
        <f t="shared" ca="1" si="41"/>
        <v>0</v>
      </c>
      <c r="U122" s="913">
        <f t="shared" ca="1" si="42"/>
        <v>0</v>
      </c>
      <c r="V122" s="913">
        <f t="shared" ca="1" si="43"/>
        <v>0</v>
      </c>
      <c r="W122" s="913"/>
      <c r="X122" s="122"/>
      <c r="Y122" s="122"/>
      <c r="Z122" s="122"/>
    </row>
    <row r="123" spans="1:26">
      <c r="A123" s="127" t="s">
        <v>629</v>
      </c>
      <c r="B123" s="128">
        <v>7</v>
      </c>
      <c r="C123" s="122">
        <f ca="1">SUMIF('inversion af'!$S$2:$T$70,CONCATENATE(C$93,$B$116,$B123),'inversion af'!$T$2:$T$70)</f>
        <v>0</v>
      </c>
      <c r="D123" s="122">
        <f ca="1">SUMIF('inversion af'!$S$2:$T$70,CONCATENATE(D$93,$B$116,$B123),'inversion af'!$T$2:$T$70)</f>
        <v>0</v>
      </c>
      <c r="E123" s="122">
        <f ca="1">SUMIF('inversion af'!$S$2:$T$70,CONCATENATE(E$93,$B$116,$B123),'inversion af'!$T$2:$T$70)</f>
        <v>0</v>
      </c>
      <c r="F123" s="122">
        <f ca="1">SUMIF('inversion af'!$S$2:$T$70,CONCATENATE(F$93,$B$116,$B123),'inversion af'!$T$2:$T$70)</f>
        <v>0</v>
      </c>
      <c r="G123" s="122">
        <f ca="1">SUMIF('inversion af'!$S$2:$T$70,CONCATENATE(G$93,$B$116,$B123),'inversion af'!$T$2:$T$70)</f>
        <v>0</v>
      </c>
      <c r="H123" s="122">
        <f ca="1">SUMIF('inversion af'!$S$2:$T$70,CONCATENATE(H$93,$B$116,$B123),'inversion af'!$T$2:$T$70)</f>
        <v>0</v>
      </c>
      <c r="I123" s="122">
        <f ca="1">SUMIF('inversion af'!$S$2:$T$70,CONCATENATE(I$93,$B$116,$B123),'inversion af'!$T$2:$T$70)</f>
        <v>0</v>
      </c>
      <c r="J123" s="122">
        <f ca="1">SUMIF('inversion af'!$S$2:$T$70,CONCATENATE(J$93,$B$116,$B123),'inversion af'!$T$2:$T$70)</f>
        <v>0</v>
      </c>
      <c r="K123" s="122">
        <f t="shared" ca="1" si="44"/>
        <v>0</v>
      </c>
      <c r="L123" s="122"/>
      <c r="M123" s="122"/>
      <c r="N123" s="122"/>
      <c r="O123" s="122"/>
      <c r="P123" s="122"/>
      <c r="Q123" s="122"/>
      <c r="R123" s="122"/>
      <c r="S123" s="913">
        <f t="shared" ca="1" si="40"/>
        <v>0</v>
      </c>
      <c r="T123" s="913">
        <f t="shared" ca="1" si="41"/>
        <v>0</v>
      </c>
      <c r="U123" s="913">
        <f t="shared" ca="1" si="42"/>
        <v>0</v>
      </c>
      <c r="V123" s="913">
        <f t="shared" ca="1" si="43"/>
        <v>0</v>
      </c>
      <c r="W123" s="913"/>
      <c r="X123" s="122"/>
      <c r="Y123" s="122"/>
      <c r="Z123" s="122"/>
    </row>
    <row r="124" spans="1:26">
      <c r="A124" s="127" t="s">
        <v>630</v>
      </c>
      <c r="B124" s="128">
        <v>8</v>
      </c>
      <c r="C124" s="122">
        <f ca="1">SUMIF('inversion af'!$S$2:$T$70,CONCATENATE(C$93,$B$116,$B124),'inversion af'!$T$2:$T$70)</f>
        <v>0</v>
      </c>
      <c r="D124" s="122">
        <f ca="1">SUMIF('inversion af'!$S$2:$T$70,CONCATENATE(D$93,$B$116,$B124),'inversion af'!$T$2:$T$70)</f>
        <v>0</v>
      </c>
      <c r="E124" s="122">
        <f ca="1">SUMIF('inversion af'!$S$2:$T$70,CONCATENATE(E$93,$B$116,$B124),'inversion af'!$T$2:$T$70)</f>
        <v>0</v>
      </c>
      <c r="F124" s="122">
        <f ca="1">SUMIF('inversion af'!$S$2:$T$70,CONCATENATE(F$93,$B$116,$B124),'inversion af'!$T$2:$T$70)</f>
        <v>0</v>
      </c>
      <c r="G124" s="122">
        <f ca="1">SUMIF('inversion af'!$S$2:$T$70,CONCATENATE(G$93,$B$116,$B124),'inversion af'!$T$2:$T$70)</f>
        <v>0</v>
      </c>
      <c r="H124" s="122">
        <f ca="1">SUMIF('inversion af'!$S$2:$T$70,CONCATENATE(H$93,$B$116,$B124),'inversion af'!$T$2:$T$70)</f>
        <v>0</v>
      </c>
      <c r="I124" s="122">
        <f ca="1">SUMIF('inversion af'!$S$2:$T$70,CONCATENATE(I$93,$B$116,$B124),'inversion af'!$T$2:$T$70)</f>
        <v>0</v>
      </c>
      <c r="J124" s="122">
        <f ca="1">SUMIF('inversion af'!$S$2:$T$70,CONCATENATE(J$93,$B$116,$B124),'inversion af'!$T$2:$T$70)</f>
        <v>0</v>
      </c>
      <c r="K124" s="122">
        <f t="shared" ca="1" si="44"/>
        <v>0</v>
      </c>
      <c r="L124" s="122"/>
      <c r="M124" s="122"/>
      <c r="N124" s="122"/>
      <c r="O124" s="122"/>
      <c r="P124" s="122"/>
      <c r="Q124" s="122"/>
      <c r="R124" s="122"/>
      <c r="S124" s="913">
        <f t="shared" ca="1" si="40"/>
        <v>0</v>
      </c>
      <c r="T124" s="913">
        <f t="shared" ca="1" si="41"/>
        <v>0</v>
      </c>
      <c r="U124" s="913">
        <f t="shared" ca="1" si="42"/>
        <v>0</v>
      </c>
      <c r="V124" s="913">
        <f t="shared" ca="1" si="43"/>
        <v>0</v>
      </c>
      <c r="W124" s="913"/>
      <c r="X124" s="122"/>
      <c r="Y124" s="122"/>
      <c r="Z124" s="122"/>
    </row>
    <row r="125" spans="1:26">
      <c r="A125" s="127" t="s">
        <v>631</v>
      </c>
      <c r="B125" s="128">
        <v>9</v>
      </c>
      <c r="C125" s="122">
        <f ca="1">SUMIF('inversion af'!$S$2:$T$70,CONCATENATE(C$93,$B$116,$B125),'inversion af'!$T$2:$T$70)</f>
        <v>0</v>
      </c>
      <c r="D125" s="122">
        <f ca="1">SUMIF('inversion af'!$S$2:$T$70,CONCATENATE(D$93,$B$116,$B125),'inversion af'!$T$2:$T$70)</f>
        <v>0</v>
      </c>
      <c r="E125" s="122">
        <f ca="1">SUMIF('inversion af'!$S$2:$T$70,CONCATENATE(E$93,$B$116,$B125),'inversion af'!$T$2:$T$70)</f>
        <v>0</v>
      </c>
      <c r="F125" s="122">
        <f ca="1">SUMIF('inversion af'!$S$2:$T$70,CONCATENATE(F$93,$B$116,$B125),'inversion af'!$T$2:$T$70)</f>
        <v>0</v>
      </c>
      <c r="G125" s="122">
        <f ca="1">SUMIF('inversion af'!$S$2:$T$70,CONCATENATE(G$93,$B$116,$B125),'inversion af'!$T$2:$T$70)</f>
        <v>0</v>
      </c>
      <c r="H125" s="122">
        <f ca="1">SUMIF('inversion af'!$S$2:$T$70,CONCATENATE(H$93,$B$116,$B125),'inversion af'!$T$2:$T$70)</f>
        <v>0</v>
      </c>
      <c r="I125" s="122">
        <f ca="1">SUMIF('inversion af'!$S$2:$T$70,CONCATENATE(I$93,$B$116,$B125),'inversion af'!$T$2:$T$70)</f>
        <v>0</v>
      </c>
      <c r="J125" s="122">
        <f ca="1">SUMIF('inversion af'!$S$2:$T$70,CONCATENATE(J$93,$B$116,$B125),'inversion af'!$T$2:$T$70)</f>
        <v>0</v>
      </c>
      <c r="K125" s="122">
        <f t="shared" ca="1" si="44"/>
        <v>0</v>
      </c>
      <c r="L125" s="122"/>
      <c r="M125" s="122"/>
      <c r="N125" s="122"/>
      <c r="O125" s="122"/>
      <c r="P125" s="122"/>
      <c r="Q125" s="122"/>
      <c r="R125" s="122"/>
      <c r="S125" s="913">
        <f t="shared" ca="1" si="40"/>
        <v>0</v>
      </c>
      <c r="T125" s="913">
        <f t="shared" ca="1" si="41"/>
        <v>0</v>
      </c>
      <c r="U125" s="913">
        <f t="shared" ca="1" si="42"/>
        <v>0</v>
      </c>
      <c r="V125" s="913">
        <f t="shared" ca="1" si="43"/>
        <v>0</v>
      </c>
      <c r="W125" s="913"/>
      <c r="X125" s="122"/>
      <c r="Y125" s="122"/>
      <c r="Z125" s="122"/>
    </row>
    <row r="126" spans="1:26">
      <c r="A126" s="127"/>
      <c r="B126" s="128"/>
      <c r="C126" s="122">
        <f t="shared" ref="C126:J126" ca="1" si="45">SUM(C117:C125)</f>
        <v>0</v>
      </c>
      <c r="D126" s="122">
        <f t="shared" ca="1" si="45"/>
        <v>0</v>
      </c>
      <c r="E126" s="122">
        <f t="shared" ca="1" si="45"/>
        <v>0</v>
      </c>
      <c r="F126" s="122">
        <f t="shared" ca="1" si="45"/>
        <v>0</v>
      </c>
      <c r="G126" s="122">
        <f t="shared" ca="1" si="45"/>
        <v>0</v>
      </c>
      <c r="H126" s="122">
        <f t="shared" ca="1" si="45"/>
        <v>0</v>
      </c>
      <c r="I126" s="122">
        <f t="shared" ca="1" si="45"/>
        <v>0</v>
      </c>
      <c r="J126" s="122">
        <f t="shared" ca="1" si="45"/>
        <v>0</v>
      </c>
      <c r="K126" s="122" t="s">
        <v>420</v>
      </c>
      <c r="L126" s="122">
        <f ca="1">SUM(C126:J126)</f>
        <v>0</v>
      </c>
      <c r="M126" s="122"/>
      <c r="N126" s="122"/>
      <c r="O126" s="122"/>
      <c r="P126" s="122"/>
      <c r="Q126" s="122"/>
      <c r="R126" s="122"/>
      <c r="S126" s="913">
        <f ca="1">SUM(S117:S125)</f>
        <v>0</v>
      </c>
      <c r="T126" s="913">
        <f ca="1">SUM(T117:T125)</f>
        <v>0</v>
      </c>
      <c r="U126" s="913">
        <f ca="1">SUM(U117:U125)</f>
        <v>0</v>
      </c>
      <c r="V126" s="913">
        <f ca="1">SUM(V117:V125)</f>
        <v>0</v>
      </c>
      <c r="W126" s="913"/>
      <c r="X126" s="122"/>
      <c r="Y126" s="122"/>
      <c r="Z126" s="122"/>
    </row>
    <row r="127" spans="1:26">
      <c r="A127" s="129" t="s">
        <v>400</v>
      </c>
      <c r="B127" s="130"/>
      <c r="C127" s="126" t="s">
        <v>388</v>
      </c>
      <c r="D127" s="126" t="s">
        <v>389</v>
      </c>
      <c r="E127" s="126" t="s">
        <v>390</v>
      </c>
      <c r="F127" s="126" t="s">
        <v>391</v>
      </c>
      <c r="G127" s="126" t="s">
        <v>392</v>
      </c>
      <c r="H127" s="126" t="s">
        <v>393</v>
      </c>
      <c r="I127" s="126" t="s">
        <v>394</v>
      </c>
      <c r="J127" s="126" t="s">
        <v>385</v>
      </c>
      <c r="K127" s="126"/>
      <c r="L127" s="126"/>
      <c r="M127" s="126"/>
      <c r="N127" s="126"/>
      <c r="O127" s="126"/>
      <c r="P127" s="126"/>
      <c r="Q127" s="126"/>
      <c r="R127" s="126"/>
      <c r="S127" s="914"/>
      <c r="T127" s="912">
        <f ca="1">SUM(T117:T125)</f>
        <v>0</v>
      </c>
      <c r="U127" s="912">
        <f ca="1">SUM(U117:U125)</f>
        <v>0</v>
      </c>
      <c r="V127" s="914"/>
      <c r="W127" s="914"/>
      <c r="X127" s="915"/>
      <c r="Y127" s="915"/>
      <c r="Z127" s="915"/>
    </row>
    <row r="128" spans="1:26">
      <c r="A128" s="127" t="s">
        <v>623</v>
      </c>
      <c r="B128" s="128"/>
      <c r="C128" s="122">
        <f t="shared" ref="C128:J136" ca="1" si="46">+C95+C106+C117</f>
        <v>0</v>
      </c>
      <c r="D128" s="122">
        <f t="shared" ca="1" si="46"/>
        <v>0</v>
      </c>
      <c r="E128" s="122">
        <f t="shared" ca="1" si="46"/>
        <v>0</v>
      </c>
      <c r="F128" s="122">
        <f t="shared" ca="1" si="46"/>
        <v>0</v>
      </c>
      <c r="G128" s="122">
        <f t="shared" ca="1" si="46"/>
        <v>0</v>
      </c>
      <c r="H128" s="122">
        <f t="shared" ca="1" si="46"/>
        <v>0</v>
      </c>
      <c r="I128" s="122">
        <f t="shared" ca="1" si="46"/>
        <v>0</v>
      </c>
      <c r="J128" s="122">
        <f t="shared" ca="1" si="46"/>
        <v>0</v>
      </c>
      <c r="K128" s="122">
        <f ca="1">SUM(C128:J128)</f>
        <v>0</v>
      </c>
      <c r="L128" s="122"/>
      <c r="M128" s="122"/>
      <c r="N128" s="122"/>
      <c r="O128" s="122"/>
      <c r="P128" s="122"/>
      <c r="Q128" s="122"/>
      <c r="R128" s="122"/>
      <c r="S128" s="913">
        <f ca="1">SUM(C128:J128)</f>
        <v>0</v>
      </c>
      <c r="T128" s="916">
        <f t="shared" ref="T128:V136" ca="1" si="47">+T95+T106+T117</f>
        <v>0</v>
      </c>
      <c r="U128" s="916">
        <f t="shared" ca="1" si="47"/>
        <v>0</v>
      </c>
      <c r="V128" s="916">
        <f t="shared" ca="1" si="47"/>
        <v>0</v>
      </c>
      <c r="W128" s="917"/>
      <c r="X128" s="122"/>
      <c r="Y128" s="122"/>
      <c r="Z128" s="122"/>
    </row>
    <row r="129" spans="1:26">
      <c r="A129" s="127" t="s">
        <v>624</v>
      </c>
      <c r="B129" s="128">
        <v>20</v>
      </c>
      <c r="C129" s="122">
        <f t="shared" ca="1" si="46"/>
        <v>0</v>
      </c>
      <c r="D129" s="122">
        <f t="shared" ca="1" si="46"/>
        <v>0</v>
      </c>
      <c r="E129" s="122">
        <f t="shared" ca="1" si="46"/>
        <v>0</v>
      </c>
      <c r="F129" s="122">
        <f t="shared" ca="1" si="46"/>
        <v>0</v>
      </c>
      <c r="G129" s="122">
        <f t="shared" ca="1" si="46"/>
        <v>0</v>
      </c>
      <c r="H129" s="122">
        <f t="shared" ca="1" si="46"/>
        <v>0</v>
      </c>
      <c r="I129" s="122">
        <f t="shared" ca="1" si="46"/>
        <v>0</v>
      </c>
      <c r="J129" s="122">
        <f t="shared" ca="1" si="46"/>
        <v>0</v>
      </c>
      <c r="K129" s="122">
        <f t="shared" ref="K129:K136" ca="1" si="48">SUM(C129:J129)</f>
        <v>0</v>
      </c>
      <c r="L129" s="122"/>
      <c r="M129" s="122"/>
      <c r="N129" s="122"/>
      <c r="O129" s="122"/>
      <c r="P129" s="122"/>
      <c r="Q129" s="122"/>
      <c r="R129" s="122"/>
      <c r="S129" s="913">
        <f ca="1">SUM(C129:J129)</f>
        <v>0</v>
      </c>
      <c r="T129" s="916">
        <f t="shared" ca="1" si="47"/>
        <v>0</v>
      </c>
      <c r="U129" s="916">
        <f t="shared" ca="1" si="47"/>
        <v>0</v>
      </c>
      <c r="V129" s="916">
        <f t="shared" ca="1" si="47"/>
        <v>0</v>
      </c>
      <c r="W129" s="917"/>
      <c r="X129" s="122"/>
      <c r="Y129" s="122"/>
      <c r="Z129" s="122"/>
    </row>
    <row r="130" spans="1:26">
      <c r="A130" s="127" t="s">
        <v>625</v>
      </c>
      <c r="B130" s="128">
        <v>10</v>
      </c>
      <c r="C130" s="122">
        <f t="shared" ca="1" si="46"/>
        <v>30800000</v>
      </c>
      <c r="D130" s="122">
        <f t="shared" ca="1" si="46"/>
        <v>0</v>
      </c>
      <c r="E130" s="122">
        <f t="shared" ca="1" si="46"/>
        <v>0</v>
      </c>
      <c r="F130" s="122">
        <f t="shared" ca="1" si="46"/>
        <v>0</v>
      </c>
      <c r="G130" s="122">
        <f t="shared" ca="1" si="46"/>
        <v>0</v>
      </c>
      <c r="H130" s="122">
        <f t="shared" ca="1" si="46"/>
        <v>0</v>
      </c>
      <c r="I130" s="122">
        <f t="shared" ca="1" si="46"/>
        <v>0</v>
      </c>
      <c r="J130" s="122">
        <f t="shared" ca="1" si="46"/>
        <v>0</v>
      </c>
      <c r="K130" s="122">
        <f t="shared" ca="1" si="48"/>
        <v>30800000</v>
      </c>
      <c r="L130" s="122"/>
      <c r="M130" s="122"/>
      <c r="N130" s="122"/>
      <c r="O130" s="122"/>
      <c r="P130" s="122"/>
      <c r="Q130" s="122"/>
      <c r="R130" s="122"/>
      <c r="S130" s="913">
        <f ca="1">SUM(C130:J130)</f>
        <v>30800000</v>
      </c>
      <c r="T130" s="916">
        <f ca="1">+T97+T108+T119</f>
        <v>30800000</v>
      </c>
      <c r="U130" s="916">
        <f ca="1">+U97+U108+U119</f>
        <v>0</v>
      </c>
      <c r="V130" s="916">
        <f ca="1">+V97+V108+V119</f>
        <v>0</v>
      </c>
      <c r="W130" s="917"/>
      <c r="X130" s="122"/>
      <c r="Y130" s="122"/>
      <c r="Z130" s="122"/>
    </row>
    <row r="131" spans="1:26">
      <c r="A131" s="127" t="s">
        <v>626</v>
      </c>
      <c r="B131" s="128">
        <v>5</v>
      </c>
      <c r="C131" s="122">
        <f t="shared" ca="1" si="46"/>
        <v>0</v>
      </c>
      <c r="D131" s="122">
        <f t="shared" ca="1" si="46"/>
        <v>0</v>
      </c>
      <c r="E131" s="122">
        <f t="shared" ca="1" si="46"/>
        <v>0</v>
      </c>
      <c r="F131" s="122">
        <f t="shared" ca="1" si="46"/>
        <v>0</v>
      </c>
      <c r="G131" s="122">
        <f t="shared" ca="1" si="46"/>
        <v>0</v>
      </c>
      <c r="H131" s="122">
        <f t="shared" ca="1" si="46"/>
        <v>0</v>
      </c>
      <c r="I131" s="122">
        <f t="shared" ca="1" si="46"/>
        <v>0</v>
      </c>
      <c r="J131" s="122">
        <f t="shared" ca="1" si="46"/>
        <v>0</v>
      </c>
      <c r="K131" s="122">
        <f t="shared" ca="1" si="48"/>
        <v>0</v>
      </c>
      <c r="L131" s="122"/>
      <c r="M131" s="122"/>
      <c r="N131" s="122"/>
      <c r="O131" s="122"/>
      <c r="P131" s="122"/>
      <c r="Q131" s="122"/>
      <c r="R131" s="122"/>
      <c r="S131" s="913">
        <f t="shared" ref="S131:S136" ca="1" si="49">SUM(C131:J131)</f>
        <v>0</v>
      </c>
      <c r="T131" s="916">
        <f t="shared" ca="1" si="47"/>
        <v>0</v>
      </c>
      <c r="U131" s="916">
        <f t="shared" ca="1" si="47"/>
        <v>0</v>
      </c>
      <c r="V131" s="916">
        <f t="shared" ca="1" si="47"/>
        <v>0</v>
      </c>
      <c r="W131" s="917"/>
      <c r="X131" s="122"/>
      <c r="Y131" s="122"/>
      <c r="Z131" s="122"/>
    </row>
    <row r="132" spans="1:26">
      <c r="A132" s="127" t="s">
        <v>627</v>
      </c>
      <c r="B132" s="128">
        <v>5</v>
      </c>
      <c r="C132" s="122">
        <f t="shared" ca="1" si="46"/>
        <v>8000000</v>
      </c>
      <c r="D132" s="122">
        <f t="shared" ca="1" si="46"/>
        <v>0</v>
      </c>
      <c r="E132" s="122">
        <f t="shared" ca="1" si="46"/>
        <v>0</v>
      </c>
      <c r="F132" s="122">
        <f t="shared" ca="1" si="46"/>
        <v>0</v>
      </c>
      <c r="G132" s="122">
        <f t="shared" ca="1" si="46"/>
        <v>0</v>
      </c>
      <c r="H132" s="122">
        <f t="shared" ca="1" si="46"/>
        <v>0</v>
      </c>
      <c r="I132" s="122">
        <f t="shared" ca="1" si="46"/>
        <v>0</v>
      </c>
      <c r="J132" s="122">
        <f t="shared" ca="1" si="46"/>
        <v>0</v>
      </c>
      <c r="K132" s="122">
        <f t="shared" ca="1" si="48"/>
        <v>8000000</v>
      </c>
      <c r="L132" s="122"/>
      <c r="M132" s="122"/>
      <c r="N132" s="122"/>
      <c r="O132" s="122"/>
      <c r="P132" s="122"/>
      <c r="Q132" s="122"/>
      <c r="R132" s="122"/>
      <c r="S132" s="913">
        <f t="shared" ca="1" si="49"/>
        <v>8000000</v>
      </c>
      <c r="T132" s="916">
        <f t="shared" ca="1" si="47"/>
        <v>8000000</v>
      </c>
      <c r="U132" s="916">
        <f t="shared" ca="1" si="47"/>
        <v>0</v>
      </c>
      <c r="V132" s="916">
        <f t="shared" ca="1" si="47"/>
        <v>0</v>
      </c>
      <c r="W132" s="917"/>
      <c r="X132" s="122"/>
      <c r="Y132" s="122"/>
      <c r="Z132" s="122"/>
    </row>
    <row r="133" spans="1:26">
      <c r="A133" s="127" t="s">
        <v>628</v>
      </c>
      <c r="B133" s="128">
        <v>10</v>
      </c>
      <c r="C133" s="122">
        <f t="shared" ca="1" si="46"/>
        <v>8550000</v>
      </c>
      <c r="D133" s="122">
        <f t="shared" ca="1" si="46"/>
        <v>0</v>
      </c>
      <c r="E133" s="122">
        <f t="shared" ca="1" si="46"/>
        <v>0</v>
      </c>
      <c r="F133" s="122">
        <f t="shared" ca="1" si="46"/>
        <v>0</v>
      </c>
      <c r="G133" s="122">
        <f t="shared" ca="1" si="46"/>
        <v>0</v>
      </c>
      <c r="H133" s="122">
        <f t="shared" ca="1" si="46"/>
        <v>0</v>
      </c>
      <c r="I133" s="122">
        <f t="shared" ca="1" si="46"/>
        <v>0</v>
      </c>
      <c r="J133" s="122">
        <f t="shared" ca="1" si="46"/>
        <v>0</v>
      </c>
      <c r="K133" s="122">
        <f t="shared" ca="1" si="48"/>
        <v>8550000</v>
      </c>
      <c r="L133" s="122"/>
      <c r="M133" s="122"/>
      <c r="N133" s="122"/>
      <c r="O133" s="122"/>
      <c r="P133" s="122"/>
      <c r="Q133" s="122"/>
      <c r="R133" s="122"/>
      <c r="S133" s="913">
        <f t="shared" ca="1" si="49"/>
        <v>8550000</v>
      </c>
      <c r="T133" s="916">
        <f t="shared" ca="1" si="47"/>
        <v>8550000</v>
      </c>
      <c r="U133" s="916">
        <f t="shared" ca="1" si="47"/>
        <v>0</v>
      </c>
      <c r="V133" s="916">
        <f t="shared" ca="1" si="47"/>
        <v>0</v>
      </c>
      <c r="W133" s="917"/>
      <c r="X133" s="122"/>
      <c r="Y133" s="122"/>
      <c r="Z133" s="122"/>
    </row>
    <row r="134" spans="1:26">
      <c r="A134" s="127" t="s">
        <v>629</v>
      </c>
      <c r="B134" s="128">
        <v>1</v>
      </c>
      <c r="C134" s="122">
        <f t="shared" ca="1" si="46"/>
        <v>0</v>
      </c>
      <c r="D134" s="122">
        <f t="shared" ca="1" si="46"/>
        <v>0</v>
      </c>
      <c r="E134" s="122">
        <f t="shared" ca="1" si="46"/>
        <v>0</v>
      </c>
      <c r="F134" s="122">
        <f t="shared" ca="1" si="46"/>
        <v>0</v>
      </c>
      <c r="G134" s="122">
        <f t="shared" ca="1" si="46"/>
        <v>0</v>
      </c>
      <c r="H134" s="122">
        <f t="shared" ca="1" si="46"/>
        <v>0</v>
      </c>
      <c r="I134" s="122">
        <f t="shared" ca="1" si="46"/>
        <v>0</v>
      </c>
      <c r="J134" s="122">
        <f t="shared" ca="1" si="46"/>
        <v>0</v>
      </c>
      <c r="K134" s="122">
        <f t="shared" ca="1" si="48"/>
        <v>0</v>
      </c>
      <c r="L134" s="122"/>
      <c r="M134" s="122"/>
      <c r="N134" s="122"/>
      <c r="O134" s="122"/>
      <c r="P134" s="122"/>
      <c r="Q134" s="122"/>
      <c r="R134" s="122"/>
      <c r="S134" s="913">
        <f t="shared" ca="1" si="49"/>
        <v>0</v>
      </c>
      <c r="T134" s="916">
        <f t="shared" ca="1" si="47"/>
        <v>0</v>
      </c>
      <c r="U134" s="916">
        <f t="shared" ca="1" si="47"/>
        <v>0</v>
      </c>
      <c r="V134" s="916">
        <f t="shared" ca="1" si="47"/>
        <v>0</v>
      </c>
      <c r="W134" s="917"/>
      <c r="X134" s="122"/>
      <c r="Y134" s="122"/>
      <c r="Z134" s="122"/>
    </row>
    <row r="135" spans="1:26">
      <c r="A135" s="127" t="s">
        <v>630</v>
      </c>
      <c r="B135" s="128">
        <v>3</v>
      </c>
      <c r="C135" s="122">
        <f t="shared" ca="1" si="46"/>
        <v>0</v>
      </c>
      <c r="D135" s="122">
        <f t="shared" ca="1" si="46"/>
        <v>0</v>
      </c>
      <c r="E135" s="122">
        <f t="shared" ca="1" si="46"/>
        <v>0</v>
      </c>
      <c r="F135" s="122">
        <f t="shared" ca="1" si="46"/>
        <v>0</v>
      </c>
      <c r="G135" s="122">
        <f t="shared" ca="1" si="46"/>
        <v>0</v>
      </c>
      <c r="H135" s="122">
        <f t="shared" ca="1" si="46"/>
        <v>0</v>
      </c>
      <c r="I135" s="122">
        <f t="shared" ca="1" si="46"/>
        <v>0</v>
      </c>
      <c r="J135" s="122">
        <f t="shared" ca="1" si="46"/>
        <v>0</v>
      </c>
      <c r="K135" s="122">
        <f t="shared" ca="1" si="48"/>
        <v>0</v>
      </c>
      <c r="L135" s="122"/>
      <c r="M135" s="122"/>
      <c r="N135" s="122"/>
      <c r="O135" s="122"/>
      <c r="P135" s="122"/>
      <c r="Q135" s="122"/>
      <c r="R135" s="122"/>
      <c r="S135" s="913">
        <f t="shared" ca="1" si="49"/>
        <v>0</v>
      </c>
      <c r="T135" s="916">
        <f t="shared" ca="1" si="47"/>
        <v>0</v>
      </c>
      <c r="U135" s="916">
        <f t="shared" ca="1" si="47"/>
        <v>0</v>
      </c>
      <c r="V135" s="916">
        <f t="shared" ca="1" si="47"/>
        <v>0</v>
      </c>
      <c r="W135" s="917"/>
      <c r="X135" s="122"/>
      <c r="Y135" s="122"/>
      <c r="Z135" s="122"/>
    </row>
    <row r="136" spans="1:26">
      <c r="A136" s="127" t="s">
        <v>631</v>
      </c>
      <c r="B136" s="128">
        <v>3</v>
      </c>
      <c r="C136" s="122">
        <f t="shared" ca="1" si="46"/>
        <v>0</v>
      </c>
      <c r="D136" s="122">
        <f t="shared" ca="1" si="46"/>
        <v>0</v>
      </c>
      <c r="E136" s="122">
        <f t="shared" ca="1" si="46"/>
        <v>0</v>
      </c>
      <c r="F136" s="122">
        <f t="shared" ca="1" si="46"/>
        <v>0</v>
      </c>
      <c r="G136" s="122">
        <f t="shared" ca="1" si="46"/>
        <v>0</v>
      </c>
      <c r="H136" s="122">
        <f t="shared" ca="1" si="46"/>
        <v>0</v>
      </c>
      <c r="I136" s="122">
        <f t="shared" ca="1" si="46"/>
        <v>0</v>
      </c>
      <c r="J136" s="122">
        <f t="shared" ca="1" si="46"/>
        <v>0</v>
      </c>
      <c r="K136" s="122">
        <f t="shared" ca="1" si="48"/>
        <v>0</v>
      </c>
      <c r="L136" s="122"/>
      <c r="M136" s="122"/>
      <c r="N136" s="122"/>
      <c r="O136" s="122"/>
      <c r="P136" s="122"/>
      <c r="Q136" s="122"/>
      <c r="R136" s="122"/>
      <c r="S136" s="913">
        <f t="shared" ca="1" si="49"/>
        <v>0</v>
      </c>
      <c r="T136" s="916">
        <f t="shared" ca="1" si="47"/>
        <v>0</v>
      </c>
      <c r="U136" s="916">
        <f t="shared" ca="1" si="47"/>
        <v>0</v>
      </c>
      <c r="V136" s="916">
        <f t="shared" ca="1" si="47"/>
        <v>0</v>
      </c>
      <c r="W136" s="917"/>
      <c r="X136" s="122"/>
      <c r="Y136" s="122"/>
      <c r="Z136" s="122"/>
    </row>
    <row r="137" spans="1:26">
      <c r="A137" s="121" t="s">
        <v>401</v>
      </c>
      <c r="B137" s="130"/>
      <c r="C137" s="915"/>
      <c r="D137" s="915"/>
      <c r="E137" s="915"/>
      <c r="F137" s="915"/>
      <c r="G137" s="126" t="s">
        <v>402</v>
      </c>
      <c r="H137" s="126" t="s">
        <v>403</v>
      </c>
      <c r="I137" s="126" t="s">
        <v>394</v>
      </c>
      <c r="J137" s="126" t="s">
        <v>385</v>
      </c>
      <c r="K137" s="126"/>
      <c r="L137" s="126"/>
      <c r="M137" s="126"/>
      <c r="N137" s="126"/>
      <c r="O137" s="126"/>
      <c r="P137" s="126"/>
      <c r="Q137" s="126"/>
      <c r="R137" s="126"/>
      <c r="S137" s="914">
        <f ca="1">SUM(S128:S136)</f>
        <v>47350000</v>
      </c>
      <c r="T137" s="914"/>
      <c r="U137" s="914"/>
      <c r="V137" s="914"/>
      <c r="W137" s="914"/>
      <c r="X137" s="915"/>
      <c r="Y137" s="915"/>
      <c r="Z137" s="915"/>
    </row>
    <row r="138" spans="1:26">
      <c r="A138" s="127" t="s">
        <v>629</v>
      </c>
      <c r="B138" s="128">
        <v>5</v>
      </c>
      <c r="C138" s="122"/>
      <c r="D138" s="122"/>
      <c r="E138" s="122"/>
      <c r="F138" s="122"/>
      <c r="G138" s="122">
        <f ca="1">IF(C134&gt;0,C134,0)+IF(D134&gt;0,D134,0)</f>
        <v>0</v>
      </c>
      <c r="H138" s="122">
        <f ca="1">IF(F134&gt;0,F134,0)+IF(E134&gt;0,E134,0)</f>
        <v>0</v>
      </c>
      <c r="I138" s="122">
        <f ca="1">IF(G134&gt;0,G134,0)+G138</f>
        <v>0</v>
      </c>
      <c r="J138" s="122">
        <f ca="1">IF(H134&gt;0,H134,0)+H138</f>
        <v>0</v>
      </c>
      <c r="K138" s="122"/>
      <c r="L138" s="122"/>
      <c r="M138" s="122"/>
      <c r="N138" s="122"/>
      <c r="O138" s="122"/>
      <c r="P138" s="122"/>
      <c r="Q138" s="122"/>
      <c r="R138" s="122"/>
      <c r="S138" s="913">
        <f ca="1">SUM(C138:R138)</f>
        <v>0</v>
      </c>
      <c r="T138" s="913">
        <f>SUM(C138:F138)</f>
        <v>0</v>
      </c>
      <c r="U138" s="913">
        <f ca="1">SUM(G138:H138)</f>
        <v>0</v>
      </c>
      <c r="V138" s="913">
        <f ca="1">SUM(I138:J138)</f>
        <v>0</v>
      </c>
      <c r="W138" s="913"/>
      <c r="X138" s="122"/>
      <c r="Y138" s="122"/>
      <c r="Z138" s="122"/>
    </row>
    <row r="139" spans="1:26">
      <c r="A139" s="127" t="s">
        <v>627</v>
      </c>
      <c r="B139" s="128">
        <v>5</v>
      </c>
      <c r="C139" s="122"/>
      <c r="D139" s="918"/>
      <c r="E139" s="918"/>
      <c r="F139" s="918"/>
      <c r="G139" s="918"/>
      <c r="H139" s="918"/>
      <c r="I139" s="918"/>
      <c r="J139" s="918"/>
      <c r="K139" s="122"/>
      <c r="L139" s="122"/>
      <c r="M139" s="122"/>
      <c r="N139" s="122"/>
      <c r="O139" s="122"/>
      <c r="P139" s="122"/>
      <c r="Q139" s="122"/>
      <c r="R139" s="122"/>
      <c r="S139" s="913">
        <f>SUM(C139:R139)</f>
        <v>0</v>
      </c>
      <c r="T139" s="913">
        <f>SUM(C139:F139)</f>
        <v>0</v>
      </c>
      <c r="U139" s="913">
        <f>SUM(G139:H139)</f>
        <v>0</v>
      </c>
      <c r="V139" s="913">
        <f>SUM(I139:J139)</f>
        <v>0</v>
      </c>
      <c r="W139" s="913"/>
      <c r="X139" s="122"/>
      <c r="Y139" s="122"/>
      <c r="Z139" s="122"/>
    </row>
    <row r="140" spans="1:26">
      <c r="A140" s="127" t="s">
        <v>626</v>
      </c>
      <c r="B140" s="128">
        <v>1</v>
      </c>
      <c r="C140" s="122"/>
      <c r="D140" s="122"/>
      <c r="E140" s="122"/>
      <c r="F140" s="122"/>
      <c r="G140" s="122"/>
      <c r="H140" s="122"/>
      <c r="I140" s="122"/>
      <c r="J140" s="122"/>
      <c r="K140" s="122"/>
      <c r="L140" s="122"/>
      <c r="M140" s="122"/>
      <c r="N140" s="122"/>
      <c r="O140" s="122"/>
      <c r="P140" s="122"/>
      <c r="Q140" s="122"/>
      <c r="R140" s="122"/>
      <c r="S140" s="913">
        <f>SUM(C140:R140)</f>
        <v>0</v>
      </c>
      <c r="T140" s="913">
        <f>SUM(C140:F140)</f>
        <v>0</v>
      </c>
      <c r="U140" s="913">
        <f>SUM(G140:H140)</f>
        <v>0</v>
      </c>
      <c r="V140" s="913">
        <f>SUM(I140:J140)</f>
        <v>0</v>
      </c>
      <c r="W140" s="913"/>
      <c r="X140" s="122"/>
      <c r="Y140" s="122"/>
      <c r="Z140" s="122"/>
    </row>
    <row r="141" spans="1:26">
      <c r="A141" s="127" t="s">
        <v>630</v>
      </c>
      <c r="B141" s="128">
        <v>3</v>
      </c>
      <c r="C141" s="122"/>
      <c r="D141" s="122"/>
      <c r="E141" s="122"/>
      <c r="F141" s="122"/>
      <c r="G141" s="122"/>
      <c r="H141" s="122"/>
      <c r="I141" s="122"/>
      <c r="J141" s="122"/>
      <c r="K141" s="122"/>
      <c r="L141" s="122"/>
      <c r="M141" s="122"/>
      <c r="N141" s="122"/>
      <c r="O141" s="122"/>
      <c r="P141" s="122"/>
      <c r="Q141" s="122"/>
      <c r="R141" s="122"/>
      <c r="S141" s="913">
        <f>SUM(C141:R141)</f>
        <v>0</v>
      </c>
      <c r="T141" s="913">
        <f>SUM(C141:F141)</f>
        <v>0</v>
      </c>
      <c r="U141" s="913">
        <f>SUM(G141:H141)</f>
        <v>0</v>
      </c>
      <c r="V141" s="913">
        <f>SUM(I141:J141)</f>
        <v>0</v>
      </c>
      <c r="W141" s="913"/>
      <c r="X141" s="122"/>
      <c r="Y141" s="122"/>
      <c r="Z141" s="122"/>
    </row>
    <row r="142" spans="1:26">
      <c r="A142" s="127" t="s">
        <v>631</v>
      </c>
      <c r="B142" s="128">
        <v>3</v>
      </c>
      <c r="C142" s="122"/>
      <c r="D142" s="122"/>
      <c r="E142" s="122"/>
      <c r="F142" s="122"/>
      <c r="G142" s="122"/>
      <c r="H142" s="122"/>
      <c r="I142" s="122"/>
      <c r="J142" s="122"/>
      <c r="K142" s="122"/>
      <c r="L142" s="122"/>
      <c r="M142" s="122"/>
      <c r="N142" s="122"/>
      <c r="O142" s="122"/>
      <c r="P142" s="122"/>
      <c r="Q142" s="122"/>
      <c r="R142" s="122"/>
      <c r="S142" s="913">
        <f>SUM(C142:R142)</f>
        <v>0</v>
      </c>
      <c r="T142" s="913">
        <f>SUM(C142:F142)</f>
        <v>0</v>
      </c>
      <c r="U142" s="913">
        <f>SUM(G142:H142)</f>
        <v>0</v>
      </c>
      <c r="V142" s="913">
        <f>SUM(I142:J142)</f>
        <v>0</v>
      </c>
      <c r="W142" s="913"/>
      <c r="X142" s="122"/>
      <c r="Y142" s="122"/>
      <c r="Z142" s="122"/>
    </row>
    <row r="143" spans="1:26">
      <c r="A143" s="121" t="s">
        <v>404</v>
      </c>
      <c r="B143" s="131"/>
      <c r="C143" s="122">
        <f ca="1">+C104+C115+C126</f>
        <v>47350000</v>
      </c>
      <c r="D143" s="122">
        <f ca="1">+D104+D115+D126</f>
        <v>0</v>
      </c>
      <c r="E143" s="122">
        <f ca="1">+E104+E115+E126</f>
        <v>0</v>
      </c>
      <c r="F143" s="122">
        <f ca="1">+F104+F115+F126</f>
        <v>0</v>
      </c>
      <c r="G143" s="122">
        <f ca="1">+G138+G104+G115+G126</f>
        <v>0</v>
      </c>
      <c r="H143" s="122">
        <f ca="1">+H138+H104+H115+H126</f>
        <v>0</v>
      </c>
      <c r="I143" s="122">
        <f ca="1">+I138+I104+I115+I126</f>
        <v>0</v>
      </c>
      <c r="J143" s="122">
        <f ca="1">+J138+J104+J115+J126</f>
        <v>0</v>
      </c>
      <c r="K143" s="122"/>
      <c r="L143" s="122"/>
      <c r="M143" s="122"/>
      <c r="N143" s="122"/>
      <c r="O143" s="122"/>
      <c r="P143" s="122"/>
      <c r="Q143" s="122"/>
      <c r="R143" s="122"/>
      <c r="S143" s="913">
        <f ca="1">SUM(S138:S142)</f>
        <v>0</v>
      </c>
      <c r="T143" s="913">
        <f>SUM(T138:T142)</f>
        <v>0</v>
      </c>
      <c r="U143" s="913">
        <f ca="1">SUM(U138:U142)</f>
        <v>0</v>
      </c>
      <c r="V143" s="913">
        <f ca="1">SUM(V138:V142)</f>
        <v>0</v>
      </c>
      <c r="W143" s="913"/>
      <c r="X143" s="122"/>
      <c r="Y143" s="122"/>
      <c r="Z143" s="122"/>
    </row>
    <row r="144" spans="1:26">
      <c r="A144" s="121" t="s">
        <v>405</v>
      </c>
      <c r="B144" s="131"/>
      <c r="C144" s="126" t="s">
        <v>388</v>
      </c>
      <c r="D144" s="126" t="s">
        <v>389</v>
      </c>
      <c r="E144" s="126" t="s">
        <v>390</v>
      </c>
      <c r="F144" s="126" t="s">
        <v>391</v>
      </c>
      <c r="G144" s="126" t="s">
        <v>392</v>
      </c>
      <c r="H144" s="126" t="s">
        <v>393</v>
      </c>
      <c r="I144" s="126" t="s">
        <v>394</v>
      </c>
      <c r="J144" s="126" t="s">
        <v>385</v>
      </c>
      <c r="K144" s="126"/>
      <c r="L144" s="126"/>
      <c r="M144" s="126"/>
      <c r="N144" s="126"/>
      <c r="O144" s="126"/>
      <c r="P144" s="126"/>
      <c r="Q144" s="126"/>
      <c r="R144" s="126"/>
      <c r="S144" s="913"/>
      <c r="T144" s="913"/>
      <c r="U144" s="919"/>
      <c r="V144" s="919"/>
      <c r="W144" s="919"/>
      <c r="X144" s="920"/>
      <c r="Y144" s="920"/>
      <c r="Z144" s="920"/>
    </row>
    <row r="145" spans="1:26">
      <c r="A145" s="127" t="s">
        <v>623</v>
      </c>
      <c r="B145" s="131"/>
      <c r="C145" s="122">
        <f t="shared" ref="C145:J147" ca="1" si="50">+C128</f>
        <v>0</v>
      </c>
      <c r="D145" s="122">
        <f t="shared" ca="1" si="50"/>
        <v>0</v>
      </c>
      <c r="E145" s="122">
        <f t="shared" ca="1" si="50"/>
        <v>0</v>
      </c>
      <c r="F145" s="122">
        <f t="shared" ca="1" si="50"/>
        <v>0</v>
      </c>
      <c r="G145" s="122">
        <f t="shared" ca="1" si="50"/>
        <v>0</v>
      </c>
      <c r="H145" s="122">
        <f t="shared" ca="1" si="50"/>
        <v>0</v>
      </c>
      <c r="I145" s="122">
        <f t="shared" ca="1" si="50"/>
        <v>0</v>
      </c>
      <c r="J145" s="122">
        <f t="shared" ca="1" si="50"/>
        <v>0</v>
      </c>
      <c r="K145" s="122"/>
      <c r="L145" s="122"/>
      <c r="M145" s="122"/>
      <c r="N145" s="122"/>
      <c r="O145" s="122"/>
      <c r="P145" s="122"/>
      <c r="Q145" s="122"/>
      <c r="R145" s="122"/>
      <c r="S145" s="913">
        <f t="shared" ref="S145:S153" ca="1" si="51">SUM(C145:R145)</f>
        <v>0</v>
      </c>
      <c r="T145" s="913"/>
      <c r="U145" s="919"/>
      <c r="V145" s="919"/>
      <c r="W145" s="919"/>
      <c r="X145" s="920"/>
      <c r="Y145" s="920"/>
      <c r="Z145" s="920"/>
    </row>
    <row r="146" spans="1:26">
      <c r="A146" s="127" t="s">
        <v>624</v>
      </c>
      <c r="B146" s="131"/>
      <c r="C146" s="122">
        <f t="shared" ca="1" si="50"/>
        <v>0</v>
      </c>
      <c r="D146" s="122">
        <f t="shared" ca="1" si="50"/>
        <v>0</v>
      </c>
      <c r="E146" s="122">
        <f t="shared" ca="1" si="50"/>
        <v>0</v>
      </c>
      <c r="F146" s="122">
        <f t="shared" ca="1" si="50"/>
        <v>0</v>
      </c>
      <c r="G146" s="122">
        <f t="shared" ca="1" si="50"/>
        <v>0</v>
      </c>
      <c r="H146" s="122">
        <f t="shared" ca="1" si="50"/>
        <v>0</v>
      </c>
      <c r="I146" s="122">
        <f t="shared" ca="1" si="50"/>
        <v>0</v>
      </c>
      <c r="J146" s="122">
        <f t="shared" ca="1" si="50"/>
        <v>0</v>
      </c>
      <c r="K146" s="122"/>
      <c r="L146" s="122"/>
      <c r="M146" s="122"/>
      <c r="N146" s="122"/>
      <c r="O146" s="122"/>
      <c r="P146" s="122"/>
      <c r="Q146" s="122"/>
      <c r="R146" s="122"/>
      <c r="S146" s="913">
        <f t="shared" ca="1" si="51"/>
        <v>0</v>
      </c>
      <c r="T146" s="913"/>
      <c r="U146" s="919"/>
      <c r="V146" s="919"/>
      <c r="W146" s="919"/>
      <c r="X146" s="920"/>
      <c r="Y146" s="920"/>
      <c r="Z146" s="920"/>
    </row>
    <row r="147" spans="1:26">
      <c r="A147" s="127" t="s">
        <v>625</v>
      </c>
      <c r="B147" s="131"/>
      <c r="C147" s="122">
        <f t="shared" ca="1" si="50"/>
        <v>30800000</v>
      </c>
      <c r="D147" s="122">
        <f t="shared" ca="1" si="50"/>
        <v>0</v>
      </c>
      <c r="E147" s="122">
        <f t="shared" ca="1" si="50"/>
        <v>0</v>
      </c>
      <c r="F147" s="122">
        <f t="shared" ca="1" si="50"/>
        <v>0</v>
      </c>
      <c r="G147" s="122">
        <f t="shared" ca="1" si="50"/>
        <v>0</v>
      </c>
      <c r="H147" s="122">
        <f t="shared" ca="1" si="50"/>
        <v>0</v>
      </c>
      <c r="I147" s="122">
        <f t="shared" ca="1" si="50"/>
        <v>0</v>
      </c>
      <c r="J147" s="122">
        <f t="shared" ca="1" si="50"/>
        <v>0</v>
      </c>
      <c r="K147" s="122"/>
      <c r="L147" s="122"/>
      <c r="M147" s="122"/>
      <c r="N147" s="122"/>
      <c r="O147" s="122"/>
      <c r="P147" s="122"/>
      <c r="Q147" s="122"/>
      <c r="R147" s="122"/>
      <c r="S147" s="913">
        <f t="shared" ca="1" si="51"/>
        <v>30800000</v>
      </c>
      <c r="T147" s="913"/>
      <c r="U147" s="919"/>
      <c r="V147" s="919"/>
      <c r="W147" s="919"/>
      <c r="X147" s="920"/>
      <c r="Y147" s="920"/>
      <c r="Z147" s="920"/>
    </row>
    <row r="148" spans="1:26">
      <c r="A148" s="127" t="s">
        <v>626</v>
      </c>
      <c r="B148" s="131"/>
      <c r="C148" s="122">
        <f t="shared" ref="C148:J148" ca="1" si="52">+C131+C140</f>
        <v>0</v>
      </c>
      <c r="D148" s="122">
        <f t="shared" ca="1" si="52"/>
        <v>0</v>
      </c>
      <c r="E148" s="122">
        <f t="shared" ca="1" si="52"/>
        <v>0</v>
      </c>
      <c r="F148" s="122">
        <f t="shared" ca="1" si="52"/>
        <v>0</v>
      </c>
      <c r="G148" s="122">
        <f t="shared" ca="1" si="52"/>
        <v>0</v>
      </c>
      <c r="H148" s="122">
        <f t="shared" ca="1" si="52"/>
        <v>0</v>
      </c>
      <c r="I148" s="122">
        <f t="shared" ca="1" si="52"/>
        <v>0</v>
      </c>
      <c r="J148" s="122">
        <f t="shared" ca="1" si="52"/>
        <v>0</v>
      </c>
      <c r="K148" s="122"/>
      <c r="L148" s="122"/>
      <c r="M148" s="122"/>
      <c r="N148" s="122"/>
      <c r="O148" s="122"/>
      <c r="P148" s="122"/>
      <c r="Q148" s="122"/>
      <c r="R148" s="122"/>
      <c r="S148" s="913">
        <f t="shared" ca="1" si="51"/>
        <v>0</v>
      </c>
      <c r="T148" s="913"/>
      <c r="U148" s="919"/>
      <c r="V148" s="919"/>
      <c r="W148" s="919"/>
      <c r="X148" s="920"/>
      <c r="Y148" s="920"/>
      <c r="Z148" s="920"/>
    </row>
    <row r="149" spans="1:26">
      <c r="A149" s="127" t="s">
        <v>627</v>
      </c>
      <c r="B149" s="131"/>
      <c r="C149" s="122">
        <f ca="1">+C132+C139</f>
        <v>8000000</v>
      </c>
      <c r="D149" s="122">
        <f ca="1">+D132+D139</f>
        <v>0</v>
      </c>
      <c r="E149" s="122">
        <f ca="1">+E132+E139</f>
        <v>0</v>
      </c>
      <c r="F149" s="122">
        <f ca="1">+F132+F139</f>
        <v>0</v>
      </c>
      <c r="G149" s="122">
        <f ca="1">+G132</f>
        <v>0</v>
      </c>
      <c r="H149" s="122">
        <f ca="1">+H132</f>
        <v>0</v>
      </c>
      <c r="I149" s="122">
        <f ca="1">+I132</f>
        <v>0</v>
      </c>
      <c r="J149" s="122">
        <f ca="1">+J132</f>
        <v>0</v>
      </c>
      <c r="K149" s="122"/>
      <c r="L149" s="122"/>
      <c r="M149" s="122"/>
      <c r="N149" s="122"/>
      <c r="O149" s="122"/>
      <c r="P149" s="122"/>
      <c r="Q149" s="122"/>
      <c r="R149" s="122"/>
      <c r="S149" s="913">
        <f t="shared" ca="1" si="51"/>
        <v>8000000</v>
      </c>
      <c r="T149" s="913"/>
      <c r="U149" s="919"/>
      <c r="V149" s="919"/>
      <c r="W149" s="919"/>
      <c r="X149" s="920"/>
      <c r="Y149" s="920"/>
      <c r="Z149" s="920"/>
    </row>
    <row r="150" spans="1:26">
      <c r="A150" s="127" t="s">
        <v>628</v>
      </c>
      <c r="B150" s="131"/>
      <c r="C150" s="122">
        <f t="shared" ref="C150:J150" ca="1" si="53">+C133</f>
        <v>8550000</v>
      </c>
      <c r="D150" s="122">
        <f t="shared" ca="1" si="53"/>
        <v>0</v>
      </c>
      <c r="E150" s="122">
        <f t="shared" ca="1" si="53"/>
        <v>0</v>
      </c>
      <c r="F150" s="122">
        <f t="shared" ca="1" si="53"/>
        <v>0</v>
      </c>
      <c r="G150" s="122">
        <f t="shared" ca="1" si="53"/>
        <v>0</v>
      </c>
      <c r="H150" s="122">
        <f t="shared" ca="1" si="53"/>
        <v>0</v>
      </c>
      <c r="I150" s="122">
        <f t="shared" ca="1" si="53"/>
        <v>0</v>
      </c>
      <c r="J150" s="122">
        <f t="shared" ca="1" si="53"/>
        <v>0</v>
      </c>
      <c r="K150" s="122"/>
      <c r="L150" s="122"/>
      <c r="M150" s="122"/>
      <c r="N150" s="122"/>
      <c r="O150" s="122"/>
      <c r="P150" s="122"/>
      <c r="Q150" s="122"/>
      <c r="R150" s="122"/>
      <c r="S150" s="913">
        <f t="shared" ca="1" si="51"/>
        <v>8550000</v>
      </c>
      <c r="T150" s="913"/>
      <c r="U150" s="919"/>
      <c r="V150" s="919"/>
      <c r="W150" s="919"/>
      <c r="X150" s="920"/>
      <c r="Y150" s="920"/>
      <c r="Z150" s="920"/>
    </row>
    <row r="151" spans="1:26">
      <c r="A151" s="127" t="s">
        <v>629</v>
      </c>
      <c r="B151" s="131"/>
      <c r="C151" s="122">
        <f t="shared" ref="C151:J151" ca="1" si="54">+C134+C138</f>
        <v>0</v>
      </c>
      <c r="D151" s="122">
        <f t="shared" ca="1" si="54"/>
        <v>0</v>
      </c>
      <c r="E151" s="122">
        <f t="shared" ca="1" si="54"/>
        <v>0</v>
      </c>
      <c r="F151" s="122">
        <f t="shared" ca="1" si="54"/>
        <v>0</v>
      </c>
      <c r="G151" s="122">
        <f t="shared" ca="1" si="54"/>
        <v>0</v>
      </c>
      <c r="H151" s="122">
        <f t="shared" ca="1" si="54"/>
        <v>0</v>
      </c>
      <c r="I151" s="122">
        <f t="shared" ca="1" si="54"/>
        <v>0</v>
      </c>
      <c r="J151" s="122">
        <f t="shared" ca="1" si="54"/>
        <v>0</v>
      </c>
      <c r="K151" s="122"/>
      <c r="L151" s="122"/>
      <c r="M151" s="122"/>
      <c r="N151" s="122"/>
      <c r="O151" s="122"/>
      <c r="P151" s="122"/>
      <c r="Q151" s="122"/>
      <c r="R151" s="122"/>
      <c r="S151" s="913">
        <f t="shared" ca="1" si="51"/>
        <v>0</v>
      </c>
      <c r="T151" s="913"/>
      <c r="U151" s="919"/>
      <c r="V151" s="919"/>
      <c r="W151" s="919"/>
      <c r="X151" s="920"/>
      <c r="Y151" s="920"/>
      <c r="Z151" s="920"/>
    </row>
    <row r="152" spans="1:26">
      <c r="A152" s="127" t="s">
        <v>630</v>
      </c>
      <c r="B152" s="131"/>
      <c r="C152" s="122">
        <f t="shared" ref="C152:J153" ca="1" si="55">+C135+C141</f>
        <v>0</v>
      </c>
      <c r="D152" s="122">
        <f t="shared" ca="1" si="55"/>
        <v>0</v>
      </c>
      <c r="E152" s="122">
        <f t="shared" ca="1" si="55"/>
        <v>0</v>
      </c>
      <c r="F152" s="122">
        <f t="shared" ca="1" si="55"/>
        <v>0</v>
      </c>
      <c r="G152" s="122">
        <f t="shared" ca="1" si="55"/>
        <v>0</v>
      </c>
      <c r="H152" s="122">
        <f t="shared" ca="1" si="55"/>
        <v>0</v>
      </c>
      <c r="I152" s="122">
        <f t="shared" ca="1" si="55"/>
        <v>0</v>
      </c>
      <c r="J152" s="122">
        <f t="shared" ca="1" si="55"/>
        <v>0</v>
      </c>
      <c r="K152" s="122"/>
      <c r="L152" s="122"/>
      <c r="M152" s="122"/>
      <c r="N152" s="122"/>
      <c r="O152" s="122"/>
      <c r="P152" s="122"/>
      <c r="Q152" s="122"/>
      <c r="R152" s="122"/>
      <c r="S152" s="913">
        <f t="shared" ca="1" si="51"/>
        <v>0</v>
      </c>
      <c r="T152" s="913"/>
      <c r="U152" s="919"/>
      <c r="V152" s="919"/>
      <c r="W152" s="919"/>
      <c r="X152" s="920"/>
      <c r="Y152" s="920"/>
      <c r="Z152" s="920"/>
    </row>
    <row r="153" spans="1:26">
      <c r="A153" s="127" t="s">
        <v>631</v>
      </c>
      <c r="B153" s="131"/>
      <c r="C153" s="122">
        <f t="shared" ca="1" si="55"/>
        <v>0</v>
      </c>
      <c r="D153" s="122">
        <f t="shared" ca="1" si="55"/>
        <v>0</v>
      </c>
      <c r="E153" s="122">
        <f t="shared" ca="1" si="55"/>
        <v>0</v>
      </c>
      <c r="F153" s="122">
        <f t="shared" ca="1" si="55"/>
        <v>0</v>
      </c>
      <c r="G153" s="122">
        <f t="shared" ca="1" si="55"/>
        <v>0</v>
      </c>
      <c r="H153" s="122">
        <f t="shared" ca="1" si="55"/>
        <v>0</v>
      </c>
      <c r="I153" s="122">
        <f t="shared" ca="1" si="55"/>
        <v>0</v>
      </c>
      <c r="J153" s="122">
        <f t="shared" ca="1" si="55"/>
        <v>0</v>
      </c>
      <c r="K153" s="122"/>
      <c r="L153" s="122"/>
      <c r="M153" s="122"/>
      <c r="N153" s="122"/>
      <c r="O153" s="122"/>
      <c r="P153" s="122"/>
      <c r="Q153" s="122"/>
      <c r="R153" s="122"/>
      <c r="S153" s="913">
        <f t="shared" ca="1" si="51"/>
        <v>0</v>
      </c>
      <c r="T153" s="913"/>
      <c r="U153" s="919"/>
      <c r="V153" s="919"/>
      <c r="W153" s="919"/>
      <c r="X153" s="920"/>
      <c r="Y153" s="920"/>
      <c r="Z153" s="920"/>
    </row>
    <row r="154" spans="1:26">
      <c r="A154" s="127"/>
      <c r="B154" s="131"/>
      <c r="C154" s="122">
        <f t="shared" ref="C154:J154" ca="1" si="56">SUM(C145:C153)</f>
        <v>47350000</v>
      </c>
      <c r="D154" s="122">
        <f t="shared" ca="1" si="56"/>
        <v>0</v>
      </c>
      <c r="E154" s="122">
        <f t="shared" ca="1" si="56"/>
        <v>0</v>
      </c>
      <c r="F154" s="122">
        <f t="shared" ca="1" si="56"/>
        <v>0</v>
      </c>
      <c r="G154" s="122">
        <f t="shared" ca="1" si="56"/>
        <v>0</v>
      </c>
      <c r="H154" s="122">
        <f t="shared" ca="1" si="56"/>
        <v>0</v>
      </c>
      <c r="I154" s="122">
        <f t="shared" ca="1" si="56"/>
        <v>0</v>
      </c>
      <c r="J154" s="122">
        <f t="shared" ca="1" si="56"/>
        <v>0</v>
      </c>
      <c r="K154" s="122"/>
      <c r="L154" s="122"/>
      <c r="M154" s="122"/>
      <c r="N154" s="122"/>
      <c r="O154" s="122"/>
      <c r="P154" s="122"/>
      <c r="Q154" s="122"/>
      <c r="R154" s="122"/>
      <c r="S154" s="913">
        <f ca="1">SUM(S145:S153)</f>
        <v>47350000</v>
      </c>
      <c r="T154" s="913"/>
      <c r="U154" s="919"/>
      <c r="V154" s="919"/>
      <c r="W154" s="919"/>
      <c r="X154" s="920"/>
      <c r="Y154" s="920"/>
      <c r="Z154" s="920"/>
    </row>
    <row r="155" spans="1:26">
      <c r="A155" s="132" t="s">
        <v>623</v>
      </c>
      <c r="B155" s="133">
        <v>0</v>
      </c>
      <c r="C155" s="921" t="s">
        <v>406</v>
      </c>
      <c r="D155" s="921">
        <v>0.25</v>
      </c>
      <c r="E155" s="921">
        <v>0.5</v>
      </c>
      <c r="F155" s="921">
        <v>0.75</v>
      </c>
      <c r="G155" s="921">
        <v>1</v>
      </c>
      <c r="H155" s="921">
        <v>1.5</v>
      </c>
      <c r="I155" s="921">
        <v>2</v>
      </c>
      <c r="J155" s="921">
        <v>2.5</v>
      </c>
      <c r="K155" s="921"/>
      <c r="L155" s="921"/>
      <c r="M155" s="921"/>
      <c r="N155" s="921"/>
      <c r="O155" s="921"/>
      <c r="P155" s="921"/>
      <c r="Q155" s="921"/>
      <c r="R155" s="921"/>
      <c r="S155" s="922">
        <v>7</v>
      </c>
      <c r="T155" s="923"/>
      <c r="U155" s="923"/>
      <c r="V155" s="923"/>
      <c r="W155" s="923"/>
      <c r="X155" s="921"/>
      <c r="Y155" s="921"/>
      <c r="Z155" s="921"/>
    </row>
    <row r="156" spans="1:26">
      <c r="A156" s="127" t="s">
        <v>624</v>
      </c>
      <c r="B156" s="128">
        <v>20</v>
      </c>
      <c r="C156" s="128"/>
      <c r="D156" s="122">
        <f t="shared" ref="D156:D163" ca="1" si="57">+C129/B156/4</f>
        <v>0</v>
      </c>
      <c r="E156" s="122">
        <f t="shared" ref="E156:E163" ca="1" si="58">+D129/B156/4+D156</f>
        <v>0</v>
      </c>
      <c r="F156" s="122">
        <f t="shared" ref="F156:F163" ca="1" si="59">+E129/B156/4+E156</f>
        <v>0</v>
      </c>
      <c r="G156" s="122">
        <f t="shared" ref="G156:G163" ca="1" si="60">+F129/B156/4+F156</f>
        <v>0</v>
      </c>
      <c r="H156" s="122">
        <f t="shared" ref="H156:H163" ca="1" si="61">+G129/B156/2+G156*2</f>
        <v>0</v>
      </c>
      <c r="I156" s="924">
        <f ca="1">+H129/B156+H156</f>
        <v>0</v>
      </c>
      <c r="J156" s="924">
        <f ca="1">+I129/B156+I156</f>
        <v>0</v>
      </c>
      <c r="K156" s="924"/>
      <c r="L156" s="924"/>
      <c r="M156" s="924"/>
      <c r="N156" s="924"/>
      <c r="O156" s="924"/>
      <c r="P156" s="924"/>
      <c r="Q156" s="924"/>
      <c r="R156" s="924"/>
      <c r="S156" s="925"/>
      <c r="T156" s="913"/>
      <c r="U156" s="913"/>
      <c r="V156" s="913"/>
      <c r="W156" s="913"/>
      <c r="X156" s="122"/>
      <c r="Y156" s="122"/>
      <c r="Z156" s="122"/>
    </row>
    <row r="157" spans="1:26">
      <c r="A157" s="127" t="s">
        <v>625</v>
      </c>
      <c r="B157" s="128">
        <v>10</v>
      </c>
      <c r="C157" s="134"/>
      <c r="D157" s="122">
        <f t="shared" ca="1" si="57"/>
        <v>770000</v>
      </c>
      <c r="E157" s="122">
        <f t="shared" ca="1" si="58"/>
        <v>770000</v>
      </c>
      <c r="F157" s="122">
        <f t="shared" ca="1" si="59"/>
        <v>770000</v>
      </c>
      <c r="G157" s="122">
        <f t="shared" ca="1" si="60"/>
        <v>770000</v>
      </c>
      <c r="H157" s="122">
        <f t="shared" ca="1" si="61"/>
        <v>1540000</v>
      </c>
      <c r="I157" s="924">
        <f ca="1">+H130/B157/2+H157</f>
        <v>1540000</v>
      </c>
      <c r="J157" s="924">
        <f ca="1">+I130/B157+I157</f>
        <v>1540000</v>
      </c>
      <c r="K157" s="924">
        <f ca="1">+J157</f>
        <v>1540000</v>
      </c>
      <c r="L157" s="924"/>
      <c r="M157" s="924"/>
      <c r="N157" s="924"/>
      <c r="O157" s="924"/>
      <c r="P157" s="924"/>
      <c r="Q157" s="924"/>
      <c r="R157" s="924"/>
      <c r="S157" s="925"/>
      <c r="T157" s="913"/>
      <c r="U157" s="913"/>
      <c r="V157" s="913"/>
      <c r="W157" s="913"/>
      <c r="X157" s="122"/>
      <c r="Y157" s="122"/>
      <c r="Z157" s="122"/>
    </row>
    <row r="158" spans="1:26">
      <c r="A158" s="127" t="s">
        <v>626</v>
      </c>
      <c r="B158" s="128">
        <v>5</v>
      </c>
      <c r="C158" s="128"/>
      <c r="D158" s="122">
        <f t="shared" ca="1" si="57"/>
        <v>0</v>
      </c>
      <c r="E158" s="122">
        <f t="shared" ca="1" si="58"/>
        <v>0</v>
      </c>
      <c r="F158" s="122">
        <f t="shared" ca="1" si="59"/>
        <v>0</v>
      </c>
      <c r="G158" s="122">
        <f t="shared" ca="1" si="60"/>
        <v>0</v>
      </c>
      <c r="H158" s="122">
        <f t="shared" ca="1" si="61"/>
        <v>0</v>
      </c>
      <c r="I158" s="924">
        <f ca="1">+H131/B158+H158</f>
        <v>0</v>
      </c>
      <c r="J158" s="924">
        <f ca="1">+I131/B158+I158</f>
        <v>0</v>
      </c>
      <c r="K158" s="924">
        <f t="shared" ref="K158:K163" ca="1" si="62">+J158</f>
        <v>0</v>
      </c>
      <c r="L158" s="924"/>
      <c r="M158" s="924"/>
      <c r="N158" s="924"/>
      <c r="O158" s="924"/>
      <c r="P158" s="924"/>
      <c r="Q158" s="924"/>
      <c r="R158" s="924"/>
      <c r="S158" s="925"/>
      <c r="T158" s="913"/>
      <c r="U158" s="913"/>
      <c r="V158" s="913"/>
      <c r="W158" s="913"/>
      <c r="X158" s="122"/>
      <c r="Y158" s="122"/>
      <c r="Z158" s="122"/>
    </row>
    <row r="159" spans="1:26">
      <c r="A159" s="127" t="s">
        <v>627</v>
      </c>
      <c r="B159" s="128">
        <v>5</v>
      </c>
      <c r="C159" s="128"/>
      <c r="D159" s="122">
        <f t="shared" ca="1" si="57"/>
        <v>400000</v>
      </c>
      <c r="E159" s="122">
        <f t="shared" ca="1" si="58"/>
        <v>400000</v>
      </c>
      <c r="F159" s="122">
        <f t="shared" ca="1" si="59"/>
        <v>400000</v>
      </c>
      <c r="G159" s="122">
        <f t="shared" ca="1" si="60"/>
        <v>400000</v>
      </c>
      <c r="H159" s="122">
        <f t="shared" ca="1" si="61"/>
        <v>800000</v>
      </c>
      <c r="I159" s="924">
        <f ca="1">+H132/B159+H159</f>
        <v>800000</v>
      </c>
      <c r="J159" s="924">
        <f ca="1">+I132/B159+I159</f>
        <v>800000</v>
      </c>
      <c r="K159" s="924">
        <f t="shared" ca="1" si="62"/>
        <v>800000</v>
      </c>
      <c r="L159" s="924"/>
      <c r="M159" s="924"/>
      <c r="N159" s="924"/>
      <c r="O159" s="924"/>
      <c r="P159" s="924"/>
      <c r="Q159" s="924"/>
      <c r="R159" s="924"/>
      <c r="S159" s="925"/>
      <c r="T159" s="913"/>
      <c r="U159" s="913"/>
      <c r="V159" s="913"/>
      <c r="W159" s="913"/>
      <c r="X159" s="122"/>
      <c r="Y159" s="122"/>
      <c r="Z159" s="122"/>
    </row>
    <row r="160" spans="1:26">
      <c r="A160" s="127" t="s">
        <v>628</v>
      </c>
      <c r="B160" s="128">
        <v>10</v>
      </c>
      <c r="C160" s="128"/>
      <c r="D160" s="122">
        <f t="shared" ca="1" si="57"/>
        <v>213750</v>
      </c>
      <c r="E160" s="122">
        <f t="shared" ca="1" si="58"/>
        <v>213750</v>
      </c>
      <c r="F160" s="122">
        <f t="shared" ca="1" si="59"/>
        <v>213750</v>
      </c>
      <c r="G160" s="122">
        <f t="shared" ca="1" si="60"/>
        <v>213750</v>
      </c>
      <c r="H160" s="122">
        <f t="shared" ca="1" si="61"/>
        <v>427500</v>
      </c>
      <c r="I160" s="924">
        <f ca="1">+H133/B160/2+H160</f>
        <v>427500</v>
      </c>
      <c r="J160" s="924">
        <f ca="1">+I133/B160+I160</f>
        <v>427500</v>
      </c>
      <c r="K160" s="924">
        <f t="shared" ca="1" si="62"/>
        <v>427500</v>
      </c>
      <c r="L160" s="924"/>
      <c r="M160" s="924"/>
      <c r="N160" s="924"/>
      <c r="O160" s="924"/>
      <c r="P160" s="924"/>
      <c r="Q160" s="924"/>
      <c r="R160" s="924"/>
      <c r="S160" s="925"/>
      <c r="T160" s="913"/>
      <c r="U160" s="913"/>
      <c r="V160" s="913"/>
      <c r="W160" s="913"/>
      <c r="X160" s="122"/>
      <c r="Y160" s="122"/>
      <c r="Z160" s="122"/>
    </row>
    <row r="161" spans="1:26">
      <c r="A161" s="127" t="s">
        <v>629</v>
      </c>
      <c r="B161" s="128">
        <v>1</v>
      </c>
      <c r="C161" s="128"/>
      <c r="D161" s="122">
        <f t="shared" ca="1" si="57"/>
        <v>0</v>
      </c>
      <c r="E161" s="122">
        <f t="shared" ca="1" si="58"/>
        <v>0</v>
      </c>
      <c r="F161" s="122">
        <f t="shared" ca="1" si="59"/>
        <v>0</v>
      </c>
      <c r="G161" s="122">
        <f t="shared" ca="1" si="60"/>
        <v>0</v>
      </c>
      <c r="H161" s="122">
        <f t="shared" ca="1" si="61"/>
        <v>0</v>
      </c>
      <c r="I161" s="924">
        <f ca="1">+H134/B161/2+H161</f>
        <v>0</v>
      </c>
      <c r="J161" s="924">
        <f ca="1">+I134/B161/2+I161</f>
        <v>0</v>
      </c>
      <c r="K161" s="924">
        <f t="shared" ca="1" si="62"/>
        <v>0</v>
      </c>
      <c r="L161" s="924"/>
      <c r="M161" s="924"/>
      <c r="N161" s="924"/>
      <c r="O161" s="924"/>
      <c r="P161" s="924"/>
      <c r="Q161" s="924"/>
      <c r="R161" s="924"/>
      <c r="S161" s="925"/>
      <c r="T161" s="913"/>
      <c r="U161" s="913"/>
      <c r="V161" s="913"/>
      <c r="W161" s="913"/>
      <c r="X161" s="122"/>
      <c r="Y161" s="122"/>
      <c r="Z161" s="122"/>
    </row>
    <row r="162" spans="1:26">
      <c r="A162" s="127" t="s">
        <v>630</v>
      </c>
      <c r="B162" s="128">
        <v>3</v>
      </c>
      <c r="C162" s="128"/>
      <c r="D162" s="122">
        <f t="shared" ca="1" si="57"/>
        <v>0</v>
      </c>
      <c r="E162" s="122">
        <f t="shared" ca="1" si="58"/>
        <v>0</v>
      </c>
      <c r="F162" s="122">
        <f t="shared" ca="1" si="59"/>
        <v>0</v>
      </c>
      <c r="G162" s="122">
        <f t="shared" ca="1" si="60"/>
        <v>0</v>
      </c>
      <c r="H162" s="122">
        <f t="shared" ca="1" si="61"/>
        <v>0</v>
      </c>
      <c r="I162" s="924">
        <f ca="1">+H135/B162+H162</f>
        <v>0</v>
      </c>
      <c r="J162" s="924">
        <f ca="1">+I135/B162+I162</f>
        <v>0</v>
      </c>
      <c r="K162" s="924">
        <f t="shared" ca="1" si="62"/>
        <v>0</v>
      </c>
      <c r="L162" s="924"/>
      <c r="M162" s="924"/>
      <c r="N162" s="924"/>
      <c r="O162" s="924"/>
      <c r="P162" s="924"/>
      <c r="Q162" s="924"/>
      <c r="R162" s="924"/>
      <c r="S162" s="925"/>
      <c r="T162" s="913"/>
      <c r="U162" s="913"/>
      <c r="V162" s="913"/>
      <c r="W162" s="913"/>
      <c r="X162" s="122"/>
      <c r="Y162" s="122"/>
      <c r="Z162" s="122"/>
    </row>
    <row r="163" spans="1:26">
      <c r="A163" s="127" t="s">
        <v>631</v>
      </c>
      <c r="B163" s="128">
        <v>3</v>
      </c>
      <c r="C163" s="128"/>
      <c r="D163" s="122">
        <f t="shared" ca="1" si="57"/>
        <v>0</v>
      </c>
      <c r="E163" s="122">
        <f t="shared" ca="1" si="58"/>
        <v>0</v>
      </c>
      <c r="F163" s="122">
        <f t="shared" ca="1" si="59"/>
        <v>0</v>
      </c>
      <c r="G163" s="122">
        <f t="shared" ca="1" si="60"/>
        <v>0</v>
      </c>
      <c r="H163" s="122">
        <f t="shared" ca="1" si="61"/>
        <v>0</v>
      </c>
      <c r="I163" s="924">
        <f ca="1">+H136/B163+H163</f>
        <v>0</v>
      </c>
      <c r="J163" s="924">
        <f ca="1">+I136/B163+I163</f>
        <v>0</v>
      </c>
      <c r="K163" s="924">
        <f t="shared" ca="1" si="62"/>
        <v>0</v>
      </c>
      <c r="L163" s="924"/>
      <c r="M163" s="924"/>
      <c r="N163" s="924"/>
      <c r="O163" s="924"/>
      <c r="P163" s="924"/>
      <c r="Q163" s="924"/>
      <c r="R163" s="924"/>
      <c r="S163" s="925"/>
      <c r="T163" s="913"/>
      <c r="U163" s="913"/>
      <c r="V163" s="913"/>
      <c r="W163" s="913"/>
      <c r="X163" s="122"/>
      <c r="Y163" s="122"/>
      <c r="Z163" s="122"/>
    </row>
    <row r="164" spans="1:26">
      <c r="A164" s="135" t="s">
        <v>407</v>
      </c>
      <c r="B164" s="136"/>
      <c r="C164" s="136"/>
      <c r="D164" s="926">
        <f t="shared" ref="D164:K164" ca="1" si="63">SUM(D156:D163)</f>
        <v>1383750</v>
      </c>
      <c r="E164" s="926">
        <f t="shared" ca="1" si="63"/>
        <v>1383750</v>
      </c>
      <c r="F164" s="926">
        <f t="shared" ca="1" si="63"/>
        <v>1383750</v>
      </c>
      <c r="G164" s="926">
        <f t="shared" ca="1" si="63"/>
        <v>1383750</v>
      </c>
      <c r="H164" s="926">
        <f t="shared" ca="1" si="63"/>
        <v>2767500</v>
      </c>
      <c r="I164" s="926">
        <f t="shared" ca="1" si="63"/>
        <v>2767500</v>
      </c>
      <c r="J164" s="926">
        <f t="shared" ca="1" si="63"/>
        <v>2767500</v>
      </c>
      <c r="K164" s="926">
        <f t="shared" ca="1" si="63"/>
        <v>2767500</v>
      </c>
      <c r="L164" s="926"/>
      <c r="M164" s="926"/>
      <c r="N164" s="926"/>
      <c r="O164" s="926"/>
      <c r="P164" s="926"/>
      <c r="Q164" s="926"/>
      <c r="R164" s="926"/>
      <c r="S164" s="927"/>
      <c r="T164" s="913"/>
      <c r="U164" s="925"/>
      <c r="V164" s="928"/>
      <c r="W164" s="928"/>
      <c r="X164" s="929"/>
      <c r="Y164" s="929"/>
      <c r="Z164" s="929"/>
    </row>
    <row r="165" spans="1:26">
      <c r="A165" s="121" t="s">
        <v>408</v>
      </c>
      <c r="B165" s="131"/>
      <c r="C165" s="920" t="s">
        <v>409</v>
      </c>
      <c r="D165" s="920">
        <v>2</v>
      </c>
      <c r="E165" s="920">
        <v>3</v>
      </c>
      <c r="F165" s="920"/>
      <c r="G165" s="920"/>
      <c r="H165" s="920"/>
      <c r="I165" s="920"/>
      <c r="J165" s="920"/>
      <c r="K165" s="920"/>
      <c r="L165" s="920"/>
      <c r="M165" s="920"/>
      <c r="N165" s="920"/>
      <c r="O165" s="920"/>
      <c r="P165" s="920"/>
      <c r="Q165" s="920"/>
      <c r="R165" s="920"/>
      <c r="S165" s="919"/>
      <c r="T165" s="919"/>
      <c r="U165" s="919"/>
      <c r="V165" s="919"/>
      <c r="W165" s="919"/>
      <c r="X165" s="920"/>
      <c r="Y165" s="920"/>
      <c r="Z165" s="920"/>
    </row>
    <row r="166" spans="1:26">
      <c r="A166" s="127" t="s">
        <v>624</v>
      </c>
      <c r="B166" s="128"/>
      <c r="C166" s="122">
        <f ca="1">+D156+E156+F156+G156</f>
        <v>0</v>
      </c>
      <c r="D166" s="122">
        <f t="shared" ref="D166:D173" ca="1" si="64">+H156+I156</f>
        <v>0</v>
      </c>
      <c r="E166" s="122">
        <f t="shared" ref="E166:E173" ca="1" si="65">+K156+J156</f>
        <v>0</v>
      </c>
      <c r="F166" s="122"/>
      <c r="G166" s="122"/>
      <c r="H166" s="122"/>
      <c r="I166" s="122"/>
      <c r="J166" s="122"/>
      <c r="K166" s="122"/>
      <c r="L166" s="122"/>
      <c r="M166" s="122"/>
      <c r="N166" s="122"/>
      <c r="O166" s="122"/>
      <c r="P166" s="122"/>
      <c r="Q166" s="122"/>
      <c r="R166" s="122"/>
      <c r="S166" s="913"/>
      <c r="T166" s="913">
        <f ca="1">+S145</f>
        <v>0</v>
      </c>
      <c r="U166" s="913"/>
      <c r="V166" s="913"/>
      <c r="W166" s="913"/>
      <c r="X166" s="122"/>
      <c r="Y166" s="122"/>
      <c r="Z166" s="122"/>
    </row>
    <row r="167" spans="1:26">
      <c r="A167" s="127" t="s">
        <v>625</v>
      </c>
      <c r="B167" s="128"/>
      <c r="C167" s="122">
        <f t="shared" ref="C167:C173" ca="1" si="66">+D157+E157+F157+G157</f>
        <v>3080000</v>
      </c>
      <c r="D167" s="122">
        <f t="shared" ca="1" si="64"/>
        <v>3080000</v>
      </c>
      <c r="E167" s="122">
        <f t="shared" ca="1" si="65"/>
        <v>3080000</v>
      </c>
      <c r="F167" s="122"/>
      <c r="G167" s="122"/>
      <c r="H167" s="122"/>
      <c r="I167" s="122"/>
      <c r="J167" s="122"/>
      <c r="K167" s="122"/>
      <c r="L167" s="122"/>
      <c r="M167" s="122"/>
      <c r="N167" s="122"/>
      <c r="O167" s="122"/>
      <c r="P167" s="122"/>
      <c r="Q167" s="122"/>
      <c r="R167" s="122"/>
      <c r="S167" s="913"/>
      <c r="T167" s="913">
        <f t="shared" ref="T167:T174" ca="1" si="67">+S146-T156</f>
        <v>0</v>
      </c>
      <c r="U167" s="913"/>
      <c r="V167" s="913"/>
      <c r="W167" s="913"/>
      <c r="X167" s="122"/>
      <c r="Y167" s="122"/>
      <c r="Z167" s="122"/>
    </row>
    <row r="168" spans="1:26">
      <c r="A168" s="127" t="s">
        <v>626</v>
      </c>
      <c r="B168" s="128"/>
      <c r="C168" s="122">
        <f t="shared" ca="1" si="66"/>
        <v>0</v>
      </c>
      <c r="D168" s="122">
        <f t="shared" ca="1" si="64"/>
        <v>0</v>
      </c>
      <c r="E168" s="122">
        <f t="shared" ca="1" si="65"/>
        <v>0</v>
      </c>
      <c r="F168" s="122"/>
      <c r="G168" s="122"/>
      <c r="H168" s="122"/>
      <c r="I168" s="122"/>
      <c r="J168" s="122"/>
      <c r="K168" s="122"/>
      <c r="L168" s="122"/>
      <c r="M168" s="122"/>
      <c r="N168" s="122"/>
      <c r="O168" s="122"/>
      <c r="P168" s="122"/>
      <c r="Q168" s="122"/>
      <c r="R168" s="122"/>
      <c r="S168" s="913"/>
      <c r="T168" s="913">
        <f t="shared" ca="1" si="67"/>
        <v>30800000</v>
      </c>
      <c r="U168" s="913"/>
      <c r="V168" s="913"/>
      <c r="W168" s="913"/>
      <c r="X168" s="122"/>
      <c r="Y168" s="122"/>
      <c r="Z168" s="122"/>
    </row>
    <row r="169" spans="1:26">
      <c r="A169" s="127" t="s">
        <v>627</v>
      </c>
      <c r="B169" s="128"/>
      <c r="C169" s="122">
        <f t="shared" ca="1" si="66"/>
        <v>1600000</v>
      </c>
      <c r="D169" s="122">
        <f t="shared" ca="1" si="64"/>
        <v>1600000</v>
      </c>
      <c r="E169" s="122">
        <f t="shared" ca="1" si="65"/>
        <v>1600000</v>
      </c>
      <c r="F169" s="122"/>
      <c r="G169" s="122"/>
      <c r="H169" s="122"/>
      <c r="I169" s="122"/>
      <c r="J169" s="122"/>
      <c r="K169" s="122"/>
      <c r="L169" s="122"/>
      <c r="M169" s="122"/>
      <c r="N169" s="122"/>
      <c r="O169" s="122"/>
      <c r="P169" s="122"/>
      <c r="Q169" s="122"/>
      <c r="R169" s="122"/>
      <c r="S169" s="913"/>
      <c r="T169" s="913">
        <f t="shared" ca="1" si="67"/>
        <v>0</v>
      </c>
      <c r="U169" s="913"/>
      <c r="V169" s="913"/>
      <c r="W169" s="913"/>
      <c r="X169" s="122"/>
      <c r="Y169" s="122"/>
      <c r="Z169" s="122"/>
    </row>
    <row r="170" spans="1:26">
      <c r="A170" s="127" t="s">
        <v>628</v>
      </c>
      <c r="B170" s="128"/>
      <c r="C170" s="122">
        <f t="shared" ca="1" si="66"/>
        <v>855000</v>
      </c>
      <c r="D170" s="122">
        <f t="shared" ca="1" si="64"/>
        <v>855000</v>
      </c>
      <c r="E170" s="122">
        <f t="shared" ca="1" si="65"/>
        <v>855000</v>
      </c>
      <c r="F170" s="122"/>
      <c r="G170" s="122"/>
      <c r="H170" s="122"/>
      <c r="I170" s="122"/>
      <c r="J170" s="122"/>
      <c r="K170" s="122"/>
      <c r="L170" s="122"/>
      <c r="M170" s="122"/>
      <c r="N170" s="122"/>
      <c r="O170" s="122"/>
      <c r="P170" s="122"/>
      <c r="Q170" s="122"/>
      <c r="R170" s="122"/>
      <c r="S170" s="913"/>
      <c r="T170" s="913">
        <f t="shared" ca="1" si="67"/>
        <v>8000000</v>
      </c>
      <c r="U170" s="913"/>
      <c r="V170" s="913"/>
      <c r="W170" s="913"/>
      <c r="X170" s="122"/>
      <c r="Y170" s="122"/>
      <c r="Z170" s="122"/>
    </row>
    <row r="171" spans="1:26">
      <c r="A171" s="127" t="s">
        <v>629</v>
      </c>
      <c r="B171" s="128"/>
      <c r="C171" s="122">
        <f t="shared" ca="1" si="66"/>
        <v>0</v>
      </c>
      <c r="D171" s="122">
        <f t="shared" ca="1" si="64"/>
        <v>0</v>
      </c>
      <c r="E171" s="122">
        <f t="shared" ca="1" si="65"/>
        <v>0</v>
      </c>
      <c r="F171" s="122"/>
      <c r="G171" s="122"/>
      <c r="H171" s="122"/>
      <c r="I171" s="122"/>
      <c r="J171" s="122"/>
      <c r="K171" s="122"/>
      <c r="L171" s="122"/>
      <c r="M171" s="122"/>
      <c r="N171" s="122"/>
      <c r="O171" s="122"/>
      <c r="P171" s="122"/>
      <c r="Q171" s="122"/>
      <c r="R171" s="122"/>
      <c r="S171" s="913"/>
      <c r="T171" s="913">
        <f t="shared" ca="1" si="67"/>
        <v>8550000</v>
      </c>
      <c r="U171" s="913"/>
      <c r="V171" s="913"/>
      <c r="W171" s="913"/>
      <c r="X171" s="122"/>
      <c r="Y171" s="122"/>
      <c r="Z171" s="122"/>
    </row>
    <row r="172" spans="1:26">
      <c r="A172" s="127" t="s">
        <v>630</v>
      </c>
      <c r="B172" s="128"/>
      <c r="C172" s="122">
        <f t="shared" ca="1" si="66"/>
        <v>0</v>
      </c>
      <c r="D172" s="122">
        <f t="shared" ca="1" si="64"/>
        <v>0</v>
      </c>
      <c r="E172" s="122">
        <f t="shared" ca="1" si="65"/>
        <v>0</v>
      </c>
      <c r="F172" s="122"/>
      <c r="G172" s="122"/>
      <c r="H172" s="122"/>
      <c r="I172" s="122"/>
      <c r="J172" s="122"/>
      <c r="K172" s="122"/>
      <c r="L172" s="122"/>
      <c r="M172" s="122"/>
      <c r="N172" s="122"/>
      <c r="O172" s="122"/>
      <c r="P172" s="122"/>
      <c r="Q172" s="122"/>
      <c r="R172" s="122"/>
      <c r="S172" s="913"/>
      <c r="T172" s="913">
        <f t="shared" ca="1" si="67"/>
        <v>0</v>
      </c>
      <c r="U172" s="913"/>
      <c r="V172" s="913"/>
      <c r="W172" s="913"/>
      <c r="X172" s="122"/>
      <c r="Y172" s="122"/>
      <c r="Z172" s="122"/>
    </row>
    <row r="173" spans="1:26">
      <c r="A173" s="127" t="s">
        <v>631</v>
      </c>
      <c r="B173" s="128"/>
      <c r="C173" s="122">
        <f t="shared" ca="1" si="66"/>
        <v>0</v>
      </c>
      <c r="D173" s="122">
        <f t="shared" ca="1" si="64"/>
        <v>0</v>
      </c>
      <c r="E173" s="122">
        <f t="shared" ca="1" si="65"/>
        <v>0</v>
      </c>
      <c r="F173" s="122"/>
      <c r="G173" s="122"/>
      <c r="H173" s="122"/>
      <c r="I173" s="122"/>
      <c r="J173" s="122"/>
      <c r="K173" s="122"/>
      <c r="L173" s="122"/>
      <c r="M173" s="122"/>
      <c r="N173" s="122"/>
      <c r="O173" s="122"/>
      <c r="P173" s="122"/>
      <c r="Q173" s="122"/>
      <c r="R173" s="122"/>
      <c r="S173" s="913"/>
      <c r="T173" s="913">
        <f t="shared" ca="1" si="67"/>
        <v>0</v>
      </c>
      <c r="U173" s="913"/>
      <c r="V173" s="913"/>
      <c r="W173" s="913"/>
      <c r="X173" s="122"/>
      <c r="Y173" s="122"/>
      <c r="Z173" s="122"/>
    </row>
    <row r="174" spans="1:26">
      <c r="A174" s="135" t="s">
        <v>408</v>
      </c>
      <c r="B174" s="131"/>
      <c r="C174" s="930">
        <f ca="1">SUM(C166:C173)</f>
        <v>5535000</v>
      </c>
      <c r="D174" s="930">
        <f ca="1">SUM(D166:D173)</f>
        <v>5535000</v>
      </c>
      <c r="E174" s="930">
        <f ca="1">SUM(E166:E173)</f>
        <v>5535000</v>
      </c>
      <c r="F174" s="930"/>
      <c r="G174" s="930"/>
      <c r="H174" s="930"/>
      <c r="I174" s="930"/>
      <c r="J174" s="930"/>
      <c r="K174" s="920"/>
      <c r="L174" s="920"/>
      <c r="M174" s="920"/>
      <c r="N174" s="920"/>
      <c r="O174" s="920"/>
      <c r="P174" s="920"/>
      <c r="Q174" s="920"/>
      <c r="R174" s="920"/>
      <c r="S174" s="919"/>
      <c r="T174" s="913">
        <f t="shared" ca="1" si="67"/>
        <v>0</v>
      </c>
      <c r="U174" s="919"/>
      <c r="V174" s="919"/>
      <c r="W174" s="919"/>
      <c r="X174" s="920"/>
      <c r="Y174" s="920"/>
      <c r="Z174" s="920"/>
    </row>
    <row r="175" spans="1:26">
      <c r="A175" s="123"/>
      <c r="B175" s="123"/>
      <c r="C175" s="123"/>
      <c r="D175" s="123"/>
      <c r="E175" s="123"/>
      <c r="F175" s="123"/>
      <c r="G175" s="123"/>
      <c r="H175" s="123"/>
      <c r="I175" s="123"/>
      <c r="J175" s="123"/>
      <c r="K175" s="123"/>
      <c r="L175" s="123"/>
      <c r="M175" s="123"/>
      <c r="N175" s="123"/>
      <c r="O175" s="123"/>
      <c r="P175" s="123"/>
      <c r="Q175" s="123"/>
      <c r="R175" s="123"/>
      <c r="S175" s="931"/>
      <c r="T175" s="931">
        <f ca="1">SUM(T166:T174)</f>
        <v>47350000</v>
      </c>
      <c r="U175" s="931"/>
      <c r="V175" s="931"/>
      <c r="W175" s="931"/>
      <c r="X175" s="123"/>
      <c r="Y175" s="123"/>
      <c r="Z175" s="123"/>
    </row>
    <row r="176" spans="1:26" ht="12">
      <c r="A176" s="123" t="s">
        <v>661</v>
      </c>
      <c r="B176" s="123">
        <v>0</v>
      </c>
      <c r="C176" s="126" t="s">
        <v>388</v>
      </c>
      <c r="D176" s="126" t="s">
        <v>389</v>
      </c>
      <c r="E176" s="126" t="s">
        <v>390</v>
      </c>
      <c r="F176" s="126" t="s">
        <v>391</v>
      </c>
      <c r="G176" s="126" t="s">
        <v>392</v>
      </c>
      <c r="H176" s="126" t="s">
        <v>393</v>
      </c>
      <c r="I176" s="123" t="s">
        <v>416</v>
      </c>
      <c r="J176" s="123" t="s">
        <v>417</v>
      </c>
      <c r="K176" s="123"/>
      <c r="L176" s="123"/>
      <c r="M176" s="123"/>
      <c r="N176" s="123"/>
      <c r="O176" s="123"/>
      <c r="P176" s="123"/>
      <c r="Q176" s="123"/>
      <c r="R176" s="123"/>
      <c r="S176" s="123"/>
      <c r="T176" s="123"/>
      <c r="U176" s="123"/>
      <c r="V176" s="123"/>
      <c r="W176" s="123"/>
      <c r="X176" s="123"/>
      <c r="Y176" s="123"/>
      <c r="Z176" s="123"/>
    </row>
    <row r="177" spans="1:26" ht="12">
      <c r="A177" s="123" t="s">
        <v>410</v>
      </c>
      <c r="B177" s="123"/>
      <c r="C177" s="122">
        <f>SUMIF($S71:$S$75,CONCATENATE(C$93,$B$94,$B$176),'inversion af'!$T$71:$T$75)</f>
        <v>70000000</v>
      </c>
      <c r="D177" s="122">
        <f>SUMIF($S71:$S$75,CONCATENATE(D$93,$B$94,$B$176),'inversion af'!$T$71:$T$75)</f>
        <v>0</v>
      </c>
      <c r="E177" s="122">
        <f>SUMIF($S71:$S$75,CONCATENATE(E$93,$B$94,$B$176),'inversion af'!$T$71:$T$75)</f>
        <v>0</v>
      </c>
      <c r="F177" s="122">
        <f>SUMIF($S71:$S$75,CONCATENATE(F$93,$B$94,$B$176),'inversion af'!$T$71:$T$75)</f>
        <v>0</v>
      </c>
      <c r="G177" s="122">
        <f>SUMIF($S71:$S$75,CONCATENATE(G$93,$B$94,$B$176),'inversion af'!$T$71:$T$75)</f>
        <v>0</v>
      </c>
      <c r="H177" s="122">
        <f>SUMIF($S71:$S$75,CONCATENATE(H$93,$B$94,$B$176),'inversion af'!$T$71:$T$75)</f>
        <v>0</v>
      </c>
      <c r="I177" s="122">
        <f>SUMIF($S71:$S$75,CONCATENATE(I$93,$B$94,$B$176),'inversion af'!$T$71:$T$75)</f>
        <v>0</v>
      </c>
      <c r="J177" s="122">
        <f>SUMIF($S71:$S$75,CONCATENATE(J$93,$B$94,$B$176),'inversion af'!$T$71:$T$75)</f>
        <v>0</v>
      </c>
      <c r="K177" s="123">
        <f>SUM(C177:J177)</f>
        <v>70000000</v>
      </c>
      <c r="L177" s="123"/>
      <c r="M177" s="123"/>
      <c r="N177" s="123"/>
      <c r="O177" s="123"/>
      <c r="P177" s="123"/>
      <c r="Q177" s="123"/>
      <c r="R177" s="123"/>
      <c r="S177" s="123"/>
      <c r="T177" s="123"/>
      <c r="U177" s="123"/>
      <c r="V177" s="123"/>
      <c r="W177" s="123"/>
      <c r="X177" s="123"/>
      <c r="Y177" s="123"/>
      <c r="Z177" s="123"/>
    </row>
    <row r="178" spans="1:26" ht="12">
      <c r="A178" s="123" t="s">
        <v>411</v>
      </c>
      <c r="B178" s="123"/>
      <c r="C178" s="122">
        <f>SUMIF($S71:$S$75,CONCATENATE(C$93,$B$105,$B$176),$T$71:$T$75)</f>
        <v>0</v>
      </c>
      <c r="D178" s="122">
        <f>SUMIF($S71:$S$75,CONCATENATE(D$93,$B$105,$B$176),$T$71:$T$75)</f>
        <v>0</v>
      </c>
      <c r="E178" s="122">
        <f>SUMIF($S71:$S$75,CONCATENATE(E$93,$B$105,$B$176),$T$71:$T$75)</f>
        <v>0</v>
      </c>
      <c r="F178" s="122">
        <f>SUMIF($S71:$S$75,CONCATENATE(F$93,$B$105,$B$176),$T$71:$T$75)</f>
        <v>0</v>
      </c>
      <c r="G178" s="122">
        <f>SUMIF($S71:$S$75,CONCATENATE(G$93,$B$105,$B$176),$T$71:$T$75)</f>
        <v>0</v>
      </c>
      <c r="H178" s="122">
        <f>SUMIF($S71:$S$75,CONCATENATE(H$93,$B$105,$B$176),$T$71:$T$75)</f>
        <v>0</v>
      </c>
      <c r="I178" s="122">
        <f>SUMIF($S71:$S$75,CONCATENATE(I$93,$B$105,$B$176),$T$71:$T$75)</f>
        <v>0</v>
      </c>
      <c r="J178" s="122">
        <f>SUMIF($S71:$S$75,CONCATENATE(J$93,$B$105,$B$176),$T$71:$T$75)</f>
        <v>0</v>
      </c>
      <c r="K178" s="123">
        <f>SUM(C178:J178)</f>
        <v>0</v>
      </c>
      <c r="L178" s="123"/>
      <c r="M178" s="123"/>
      <c r="N178" s="123"/>
      <c r="O178" s="123"/>
      <c r="P178" s="123"/>
      <c r="Q178" s="123"/>
      <c r="R178" s="123"/>
      <c r="S178" s="123"/>
      <c r="T178" s="123"/>
      <c r="U178" s="123"/>
      <c r="V178" s="123"/>
      <c r="W178" s="123"/>
      <c r="X178" s="123"/>
      <c r="Y178" s="123"/>
      <c r="Z178" s="123"/>
    </row>
    <row r="179" spans="1:26" ht="12">
      <c r="A179" s="123" t="s">
        <v>412</v>
      </c>
      <c r="B179" s="123"/>
      <c r="C179" s="122">
        <f>SUMIF($S71:$S$75,CONCATENATE(C$93,$B$116,$B$176),$T$71:$T$75)</f>
        <v>0</v>
      </c>
      <c r="D179" s="122">
        <f>SUMIF($S71:$S$75,CONCATENATE(D$93,$B$116,$B$176),$T$71:$T$75)</f>
        <v>0</v>
      </c>
      <c r="E179" s="122">
        <f>SUMIF($S71:$S$75,CONCATENATE(E$93,$B$116,$B$176),$T$71:$T$75)</f>
        <v>0</v>
      </c>
      <c r="F179" s="122">
        <f>SUMIF($S71:$S$75,CONCATENATE(F$93,$B$116,$B$176),$T$71:$T$75)</f>
        <v>0</v>
      </c>
      <c r="G179" s="122">
        <f>SUMIF($S71:$S$75,CONCATENATE(G$93,$B$116,$B$176),$T$71:$T$75)</f>
        <v>0</v>
      </c>
      <c r="H179" s="122">
        <f>SUMIF($S71:$S$75,CONCATENATE(H$93,$B$116,$B$176),$T$71:$T$75)</f>
        <v>0</v>
      </c>
      <c r="I179" s="122">
        <f>SUMIF($S71:$S$75,CONCATENATE(I$93,$B$116,$B$176),$T$71:$T$75)</f>
        <v>0</v>
      </c>
      <c r="J179" s="122">
        <f>SUMIF($S71:$S$75,CONCATENATE(J$93,$B$116,$B$176),$T$71:$T$75)</f>
        <v>0</v>
      </c>
      <c r="K179" s="123">
        <f>SUM(C179:J179)</f>
        <v>0</v>
      </c>
      <c r="L179" s="123"/>
      <c r="M179" s="123"/>
      <c r="N179" s="123"/>
      <c r="O179" s="123"/>
      <c r="P179" s="123"/>
      <c r="Q179" s="123"/>
      <c r="R179" s="123"/>
      <c r="S179" s="123"/>
      <c r="T179" s="123"/>
      <c r="U179" s="123"/>
      <c r="V179" s="123"/>
      <c r="W179" s="123"/>
      <c r="X179" s="123"/>
      <c r="Y179" s="123"/>
      <c r="Z179" s="123"/>
    </row>
    <row r="180" spans="1:26" ht="12">
      <c r="B180" s="123"/>
      <c r="C180" s="123">
        <f t="shared" ref="C180:K180" si="68">SUM(C177:C179)</f>
        <v>70000000</v>
      </c>
      <c r="D180" s="123">
        <f t="shared" si="68"/>
        <v>0</v>
      </c>
      <c r="E180" s="123">
        <f t="shared" si="68"/>
        <v>0</v>
      </c>
      <c r="F180" s="123">
        <f t="shared" si="68"/>
        <v>0</v>
      </c>
      <c r="G180" s="123">
        <f t="shared" si="68"/>
        <v>0</v>
      </c>
      <c r="H180" s="123">
        <f t="shared" si="68"/>
        <v>0</v>
      </c>
      <c r="I180" s="123">
        <f t="shared" si="68"/>
        <v>0</v>
      </c>
      <c r="J180" s="123">
        <f t="shared" si="68"/>
        <v>0</v>
      </c>
      <c r="K180" s="123">
        <f t="shared" si="68"/>
        <v>70000000</v>
      </c>
      <c r="L180" s="123">
        <f ca="1">+L104+L115+L126+K180</f>
        <v>117350000</v>
      </c>
      <c r="M180" s="123"/>
      <c r="N180" s="123"/>
      <c r="O180" s="123"/>
      <c r="P180" s="123"/>
      <c r="Q180" s="123"/>
      <c r="R180" s="123"/>
      <c r="S180" s="123"/>
      <c r="T180" s="123"/>
      <c r="U180" s="123"/>
      <c r="V180" s="123"/>
      <c r="W180" s="123"/>
      <c r="X180" s="123"/>
      <c r="Y180" s="123"/>
      <c r="Z180" s="123"/>
    </row>
    <row r="181" spans="1:26" ht="12">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spans="1:26" ht="12">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spans="1:26" ht="12">
      <c r="A183" s="123"/>
      <c r="B183" s="123"/>
      <c r="C183" s="123">
        <v>1</v>
      </c>
      <c r="D183" s="123">
        <v>2</v>
      </c>
      <c r="E183" s="123">
        <v>3</v>
      </c>
      <c r="F183" s="123">
        <v>4</v>
      </c>
      <c r="G183" s="123">
        <v>5</v>
      </c>
      <c r="H183" s="123">
        <v>6</v>
      </c>
      <c r="I183" s="123">
        <v>7</v>
      </c>
      <c r="J183" s="123">
        <v>8</v>
      </c>
      <c r="K183" s="123">
        <v>9</v>
      </c>
      <c r="L183" s="123">
        <v>10</v>
      </c>
      <c r="M183" s="123">
        <v>11</v>
      </c>
      <c r="N183" s="123">
        <v>12</v>
      </c>
      <c r="O183" s="123"/>
      <c r="P183" s="123"/>
      <c r="Q183" s="123"/>
      <c r="R183" s="123"/>
      <c r="S183" s="123"/>
      <c r="T183" s="123"/>
      <c r="U183" s="123"/>
      <c r="V183" s="123"/>
      <c r="W183" s="123"/>
      <c r="X183" s="123"/>
      <c r="Y183" s="123"/>
      <c r="Z183" s="123"/>
    </row>
    <row r="184" spans="1:26" ht="12">
      <c r="A184" s="123"/>
      <c r="B184" s="123"/>
      <c r="C184" s="932">
        <f ca="1">+D164/3</f>
        <v>461250</v>
      </c>
      <c r="D184" s="932">
        <f ca="1">+D164/3</f>
        <v>461250</v>
      </c>
      <c r="E184" s="932">
        <f ca="1">+D164/3</f>
        <v>461250</v>
      </c>
      <c r="F184" s="123">
        <f ca="1">+E164/3</f>
        <v>461250</v>
      </c>
      <c r="G184" s="123">
        <f ca="1">+E164/3</f>
        <v>461250</v>
      </c>
      <c r="H184" s="123">
        <f ca="1">+E164/3</f>
        <v>461250</v>
      </c>
      <c r="I184" s="123">
        <f ca="1">+F164/3</f>
        <v>461250</v>
      </c>
      <c r="J184" s="123">
        <f ca="1">+F164/3</f>
        <v>461250</v>
      </c>
      <c r="K184" s="123">
        <f ca="1">+F164/3</f>
        <v>461250</v>
      </c>
      <c r="L184" s="123">
        <f ca="1">+G164/3</f>
        <v>461250</v>
      </c>
      <c r="M184" s="123">
        <f ca="1">+G164/3</f>
        <v>461250</v>
      </c>
      <c r="N184" s="123">
        <f ca="1">+G164/3</f>
        <v>461250</v>
      </c>
      <c r="O184" s="123"/>
      <c r="P184" s="123"/>
      <c r="Q184" s="123"/>
      <c r="R184" s="123"/>
      <c r="S184" s="123"/>
      <c r="T184" s="123"/>
      <c r="U184" s="123"/>
      <c r="V184" s="123"/>
      <c r="W184" s="123"/>
      <c r="X184" s="123"/>
      <c r="Y184" s="123"/>
      <c r="Z184" s="123"/>
    </row>
    <row r="185" spans="1:26" ht="12">
      <c r="A185" s="123"/>
      <c r="B185" s="933">
        <f>+'datos de entrada'!E409</f>
        <v>0</v>
      </c>
      <c r="C185" s="934">
        <f>1+B185</f>
        <v>1</v>
      </c>
      <c r="D185" s="123"/>
      <c r="E185" s="123"/>
      <c r="F185" s="123"/>
      <c r="G185" s="932"/>
      <c r="H185" s="932"/>
      <c r="I185" s="932"/>
      <c r="J185" s="932"/>
      <c r="K185" s="932"/>
      <c r="L185" s="932"/>
      <c r="M185" s="932"/>
      <c r="N185" s="932"/>
      <c r="O185" s="932"/>
      <c r="P185" s="932"/>
      <c r="Q185" s="932"/>
      <c r="R185" s="932"/>
      <c r="S185" s="123"/>
      <c r="T185" s="123"/>
      <c r="U185" s="123"/>
      <c r="V185" s="123"/>
      <c r="W185" s="123"/>
      <c r="X185" s="123"/>
      <c r="Y185" s="123"/>
      <c r="Z185" s="123"/>
    </row>
    <row r="186" spans="1:26" ht="12">
      <c r="A186" s="123" t="s">
        <v>413</v>
      </c>
      <c r="B186" s="123"/>
      <c r="C186" s="123"/>
      <c r="D186" s="123"/>
      <c r="E186" s="123"/>
      <c r="F186" s="123"/>
      <c r="G186" s="934">
        <v>1</v>
      </c>
      <c r="H186" s="934">
        <v>1</v>
      </c>
      <c r="I186" s="123">
        <v>2</v>
      </c>
      <c r="J186" s="123">
        <v>2</v>
      </c>
      <c r="K186" s="123">
        <v>3</v>
      </c>
      <c r="L186" s="123">
        <v>3</v>
      </c>
      <c r="M186" s="123">
        <v>4</v>
      </c>
      <c r="N186" s="123">
        <v>4</v>
      </c>
      <c r="O186" s="123">
        <v>5</v>
      </c>
      <c r="P186" s="123">
        <v>5</v>
      </c>
      <c r="Q186" s="123">
        <v>6</v>
      </c>
      <c r="R186" s="123">
        <v>6</v>
      </c>
      <c r="S186" s="123"/>
      <c r="T186" s="123"/>
      <c r="U186" s="123"/>
      <c r="V186" s="123"/>
      <c r="W186" s="123"/>
      <c r="X186" s="123"/>
      <c r="Y186" s="123"/>
      <c r="Z186" s="123"/>
    </row>
    <row r="187" spans="1:26" ht="15">
      <c r="B187" s="7"/>
      <c r="C187" s="7"/>
      <c r="D187" s="7"/>
      <c r="E187" s="7"/>
      <c r="F187" s="7"/>
      <c r="G187" s="7"/>
      <c r="H187" s="7"/>
      <c r="I187" s="7">
        <v>1</v>
      </c>
      <c r="J187" s="123"/>
      <c r="K187" s="123"/>
      <c r="L187" s="123"/>
      <c r="M187" s="123"/>
      <c r="N187" s="123"/>
      <c r="O187" s="123"/>
      <c r="P187" s="123"/>
      <c r="Q187" s="123"/>
      <c r="R187" s="123"/>
      <c r="S187" s="123"/>
      <c r="T187" s="123"/>
      <c r="U187" s="123"/>
      <c r="V187" s="123"/>
      <c r="W187" s="123"/>
      <c r="X187" s="123"/>
      <c r="Y187" s="123"/>
      <c r="Z187" s="123"/>
    </row>
    <row r="188" spans="1:26" ht="15">
      <c r="A188" s="137" t="str">
        <f t="shared" ref="A188:A196" si="69">+C188</f>
        <v>TERRENOS</v>
      </c>
      <c r="B188" s="7">
        <v>1</v>
      </c>
      <c r="C188" s="7" t="s">
        <v>623</v>
      </c>
      <c r="D188" s="7">
        <v>1000000</v>
      </c>
      <c r="E188" s="7" t="s">
        <v>653</v>
      </c>
      <c r="F188" s="7">
        <v>1</v>
      </c>
      <c r="G188" s="7" t="s">
        <v>388</v>
      </c>
      <c r="H188" s="7">
        <v>11</v>
      </c>
      <c r="I188" s="7">
        <v>111</v>
      </c>
      <c r="J188" s="123">
        <v>0</v>
      </c>
      <c r="K188" s="123"/>
      <c r="L188" s="123"/>
      <c r="M188" s="123"/>
      <c r="N188" s="123"/>
      <c r="O188" s="123"/>
      <c r="P188" s="123"/>
      <c r="Q188" s="123"/>
      <c r="R188" s="123"/>
      <c r="S188" s="123"/>
      <c r="T188" s="123"/>
      <c r="U188" s="123"/>
      <c r="V188" s="123"/>
      <c r="W188" s="123"/>
      <c r="X188" s="123"/>
      <c r="Y188" s="123"/>
      <c r="Z188" s="123"/>
    </row>
    <row r="189" spans="1:26" ht="15">
      <c r="A189" s="137" t="str">
        <f t="shared" si="69"/>
        <v>EDIFICIOS</v>
      </c>
      <c r="B189" s="7">
        <v>2</v>
      </c>
      <c r="C189" s="7" t="s">
        <v>624</v>
      </c>
      <c r="D189" s="7">
        <v>20</v>
      </c>
      <c r="E189" s="7" t="s">
        <v>48</v>
      </c>
      <c r="F189" s="7">
        <v>2</v>
      </c>
      <c r="G189" s="7" t="s">
        <v>418</v>
      </c>
      <c r="H189" s="7">
        <v>12</v>
      </c>
      <c r="I189" s="7">
        <v>112</v>
      </c>
      <c r="J189" s="123">
        <v>0</v>
      </c>
      <c r="K189" s="123"/>
      <c r="L189" s="123"/>
      <c r="M189" s="123"/>
      <c r="N189" s="123"/>
      <c r="O189" s="123"/>
      <c r="P189" s="123"/>
      <c r="Q189" s="123"/>
      <c r="R189" s="123"/>
      <c r="S189" s="123"/>
      <c r="T189" s="123"/>
      <c r="U189" s="123"/>
      <c r="V189" s="123"/>
      <c r="W189" s="123"/>
      <c r="X189" s="123"/>
      <c r="Y189" s="123"/>
      <c r="Z189" s="123"/>
    </row>
    <row r="190" spans="1:26" ht="15">
      <c r="A190" s="137" t="str">
        <f t="shared" si="69"/>
        <v>MAQUINAS</v>
      </c>
      <c r="B190" s="7">
        <v>3</v>
      </c>
      <c r="C190" s="7" t="s">
        <v>625</v>
      </c>
      <c r="D190" s="7">
        <v>10</v>
      </c>
      <c r="E190" s="7" t="s">
        <v>414</v>
      </c>
      <c r="F190" s="7">
        <v>3</v>
      </c>
      <c r="G190" s="7" t="s">
        <v>390</v>
      </c>
      <c r="H190" s="7">
        <v>13</v>
      </c>
      <c r="I190" s="7">
        <v>113</v>
      </c>
      <c r="J190" s="123">
        <v>0</v>
      </c>
      <c r="K190" s="123"/>
      <c r="L190" s="123"/>
      <c r="M190" s="123"/>
      <c r="N190" s="123"/>
      <c r="O190" s="123"/>
      <c r="P190" s="123"/>
      <c r="Q190" s="123"/>
      <c r="R190" s="123"/>
      <c r="S190" s="123"/>
      <c r="T190" s="123"/>
      <c r="U190" s="123"/>
      <c r="V190" s="123"/>
      <c r="W190" s="123"/>
      <c r="X190" s="123"/>
      <c r="Y190" s="123"/>
      <c r="Z190" s="123"/>
    </row>
    <row r="191" spans="1:26" ht="15">
      <c r="A191" s="137" t="str">
        <f t="shared" si="69"/>
        <v>EQUIPOS</v>
      </c>
      <c r="B191" s="7">
        <v>4</v>
      </c>
      <c r="C191" s="7" t="s">
        <v>626</v>
      </c>
      <c r="D191" s="7">
        <v>5</v>
      </c>
      <c r="E191" s="7" t="s">
        <v>415</v>
      </c>
      <c r="F191" s="7">
        <v>3</v>
      </c>
      <c r="G191" s="7" t="s">
        <v>391</v>
      </c>
      <c r="H191" s="7">
        <v>14</v>
      </c>
      <c r="I191" s="7">
        <v>114</v>
      </c>
      <c r="J191" s="123">
        <v>0</v>
      </c>
      <c r="K191" s="123"/>
      <c r="L191" s="123"/>
      <c r="M191" s="123"/>
      <c r="N191" s="123"/>
      <c r="O191" s="123"/>
      <c r="P191" s="123"/>
      <c r="Q191" s="123"/>
      <c r="R191" s="123"/>
      <c r="S191" s="123"/>
      <c r="T191" s="123"/>
      <c r="U191" s="123"/>
      <c r="V191" s="123"/>
      <c r="W191" s="123"/>
      <c r="X191" s="123"/>
      <c r="Y191" s="123"/>
      <c r="Z191" s="123"/>
    </row>
    <row r="192" spans="1:26" ht="15">
      <c r="A192" s="137" t="str">
        <f t="shared" si="69"/>
        <v>VEHICULOS</v>
      </c>
      <c r="B192" s="7">
        <v>5</v>
      </c>
      <c r="C192" s="7" t="s">
        <v>627</v>
      </c>
      <c r="D192" s="7">
        <v>5</v>
      </c>
      <c r="E192" s="7"/>
      <c r="F192" s="7"/>
      <c r="G192" s="7" t="s">
        <v>392</v>
      </c>
      <c r="H192" s="7">
        <v>21</v>
      </c>
      <c r="I192" s="7">
        <v>121</v>
      </c>
      <c r="J192" s="123">
        <v>0</v>
      </c>
      <c r="K192" s="123"/>
      <c r="L192" s="123"/>
      <c r="M192" s="123"/>
      <c r="N192" s="123"/>
      <c r="O192" s="123"/>
      <c r="P192" s="123"/>
      <c r="Q192" s="123"/>
      <c r="R192" s="123"/>
      <c r="S192" s="123"/>
      <c r="T192" s="123"/>
      <c r="U192" s="123"/>
      <c r="V192" s="123"/>
      <c r="W192" s="123"/>
      <c r="X192" s="123"/>
      <c r="Y192" s="123"/>
      <c r="Z192" s="123"/>
    </row>
    <row r="193" spans="1:26" ht="15">
      <c r="A193" s="137" t="str">
        <f t="shared" si="69"/>
        <v>MUEBLES Y ENSERES</v>
      </c>
      <c r="B193" s="7">
        <v>6</v>
      </c>
      <c r="C193" s="7" t="s">
        <v>628</v>
      </c>
      <c r="D193" s="7">
        <v>10</v>
      </c>
      <c r="E193" s="7"/>
      <c r="F193" s="7"/>
      <c r="G193" s="7" t="s">
        <v>393</v>
      </c>
      <c r="H193" s="7">
        <v>22</v>
      </c>
      <c r="I193" s="7">
        <v>122</v>
      </c>
      <c r="J193" s="123">
        <v>0</v>
      </c>
      <c r="K193" s="123"/>
      <c r="L193" s="123"/>
      <c r="M193" s="123"/>
      <c r="N193" s="123"/>
      <c r="O193" s="123"/>
      <c r="P193" s="123"/>
      <c r="Q193" s="123"/>
      <c r="R193" s="123"/>
      <c r="S193" s="123"/>
      <c r="T193" s="123"/>
      <c r="U193" s="123"/>
      <c r="V193" s="123"/>
      <c r="W193" s="123"/>
      <c r="X193" s="123"/>
      <c r="Y193" s="123"/>
      <c r="Z193" s="123"/>
    </row>
    <row r="194" spans="1:26" ht="15">
      <c r="A194" s="137" t="str">
        <f t="shared" si="69"/>
        <v>HERRAMIENTAS</v>
      </c>
      <c r="B194" s="7">
        <v>7</v>
      </c>
      <c r="C194" s="7" t="s">
        <v>629</v>
      </c>
      <c r="D194" s="7">
        <v>1</v>
      </c>
      <c r="E194" s="7"/>
      <c r="F194" s="7"/>
      <c r="G194" s="7" t="s">
        <v>394</v>
      </c>
      <c r="H194" s="7">
        <v>31</v>
      </c>
      <c r="I194" s="7">
        <v>131</v>
      </c>
      <c r="J194" s="102">
        <v>0</v>
      </c>
      <c r="K194" s="102"/>
      <c r="L194" s="125"/>
      <c r="N194" s="110"/>
      <c r="T194" s="102"/>
      <c r="W194" s="103"/>
    </row>
    <row r="195" spans="1:26" ht="15">
      <c r="A195" s="137" t="str">
        <f t="shared" si="69"/>
        <v>COMPUTAD. PRODUC.</v>
      </c>
      <c r="B195" s="7">
        <v>8</v>
      </c>
      <c r="C195" s="7" t="s">
        <v>630</v>
      </c>
      <c r="D195" s="7">
        <v>3</v>
      </c>
      <c r="E195" s="7"/>
      <c r="F195" s="7"/>
      <c r="G195" s="7" t="s">
        <v>385</v>
      </c>
      <c r="H195" s="7">
        <v>32</v>
      </c>
      <c r="I195" s="7">
        <v>132</v>
      </c>
      <c r="J195" s="102">
        <v>0</v>
      </c>
      <c r="K195" s="102"/>
      <c r="L195" s="125"/>
      <c r="N195" s="110"/>
      <c r="T195" s="102"/>
      <c r="W195" s="103"/>
    </row>
    <row r="196" spans="1:26" ht="15">
      <c r="A196" s="137" t="str">
        <f t="shared" si="69"/>
        <v>COMPUTAD. ADMON.</v>
      </c>
      <c r="B196" s="7">
        <v>9</v>
      </c>
      <c r="C196" s="7" t="s">
        <v>631</v>
      </c>
      <c r="D196" s="7">
        <v>3</v>
      </c>
      <c r="E196" s="7"/>
      <c r="F196" s="7">
        <v>3</v>
      </c>
      <c r="G196" s="7" t="s">
        <v>388</v>
      </c>
      <c r="H196" s="7">
        <v>41</v>
      </c>
      <c r="I196" s="7">
        <v>211</v>
      </c>
      <c r="J196" s="102">
        <v>0</v>
      </c>
      <c r="K196" s="102"/>
      <c r="L196" s="125"/>
      <c r="N196" s="110"/>
      <c r="T196" s="102"/>
      <c r="W196" s="103"/>
    </row>
    <row r="197" spans="1:26" ht="15">
      <c r="A197" s="102" t="s">
        <v>421</v>
      </c>
      <c r="B197" s="7">
        <v>10</v>
      </c>
      <c r="C197" s="7" t="s">
        <v>760</v>
      </c>
      <c r="D197" s="7">
        <v>0</v>
      </c>
      <c r="E197" s="7"/>
      <c r="F197" s="7">
        <v>4</v>
      </c>
      <c r="G197" s="7" t="s">
        <v>418</v>
      </c>
      <c r="H197" s="7">
        <v>42</v>
      </c>
      <c r="I197" s="7">
        <v>212</v>
      </c>
      <c r="J197" s="102">
        <v>0</v>
      </c>
      <c r="K197" s="102"/>
      <c r="L197" s="125"/>
      <c r="N197" s="110"/>
      <c r="T197" s="102"/>
      <c r="W197" s="103"/>
    </row>
    <row r="198" spans="1:26" ht="15">
      <c r="A198" s="102" t="s">
        <v>30</v>
      </c>
      <c r="B198" s="7" t="s">
        <v>31</v>
      </c>
      <c r="C198" s="7" t="s">
        <v>32</v>
      </c>
      <c r="D198" s="7" t="s">
        <v>33</v>
      </c>
      <c r="E198" s="7"/>
      <c r="F198" s="7">
        <v>5</v>
      </c>
      <c r="G198" s="7" t="s">
        <v>390</v>
      </c>
      <c r="H198" s="7">
        <v>51</v>
      </c>
      <c r="I198" s="7">
        <v>213</v>
      </c>
      <c r="J198" s="102">
        <v>0</v>
      </c>
      <c r="K198" s="102"/>
      <c r="L198" s="125"/>
      <c r="N198" s="110"/>
      <c r="T198" s="102"/>
      <c r="W198" s="103"/>
    </row>
    <row r="199" spans="1:26" ht="15">
      <c r="A199" s="102" t="s">
        <v>34</v>
      </c>
      <c r="B199" s="7">
        <f ca="1">+C154+D154+E154+F154</f>
        <v>47350000</v>
      </c>
      <c r="C199" s="7">
        <f ca="1">+G154+H154</f>
        <v>0</v>
      </c>
      <c r="D199" s="7">
        <f ca="1">+I154+J154</f>
        <v>0</v>
      </c>
      <c r="E199" s="7"/>
      <c r="F199" s="7">
        <v>6</v>
      </c>
      <c r="G199" s="7" t="s">
        <v>391</v>
      </c>
      <c r="H199" s="7">
        <v>52</v>
      </c>
      <c r="I199" s="7">
        <v>214</v>
      </c>
      <c r="J199" s="102">
        <v>0</v>
      </c>
      <c r="K199" s="102"/>
      <c r="L199" s="125"/>
      <c r="N199" s="110"/>
      <c r="T199" s="102"/>
      <c r="W199" s="103"/>
    </row>
    <row r="200" spans="1:26" ht="15">
      <c r="A200" s="102" t="s">
        <v>836</v>
      </c>
      <c r="B200" s="7">
        <f>+C180+D180+E180+F180</f>
        <v>70000000</v>
      </c>
      <c r="C200" s="7">
        <f>+G180+H180</f>
        <v>0</v>
      </c>
      <c r="D200" s="7">
        <f>+I180+J180</f>
        <v>0</v>
      </c>
      <c r="E200" s="7"/>
      <c r="F200" s="7">
        <v>7</v>
      </c>
      <c r="G200" s="7" t="s">
        <v>392</v>
      </c>
      <c r="H200" s="7">
        <v>61</v>
      </c>
      <c r="I200" s="7">
        <v>221</v>
      </c>
      <c r="J200" s="102">
        <v>0</v>
      </c>
      <c r="K200" s="102"/>
      <c r="L200" s="125"/>
      <c r="N200" s="110"/>
      <c r="T200" s="102"/>
      <c r="W200" s="103"/>
    </row>
    <row r="201" spans="1:26" ht="15">
      <c r="A201" s="102" t="s">
        <v>395</v>
      </c>
      <c r="B201" s="7">
        <f ca="1">+B199+B200</f>
        <v>117350000</v>
      </c>
      <c r="C201" s="7">
        <f ca="1">+C199+C200</f>
        <v>0</v>
      </c>
      <c r="D201" s="7">
        <f ca="1">+D199+D200</f>
        <v>0</v>
      </c>
      <c r="E201" s="7"/>
      <c r="F201" s="7">
        <v>8</v>
      </c>
      <c r="G201" s="7" t="s">
        <v>393</v>
      </c>
      <c r="H201" s="7">
        <v>62</v>
      </c>
      <c r="I201" s="7">
        <v>222</v>
      </c>
      <c r="J201" s="102">
        <v>0</v>
      </c>
      <c r="K201" s="102"/>
      <c r="L201" s="125"/>
      <c r="N201" s="110"/>
      <c r="T201" s="102"/>
      <c r="W201" s="103"/>
    </row>
    <row r="202" spans="1:26" ht="15">
      <c r="B202" s="7"/>
      <c r="C202" s="7"/>
      <c r="D202" s="7"/>
      <c r="E202" s="7"/>
      <c r="F202" s="7">
        <v>9</v>
      </c>
      <c r="G202" s="7" t="s">
        <v>394</v>
      </c>
      <c r="H202" s="7">
        <v>71</v>
      </c>
      <c r="I202" s="7">
        <v>231</v>
      </c>
      <c r="J202" s="102">
        <v>0</v>
      </c>
      <c r="K202" s="102"/>
      <c r="L202" s="125"/>
      <c r="N202" s="110"/>
      <c r="T202" s="102"/>
      <c r="W202" s="103"/>
    </row>
    <row r="203" spans="1:26" ht="15">
      <c r="B203" s="7"/>
      <c r="C203" s="7"/>
      <c r="D203" s="7"/>
      <c r="E203" s="7"/>
      <c r="F203" s="7">
        <v>10</v>
      </c>
      <c r="G203" s="7" t="s">
        <v>385</v>
      </c>
      <c r="H203" s="7">
        <v>72</v>
      </c>
      <c r="I203" s="7">
        <v>232</v>
      </c>
      <c r="J203" s="102">
        <v>0</v>
      </c>
      <c r="K203" s="102"/>
      <c r="L203" s="125"/>
      <c r="N203" s="110"/>
      <c r="T203" s="102"/>
      <c r="W203" s="103"/>
    </row>
    <row r="204" spans="1:26" ht="18">
      <c r="B204" s="138"/>
      <c r="C204" s="138"/>
      <c r="D204" s="138"/>
      <c r="E204" s="138"/>
      <c r="F204" s="7">
        <v>11</v>
      </c>
      <c r="G204" s="7" t="s">
        <v>49</v>
      </c>
      <c r="H204" s="7">
        <v>11</v>
      </c>
      <c r="I204" s="7">
        <v>311</v>
      </c>
      <c r="J204" s="102">
        <v>0</v>
      </c>
      <c r="K204" s="102"/>
      <c r="L204" s="125"/>
      <c r="N204" s="110"/>
      <c r="T204" s="102"/>
      <c r="W204" s="103"/>
    </row>
    <row r="205" spans="1:26" ht="15">
      <c r="B205" s="17"/>
      <c r="C205" s="17"/>
      <c r="D205" s="17"/>
      <c r="E205" s="17"/>
      <c r="F205" s="17"/>
      <c r="G205" s="7"/>
      <c r="H205" s="7">
        <v>12</v>
      </c>
      <c r="I205" s="7">
        <v>312</v>
      </c>
      <c r="J205" s="102">
        <v>0</v>
      </c>
      <c r="K205" s="102"/>
      <c r="L205" s="125"/>
      <c r="N205" s="110"/>
      <c r="T205" s="102"/>
      <c r="W205" s="103"/>
    </row>
    <row r="206" spans="1:26" ht="15">
      <c r="B206" s="17"/>
      <c r="C206" s="17"/>
      <c r="D206" s="17"/>
      <c r="E206" s="17"/>
      <c r="F206" s="17"/>
      <c r="G206" s="17"/>
      <c r="H206" s="7">
        <v>13</v>
      </c>
      <c r="I206" s="7">
        <v>313</v>
      </c>
      <c r="J206" s="102">
        <v>0</v>
      </c>
      <c r="K206" s="102"/>
      <c r="L206" s="125"/>
      <c r="N206" s="110"/>
      <c r="T206" s="102"/>
      <c r="W206" s="103"/>
    </row>
    <row r="207" spans="1:26" ht="15.75">
      <c r="B207" s="765"/>
      <c r="C207" s="766"/>
      <c r="D207" s="139"/>
      <c r="E207" s="139"/>
      <c r="F207" s="98"/>
      <c r="G207" s="99"/>
      <c r="H207" s="7">
        <v>14</v>
      </c>
      <c r="I207" s="7">
        <v>314</v>
      </c>
      <c r="J207" s="102">
        <v>0</v>
      </c>
      <c r="K207" s="102"/>
      <c r="L207" s="125"/>
      <c r="N207" s="110"/>
      <c r="T207" s="102"/>
      <c r="W207" s="103"/>
    </row>
    <row r="208" spans="1:26" ht="15.75">
      <c r="B208" s="765"/>
      <c r="C208" s="766"/>
      <c r="D208" s="139"/>
      <c r="E208" s="139"/>
      <c r="F208" s="98"/>
      <c r="G208" s="99"/>
      <c r="H208" s="7">
        <v>21</v>
      </c>
      <c r="I208" s="7">
        <v>321</v>
      </c>
      <c r="J208" s="102">
        <v>0</v>
      </c>
      <c r="K208" s="102"/>
      <c r="L208" s="125"/>
      <c r="N208" s="110"/>
      <c r="T208" s="102"/>
      <c r="W208" s="103"/>
    </row>
    <row r="209" spans="2:23" ht="15.75">
      <c r="B209" s="765"/>
      <c r="C209" s="766"/>
      <c r="D209" s="139"/>
      <c r="E209" s="139"/>
      <c r="F209" s="98"/>
      <c r="G209" s="99"/>
      <c r="H209" s="7">
        <v>22</v>
      </c>
      <c r="I209" s="7">
        <v>322</v>
      </c>
      <c r="J209" s="102">
        <v>0</v>
      </c>
      <c r="K209" s="102"/>
      <c r="L209" s="125"/>
      <c r="N209" s="110"/>
      <c r="T209" s="102"/>
      <c r="W209" s="103"/>
    </row>
    <row r="210" spans="2:23" ht="15.75">
      <c r="B210" s="9"/>
      <c r="C210" s="9"/>
      <c r="D210" s="9"/>
      <c r="E210" s="9"/>
      <c r="F210" s="104"/>
      <c r="G210" s="104"/>
      <c r="H210" s="9"/>
      <c r="I210" s="7">
        <v>331</v>
      </c>
      <c r="J210" s="102">
        <v>0</v>
      </c>
      <c r="K210" s="102"/>
      <c r="L210" s="125"/>
      <c r="N210" s="110"/>
      <c r="T210" s="102"/>
      <c r="W210" s="103"/>
    </row>
    <row r="211" spans="2:23" ht="15.75">
      <c r="B211" s="9"/>
      <c r="C211" s="9"/>
      <c r="D211" s="9"/>
      <c r="E211" s="9"/>
      <c r="F211" s="104"/>
      <c r="G211" s="104"/>
      <c r="H211" s="9"/>
      <c r="I211" s="7">
        <v>332</v>
      </c>
      <c r="J211" s="102">
        <v>0</v>
      </c>
      <c r="K211" s="102"/>
      <c r="L211" s="125"/>
      <c r="N211" s="110"/>
      <c r="T211" s="102"/>
      <c r="W211" s="103"/>
    </row>
    <row r="212" spans="2:23">
      <c r="F212" s="102"/>
      <c r="I212" s="124"/>
      <c r="K212" s="102"/>
      <c r="L212" s="125"/>
      <c r="N212" s="110"/>
      <c r="T212" s="102"/>
      <c r="W212" s="103"/>
    </row>
    <row r="213" spans="2:23">
      <c r="F213" s="102"/>
      <c r="I213" s="124"/>
      <c r="K213" s="102"/>
      <c r="L213" s="125"/>
      <c r="N213" s="110"/>
      <c r="T213" s="102"/>
      <c r="W213" s="103"/>
    </row>
    <row r="214" spans="2:23">
      <c r="F214" s="102"/>
      <c r="I214" s="124"/>
      <c r="K214" s="102"/>
      <c r="L214" s="125"/>
      <c r="N214" s="110"/>
      <c r="T214" s="102"/>
      <c r="W214" s="103"/>
    </row>
    <row r="215" spans="2:23">
      <c r="F215" s="102"/>
      <c r="I215" s="124"/>
      <c r="K215" s="102"/>
      <c r="L215" s="125"/>
      <c r="N215" s="110"/>
      <c r="T215" s="102"/>
      <c r="W215" s="103"/>
    </row>
    <row r="216" spans="2:23">
      <c r="F216" s="102"/>
      <c r="I216" s="124"/>
      <c r="K216" s="102"/>
      <c r="L216" s="125"/>
      <c r="N216" s="110"/>
      <c r="T216" s="102"/>
      <c r="W216" s="103"/>
    </row>
    <row r="217" spans="2:23">
      <c r="F217" s="102"/>
      <c r="I217" s="124"/>
      <c r="K217" s="102"/>
      <c r="L217" s="125"/>
      <c r="N217" s="110"/>
      <c r="T217" s="102"/>
      <c r="W217" s="103"/>
    </row>
    <row r="218" spans="2:23">
      <c r="F218" s="102"/>
      <c r="I218" s="124"/>
      <c r="K218" s="102"/>
      <c r="L218" s="125"/>
      <c r="N218" s="110"/>
      <c r="T218" s="102"/>
      <c r="W218" s="103"/>
    </row>
    <row r="219" spans="2:23">
      <c r="F219" s="102"/>
      <c r="I219" s="124"/>
      <c r="K219" s="102"/>
      <c r="L219" s="125"/>
      <c r="N219" s="110"/>
      <c r="T219" s="102"/>
      <c r="W219" s="103"/>
    </row>
    <row r="220" spans="2:23">
      <c r="F220" s="102"/>
      <c r="I220" s="124"/>
      <c r="K220" s="102"/>
      <c r="L220" s="125"/>
      <c r="N220" s="110"/>
      <c r="T220" s="102"/>
      <c r="W220" s="103"/>
    </row>
    <row r="420" spans="5:5">
      <c r="E420" s="102">
        <v>1</v>
      </c>
    </row>
  </sheetData>
  <phoneticPr fontId="62" type="noConversion"/>
  <dataValidations disablePrompts="1" xWindow="691" yWindow="166" count="3">
    <dataValidation allowBlank="1" showInputMessage="1" showErrorMessage="1" prompt="Q = CANTIDAD_x000a_" sqref="B1"/>
    <dataValidation type="decimal" allowBlank="1" showInputMessage="1" showErrorMessage="1" errorTitle="NO valido" sqref="A35:B35 J35:K35">
      <formula1>0.0001</formula1>
      <formula2>0.0002</formula2>
    </dataValidation>
    <dataValidation allowBlank="1" showInputMessage="1" showErrorMessage="1" sqref="F12:F41"/>
  </dataValidations>
  <pageMargins left="0.75" right="0.75" top="1" bottom="1" header="0" footer="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Z538"/>
  <sheetViews>
    <sheetView topLeftCell="A166" workbookViewId="0">
      <selection activeCell="A516" sqref="A516"/>
    </sheetView>
  </sheetViews>
  <sheetFormatPr baseColWidth="10" defaultColWidth="11" defaultRowHeight="12.2" customHeight="1"/>
  <cols>
    <col min="1" max="1" width="19" style="500" customWidth="1"/>
    <col min="2" max="2" width="17.140625" style="500" customWidth="1"/>
    <col min="3" max="4" width="17" style="500" bestFit="1" customWidth="1"/>
    <col min="5" max="5" width="19.28515625" style="500" bestFit="1" customWidth="1"/>
    <col min="6" max="13" width="17" style="500" bestFit="1" customWidth="1"/>
    <col min="14" max="14" width="18" style="500" customWidth="1"/>
    <col min="15" max="15" width="22.28515625" style="500" customWidth="1"/>
    <col min="16" max="18" width="20.42578125" style="500" bestFit="1" customWidth="1"/>
    <col min="19" max="16384" width="11" style="500"/>
  </cols>
  <sheetData>
    <row r="1" spans="1:13" ht="12.2" customHeight="1">
      <c r="A1" s="499"/>
    </row>
    <row r="2" spans="1:13" ht="12.2" customHeight="1">
      <c r="A2" s="499" t="s">
        <v>267</v>
      </c>
    </row>
    <row r="4" spans="1:13" ht="12.2" customHeight="1">
      <c r="A4" s="499" t="s">
        <v>45</v>
      </c>
      <c r="B4" s="501" t="str">
        <f>+'datos de entrada'!B4</f>
        <v>TUBE TEES</v>
      </c>
    </row>
    <row r="7" spans="1:13" ht="12.2" customHeight="1">
      <c r="A7" s="499" t="s">
        <v>233</v>
      </c>
      <c r="D7" s="502">
        <f>+'datos de entrada'!C410</f>
        <v>0.03</v>
      </c>
    </row>
    <row r="9" spans="1:13" ht="12.2" customHeight="1">
      <c r="A9" s="499" t="s">
        <v>234</v>
      </c>
    </row>
    <row r="11" spans="1:13" ht="12.2" customHeight="1">
      <c r="A11" s="499" t="s">
        <v>235</v>
      </c>
    </row>
    <row r="12" spans="1:13" ht="12.2" customHeight="1">
      <c r="A12" s="503" t="s">
        <v>605</v>
      </c>
      <c r="B12" s="503" t="s">
        <v>605</v>
      </c>
      <c r="C12" s="503" t="s">
        <v>605</v>
      </c>
      <c r="D12" s="503" t="s">
        <v>605</v>
      </c>
      <c r="E12" s="503" t="s">
        <v>605</v>
      </c>
      <c r="F12" s="503" t="s">
        <v>605</v>
      </c>
      <c r="G12" s="503" t="s">
        <v>605</v>
      </c>
      <c r="H12" s="503" t="s">
        <v>605</v>
      </c>
      <c r="I12" s="503" t="s">
        <v>605</v>
      </c>
      <c r="J12" s="503" t="s">
        <v>605</v>
      </c>
      <c r="K12" s="503" t="s">
        <v>605</v>
      </c>
      <c r="L12" s="503" t="s">
        <v>605</v>
      </c>
      <c r="M12" s="503" t="s">
        <v>605</v>
      </c>
    </row>
    <row r="13" spans="1:13" ht="12.2" customHeight="1">
      <c r="A13" s="504" t="s">
        <v>575</v>
      </c>
      <c r="B13" s="504" t="s">
        <v>606</v>
      </c>
      <c r="C13" s="504" t="s">
        <v>607</v>
      </c>
      <c r="D13" s="504" t="s">
        <v>608</v>
      </c>
      <c r="E13" s="504" t="s">
        <v>609</v>
      </c>
      <c r="F13" s="504" t="s">
        <v>610</v>
      </c>
      <c r="G13" s="504" t="s">
        <v>611</v>
      </c>
      <c r="H13" s="504" t="s">
        <v>612</v>
      </c>
      <c r="I13" s="504" t="s">
        <v>613</v>
      </c>
      <c r="J13" s="504" t="s">
        <v>614</v>
      </c>
      <c r="K13" s="504" t="s">
        <v>615</v>
      </c>
      <c r="L13" s="504" t="s">
        <v>616</v>
      </c>
      <c r="M13" s="504" t="s">
        <v>617</v>
      </c>
    </row>
    <row r="14" spans="1:13" ht="12.2" customHeight="1">
      <c r="A14" s="503" t="s">
        <v>605</v>
      </c>
      <c r="B14" s="503" t="s">
        <v>605</v>
      </c>
      <c r="C14" s="503" t="s">
        <v>605</v>
      </c>
      <c r="D14" s="503" t="s">
        <v>605</v>
      </c>
      <c r="E14" s="503" t="s">
        <v>605</v>
      </c>
      <c r="F14" s="503" t="s">
        <v>605</v>
      </c>
      <c r="G14" s="503" t="s">
        <v>605</v>
      </c>
      <c r="H14" s="503" t="s">
        <v>605</v>
      </c>
      <c r="I14" s="503" t="s">
        <v>605</v>
      </c>
      <c r="J14" s="503" t="s">
        <v>605</v>
      </c>
      <c r="K14" s="503" t="s">
        <v>605</v>
      </c>
      <c r="L14" s="503" t="s">
        <v>605</v>
      </c>
      <c r="M14" s="503" t="s">
        <v>605</v>
      </c>
    </row>
    <row r="15" spans="1:13" ht="12.2" customHeight="1">
      <c r="A15" s="501" t="str">
        <f>+'datos de entrada'!A81</f>
        <v>CAMISETAS</v>
      </c>
      <c r="B15" s="501">
        <f>+'datos de entrada'!P81</f>
        <v>810</v>
      </c>
      <c r="C15" s="501">
        <f>+'datos de entrada'!Q81</f>
        <v>945</v>
      </c>
      <c r="D15" s="501">
        <f>+'datos de entrada'!R81</f>
        <v>945</v>
      </c>
      <c r="E15" s="501">
        <f>+'datos de entrada'!S81</f>
        <v>945</v>
      </c>
      <c r="F15" s="501">
        <f>+'datos de entrada'!T81</f>
        <v>1350</v>
      </c>
      <c r="G15" s="501">
        <f>+'datos de entrada'!U81</f>
        <v>1215</v>
      </c>
      <c r="H15" s="501">
        <f>+'datos de entrada'!V81</f>
        <v>1080</v>
      </c>
      <c r="I15" s="501">
        <f>+'datos de entrada'!W81</f>
        <v>1080</v>
      </c>
      <c r="J15" s="501">
        <f>+'datos de entrada'!X81</f>
        <v>1080</v>
      </c>
      <c r="K15" s="501">
        <f>+'datos de entrada'!Y81</f>
        <v>1350</v>
      </c>
      <c r="L15" s="501">
        <f>+'datos de entrada'!Z81</f>
        <v>1890</v>
      </c>
      <c r="M15" s="501">
        <f>+'datos de entrada'!AA81</f>
        <v>810</v>
      </c>
    </row>
    <row r="16" spans="1:13" ht="12.2" customHeight="1">
      <c r="A16" s="501" t="str">
        <f>+'datos de entrada'!A82</f>
        <v/>
      </c>
      <c r="B16" s="501">
        <f>+'datos de entrada'!P82</f>
        <v>0</v>
      </c>
      <c r="C16" s="501">
        <f>+'datos de entrada'!Q82</f>
        <v>0</v>
      </c>
      <c r="D16" s="501">
        <f>+'datos de entrada'!R82</f>
        <v>0</v>
      </c>
      <c r="E16" s="501">
        <f>+'datos de entrada'!S82</f>
        <v>0</v>
      </c>
      <c r="F16" s="501">
        <f>+'datos de entrada'!T82</f>
        <v>0</v>
      </c>
      <c r="G16" s="501">
        <f>+'datos de entrada'!U82</f>
        <v>0</v>
      </c>
      <c r="H16" s="501">
        <f>+'datos de entrada'!V82</f>
        <v>0</v>
      </c>
      <c r="I16" s="501">
        <f>+'datos de entrada'!W82</f>
        <v>0</v>
      </c>
      <c r="J16" s="501">
        <f>+'datos de entrada'!X82</f>
        <v>0</v>
      </c>
      <c r="K16" s="501">
        <f>+'datos de entrada'!Y82</f>
        <v>0</v>
      </c>
      <c r="L16" s="501">
        <f>+'datos de entrada'!Z82</f>
        <v>0</v>
      </c>
      <c r="M16" s="501">
        <f>+'datos de entrada'!AA82</f>
        <v>0</v>
      </c>
    </row>
    <row r="17" spans="1:13" ht="12.2" customHeight="1">
      <c r="A17" s="501" t="str">
        <f>+'datos de entrada'!A83</f>
        <v/>
      </c>
      <c r="B17" s="501">
        <f>+'datos de entrada'!P83</f>
        <v>0</v>
      </c>
      <c r="C17" s="501">
        <f>+'datos de entrada'!Q83</f>
        <v>0</v>
      </c>
      <c r="D17" s="501">
        <f>+'datos de entrada'!R83</f>
        <v>0</v>
      </c>
      <c r="E17" s="501">
        <f>+'datos de entrada'!S83</f>
        <v>0</v>
      </c>
      <c r="F17" s="501">
        <f>+'datos de entrada'!T83</f>
        <v>0</v>
      </c>
      <c r="G17" s="501">
        <f>+'datos de entrada'!U83</f>
        <v>0</v>
      </c>
      <c r="H17" s="501">
        <f>+'datos de entrada'!V83</f>
        <v>0</v>
      </c>
      <c r="I17" s="501">
        <f>+'datos de entrada'!W83</f>
        <v>0</v>
      </c>
      <c r="J17" s="501">
        <f>+'datos de entrada'!X83</f>
        <v>0</v>
      </c>
      <c r="K17" s="501">
        <f>+'datos de entrada'!Y83</f>
        <v>0</v>
      </c>
      <c r="L17" s="501">
        <f>+'datos de entrada'!Z83</f>
        <v>0</v>
      </c>
      <c r="M17" s="501">
        <f>+'datos de entrada'!AA83</f>
        <v>0</v>
      </c>
    </row>
    <row r="18" spans="1:13" ht="12.2" customHeight="1">
      <c r="A18" s="501" t="str">
        <f>+'datos de entrada'!A84</f>
        <v/>
      </c>
      <c r="B18" s="501">
        <f>+'datos de entrada'!P84</f>
        <v>0</v>
      </c>
      <c r="C18" s="501">
        <f>+'datos de entrada'!Q84</f>
        <v>0</v>
      </c>
      <c r="D18" s="501">
        <f>+'datos de entrada'!R84</f>
        <v>0</v>
      </c>
      <c r="E18" s="501">
        <f>+'datos de entrada'!S84</f>
        <v>0</v>
      </c>
      <c r="F18" s="501">
        <f>+'datos de entrada'!T84</f>
        <v>0</v>
      </c>
      <c r="G18" s="501">
        <f>+'datos de entrada'!U84</f>
        <v>0</v>
      </c>
      <c r="H18" s="501">
        <f>+'datos de entrada'!V84</f>
        <v>0</v>
      </c>
      <c r="I18" s="501">
        <f>+'datos de entrada'!W84</f>
        <v>0</v>
      </c>
      <c r="J18" s="501">
        <f>+'datos de entrada'!X84</f>
        <v>0</v>
      </c>
      <c r="K18" s="501">
        <f>+'datos de entrada'!Y84</f>
        <v>0</v>
      </c>
      <c r="L18" s="501">
        <f>+'datos de entrada'!Z84</f>
        <v>0</v>
      </c>
      <c r="M18" s="501">
        <f>+'datos de entrada'!AA84</f>
        <v>0</v>
      </c>
    </row>
    <row r="19" spans="1:13" ht="12.2" customHeight="1">
      <c r="A19" s="501" t="str">
        <f>+'datos de entrada'!A85</f>
        <v/>
      </c>
      <c r="B19" s="501">
        <f>+'datos de entrada'!P85</f>
        <v>0</v>
      </c>
      <c r="C19" s="501">
        <f>+'datos de entrada'!Q85</f>
        <v>0</v>
      </c>
      <c r="D19" s="501">
        <f>+'datos de entrada'!R85</f>
        <v>0</v>
      </c>
      <c r="E19" s="501">
        <f>+'datos de entrada'!S85</f>
        <v>0</v>
      </c>
      <c r="F19" s="501">
        <f>+'datos de entrada'!T85</f>
        <v>0</v>
      </c>
      <c r="G19" s="501">
        <f>+'datos de entrada'!U85</f>
        <v>0</v>
      </c>
      <c r="H19" s="501">
        <f>+'datos de entrada'!V85</f>
        <v>0</v>
      </c>
      <c r="I19" s="501">
        <f>+'datos de entrada'!W85</f>
        <v>0</v>
      </c>
      <c r="J19" s="501">
        <f>+'datos de entrada'!X85</f>
        <v>0</v>
      </c>
      <c r="K19" s="501">
        <f>+'datos de entrada'!Y85</f>
        <v>0</v>
      </c>
      <c r="L19" s="501">
        <f>+'datos de entrada'!Z85</f>
        <v>0</v>
      </c>
      <c r="M19" s="501">
        <f>+'datos de entrada'!AA85</f>
        <v>0</v>
      </c>
    </row>
    <row r="20" spans="1:13" ht="12.2" customHeight="1">
      <c r="A20" s="501" t="str">
        <f>+'datos de entrada'!A86</f>
        <v/>
      </c>
      <c r="B20" s="501">
        <f>+'datos de entrada'!P86</f>
        <v>0</v>
      </c>
      <c r="C20" s="501">
        <f>+'datos de entrada'!Q86</f>
        <v>0</v>
      </c>
      <c r="D20" s="501">
        <f>+'datos de entrada'!R86</f>
        <v>0</v>
      </c>
      <c r="E20" s="501">
        <f>+'datos de entrada'!S86</f>
        <v>0</v>
      </c>
      <c r="F20" s="501">
        <f>+'datos de entrada'!T86</f>
        <v>0</v>
      </c>
      <c r="G20" s="501">
        <f>+'datos de entrada'!U86</f>
        <v>0</v>
      </c>
      <c r="H20" s="501">
        <f>+'datos de entrada'!V86</f>
        <v>0</v>
      </c>
      <c r="I20" s="501">
        <f>+'datos de entrada'!W86</f>
        <v>0</v>
      </c>
      <c r="J20" s="501">
        <f>+'datos de entrada'!X86</f>
        <v>0</v>
      </c>
      <c r="K20" s="501">
        <f>+'datos de entrada'!Y86</f>
        <v>0</v>
      </c>
      <c r="L20" s="501">
        <f>+'datos de entrada'!Z86</f>
        <v>0</v>
      </c>
      <c r="M20" s="501">
        <f>+'datos de entrada'!AA86</f>
        <v>0</v>
      </c>
    </row>
    <row r="21" spans="1:13" ht="12.2" customHeight="1">
      <c r="A21" s="501" t="str">
        <f>+'datos de entrada'!A87</f>
        <v/>
      </c>
      <c r="B21" s="501">
        <f>+'datos de entrada'!P87</f>
        <v>0</v>
      </c>
      <c r="C21" s="501">
        <f>+'datos de entrada'!Q87</f>
        <v>0</v>
      </c>
      <c r="D21" s="501">
        <f>+'datos de entrada'!R87</f>
        <v>0</v>
      </c>
      <c r="E21" s="501">
        <f>+'datos de entrada'!S87</f>
        <v>0</v>
      </c>
      <c r="F21" s="501">
        <f>+'datos de entrada'!T87</f>
        <v>0</v>
      </c>
      <c r="G21" s="501">
        <f>+'datos de entrada'!U87</f>
        <v>0</v>
      </c>
      <c r="H21" s="501">
        <f>+'datos de entrada'!V87</f>
        <v>0</v>
      </c>
      <c r="I21" s="501">
        <f>+'datos de entrada'!W87</f>
        <v>0</v>
      </c>
      <c r="J21" s="501">
        <f>+'datos de entrada'!X87</f>
        <v>0</v>
      </c>
      <c r="K21" s="501">
        <f>+'datos de entrada'!Y87</f>
        <v>0</v>
      </c>
      <c r="L21" s="501">
        <f>+'datos de entrada'!Z87</f>
        <v>0</v>
      </c>
      <c r="M21" s="501">
        <f>+'datos de entrada'!AA87</f>
        <v>0</v>
      </c>
    </row>
    <row r="22" spans="1:13" ht="12.2" customHeight="1">
      <c r="A22" s="501" t="str">
        <f>+'datos de entrada'!A88</f>
        <v/>
      </c>
      <c r="B22" s="501">
        <f>+'datos de entrada'!P88</f>
        <v>0</v>
      </c>
      <c r="C22" s="501">
        <f>+'datos de entrada'!Q88</f>
        <v>0</v>
      </c>
      <c r="D22" s="501">
        <f>+'datos de entrada'!R88</f>
        <v>0</v>
      </c>
      <c r="E22" s="501">
        <f>+'datos de entrada'!S88</f>
        <v>0</v>
      </c>
      <c r="F22" s="501">
        <f>+'datos de entrada'!T88</f>
        <v>0</v>
      </c>
      <c r="G22" s="501">
        <f>+'datos de entrada'!U88</f>
        <v>0</v>
      </c>
      <c r="H22" s="501">
        <f>+'datos de entrada'!V88</f>
        <v>0</v>
      </c>
      <c r="I22" s="501">
        <f>+'datos de entrada'!W88</f>
        <v>0</v>
      </c>
      <c r="J22" s="501">
        <f>+'datos de entrada'!X88</f>
        <v>0</v>
      </c>
      <c r="K22" s="501">
        <f>+'datos de entrada'!Y88</f>
        <v>0</v>
      </c>
      <c r="L22" s="501">
        <f>+'datos de entrada'!Z88</f>
        <v>0</v>
      </c>
      <c r="M22" s="501">
        <f>+'datos de entrada'!AA88</f>
        <v>0</v>
      </c>
    </row>
    <row r="23" spans="1:13" ht="12.2" customHeight="1">
      <c r="A23" s="501" t="str">
        <f>+'datos de entrada'!A89</f>
        <v/>
      </c>
      <c r="B23" s="501">
        <f>+'datos de entrada'!P89</f>
        <v>0</v>
      </c>
      <c r="C23" s="501">
        <f>+'datos de entrada'!Q89</f>
        <v>0</v>
      </c>
      <c r="D23" s="501">
        <f>+'datos de entrada'!R89</f>
        <v>0</v>
      </c>
      <c r="E23" s="501">
        <f>+'datos de entrada'!S89</f>
        <v>0</v>
      </c>
      <c r="F23" s="501">
        <f>+'datos de entrada'!T89</f>
        <v>0</v>
      </c>
      <c r="G23" s="501">
        <f>+'datos de entrada'!U89</f>
        <v>0</v>
      </c>
      <c r="H23" s="501">
        <f>+'datos de entrada'!V89</f>
        <v>0</v>
      </c>
      <c r="I23" s="501">
        <f>+'datos de entrada'!W89</f>
        <v>0</v>
      </c>
      <c r="J23" s="501">
        <f>+'datos de entrada'!X89</f>
        <v>0</v>
      </c>
      <c r="K23" s="501">
        <f>+'datos de entrada'!Y89</f>
        <v>0</v>
      </c>
      <c r="L23" s="501">
        <f>+'datos de entrada'!Z89</f>
        <v>0</v>
      </c>
      <c r="M23" s="501">
        <f>+'datos de entrada'!AA89</f>
        <v>0</v>
      </c>
    </row>
    <row r="24" spans="1:13" ht="12.2" customHeight="1">
      <c r="A24" s="501" t="str">
        <f>+'datos de entrada'!A90</f>
        <v/>
      </c>
      <c r="B24" s="501">
        <f>+'datos de entrada'!P90</f>
        <v>0</v>
      </c>
      <c r="C24" s="501">
        <f>+'datos de entrada'!Q90</f>
        <v>0</v>
      </c>
      <c r="D24" s="501">
        <f>+'datos de entrada'!R90</f>
        <v>0</v>
      </c>
      <c r="E24" s="501">
        <f>+'datos de entrada'!S90</f>
        <v>0</v>
      </c>
      <c r="F24" s="501">
        <f>+'datos de entrada'!T90</f>
        <v>0</v>
      </c>
      <c r="G24" s="501">
        <f>+'datos de entrada'!U90</f>
        <v>0</v>
      </c>
      <c r="H24" s="501">
        <f>+'datos de entrada'!V90</f>
        <v>0</v>
      </c>
      <c r="I24" s="501">
        <f>+'datos de entrada'!W90</f>
        <v>0</v>
      </c>
      <c r="J24" s="501">
        <f>+'datos de entrada'!X90</f>
        <v>0</v>
      </c>
      <c r="K24" s="501">
        <f>+'datos de entrada'!Y90</f>
        <v>0</v>
      </c>
      <c r="L24" s="501">
        <f>+'datos de entrada'!Z90</f>
        <v>0</v>
      </c>
      <c r="M24" s="501">
        <f>+'datos de entrada'!AA90</f>
        <v>0</v>
      </c>
    </row>
    <row r="25" spans="1:13" ht="12.2" customHeight="1">
      <c r="A25" s="501" t="str">
        <f>+'datos de entrada'!A91</f>
        <v/>
      </c>
      <c r="B25" s="501">
        <f>+'datos de entrada'!P91</f>
        <v>0</v>
      </c>
      <c r="C25" s="501">
        <f>+'datos de entrada'!Q91</f>
        <v>0</v>
      </c>
      <c r="D25" s="501">
        <f>+'datos de entrada'!R91</f>
        <v>0</v>
      </c>
      <c r="E25" s="501">
        <f>+'datos de entrada'!S91</f>
        <v>0</v>
      </c>
      <c r="F25" s="501">
        <f>+'datos de entrada'!T91</f>
        <v>0</v>
      </c>
      <c r="G25" s="501">
        <f>+'datos de entrada'!U91</f>
        <v>0</v>
      </c>
      <c r="H25" s="501">
        <f>+'datos de entrada'!V91</f>
        <v>0</v>
      </c>
      <c r="I25" s="501">
        <f>+'datos de entrada'!W91</f>
        <v>0</v>
      </c>
      <c r="J25" s="501">
        <f>+'datos de entrada'!X91</f>
        <v>0</v>
      </c>
      <c r="K25" s="501">
        <f>+'datos de entrada'!Y91</f>
        <v>0</v>
      </c>
      <c r="L25" s="501">
        <f>+'datos de entrada'!Z91</f>
        <v>0</v>
      </c>
      <c r="M25" s="501">
        <f>+'datos de entrada'!AA91</f>
        <v>0</v>
      </c>
    </row>
    <row r="26" spans="1:13" ht="12.2" customHeight="1">
      <c r="A26" s="501" t="str">
        <f>+'datos de entrada'!A92</f>
        <v/>
      </c>
      <c r="B26" s="501">
        <f>+'datos de entrada'!P92</f>
        <v>0</v>
      </c>
      <c r="C26" s="501">
        <f>+'datos de entrada'!Q92</f>
        <v>0</v>
      </c>
      <c r="D26" s="501">
        <f>+'datos de entrada'!R92</f>
        <v>0</v>
      </c>
      <c r="E26" s="501">
        <f>+'datos de entrada'!S92</f>
        <v>0</v>
      </c>
      <c r="F26" s="501">
        <f>+'datos de entrada'!T92</f>
        <v>0</v>
      </c>
      <c r="G26" s="501">
        <f>+'datos de entrada'!U92</f>
        <v>0</v>
      </c>
      <c r="H26" s="501">
        <f>+'datos de entrada'!V92</f>
        <v>0</v>
      </c>
      <c r="I26" s="501">
        <f>+'datos de entrada'!W92</f>
        <v>0</v>
      </c>
      <c r="J26" s="501">
        <f>+'datos de entrada'!X92</f>
        <v>0</v>
      </c>
      <c r="K26" s="501">
        <f>+'datos de entrada'!Y92</f>
        <v>0</v>
      </c>
      <c r="L26" s="501">
        <f>+'datos de entrada'!Z92</f>
        <v>0</v>
      </c>
      <c r="M26" s="501">
        <f>+'datos de entrada'!AA92</f>
        <v>0</v>
      </c>
    </row>
    <row r="27" spans="1:13" ht="12.2" customHeight="1">
      <c r="A27" s="503" t="s">
        <v>605</v>
      </c>
      <c r="B27" s="503" t="s">
        <v>605</v>
      </c>
      <c r="C27" s="503" t="s">
        <v>605</v>
      </c>
      <c r="D27" s="503" t="s">
        <v>605</v>
      </c>
      <c r="E27" s="503" t="s">
        <v>605</v>
      </c>
      <c r="F27" s="503" t="s">
        <v>605</v>
      </c>
      <c r="G27" s="503" t="s">
        <v>605</v>
      </c>
      <c r="H27" s="503" t="s">
        <v>605</v>
      </c>
      <c r="I27" s="503" t="s">
        <v>605</v>
      </c>
      <c r="J27" s="503" t="s">
        <v>605</v>
      </c>
      <c r="K27" s="503" t="s">
        <v>605</v>
      </c>
      <c r="L27" s="503" t="s">
        <v>605</v>
      </c>
      <c r="M27" s="503" t="s">
        <v>605</v>
      </c>
    </row>
    <row r="29" spans="1:13" ht="12.2" customHeight="1">
      <c r="A29" s="499" t="s">
        <v>235</v>
      </c>
    </row>
    <row r="30" spans="1:13" ht="12.2" customHeight="1">
      <c r="A30" s="503" t="s">
        <v>605</v>
      </c>
      <c r="B30" s="503" t="s">
        <v>605</v>
      </c>
      <c r="C30" s="503" t="s">
        <v>605</v>
      </c>
      <c r="D30" s="503" t="s">
        <v>605</v>
      </c>
      <c r="E30" s="503" t="s">
        <v>605</v>
      </c>
      <c r="F30" s="503" t="s">
        <v>605</v>
      </c>
    </row>
    <row r="31" spans="1:13" ht="12.2" customHeight="1">
      <c r="A31" s="504" t="s">
        <v>575</v>
      </c>
      <c r="B31" s="499" t="s">
        <v>692</v>
      </c>
      <c r="C31" s="499" t="s">
        <v>693</v>
      </c>
      <c r="D31" s="499" t="s">
        <v>694</v>
      </c>
      <c r="E31" s="499"/>
      <c r="F31" s="499"/>
    </row>
    <row r="32" spans="1:13" ht="12.2" customHeight="1">
      <c r="A32" s="503" t="s">
        <v>605</v>
      </c>
      <c r="B32" s="503" t="s">
        <v>605</v>
      </c>
      <c r="C32" s="503" t="s">
        <v>605</v>
      </c>
      <c r="D32" s="503" t="s">
        <v>605</v>
      </c>
      <c r="E32" s="503"/>
      <c r="F32" s="503"/>
    </row>
    <row r="33" spans="1:14" ht="12.2" customHeight="1">
      <c r="A33" s="501" t="str">
        <f t="shared" ref="A33:A44" si="0">A15</f>
        <v>CAMISETAS</v>
      </c>
      <c r="B33" s="501">
        <f>SUM('datos de entrada'!P81:AA81)</f>
        <v>13500</v>
      </c>
      <c r="C33" s="501">
        <f>+B33+'datos de entrada'!B99</f>
        <v>14893</v>
      </c>
      <c r="D33" s="501">
        <f>+C33+'datos de entrada'!C99</f>
        <v>16913</v>
      </c>
      <c r="E33" s="501"/>
      <c r="F33" s="501"/>
    </row>
    <row r="34" spans="1:14" ht="12.2" customHeight="1">
      <c r="A34" s="501" t="str">
        <f t="shared" si="0"/>
        <v/>
      </c>
      <c r="B34" s="501">
        <f>SUM('datos de entrada'!P82:AA82)</f>
        <v>0</v>
      </c>
      <c r="C34" s="501">
        <f>+B34+'datos de entrada'!B100</f>
        <v>0</v>
      </c>
      <c r="D34" s="501">
        <f>+C34+'datos de entrada'!C100</f>
        <v>0</v>
      </c>
      <c r="E34" s="501"/>
      <c r="F34" s="501"/>
    </row>
    <row r="35" spans="1:14" ht="12.2" customHeight="1">
      <c r="A35" s="501" t="str">
        <f t="shared" si="0"/>
        <v/>
      </c>
      <c r="B35" s="501">
        <f>SUM('datos de entrada'!P83:AA83)</f>
        <v>0</v>
      </c>
      <c r="C35" s="501">
        <f>+B35+'datos de entrada'!B101</f>
        <v>0</v>
      </c>
      <c r="D35" s="501">
        <f>+C35+'datos de entrada'!C101</f>
        <v>0</v>
      </c>
      <c r="E35" s="501"/>
      <c r="F35" s="501"/>
    </row>
    <row r="36" spans="1:14" ht="12.2" customHeight="1">
      <c r="A36" s="501" t="str">
        <f t="shared" si="0"/>
        <v/>
      </c>
      <c r="B36" s="501">
        <f>SUM('datos de entrada'!P84:AA84)</f>
        <v>0</v>
      </c>
      <c r="C36" s="501">
        <f>+B36+'datos de entrada'!B102</f>
        <v>0</v>
      </c>
      <c r="D36" s="501">
        <f>+C36+'datos de entrada'!C102</f>
        <v>0</v>
      </c>
      <c r="E36" s="501"/>
      <c r="F36" s="501"/>
    </row>
    <row r="37" spans="1:14" ht="12.2" customHeight="1">
      <c r="A37" s="501" t="str">
        <f t="shared" si="0"/>
        <v/>
      </c>
      <c r="B37" s="501">
        <f>SUM('datos de entrada'!P85:AA85)</f>
        <v>0</v>
      </c>
      <c r="C37" s="501">
        <f>+B37+'datos de entrada'!B103</f>
        <v>0</v>
      </c>
      <c r="D37" s="501">
        <f>+C37+'datos de entrada'!C103</f>
        <v>0</v>
      </c>
      <c r="E37" s="501"/>
      <c r="F37" s="501"/>
    </row>
    <row r="38" spans="1:14" ht="12.2" customHeight="1">
      <c r="A38" s="501" t="str">
        <f t="shared" si="0"/>
        <v/>
      </c>
      <c r="B38" s="501">
        <f>SUM('datos de entrada'!P86:AA86)</f>
        <v>0</v>
      </c>
      <c r="C38" s="501">
        <f>+B38+'datos de entrada'!B104</f>
        <v>0</v>
      </c>
      <c r="D38" s="501">
        <f>+C38+'datos de entrada'!C104</f>
        <v>0</v>
      </c>
      <c r="E38" s="501"/>
      <c r="F38" s="501"/>
    </row>
    <row r="39" spans="1:14" ht="12.2" customHeight="1">
      <c r="A39" s="501" t="str">
        <f t="shared" si="0"/>
        <v/>
      </c>
      <c r="B39" s="501">
        <f>SUM('datos de entrada'!P87:AA87)</f>
        <v>0</v>
      </c>
      <c r="C39" s="501">
        <f>+B39+'datos de entrada'!B105</f>
        <v>0</v>
      </c>
      <c r="D39" s="501">
        <f>+C39+'datos de entrada'!C105</f>
        <v>0</v>
      </c>
      <c r="E39" s="501"/>
      <c r="F39" s="501"/>
    </row>
    <row r="40" spans="1:14" ht="12.2" customHeight="1">
      <c r="A40" s="501" t="str">
        <f t="shared" si="0"/>
        <v/>
      </c>
      <c r="B40" s="501">
        <f>SUM('datos de entrada'!P88:AA88)</f>
        <v>0</v>
      </c>
      <c r="C40" s="501">
        <f>+B40+'datos de entrada'!B106</f>
        <v>0</v>
      </c>
      <c r="D40" s="501">
        <f>+C40+'datos de entrada'!C106</f>
        <v>0</v>
      </c>
      <c r="E40" s="501"/>
      <c r="F40" s="501"/>
    </row>
    <row r="41" spans="1:14" ht="12.2" customHeight="1">
      <c r="A41" s="501" t="str">
        <f t="shared" si="0"/>
        <v/>
      </c>
      <c r="B41" s="501">
        <f>SUM('datos de entrada'!P89:AA89)</f>
        <v>0</v>
      </c>
      <c r="C41" s="501">
        <f>+B41+'datos de entrada'!B107</f>
        <v>0</v>
      </c>
      <c r="D41" s="501">
        <f>+C41+'datos de entrada'!C107</f>
        <v>0</v>
      </c>
      <c r="E41" s="501"/>
      <c r="F41" s="501"/>
    </row>
    <row r="42" spans="1:14" ht="12.2" customHeight="1">
      <c r="A42" s="501" t="str">
        <f t="shared" si="0"/>
        <v/>
      </c>
      <c r="B42" s="501">
        <f>SUM('datos de entrada'!P90:AA90)</f>
        <v>0</v>
      </c>
      <c r="C42" s="501">
        <f>+B42+'datos de entrada'!B108</f>
        <v>0</v>
      </c>
      <c r="D42" s="501">
        <f>+C42+'datos de entrada'!C108</f>
        <v>0</v>
      </c>
      <c r="E42" s="501"/>
      <c r="F42" s="501"/>
    </row>
    <row r="43" spans="1:14" ht="12.2" customHeight="1">
      <c r="A43" s="501" t="str">
        <f t="shared" si="0"/>
        <v/>
      </c>
      <c r="B43" s="501">
        <f>SUM('datos de entrada'!P91:AA91)</f>
        <v>0</v>
      </c>
      <c r="C43" s="501">
        <f>+B43+'datos de entrada'!B109</f>
        <v>0</v>
      </c>
      <c r="D43" s="501">
        <f>+C43+'datos de entrada'!C109</f>
        <v>0</v>
      </c>
      <c r="E43" s="501"/>
      <c r="F43" s="501"/>
    </row>
    <row r="44" spans="1:14" ht="12.2" customHeight="1">
      <c r="A44" s="501" t="str">
        <f t="shared" si="0"/>
        <v/>
      </c>
      <c r="B44" s="501">
        <f>SUM('datos de entrada'!P92:AA92)</f>
        <v>0</v>
      </c>
      <c r="C44" s="501">
        <f>+B44+'datos de entrada'!B110</f>
        <v>0</v>
      </c>
      <c r="D44" s="501">
        <f>+C44+'datos de entrada'!C110</f>
        <v>0</v>
      </c>
      <c r="E44" s="501"/>
      <c r="F44" s="501"/>
    </row>
    <row r="45" spans="1:14" ht="12.2" customHeight="1">
      <c r="A45" s="503" t="s">
        <v>605</v>
      </c>
      <c r="B45" s="503" t="s">
        <v>605</v>
      </c>
      <c r="C45" s="503" t="s">
        <v>605</v>
      </c>
      <c r="D45" s="503" t="s">
        <v>605</v>
      </c>
      <c r="E45" s="503" t="s">
        <v>605</v>
      </c>
      <c r="F45" s="503" t="s">
        <v>605</v>
      </c>
    </row>
    <row r="48" spans="1:14" ht="12.2" customHeight="1">
      <c r="A48" s="499" t="s">
        <v>236</v>
      </c>
      <c r="N48" s="499" t="s">
        <v>236</v>
      </c>
    </row>
    <row r="49" spans="1:26" ht="12.2" customHeight="1">
      <c r="A49" s="505" t="s">
        <v>605</v>
      </c>
      <c r="B49" s="505" t="s">
        <v>605</v>
      </c>
      <c r="C49" s="505" t="s">
        <v>605</v>
      </c>
      <c r="D49" s="505" t="s">
        <v>605</v>
      </c>
      <c r="E49" s="505" t="s">
        <v>605</v>
      </c>
      <c r="F49" s="505" t="s">
        <v>605</v>
      </c>
      <c r="G49" s="505" t="s">
        <v>605</v>
      </c>
      <c r="H49" s="505" t="s">
        <v>605</v>
      </c>
      <c r="J49" s="505" t="s">
        <v>605</v>
      </c>
      <c r="N49" s="505" t="s">
        <v>605</v>
      </c>
      <c r="O49" s="505" t="s">
        <v>605</v>
      </c>
      <c r="P49" s="505" t="s">
        <v>605</v>
      </c>
      <c r="Q49" s="505" t="s">
        <v>605</v>
      </c>
      <c r="R49" s="505" t="s">
        <v>605</v>
      </c>
      <c r="S49" s="505" t="s">
        <v>605</v>
      </c>
      <c r="T49" s="505" t="s">
        <v>605</v>
      </c>
      <c r="U49" s="505" t="s">
        <v>605</v>
      </c>
      <c r="W49" s="505" t="s">
        <v>605</v>
      </c>
    </row>
    <row r="50" spans="1:26" ht="12.2" customHeight="1">
      <c r="A50" s="499" t="s">
        <v>237</v>
      </c>
      <c r="B50" s="501"/>
      <c r="C50" s="504" t="s">
        <v>636</v>
      </c>
      <c r="D50" s="499" t="s">
        <v>636</v>
      </c>
      <c r="E50" s="504" t="s">
        <v>664</v>
      </c>
      <c r="F50" s="501"/>
      <c r="G50" s="501"/>
      <c r="H50" s="501"/>
      <c r="J50" s="499" t="s">
        <v>238</v>
      </c>
      <c r="N50" s="499" t="s">
        <v>237</v>
      </c>
      <c r="O50" s="501"/>
      <c r="P50" s="504" t="s">
        <v>636</v>
      </c>
      <c r="Q50" s="499" t="s">
        <v>636</v>
      </c>
      <c r="R50" s="504" t="s">
        <v>664</v>
      </c>
      <c r="S50" s="501"/>
      <c r="T50" s="501"/>
      <c r="U50" s="501"/>
      <c r="W50" s="499" t="s">
        <v>238</v>
      </c>
    </row>
    <row r="51" spans="1:26" ht="12.2" customHeight="1">
      <c r="B51" s="504" t="s">
        <v>666</v>
      </c>
      <c r="C51" s="504" t="s">
        <v>667</v>
      </c>
      <c r="D51" s="499" t="s">
        <v>49</v>
      </c>
      <c r="E51" s="504" t="s">
        <v>580</v>
      </c>
      <c r="F51" s="504" t="s">
        <v>668</v>
      </c>
      <c r="G51" s="504" t="s">
        <v>669</v>
      </c>
      <c r="H51" s="504" t="s">
        <v>670</v>
      </c>
      <c r="J51" s="504" t="s">
        <v>580</v>
      </c>
      <c r="K51" s="504" t="s">
        <v>668</v>
      </c>
      <c r="L51" s="504" t="s">
        <v>669</v>
      </c>
      <c r="M51" s="504" t="s">
        <v>670</v>
      </c>
      <c r="O51" s="504" t="s">
        <v>666</v>
      </c>
      <c r="P51" s="504" t="s">
        <v>667</v>
      </c>
      <c r="Q51" s="499" t="s">
        <v>49</v>
      </c>
      <c r="R51" s="504" t="s">
        <v>580</v>
      </c>
      <c r="S51" s="504" t="s">
        <v>668</v>
      </c>
      <c r="T51" s="504" t="s">
        <v>669</v>
      </c>
      <c r="U51" s="504" t="s">
        <v>670</v>
      </c>
      <c r="W51" s="504" t="s">
        <v>580</v>
      </c>
      <c r="X51" s="504" t="s">
        <v>668</v>
      </c>
      <c r="Y51" s="504" t="s">
        <v>669</v>
      </c>
      <c r="Z51" s="504" t="s">
        <v>670</v>
      </c>
    </row>
    <row r="52" spans="1:26" ht="12.2" customHeight="1">
      <c r="A52" s="505" t="s">
        <v>605</v>
      </c>
      <c r="B52" s="505" t="s">
        <v>605</v>
      </c>
      <c r="C52" s="505" t="s">
        <v>605</v>
      </c>
      <c r="D52" s="505" t="s">
        <v>605</v>
      </c>
      <c r="E52" s="505" t="s">
        <v>605</v>
      </c>
      <c r="F52" s="505" t="s">
        <v>605</v>
      </c>
      <c r="G52" s="505" t="s">
        <v>605</v>
      </c>
      <c r="H52" s="505" t="s">
        <v>605</v>
      </c>
      <c r="J52" s="505" t="s">
        <v>605</v>
      </c>
      <c r="K52" s="505" t="s">
        <v>605</v>
      </c>
      <c r="L52" s="505" t="s">
        <v>605</v>
      </c>
      <c r="M52" s="505" t="s">
        <v>605</v>
      </c>
      <c r="N52" s="505" t="s">
        <v>605</v>
      </c>
      <c r="O52" s="505" t="s">
        <v>605</v>
      </c>
      <c r="P52" s="505" t="s">
        <v>605</v>
      </c>
      <c r="Q52" s="505" t="s">
        <v>605</v>
      </c>
      <c r="R52" s="505" t="s">
        <v>605</v>
      </c>
      <c r="S52" s="505" t="s">
        <v>605</v>
      </c>
      <c r="T52" s="505" t="s">
        <v>605</v>
      </c>
      <c r="U52" s="505" t="s">
        <v>605</v>
      </c>
      <c r="W52" s="505" t="s">
        <v>605</v>
      </c>
      <c r="X52" s="505" t="s">
        <v>605</v>
      </c>
      <c r="Y52" s="505" t="s">
        <v>605</v>
      </c>
      <c r="Z52" s="505" t="s">
        <v>605</v>
      </c>
    </row>
    <row r="53" spans="1:26" ht="12.2" customHeight="1">
      <c r="A53" s="500" t="str">
        <f>A15</f>
        <v>CAMISETAS</v>
      </c>
      <c r="B53" s="506"/>
      <c r="C53" s="506"/>
      <c r="D53" s="506"/>
      <c r="E53" s="502"/>
      <c r="F53" s="502"/>
      <c r="G53" s="502"/>
      <c r="H53" s="502"/>
      <c r="J53" s="502"/>
      <c r="K53" s="502"/>
      <c r="L53" s="502"/>
      <c r="M53" s="502"/>
      <c r="N53" s="501" t="str">
        <f>A21</f>
        <v/>
      </c>
      <c r="O53" s="506"/>
      <c r="P53" s="506"/>
      <c r="Q53" s="506"/>
      <c r="R53" s="502"/>
      <c r="S53" s="502"/>
      <c r="T53" s="502"/>
      <c r="U53" s="502"/>
      <c r="W53" s="502"/>
      <c r="X53" s="502"/>
      <c r="Y53" s="502"/>
      <c r="Z53" s="502"/>
    </row>
    <row r="54" spans="1:26" ht="12.2" customHeight="1">
      <c r="B54" s="506"/>
      <c r="C54" s="506"/>
      <c r="D54" s="506"/>
      <c r="E54" s="502"/>
      <c r="F54" s="502"/>
      <c r="G54" s="502"/>
      <c r="H54" s="502"/>
      <c r="J54" s="502"/>
      <c r="K54" s="502"/>
      <c r="L54" s="502"/>
      <c r="M54" s="502"/>
      <c r="O54" s="506"/>
      <c r="P54" s="506"/>
      <c r="Q54" s="506"/>
      <c r="R54" s="502"/>
      <c r="S54" s="502"/>
      <c r="T54" s="502"/>
      <c r="U54" s="502"/>
      <c r="W54" s="502"/>
      <c r="X54" s="502"/>
      <c r="Y54" s="502"/>
      <c r="Z54" s="502"/>
    </row>
    <row r="55" spans="1:26" ht="12.2" customHeight="1">
      <c r="A55" s="501" t="str">
        <f>+'datos de entrada'!A249</f>
        <v/>
      </c>
      <c r="B55" s="506">
        <f>+'datos de entrada'!B249</f>
        <v>1</v>
      </c>
      <c r="C55" s="506">
        <f>+'datos de entrada'!C249</f>
        <v>12000</v>
      </c>
      <c r="D55" s="506">
        <f>C55*B55</f>
        <v>12000</v>
      </c>
      <c r="E55" s="502">
        <f>IF(I55=1,I55,+'datos de entrada'!D249)</f>
        <v>1</v>
      </c>
      <c r="F55" s="502">
        <f>+'datos de entrada'!E249</f>
        <v>0</v>
      </c>
      <c r="G55" s="502">
        <f>+'datos de entrada'!F249</f>
        <v>0</v>
      </c>
      <c r="H55" s="502">
        <f>+'datos de entrada'!G249</f>
        <v>0</v>
      </c>
      <c r="I55" s="507"/>
      <c r="J55" s="502">
        <f t="shared" ref="J55:M59" si="1">IF($B$107=0,0,E55*$D55/$B$107)</f>
        <v>1</v>
      </c>
      <c r="K55" s="502">
        <f t="shared" si="1"/>
        <v>0</v>
      </c>
      <c r="L55" s="502">
        <f t="shared" si="1"/>
        <v>0</v>
      </c>
      <c r="M55" s="502">
        <f t="shared" si="1"/>
        <v>0</v>
      </c>
      <c r="N55" s="501">
        <f>+'datos de entrada'!I249</f>
        <v>0</v>
      </c>
      <c r="O55" s="506">
        <f>+'datos de entrada'!J249</f>
        <v>0</v>
      </c>
      <c r="P55" s="506">
        <f>+'datos de entrada'!K249</f>
        <v>0</v>
      </c>
      <c r="Q55" s="506">
        <f>P55*O55</f>
        <v>0</v>
      </c>
      <c r="R55" s="502">
        <f>+'datos de entrada'!L249</f>
        <v>0</v>
      </c>
      <c r="S55" s="502">
        <f>+'datos de entrada'!M249</f>
        <v>0</v>
      </c>
      <c r="T55" s="502">
        <f>+'datos de entrada'!N249</f>
        <v>0</v>
      </c>
      <c r="U55" s="502">
        <f>+'datos de entrada'!O249</f>
        <v>0</v>
      </c>
      <c r="W55" s="508">
        <f>IF($B$113=0,0,R55*$Q55/$B$113)</f>
        <v>0</v>
      </c>
      <c r="X55" s="508">
        <f t="shared" ref="X55:Z59" si="2">IF($B$113=0,0,S55*$Q55/$B$113)</f>
        <v>0</v>
      </c>
      <c r="Y55" s="508">
        <f t="shared" si="2"/>
        <v>0</v>
      </c>
      <c r="Z55" s="508">
        <f t="shared" si="2"/>
        <v>0</v>
      </c>
    </row>
    <row r="56" spans="1:26" ht="12.2" customHeight="1">
      <c r="A56" s="501" t="str">
        <f>+'datos de entrada'!A250</f>
        <v/>
      </c>
      <c r="B56" s="506">
        <f>+'datos de entrada'!B250</f>
        <v>1</v>
      </c>
      <c r="C56" s="506">
        <f>+'datos de entrada'!C250</f>
        <v>0</v>
      </c>
      <c r="D56" s="506">
        <f>C56*B56</f>
        <v>0</v>
      </c>
      <c r="E56" s="502">
        <f>IF(I56=1,I56,+'datos de entrada'!D250)</f>
        <v>0</v>
      </c>
      <c r="F56" s="502">
        <f>+'datos de entrada'!E250</f>
        <v>1</v>
      </c>
      <c r="G56" s="502">
        <f>+'datos de entrada'!F250</f>
        <v>0</v>
      </c>
      <c r="H56" s="502">
        <f>+'datos de entrada'!G250</f>
        <v>0</v>
      </c>
      <c r="I56" s="507"/>
      <c r="J56" s="502">
        <f t="shared" si="1"/>
        <v>0</v>
      </c>
      <c r="K56" s="502">
        <f t="shared" si="1"/>
        <v>0</v>
      </c>
      <c r="L56" s="502">
        <f t="shared" si="1"/>
        <v>0</v>
      </c>
      <c r="M56" s="502">
        <f t="shared" si="1"/>
        <v>0</v>
      </c>
      <c r="N56" s="501">
        <f>+'datos de entrada'!I250</f>
        <v>0</v>
      </c>
      <c r="O56" s="506">
        <f>+'datos de entrada'!J250</f>
        <v>0</v>
      </c>
      <c r="P56" s="506">
        <f>+'datos de entrada'!K250</f>
        <v>0</v>
      </c>
      <c r="Q56" s="506">
        <f>P56*O56</f>
        <v>0</v>
      </c>
      <c r="R56" s="502">
        <f>+'datos de entrada'!L250</f>
        <v>0</v>
      </c>
      <c r="S56" s="502">
        <f>+'datos de entrada'!M250</f>
        <v>0</v>
      </c>
      <c r="T56" s="502">
        <f>+'datos de entrada'!N250</f>
        <v>0</v>
      </c>
      <c r="U56" s="502">
        <f>+'datos de entrada'!O250</f>
        <v>0</v>
      </c>
      <c r="W56" s="508">
        <f>IF($B$113=0,0,R56*$Q56/$B$113)</f>
        <v>0</v>
      </c>
      <c r="X56" s="508">
        <f t="shared" si="2"/>
        <v>0</v>
      </c>
      <c r="Y56" s="508">
        <f t="shared" si="2"/>
        <v>0</v>
      </c>
      <c r="Z56" s="508">
        <f t="shared" si="2"/>
        <v>0</v>
      </c>
    </row>
    <row r="57" spans="1:26" ht="12.2" customHeight="1">
      <c r="A57" s="501" t="str">
        <f>+'datos de entrada'!A251</f>
        <v/>
      </c>
      <c r="B57" s="506">
        <f>+'datos de entrada'!B251</f>
        <v>1</v>
      </c>
      <c r="C57" s="506">
        <f>+'datos de entrada'!C251</f>
        <v>0</v>
      </c>
      <c r="D57" s="506">
        <f>C57*B57</f>
        <v>0</v>
      </c>
      <c r="E57" s="502">
        <f>IF(I57=1,I57,+'datos de entrada'!D251)</f>
        <v>0</v>
      </c>
      <c r="F57" s="502">
        <f>+'datos de entrada'!E251</f>
        <v>0</v>
      </c>
      <c r="G57" s="502">
        <f>+'datos de entrada'!F251</f>
        <v>1</v>
      </c>
      <c r="H57" s="502">
        <f>+'datos de entrada'!G251</f>
        <v>0</v>
      </c>
      <c r="I57" s="507"/>
      <c r="J57" s="502">
        <f t="shared" si="1"/>
        <v>0</v>
      </c>
      <c r="K57" s="502">
        <f t="shared" si="1"/>
        <v>0</v>
      </c>
      <c r="L57" s="502">
        <f t="shared" si="1"/>
        <v>0</v>
      </c>
      <c r="M57" s="502">
        <f t="shared" si="1"/>
        <v>0</v>
      </c>
      <c r="N57" s="501">
        <f>+'datos de entrada'!I251</f>
        <v>0</v>
      </c>
      <c r="O57" s="506">
        <f>+'datos de entrada'!J251</f>
        <v>0</v>
      </c>
      <c r="P57" s="506">
        <f>+'datos de entrada'!K251</f>
        <v>0</v>
      </c>
      <c r="Q57" s="506">
        <f>P57*O57</f>
        <v>0</v>
      </c>
      <c r="R57" s="502">
        <f>+'datos de entrada'!L251</f>
        <v>0</v>
      </c>
      <c r="S57" s="502">
        <f>+'datos de entrada'!M251</f>
        <v>0</v>
      </c>
      <c r="T57" s="502">
        <f>+'datos de entrada'!N251</f>
        <v>0</v>
      </c>
      <c r="U57" s="502">
        <f>+'datos de entrada'!O251</f>
        <v>0</v>
      </c>
      <c r="W57" s="508">
        <f>IF($B$113=0,0,R57*$Q57/$B$113)</f>
        <v>0</v>
      </c>
      <c r="X57" s="508">
        <f t="shared" si="2"/>
        <v>0</v>
      </c>
      <c r="Y57" s="508">
        <f t="shared" si="2"/>
        <v>0</v>
      </c>
      <c r="Z57" s="508">
        <f t="shared" si="2"/>
        <v>0</v>
      </c>
    </row>
    <row r="58" spans="1:26" ht="12.2" customHeight="1">
      <c r="A58" s="501" t="str">
        <f>+'datos de entrada'!A252</f>
        <v/>
      </c>
      <c r="B58" s="506">
        <f>+'datos de entrada'!B252</f>
        <v>1</v>
      </c>
      <c r="C58" s="506">
        <f>+'datos de entrada'!C252</f>
        <v>0</v>
      </c>
      <c r="D58" s="506">
        <f>C58*B58</f>
        <v>0</v>
      </c>
      <c r="E58" s="502">
        <f>IF(I58=1,I58,+'datos de entrada'!D252)</f>
        <v>0</v>
      </c>
      <c r="F58" s="502">
        <f>+'datos de entrada'!E252</f>
        <v>0</v>
      </c>
      <c r="G58" s="502">
        <f>+'datos de entrada'!F252</f>
        <v>0</v>
      </c>
      <c r="H58" s="502">
        <f>+'datos de entrada'!G252</f>
        <v>1</v>
      </c>
      <c r="I58" s="507"/>
      <c r="J58" s="502">
        <f t="shared" si="1"/>
        <v>0</v>
      </c>
      <c r="K58" s="502">
        <f t="shared" si="1"/>
        <v>0</v>
      </c>
      <c r="L58" s="502">
        <f t="shared" si="1"/>
        <v>0</v>
      </c>
      <c r="M58" s="502">
        <f t="shared" si="1"/>
        <v>0</v>
      </c>
      <c r="N58" s="501">
        <f>+'datos de entrada'!I252</f>
        <v>0</v>
      </c>
      <c r="O58" s="506">
        <f>+'datos de entrada'!J252</f>
        <v>0</v>
      </c>
      <c r="P58" s="506">
        <f>+'datos de entrada'!K252</f>
        <v>0</v>
      </c>
      <c r="Q58" s="506">
        <f>P58*O58</f>
        <v>0</v>
      </c>
      <c r="R58" s="502">
        <f>+'datos de entrada'!L252</f>
        <v>0</v>
      </c>
      <c r="S58" s="502">
        <f>+'datos de entrada'!M252</f>
        <v>0</v>
      </c>
      <c r="T58" s="502">
        <f>+'datos de entrada'!N252</f>
        <v>0</v>
      </c>
      <c r="U58" s="502">
        <f>+'datos de entrada'!O252</f>
        <v>0</v>
      </c>
      <c r="W58" s="508">
        <f>IF($B$113=0,0,R58*$Q58/$B$113)</f>
        <v>0</v>
      </c>
      <c r="X58" s="508">
        <f t="shared" si="2"/>
        <v>0</v>
      </c>
      <c r="Y58" s="508">
        <f t="shared" si="2"/>
        <v>0</v>
      </c>
      <c r="Z58" s="508">
        <f t="shared" si="2"/>
        <v>0</v>
      </c>
    </row>
    <row r="59" spans="1:26" ht="12.2" customHeight="1">
      <c r="A59" s="501">
        <f>+'datos de entrada'!A253</f>
        <v>0</v>
      </c>
      <c r="B59" s="506">
        <f>+'datos de entrada'!B253</f>
        <v>1</v>
      </c>
      <c r="C59" s="506">
        <f>+'datos de entrada'!C253</f>
        <v>0</v>
      </c>
      <c r="D59" s="506">
        <f>C59*B59</f>
        <v>0</v>
      </c>
      <c r="E59" s="502">
        <f>IF(I59=1,I59,+'datos de entrada'!D253)</f>
        <v>0</v>
      </c>
      <c r="F59" s="502">
        <f>+'datos de entrada'!E253</f>
        <v>0</v>
      </c>
      <c r="G59" s="502">
        <f>+'datos de entrada'!F253</f>
        <v>0</v>
      </c>
      <c r="H59" s="502">
        <f>+'datos de entrada'!G253</f>
        <v>0</v>
      </c>
      <c r="I59" s="507"/>
      <c r="J59" s="502">
        <f t="shared" si="1"/>
        <v>0</v>
      </c>
      <c r="K59" s="502">
        <f t="shared" si="1"/>
        <v>0</v>
      </c>
      <c r="L59" s="502">
        <f t="shared" si="1"/>
        <v>0</v>
      </c>
      <c r="M59" s="502">
        <f t="shared" si="1"/>
        <v>0</v>
      </c>
      <c r="N59" s="501">
        <f>+'datos de entrada'!I253</f>
        <v>0</v>
      </c>
      <c r="O59" s="506">
        <f>+'datos de entrada'!J253</f>
        <v>0</v>
      </c>
      <c r="P59" s="506">
        <f>+'datos de entrada'!K253</f>
        <v>0</v>
      </c>
      <c r="Q59" s="506">
        <f>P59*O59</f>
        <v>0</v>
      </c>
      <c r="R59" s="502">
        <f>+'datos de entrada'!L253</f>
        <v>0</v>
      </c>
      <c r="S59" s="502">
        <f>+'datos de entrada'!M253</f>
        <v>0</v>
      </c>
      <c r="T59" s="502">
        <f>+'datos de entrada'!N253</f>
        <v>0</v>
      </c>
      <c r="U59" s="502">
        <f>+'datos de entrada'!O253</f>
        <v>0</v>
      </c>
      <c r="W59" s="508">
        <f>IF($B$113=0,0,R59*$Q59/$B$113)</f>
        <v>0</v>
      </c>
      <c r="X59" s="508">
        <f t="shared" si="2"/>
        <v>0</v>
      </c>
      <c r="Y59" s="508">
        <f t="shared" si="2"/>
        <v>0</v>
      </c>
      <c r="Z59" s="508">
        <f t="shared" si="2"/>
        <v>0</v>
      </c>
    </row>
    <row r="60" spans="1:26" ht="12.2" customHeight="1">
      <c r="A60" s="505" t="s">
        <v>605</v>
      </c>
      <c r="B60" s="509" t="s">
        <v>605</v>
      </c>
      <c r="C60" s="509" t="s">
        <v>605</v>
      </c>
      <c r="D60" s="509" t="s">
        <v>605</v>
      </c>
      <c r="E60" s="510" t="s">
        <v>605</v>
      </c>
      <c r="F60" s="510" t="s">
        <v>605</v>
      </c>
      <c r="G60" s="510" t="s">
        <v>605</v>
      </c>
      <c r="H60" s="510" t="s">
        <v>605</v>
      </c>
      <c r="J60" s="510" t="s">
        <v>605</v>
      </c>
      <c r="K60" s="510" t="s">
        <v>605</v>
      </c>
      <c r="L60" s="510" t="s">
        <v>605</v>
      </c>
      <c r="M60" s="510" t="s">
        <v>605</v>
      </c>
      <c r="N60" s="505" t="s">
        <v>605</v>
      </c>
      <c r="O60" s="509" t="s">
        <v>605</v>
      </c>
      <c r="P60" s="509" t="s">
        <v>605</v>
      </c>
      <c r="Q60" s="509" t="s">
        <v>605</v>
      </c>
      <c r="R60" s="510" t="s">
        <v>605</v>
      </c>
      <c r="S60" s="510" t="s">
        <v>605</v>
      </c>
      <c r="T60" s="510" t="s">
        <v>605</v>
      </c>
      <c r="U60" s="510" t="s">
        <v>605</v>
      </c>
      <c r="W60" s="510" t="s">
        <v>605</v>
      </c>
      <c r="X60" s="510" t="s">
        <v>605</v>
      </c>
      <c r="Y60" s="510" t="s">
        <v>605</v>
      </c>
      <c r="Z60" s="510" t="s">
        <v>605</v>
      </c>
    </row>
    <row r="61" spans="1:26" ht="12.2" customHeight="1">
      <c r="A61" s="500" t="str">
        <f>A16</f>
        <v/>
      </c>
      <c r="B61" s="506"/>
      <c r="C61" s="506"/>
      <c r="D61" s="506"/>
      <c r="E61" s="502"/>
      <c r="F61" s="502"/>
      <c r="G61" s="502"/>
      <c r="H61" s="502"/>
      <c r="I61" s="502"/>
      <c r="J61" s="502">
        <f>SUM(J55:J59)</f>
        <v>1</v>
      </c>
      <c r="K61" s="502">
        <f>SUM(K55:K59)</f>
        <v>0</v>
      </c>
      <c r="L61" s="502">
        <f>SUM(L55:L59)</f>
        <v>0</v>
      </c>
      <c r="M61" s="502">
        <f>SUM(M55:M59)</f>
        <v>0</v>
      </c>
      <c r="N61" s="501" t="str">
        <f>+A22</f>
        <v/>
      </c>
      <c r="O61" s="506"/>
      <c r="P61" s="506"/>
      <c r="Q61" s="506"/>
      <c r="R61" s="502"/>
      <c r="S61" s="502"/>
      <c r="T61" s="502"/>
      <c r="U61" s="502"/>
      <c r="V61" s="502"/>
      <c r="W61" s="502">
        <f>SUM(W55:W59)</f>
        <v>0</v>
      </c>
      <c r="X61" s="502">
        <f>SUM(X55:X59)</f>
        <v>0</v>
      </c>
      <c r="Y61" s="502">
        <f>SUM(Y55:Y59)</f>
        <v>0</v>
      </c>
      <c r="Z61" s="502">
        <f>SUM(Z55:Z59)</f>
        <v>0</v>
      </c>
    </row>
    <row r="62" spans="1:26" ht="12.2" customHeight="1">
      <c r="B62" s="506"/>
      <c r="C62" s="506"/>
      <c r="D62" s="506"/>
      <c r="E62" s="502"/>
      <c r="F62" s="502"/>
      <c r="G62" s="502"/>
      <c r="H62" s="502"/>
      <c r="J62" s="502"/>
      <c r="K62" s="502"/>
      <c r="L62" s="502"/>
      <c r="M62" s="502"/>
      <c r="O62" s="506"/>
      <c r="P62" s="506"/>
      <c r="Q62" s="506"/>
      <c r="R62" s="502"/>
      <c r="S62" s="502"/>
      <c r="T62" s="502"/>
      <c r="U62" s="502"/>
      <c r="W62" s="502"/>
      <c r="X62" s="502"/>
      <c r="Y62" s="502"/>
      <c r="Z62" s="502"/>
    </row>
    <row r="63" spans="1:26" ht="12.2" customHeight="1">
      <c r="A63" s="501">
        <f>+'datos de entrada'!A259</f>
        <v>0</v>
      </c>
      <c r="B63" s="506">
        <f>+'datos de entrada'!B259</f>
        <v>0</v>
      </c>
      <c r="C63" s="506">
        <f>+'datos de entrada'!C259</f>
        <v>0</v>
      </c>
      <c r="D63" s="506">
        <f>C63*B63</f>
        <v>0</v>
      </c>
      <c r="E63" s="502">
        <f>+'datos de entrada'!D259</f>
        <v>0</v>
      </c>
      <c r="F63" s="502">
        <f>+'datos de entrada'!E259</f>
        <v>0</v>
      </c>
      <c r="G63" s="502">
        <f>+'datos de entrada'!F259</f>
        <v>0</v>
      </c>
      <c r="H63" s="502">
        <f>+'datos de entrada'!G259</f>
        <v>0</v>
      </c>
      <c r="I63" s="507"/>
      <c r="J63" s="502">
        <f t="shared" ref="J63:M67" si="3">IF($B$108=0,0,E63*$D63/$B$108)</f>
        <v>0</v>
      </c>
      <c r="K63" s="502">
        <f t="shared" si="3"/>
        <v>0</v>
      </c>
      <c r="L63" s="502">
        <f t="shared" si="3"/>
        <v>0</v>
      </c>
      <c r="M63" s="502">
        <f t="shared" si="3"/>
        <v>0</v>
      </c>
      <c r="N63" s="501">
        <f>+'datos de entrada'!I259</f>
        <v>0</v>
      </c>
      <c r="O63" s="506">
        <f>+'datos de entrada'!J259</f>
        <v>0</v>
      </c>
      <c r="P63" s="506">
        <f>+'datos de entrada'!K259</f>
        <v>0</v>
      </c>
      <c r="Q63" s="506">
        <f>P63*O63</f>
        <v>0</v>
      </c>
      <c r="R63" s="502">
        <f>+'datos de entrada'!L259</f>
        <v>0</v>
      </c>
      <c r="S63" s="502">
        <f>+'datos de entrada'!M259</f>
        <v>0</v>
      </c>
      <c r="T63" s="502">
        <f>+'datos de entrada'!N259</f>
        <v>0</v>
      </c>
      <c r="U63" s="502">
        <f>+'datos de entrada'!O259</f>
        <v>0</v>
      </c>
      <c r="W63" s="502">
        <f>IF($B$114=0,0,R63*$Q63/$B$114)</f>
        <v>0</v>
      </c>
      <c r="X63" s="502">
        <f t="shared" ref="X63:Z67" si="4">IF($B$114=0,0,S63*$Q63/$B$114)</f>
        <v>0</v>
      </c>
      <c r="Y63" s="502">
        <f t="shared" si="4"/>
        <v>0</v>
      </c>
      <c r="Z63" s="502">
        <f t="shared" si="4"/>
        <v>0</v>
      </c>
    </row>
    <row r="64" spans="1:26" ht="12.2" customHeight="1">
      <c r="A64" s="501">
        <f>+'datos de entrada'!A260</f>
        <v>0</v>
      </c>
      <c r="B64" s="506">
        <f>+'datos de entrada'!B260</f>
        <v>0</v>
      </c>
      <c r="C64" s="506">
        <f>+'datos de entrada'!C260</f>
        <v>0</v>
      </c>
      <c r="D64" s="506">
        <f>C64*B64</f>
        <v>0</v>
      </c>
      <c r="E64" s="502">
        <f>+'datos de entrada'!D260</f>
        <v>0</v>
      </c>
      <c r="F64" s="502">
        <f>+'datos de entrada'!E260</f>
        <v>0</v>
      </c>
      <c r="G64" s="502">
        <f>+'datos de entrada'!F260</f>
        <v>0</v>
      </c>
      <c r="H64" s="502">
        <f>+'datos de entrada'!G260</f>
        <v>0</v>
      </c>
      <c r="I64" s="507"/>
      <c r="J64" s="502">
        <f t="shared" si="3"/>
        <v>0</v>
      </c>
      <c r="K64" s="502">
        <f t="shared" si="3"/>
        <v>0</v>
      </c>
      <c r="L64" s="502">
        <f t="shared" si="3"/>
        <v>0</v>
      </c>
      <c r="M64" s="502">
        <f t="shared" si="3"/>
        <v>0</v>
      </c>
      <c r="N64" s="501">
        <f>+'datos de entrada'!I260</f>
        <v>0</v>
      </c>
      <c r="O64" s="506">
        <f>+'datos de entrada'!J260</f>
        <v>0</v>
      </c>
      <c r="P64" s="506">
        <f>+'datos de entrada'!K260</f>
        <v>0</v>
      </c>
      <c r="Q64" s="506">
        <f>P64*O64</f>
        <v>0</v>
      </c>
      <c r="R64" s="502">
        <f>+'datos de entrada'!L260</f>
        <v>0</v>
      </c>
      <c r="S64" s="502">
        <f>+'datos de entrada'!M260</f>
        <v>0</v>
      </c>
      <c r="T64" s="502">
        <f>+'datos de entrada'!N260</f>
        <v>0</v>
      </c>
      <c r="U64" s="502">
        <f>+'datos de entrada'!O260</f>
        <v>0</v>
      </c>
      <c r="W64" s="502">
        <f>IF($B$114=0,0,R64*$Q64/$B$114)</f>
        <v>0</v>
      </c>
      <c r="X64" s="502">
        <f t="shared" si="4"/>
        <v>0</v>
      </c>
      <c r="Y64" s="502">
        <f t="shared" si="4"/>
        <v>0</v>
      </c>
      <c r="Z64" s="502">
        <f t="shared" si="4"/>
        <v>0</v>
      </c>
    </row>
    <row r="65" spans="1:26" ht="12.2" customHeight="1">
      <c r="A65" s="501">
        <f>+'datos de entrada'!A261</f>
        <v>0</v>
      </c>
      <c r="B65" s="506">
        <f>+'datos de entrada'!B261</f>
        <v>0</v>
      </c>
      <c r="C65" s="506">
        <f>+'datos de entrada'!C261</f>
        <v>0</v>
      </c>
      <c r="D65" s="506">
        <f>C65*B65</f>
        <v>0</v>
      </c>
      <c r="E65" s="502">
        <f>+'datos de entrada'!D261</f>
        <v>0</v>
      </c>
      <c r="F65" s="502">
        <f>+'datos de entrada'!E261</f>
        <v>0</v>
      </c>
      <c r="G65" s="502">
        <f>+'datos de entrada'!F261</f>
        <v>0</v>
      </c>
      <c r="H65" s="502">
        <f>+'datos de entrada'!G261</f>
        <v>0</v>
      </c>
      <c r="I65" s="507"/>
      <c r="J65" s="502">
        <f t="shared" si="3"/>
        <v>0</v>
      </c>
      <c r="K65" s="502">
        <f t="shared" si="3"/>
        <v>0</v>
      </c>
      <c r="L65" s="502">
        <f t="shared" si="3"/>
        <v>0</v>
      </c>
      <c r="M65" s="502">
        <f t="shared" si="3"/>
        <v>0</v>
      </c>
      <c r="N65" s="501">
        <f>+'datos de entrada'!I261</f>
        <v>0</v>
      </c>
      <c r="O65" s="506">
        <f>+'datos de entrada'!J261</f>
        <v>0</v>
      </c>
      <c r="P65" s="506">
        <f>+'datos de entrada'!K261</f>
        <v>0</v>
      </c>
      <c r="Q65" s="506">
        <f>P65*O65</f>
        <v>0</v>
      </c>
      <c r="R65" s="502">
        <f>+'datos de entrada'!L261</f>
        <v>0</v>
      </c>
      <c r="S65" s="502">
        <f>+'datos de entrada'!M261</f>
        <v>0</v>
      </c>
      <c r="T65" s="502">
        <f>+'datos de entrada'!N261</f>
        <v>0</v>
      </c>
      <c r="U65" s="502">
        <f>+'datos de entrada'!O261</f>
        <v>0</v>
      </c>
      <c r="W65" s="502">
        <f>IF($B$114=0,0,R65*$Q65/$B$114)</f>
        <v>0</v>
      </c>
      <c r="X65" s="502">
        <f t="shared" si="4"/>
        <v>0</v>
      </c>
      <c r="Y65" s="502">
        <f t="shared" si="4"/>
        <v>0</v>
      </c>
      <c r="Z65" s="502">
        <f t="shared" si="4"/>
        <v>0</v>
      </c>
    </row>
    <row r="66" spans="1:26" ht="12.2" customHeight="1">
      <c r="A66" s="501">
        <f>+'datos de entrada'!A262</f>
        <v>0</v>
      </c>
      <c r="B66" s="506">
        <f>+'datos de entrada'!B262</f>
        <v>0</v>
      </c>
      <c r="C66" s="506">
        <f>+'datos de entrada'!C262</f>
        <v>0</v>
      </c>
      <c r="D66" s="506">
        <f>C66*B66</f>
        <v>0</v>
      </c>
      <c r="E66" s="502">
        <f>+'datos de entrada'!D262</f>
        <v>0</v>
      </c>
      <c r="F66" s="502">
        <f>+'datos de entrada'!E262</f>
        <v>0</v>
      </c>
      <c r="G66" s="502">
        <f>+'datos de entrada'!F262</f>
        <v>0</v>
      </c>
      <c r="H66" s="502">
        <f>+'datos de entrada'!G262</f>
        <v>0</v>
      </c>
      <c r="I66" s="507"/>
      <c r="J66" s="502">
        <f t="shared" si="3"/>
        <v>0</v>
      </c>
      <c r="K66" s="502">
        <f t="shared" si="3"/>
        <v>0</v>
      </c>
      <c r="L66" s="502">
        <f t="shared" si="3"/>
        <v>0</v>
      </c>
      <c r="M66" s="502">
        <f t="shared" si="3"/>
        <v>0</v>
      </c>
      <c r="N66" s="501">
        <f>+'datos de entrada'!I262</f>
        <v>0</v>
      </c>
      <c r="O66" s="506">
        <f>+'datos de entrada'!J262</f>
        <v>0</v>
      </c>
      <c r="P66" s="506">
        <f>+'datos de entrada'!K262</f>
        <v>0</v>
      </c>
      <c r="Q66" s="506">
        <f>P66*O66</f>
        <v>0</v>
      </c>
      <c r="R66" s="502">
        <f>+'datos de entrada'!L262</f>
        <v>0</v>
      </c>
      <c r="S66" s="502">
        <f>+'datos de entrada'!M262</f>
        <v>0</v>
      </c>
      <c r="T66" s="502">
        <f>+'datos de entrada'!N262</f>
        <v>0</v>
      </c>
      <c r="U66" s="502">
        <f>+'datos de entrada'!O262</f>
        <v>0</v>
      </c>
      <c r="W66" s="502">
        <f>IF($B$114=0,0,R66*$Q66/$B$114)</f>
        <v>0</v>
      </c>
      <c r="X66" s="502">
        <f t="shared" si="4"/>
        <v>0</v>
      </c>
      <c r="Y66" s="502">
        <f t="shared" si="4"/>
        <v>0</v>
      </c>
      <c r="Z66" s="502">
        <f t="shared" si="4"/>
        <v>0</v>
      </c>
    </row>
    <row r="67" spans="1:26" ht="12.2" customHeight="1">
      <c r="A67" s="501">
        <f>+'datos de entrada'!A263</f>
        <v>0</v>
      </c>
      <c r="B67" s="506">
        <f>+'datos de entrada'!B263</f>
        <v>0</v>
      </c>
      <c r="C67" s="506">
        <f>+'datos de entrada'!C263</f>
        <v>0</v>
      </c>
      <c r="D67" s="506">
        <f>C67*B67</f>
        <v>0</v>
      </c>
      <c r="E67" s="502">
        <f>+'datos de entrada'!D263</f>
        <v>0</v>
      </c>
      <c r="F67" s="502">
        <f>+'datos de entrada'!E263</f>
        <v>0</v>
      </c>
      <c r="G67" s="502">
        <f>+'datos de entrada'!F263</f>
        <v>0</v>
      </c>
      <c r="H67" s="502">
        <f>+'datos de entrada'!G263</f>
        <v>0</v>
      </c>
      <c r="I67" s="507"/>
      <c r="J67" s="502">
        <f t="shared" si="3"/>
        <v>0</v>
      </c>
      <c r="K67" s="502">
        <f t="shared" si="3"/>
        <v>0</v>
      </c>
      <c r="L67" s="502">
        <f t="shared" si="3"/>
        <v>0</v>
      </c>
      <c r="M67" s="502">
        <f t="shared" si="3"/>
        <v>0</v>
      </c>
      <c r="N67" s="501">
        <f>+'datos de entrada'!I263</f>
        <v>0</v>
      </c>
      <c r="O67" s="506">
        <f>+'datos de entrada'!J263</f>
        <v>0</v>
      </c>
      <c r="P67" s="506">
        <f>+'datos de entrada'!K263</f>
        <v>0</v>
      </c>
      <c r="Q67" s="506">
        <f>P67*O67</f>
        <v>0</v>
      </c>
      <c r="R67" s="502">
        <f>+'datos de entrada'!L263</f>
        <v>0</v>
      </c>
      <c r="S67" s="502">
        <f>+'datos de entrada'!M263</f>
        <v>0</v>
      </c>
      <c r="T67" s="502">
        <f>+'datos de entrada'!N263</f>
        <v>0</v>
      </c>
      <c r="U67" s="502">
        <f>+'datos de entrada'!O263</f>
        <v>0</v>
      </c>
      <c r="W67" s="502">
        <f>IF($B$114=0,0,R67*$Q67/$B$114)</f>
        <v>0</v>
      </c>
      <c r="X67" s="502">
        <f t="shared" si="4"/>
        <v>0</v>
      </c>
      <c r="Y67" s="502">
        <f t="shared" si="4"/>
        <v>0</v>
      </c>
      <c r="Z67" s="502">
        <f t="shared" si="4"/>
        <v>0</v>
      </c>
    </row>
    <row r="68" spans="1:26" ht="12.2" customHeight="1">
      <c r="A68" s="505" t="s">
        <v>605</v>
      </c>
      <c r="B68" s="509" t="s">
        <v>605</v>
      </c>
      <c r="C68" s="509" t="s">
        <v>605</v>
      </c>
      <c r="D68" s="509" t="s">
        <v>605</v>
      </c>
      <c r="E68" s="510" t="s">
        <v>605</v>
      </c>
      <c r="F68" s="510" t="s">
        <v>605</v>
      </c>
      <c r="G68" s="510" t="s">
        <v>605</v>
      </c>
      <c r="H68" s="510" t="s">
        <v>605</v>
      </c>
      <c r="J68" s="510" t="s">
        <v>605</v>
      </c>
      <c r="K68" s="510" t="s">
        <v>605</v>
      </c>
      <c r="L68" s="510" t="s">
        <v>605</v>
      </c>
      <c r="M68" s="510" t="s">
        <v>605</v>
      </c>
      <c r="N68" s="505" t="s">
        <v>605</v>
      </c>
      <c r="O68" s="509" t="s">
        <v>605</v>
      </c>
      <c r="P68" s="509" t="s">
        <v>605</v>
      </c>
      <c r="Q68" s="509" t="s">
        <v>605</v>
      </c>
      <c r="R68" s="510" t="s">
        <v>605</v>
      </c>
      <c r="S68" s="510" t="s">
        <v>605</v>
      </c>
      <c r="T68" s="510" t="s">
        <v>605</v>
      </c>
      <c r="U68" s="510" t="s">
        <v>605</v>
      </c>
      <c r="W68" s="510" t="s">
        <v>605</v>
      </c>
      <c r="X68" s="510" t="s">
        <v>605</v>
      </c>
      <c r="Y68" s="510" t="s">
        <v>605</v>
      </c>
      <c r="Z68" s="510" t="s">
        <v>605</v>
      </c>
    </row>
    <row r="69" spans="1:26" ht="12.2" customHeight="1">
      <c r="A69" s="500" t="str">
        <f>A17</f>
        <v/>
      </c>
      <c r="B69" s="506"/>
      <c r="C69" s="506"/>
      <c r="D69" s="506"/>
      <c r="E69" s="502"/>
      <c r="F69" s="502"/>
      <c r="G69" s="502"/>
      <c r="H69" s="502"/>
      <c r="J69" s="502">
        <f>SUM(J63:J67)</f>
        <v>0</v>
      </c>
      <c r="K69" s="502">
        <f>SUM(K63:K67)</f>
        <v>0</v>
      </c>
      <c r="L69" s="502">
        <f>SUM(L63:L67)</f>
        <v>0</v>
      </c>
      <c r="M69" s="502">
        <f>SUM(M63:M67)</f>
        <v>0</v>
      </c>
      <c r="N69" s="501" t="str">
        <f>+A23</f>
        <v/>
      </c>
      <c r="O69" s="506"/>
      <c r="P69" s="506"/>
      <c r="Q69" s="506"/>
      <c r="R69" s="502"/>
      <c r="S69" s="502"/>
      <c r="T69" s="502"/>
      <c r="U69" s="502"/>
      <c r="W69" s="502">
        <f>SUM(W63:W67)</f>
        <v>0</v>
      </c>
      <c r="X69" s="502">
        <f>SUM(X63:X67)</f>
        <v>0</v>
      </c>
      <c r="Y69" s="502">
        <f>SUM(Y63:Y67)</f>
        <v>0</v>
      </c>
      <c r="Z69" s="502">
        <f>SUM(Z63:Z67)</f>
        <v>0</v>
      </c>
    </row>
    <row r="70" spans="1:26" ht="12.2" customHeight="1">
      <c r="B70" s="506"/>
      <c r="C70" s="506"/>
      <c r="D70" s="506"/>
      <c r="E70" s="502"/>
      <c r="F70" s="502"/>
      <c r="G70" s="502"/>
      <c r="H70" s="502"/>
      <c r="J70" s="502"/>
      <c r="K70" s="502"/>
      <c r="L70" s="502"/>
      <c r="M70" s="502"/>
      <c r="O70" s="506"/>
      <c r="P70" s="506"/>
      <c r="Q70" s="506"/>
      <c r="R70" s="502"/>
      <c r="S70" s="502"/>
      <c r="T70" s="502"/>
      <c r="U70" s="502"/>
      <c r="W70" s="502"/>
      <c r="X70" s="502"/>
      <c r="Y70" s="502"/>
      <c r="Z70" s="502"/>
    </row>
    <row r="71" spans="1:26" ht="12.2" customHeight="1">
      <c r="A71" s="501">
        <f>+'datos de entrada'!A270</f>
        <v>0</v>
      </c>
      <c r="B71" s="506">
        <f>+'datos de entrada'!B270</f>
        <v>0</v>
      </c>
      <c r="C71" s="506">
        <f>+'datos de entrada'!C270</f>
        <v>0</v>
      </c>
      <c r="D71" s="506">
        <f>C71*B71</f>
        <v>0</v>
      </c>
      <c r="E71" s="502">
        <f>+'datos de entrada'!D270</f>
        <v>0</v>
      </c>
      <c r="F71" s="502">
        <f>+'datos de entrada'!E270</f>
        <v>0</v>
      </c>
      <c r="G71" s="502">
        <f>+'datos de entrada'!F270</f>
        <v>0</v>
      </c>
      <c r="H71" s="502">
        <f>+'datos de entrada'!G270</f>
        <v>0</v>
      </c>
      <c r="I71" s="507"/>
      <c r="J71" s="502">
        <f t="shared" ref="J71:M75" si="5">IF($B$109=0,0,E71*$D71/$B$109)</f>
        <v>0</v>
      </c>
      <c r="K71" s="502">
        <f t="shared" si="5"/>
        <v>0</v>
      </c>
      <c r="L71" s="502">
        <f t="shared" si="5"/>
        <v>0</v>
      </c>
      <c r="M71" s="502">
        <f t="shared" si="5"/>
        <v>0</v>
      </c>
      <c r="N71" s="501">
        <f>+'datos de entrada'!I270</f>
        <v>0</v>
      </c>
      <c r="O71" s="506">
        <f>+'datos de entrada'!J270</f>
        <v>0</v>
      </c>
      <c r="P71" s="506">
        <f>+'datos de entrada'!K270</f>
        <v>0</v>
      </c>
      <c r="Q71" s="506">
        <f>P71*O71</f>
        <v>0</v>
      </c>
      <c r="R71" s="502">
        <f>+'datos de entrada'!L270</f>
        <v>0</v>
      </c>
      <c r="S71" s="502">
        <f>+'datos de entrada'!M270</f>
        <v>0</v>
      </c>
      <c r="T71" s="502">
        <f>+'datos de entrada'!N270</f>
        <v>0</v>
      </c>
      <c r="U71" s="502">
        <f>+'datos de entrada'!O270</f>
        <v>0</v>
      </c>
      <c r="W71" s="502">
        <f t="shared" ref="W71:Z75" si="6">IF($B$115=0,0,R71*$Q71/$B$115)</f>
        <v>0</v>
      </c>
      <c r="X71" s="502">
        <f t="shared" si="6"/>
        <v>0</v>
      </c>
      <c r="Y71" s="502">
        <f t="shared" si="6"/>
        <v>0</v>
      </c>
      <c r="Z71" s="502">
        <f t="shared" si="6"/>
        <v>0</v>
      </c>
    </row>
    <row r="72" spans="1:26" ht="12.2" customHeight="1">
      <c r="A72" s="501">
        <f>+'datos de entrada'!A271</f>
        <v>0</v>
      </c>
      <c r="B72" s="506">
        <f>+'datos de entrada'!B271</f>
        <v>0</v>
      </c>
      <c r="C72" s="506">
        <f>+'datos de entrada'!C271</f>
        <v>0</v>
      </c>
      <c r="D72" s="506">
        <f>C72*B72</f>
        <v>0</v>
      </c>
      <c r="E72" s="502">
        <f>+'datos de entrada'!D271</f>
        <v>0</v>
      </c>
      <c r="F72" s="502">
        <f>+'datos de entrada'!E271</f>
        <v>0</v>
      </c>
      <c r="G72" s="502">
        <f>+'datos de entrada'!F271</f>
        <v>0</v>
      </c>
      <c r="H72" s="502">
        <f>+'datos de entrada'!G271</f>
        <v>0</v>
      </c>
      <c r="I72" s="507"/>
      <c r="J72" s="502">
        <f t="shared" si="5"/>
        <v>0</v>
      </c>
      <c r="K72" s="502">
        <f t="shared" si="5"/>
        <v>0</v>
      </c>
      <c r="L72" s="502">
        <f t="shared" si="5"/>
        <v>0</v>
      </c>
      <c r="M72" s="502">
        <f t="shared" si="5"/>
        <v>0</v>
      </c>
      <c r="N72" s="501">
        <f>+'datos de entrada'!I271</f>
        <v>0</v>
      </c>
      <c r="O72" s="506">
        <f>+'datos de entrada'!J271</f>
        <v>0</v>
      </c>
      <c r="P72" s="506">
        <f>+'datos de entrada'!K271</f>
        <v>0</v>
      </c>
      <c r="Q72" s="506">
        <f>P72*O72</f>
        <v>0</v>
      </c>
      <c r="R72" s="502">
        <f>+'datos de entrada'!L271</f>
        <v>0</v>
      </c>
      <c r="S72" s="502">
        <f>+'datos de entrada'!M271</f>
        <v>0</v>
      </c>
      <c r="T72" s="502">
        <f>+'datos de entrada'!N271</f>
        <v>0</v>
      </c>
      <c r="U72" s="502">
        <f>+'datos de entrada'!O271</f>
        <v>0</v>
      </c>
      <c r="W72" s="502">
        <f t="shared" si="6"/>
        <v>0</v>
      </c>
      <c r="X72" s="502">
        <f t="shared" si="6"/>
        <v>0</v>
      </c>
      <c r="Y72" s="502">
        <f t="shared" si="6"/>
        <v>0</v>
      </c>
      <c r="Z72" s="502">
        <f t="shared" si="6"/>
        <v>0</v>
      </c>
    </row>
    <row r="73" spans="1:26" ht="12.2" customHeight="1">
      <c r="A73" s="501">
        <f>+'datos de entrada'!A272</f>
        <v>0</v>
      </c>
      <c r="B73" s="506">
        <f>+'datos de entrada'!B272</f>
        <v>0</v>
      </c>
      <c r="C73" s="506">
        <f>+'datos de entrada'!C272</f>
        <v>0</v>
      </c>
      <c r="D73" s="506">
        <f>C73*B73</f>
        <v>0</v>
      </c>
      <c r="E73" s="502">
        <f>+'datos de entrada'!D272</f>
        <v>0</v>
      </c>
      <c r="F73" s="502">
        <f>+'datos de entrada'!E272</f>
        <v>0</v>
      </c>
      <c r="G73" s="502">
        <f>+'datos de entrada'!F272</f>
        <v>0</v>
      </c>
      <c r="H73" s="502">
        <f>+'datos de entrada'!G272</f>
        <v>0</v>
      </c>
      <c r="I73" s="507"/>
      <c r="J73" s="502">
        <f t="shared" si="5"/>
        <v>0</v>
      </c>
      <c r="K73" s="502">
        <f t="shared" si="5"/>
        <v>0</v>
      </c>
      <c r="L73" s="502">
        <f t="shared" si="5"/>
        <v>0</v>
      </c>
      <c r="M73" s="502">
        <f t="shared" si="5"/>
        <v>0</v>
      </c>
      <c r="N73" s="501">
        <f>+'datos de entrada'!I272</f>
        <v>0</v>
      </c>
      <c r="O73" s="506">
        <f>+'datos de entrada'!J272</f>
        <v>0</v>
      </c>
      <c r="P73" s="506">
        <f>+'datos de entrada'!K272</f>
        <v>0</v>
      </c>
      <c r="Q73" s="506">
        <f>P73*O73</f>
        <v>0</v>
      </c>
      <c r="R73" s="502">
        <f>+'datos de entrada'!L272</f>
        <v>0</v>
      </c>
      <c r="S73" s="502">
        <f>+'datos de entrada'!M272</f>
        <v>0</v>
      </c>
      <c r="T73" s="502">
        <f>+'datos de entrada'!N272</f>
        <v>0</v>
      </c>
      <c r="U73" s="502">
        <f>+'datos de entrada'!O272</f>
        <v>0</v>
      </c>
      <c r="W73" s="502">
        <f t="shared" si="6"/>
        <v>0</v>
      </c>
      <c r="X73" s="502">
        <f t="shared" si="6"/>
        <v>0</v>
      </c>
      <c r="Y73" s="502">
        <f t="shared" si="6"/>
        <v>0</v>
      </c>
      <c r="Z73" s="502">
        <f t="shared" si="6"/>
        <v>0</v>
      </c>
    </row>
    <row r="74" spans="1:26" ht="12.2" customHeight="1">
      <c r="A74" s="501">
        <f>+'datos de entrada'!A273</f>
        <v>0</v>
      </c>
      <c r="B74" s="506">
        <f>+'datos de entrada'!B273</f>
        <v>0</v>
      </c>
      <c r="C74" s="506">
        <f>+'datos de entrada'!C273</f>
        <v>0</v>
      </c>
      <c r="D74" s="506">
        <f>C74*B74</f>
        <v>0</v>
      </c>
      <c r="E74" s="502">
        <f>+'datos de entrada'!D273</f>
        <v>0</v>
      </c>
      <c r="F74" s="502">
        <f>+'datos de entrada'!E273</f>
        <v>0</v>
      </c>
      <c r="G74" s="502">
        <f>+'datos de entrada'!F273</f>
        <v>0</v>
      </c>
      <c r="H74" s="502">
        <f>+'datos de entrada'!G273</f>
        <v>0</v>
      </c>
      <c r="I74" s="507"/>
      <c r="J74" s="502">
        <f t="shared" si="5"/>
        <v>0</v>
      </c>
      <c r="K74" s="502">
        <f t="shared" si="5"/>
        <v>0</v>
      </c>
      <c r="L74" s="502">
        <f t="shared" si="5"/>
        <v>0</v>
      </c>
      <c r="M74" s="502">
        <f t="shared" si="5"/>
        <v>0</v>
      </c>
      <c r="N74" s="501">
        <f>+'datos de entrada'!I273</f>
        <v>0</v>
      </c>
      <c r="O74" s="506">
        <f>+'datos de entrada'!J273</f>
        <v>0</v>
      </c>
      <c r="P74" s="506">
        <f>+'datos de entrada'!K273</f>
        <v>0</v>
      </c>
      <c r="Q74" s="506">
        <f>P74*O74</f>
        <v>0</v>
      </c>
      <c r="R74" s="502">
        <f>+'datos de entrada'!L273</f>
        <v>0</v>
      </c>
      <c r="S74" s="502">
        <f>+'datos de entrada'!M273</f>
        <v>0</v>
      </c>
      <c r="T74" s="502">
        <f>+'datos de entrada'!N273</f>
        <v>0</v>
      </c>
      <c r="U74" s="502">
        <f>+'datos de entrada'!O273</f>
        <v>0</v>
      </c>
      <c r="W74" s="502">
        <f t="shared" si="6"/>
        <v>0</v>
      </c>
      <c r="X74" s="502">
        <f t="shared" si="6"/>
        <v>0</v>
      </c>
      <c r="Y74" s="502">
        <f t="shared" si="6"/>
        <v>0</v>
      </c>
      <c r="Z74" s="502">
        <f t="shared" si="6"/>
        <v>0</v>
      </c>
    </row>
    <row r="75" spans="1:26" ht="12.2" customHeight="1">
      <c r="A75" s="501">
        <f>+'datos de entrada'!A274</f>
        <v>0</v>
      </c>
      <c r="B75" s="506">
        <f>+'datos de entrada'!B274</f>
        <v>0</v>
      </c>
      <c r="C75" s="506">
        <f>+'datos de entrada'!C274</f>
        <v>0</v>
      </c>
      <c r="D75" s="506">
        <f>C75*B75</f>
        <v>0</v>
      </c>
      <c r="E75" s="502">
        <f>+'datos de entrada'!D274</f>
        <v>0</v>
      </c>
      <c r="F75" s="502">
        <f>+'datos de entrada'!E274</f>
        <v>0</v>
      </c>
      <c r="G75" s="502">
        <f>+'datos de entrada'!F274</f>
        <v>0</v>
      </c>
      <c r="H75" s="502">
        <f>+'datos de entrada'!G274</f>
        <v>0</v>
      </c>
      <c r="I75" s="507"/>
      <c r="J75" s="502">
        <f t="shared" si="5"/>
        <v>0</v>
      </c>
      <c r="K75" s="502">
        <f t="shared" si="5"/>
        <v>0</v>
      </c>
      <c r="L75" s="502">
        <f t="shared" si="5"/>
        <v>0</v>
      </c>
      <c r="M75" s="502">
        <f t="shared" si="5"/>
        <v>0</v>
      </c>
      <c r="N75" s="501">
        <f>+'datos de entrada'!I274</f>
        <v>0</v>
      </c>
      <c r="O75" s="506">
        <f>+'datos de entrada'!J274</f>
        <v>0</v>
      </c>
      <c r="P75" s="506">
        <f>+'datos de entrada'!K274</f>
        <v>0</v>
      </c>
      <c r="Q75" s="506">
        <f>P75*O75</f>
        <v>0</v>
      </c>
      <c r="R75" s="502">
        <f>+'datos de entrada'!L274</f>
        <v>0</v>
      </c>
      <c r="S75" s="502">
        <f>+'datos de entrada'!M274</f>
        <v>0</v>
      </c>
      <c r="T75" s="502">
        <f>+'datos de entrada'!N274</f>
        <v>0</v>
      </c>
      <c r="U75" s="502">
        <f>+'datos de entrada'!O274</f>
        <v>0</v>
      </c>
      <c r="W75" s="502">
        <f t="shared" si="6"/>
        <v>0</v>
      </c>
      <c r="X75" s="502">
        <f t="shared" si="6"/>
        <v>0</v>
      </c>
      <c r="Y75" s="502">
        <f t="shared" si="6"/>
        <v>0</v>
      </c>
      <c r="Z75" s="502">
        <f t="shared" si="6"/>
        <v>0</v>
      </c>
    </row>
    <row r="76" spans="1:26" ht="12.2" customHeight="1">
      <c r="A76" s="505" t="s">
        <v>605</v>
      </c>
      <c r="B76" s="509" t="s">
        <v>605</v>
      </c>
      <c r="C76" s="509" t="s">
        <v>605</v>
      </c>
      <c r="D76" s="509" t="s">
        <v>605</v>
      </c>
      <c r="E76" s="510" t="s">
        <v>605</v>
      </c>
      <c r="F76" s="510" t="s">
        <v>605</v>
      </c>
      <c r="G76" s="510" t="s">
        <v>605</v>
      </c>
      <c r="H76" s="510" t="s">
        <v>605</v>
      </c>
      <c r="J76" s="510" t="s">
        <v>605</v>
      </c>
      <c r="K76" s="510" t="s">
        <v>605</v>
      </c>
      <c r="L76" s="510" t="s">
        <v>605</v>
      </c>
      <c r="M76" s="510" t="s">
        <v>605</v>
      </c>
      <c r="N76" s="505" t="s">
        <v>605</v>
      </c>
      <c r="O76" s="509" t="s">
        <v>605</v>
      </c>
      <c r="P76" s="509" t="s">
        <v>605</v>
      </c>
      <c r="Q76" s="509" t="s">
        <v>605</v>
      </c>
      <c r="R76" s="510" t="s">
        <v>605</v>
      </c>
      <c r="S76" s="510" t="s">
        <v>605</v>
      </c>
      <c r="T76" s="510" t="s">
        <v>605</v>
      </c>
      <c r="U76" s="510" t="s">
        <v>605</v>
      </c>
      <c r="W76" s="510" t="s">
        <v>605</v>
      </c>
      <c r="X76" s="510" t="s">
        <v>605</v>
      </c>
      <c r="Y76" s="510" t="s">
        <v>605</v>
      </c>
      <c r="Z76" s="510" t="s">
        <v>605</v>
      </c>
    </row>
    <row r="77" spans="1:26" ht="12.2" customHeight="1">
      <c r="A77" s="500" t="str">
        <f>A18</f>
        <v/>
      </c>
      <c r="B77" s="506"/>
      <c r="C77" s="506"/>
      <c r="D77" s="506"/>
      <c r="E77" s="502"/>
      <c r="F77" s="502"/>
      <c r="G77" s="502"/>
      <c r="H77" s="502"/>
      <c r="J77" s="502">
        <f>SUM(J71:J75)</f>
        <v>0</v>
      </c>
      <c r="K77" s="502">
        <f>SUM(K71:K75)</f>
        <v>0</v>
      </c>
      <c r="L77" s="502">
        <f>SUM(L71:L75)</f>
        <v>0</v>
      </c>
      <c r="M77" s="502">
        <f>SUM(M71:M75)</f>
        <v>0</v>
      </c>
      <c r="N77" s="501" t="str">
        <f>+A24</f>
        <v/>
      </c>
      <c r="O77" s="506"/>
      <c r="P77" s="506"/>
      <c r="Q77" s="506"/>
      <c r="R77" s="502"/>
      <c r="S77" s="502"/>
      <c r="T77" s="502"/>
      <c r="U77" s="502"/>
      <c r="W77" s="502">
        <f>SUM(W71:W75)</f>
        <v>0</v>
      </c>
      <c r="X77" s="502">
        <f>SUM(X71:X75)</f>
        <v>0</v>
      </c>
      <c r="Y77" s="502">
        <f>SUM(Y71:Y75)</f>
        <v>0</v>
      </c>
      <c r="Z77" s="502">
        <f>SUM(Z71:Z75)</f>
        <v>0</v>
      </c>
    </row>
    <row r="78" spans="1:26" ht="12.2" customHeight="1">
      <c r="B78" s="506"/>
      <c r="C78" s="506"/>
      <c r="D78" s="506"/>
      <c r="E78" s="502"/>
      <c r="F78" s="502"/>
      <c r="G78" s="502"/>
      <c r="H78" s="502"/>
      <c r="J78" s="502"/>
      <c r="K78" s="502"/>
      <c r="L78" s="502"/>
      <c r="M78" s="502"/>
      <c r="O78" s="506"/>
      <c r="P78" s="506"/>
      <c r="Q78" s="506"/>
      <c r="R78" s="502"/>
      <c r="S78" s="502"/>
      <c r="T78" s="502"/>
      <c r="U78" s="502"/>
      <c r="W78" s="502"/>
      <c r="X78" s="502"/>
      <c r="Y78" s="502"/>
      <c r="Z78" s="502"/>
    </row>
    <row r="79" spans="1:26" ht="12.2" customHeight="1">
      <c r="A79" s="501">
        <f>+'datos de entrada'!A280</f>
        <v>0</v>
      </c>
      <c r="B79" s="506">
        <f>+'datos de entrada'!B280</f>
        <v>0</v>
      </c>
      <c r="C79" s="506">
        <f>+'datos de entrada'!C280</f>
        <v>0</v>
      </c>
      <c r="D79" s="506">
        <f>C79*B79</f>
        <v>0</v>
      </c>
      <c r="E79" s="502">
        <f>+'datos de entrada'!D280</f>
        <v>0</v>
      </c>
      <c r="F79" s="502">
        <f>+'datos de entrada'!E280</f>
        <v>0</v>
      </c>
      <c r="G79" s="502">
        <f>+'datos de entrada'!F280</f>
        <v>0</v>
      </c>
      <c r="H79" s="502">
        <f>+'datos de entrada'!G280</f>
        <v>0</v>
      </c>
      <c r="I79" s="507"/>
      <c r="J79" s="502">
        <f t="shared" ref="J79:M83" si="7">IF($B$110=0,0,E79*$D79/$B$110)</f>
        <v>0</v>
      </c>
      <c r="K79" s="502">
        <f t="shared" si="7"/>
        <v>0</v>
      </c>
      <c r="L79" s="502">
        <f t="shared" si="7"/>
        <v>0</v>
      </c>
      <c r="M79" s="502">
        <f t="shared" si="7"/>
        <v>0</v>
      </c>
      <c r="N79" s="501">
        <f>+'datos de entrada'!I280</f>
        <v>0</v>
      </c>
      <c r="O79" s="506">
        <f>+'datos de entrada'!J280</f>
        <v>0</v>
      </c>
      <c r="P79" s="506">
        <f>+'datos de entrada'!K280</f>
        <v>0</v>
      </c>
      <c r="Q79" s="506">
        <f>P79*O79</f>
        <v>0</v>
      </c>
      <c r="R79" s="502">
        <f>+'datos de entrada'!L280</f>
        <v>0</v>
      </c>
      <c r="S79" s="502">
        <f>+'datos de entrada'!M280</f>
        <v>0</v>
      </c>
      <c r="T79" s="502">
        <f>+'datos de entrada'!N280</f>
        <v>0</v>
      </c>
      <c r="U79" s="502">
        <f>+'datos de entrada'!O280</f>
        <v>0</v>
      </c>
      <c r="W79" s="502">
        <f t="shared" ref="W79:Z83" si="8">IF($B$116=0,0,R79*$Q79/$B$116)</f>
        <v>0</v>
      </c>
      <c r="X79" s="502">
        <f t="shared" si="8"/>
        <v>0</v>
      </c>
      <c r="Y79" s="502">
        <f t="shared" si="8"/>
        <v>0</v>
      </c>
      <c r="Z79" s="502">
        <f t="shared" si="8"/>
        <v>0</v>
      </c>
    </row>
    <row r="80" spans="1:26" ht="12.2" customHeight="1">
      <c r="A80" s="501">
        <f>+'datos de entrada'!A281</f>
        <v>0</v>
      </c>
      <c r="B80" s="506">
        <f>+'datos de entrada'!B281</f>
        <v>0</v>
      </c>
      <c r="C80" s="506">
        <f>+'datos de entrada'!C281</f>
        <v>0</v>
      </c>
      <c r="D80" s="506">
        <f>C80*B80</f>
        <v>0</v>
      </c>
      <c r="E80" s="502">
        <f>+'datos de entrada'!D281</f>
        <v>0</v>
      </c>
      <c r="F80" s="502">
        <f>+'datos de entrada'!E281</f>
        <v>0</v>
      </c>
      <c r="G80" s="502">
        <f>+'datos de entrada'!F281</f>
        <v>0</v>
      </c>
      <c r="H80" s="502">
        <f>+'datos de entrada'!G281</f>
        <v>0</v>
      </c>
      <c r="I80" s="507"/>
      <c r="J80" s="502">
        <f t="shared" si="7"/>
        <v>0</v>
      </c>
      <c r="K80" s="502">
        <f t="shared" si="7"/>
        <v>0</v>
      </c>
      <c r="L80" s="502">
        <f t="shared" si="7"/>
        <v>0</v>
      </c>
      <c r="M80" s="502">
        <f t="shared" si="7"/>
        <v>0</v>
      </c>
      <c r="N80" s="501">
        <f>+'datos de entrada'!I281</f>
        <v>0</v>
      </c>
      <c r="O80" s="506">
        <f>+'datos de entrada'!J281</f>
        <v>0</v>
      </c>
      <c r="P80" s="506">
        <f>+'datos de entrada'!K281</f>
        <v>0</v>
      </c>
      <c r="Q80" s="506">
        <f>P80*O80</f>
        <v>0</v>
      </c>
      <c r="R80" s="502">
        <f>+'datos de entrada'!L281</f>
        <v>0</v>
      </c>
      <c r="S80" s="502">
        <f>+'datos de entrada'!M281</f>
        <v>0</v>
      </c>
      <c r="T80" s="502">
        <f>+'datos de entrada'!N281</f>
        <v>0</v>
      </c>
      <c r="U80" s="502">
        <f>+'datos de entrada'!O281</f>
        <v>0</v>
      </c>
      <c r="W80" s="502">
        <f t="shared" si="8"/>
        <v>0</v>
      </c>
      <c r="X80" s="502">
        <f t="shared" si="8"/>
        <v>0</v>
      </c>
      <c r="Y80" s="502">
        <f t="shared" si="8"/>
        <v>0</v>
      </c>
      <c r="Z80" s="502">
        <f t="shared" si="8"/>
        <v>0</v>
      </c>
    </row>
    <row r="81" spans="1:26" ht="12.2" customHeight="1">
      <c r="A81" s="501">
        <f>+'datos de entrada'!A282</f>
        <v>0</v>
      </c>
      <c r="B81" s="506">
        <f>+'datos de entrada'!B282</f>
        <v>0</v>
      </c>
      <c r="C81" s="506">
        <f>+'datos de entrada'!C282</f>
        <v>0</v>
      </c>
      <c r="D81" s="506">
        <f>C81*B81</f>
        <v>0</v>
      </c>
      <c r="E81" s="502">
        <f>+'datos de entrada'!D282</f>
        <v>0</v>
      </c>
      <c r="F81" s="502">
        <f>+'datos de entrada'!E282</f>
        <v>0</v>
      </c>
      <c r="G81" s="502">
        <f>+'datos de entrada'!F282</f>
        <v>0</v>
      </c>
      <c r="H81" s="502">
        <f>+'datos de entrada'!G282</f>
        <v>0</v>
      </c>
      <c r="I81" s="507"/>
      <c r="J81" s="502">
        <f t="shared" si="7"/>
        <v>0</v>
      </c>
      <c r="K81" s="502">
        <f t="shared" si="7"/>
        <v>0</v>
      </c>
      <c r="L81" s="502">
        <f t="shared" si="7"/>
        <v>0</v>
      </c>
      <c r="M81" s="502">
        <f t="shared" si="7"/>
        <v>0</v>
      </c>
      <c r="N81" s="501">
        <f>+'datos de entrada'!I282</f>
        <v>0</v>
      </c>
      <c r="O81" s="506">
        <f>+'datos de entrada'!J282</f>
        <v>0</v>
      </c>
      <c r="P81" s="506">
        <f>+'datos de entrada'!K282</f>
        <v>0</v>
      </c>
      <c r="Q81" s="506">
        <f>P81*O81</f>
        <v>0</v>
      </c>
      <c r="R81" s="502">
        <f>+'datos de entrada'!L282</f>
        <v>0</v>
      </c>
      <c r="S81" s="502">
        <f>+'datos de entrada'!M282</f>
        <v>0</v>
      </c>
      <c r="T81" s="502">
        <f>+'datos de entrada'!N282</f>
        <v>0</v>
      </c>
      <c r="U81" s="502">
        <f>+'datos de entrada'!O282</f>
        <v>0</v>
      </c>
      <c r="W81" s="502">
        <f t="shared" si="8"/>
        <v>0</v>
      </c>
      <c r="X81" s="502">
        <f t="shared" si="8"/>
        <v>0</v>
      </c>
      <c r="Y81" s="502">
        <f t="shared" si="8"/>
        <v>0</v>
      </c>
      <c r="Z81" s="502">
        <f t="shared" si="8"/>
        <v>0</v>
      </c>
    </row>
    <row r="82" spans="1:26" ht="12.2" customHeight="1">
      <c r="A82" s="501">
        <f>+'datos de entrada'!A283</f>
        <v>0</v>
      </c>
      <c r="B82" s="506">
        <f>+'datos de entrada'!B283</f>
        <v>0</v>
      </c>
      <c r="C82" s="506">
        <f>+'datos de entrada'!C283</f>
        <v>0</v>
      </c>
      <c r="D82" s="506">
        <f>C82*B82</f>
        <v>0</v>
      </c>
      <c r="E82" s="502">
        <f>+'datos de entrada'!D283</f>
        <v>0</v>
      </c>
      <c r="F82" s="502">
        <f>+'datos de entrada'!E283</f>
        <v>0</v>
      </c>
      <c r="G82" s="502">
        <f>+'datos de entrada'!F283</f>
        <v>0</v>
      </c>
      <c r="H82" s="502">
        <f>+'datos de entrada'!G283</f>
        <v>0</v>
      </c>
      <c r="I82" s="507"/>
      <c r="J82" s="502">
        <f t="shared" si="7"/>
        <v>0</v>
      </c>
      <c r="K82" s="502">
        <f t="shared" si="7"/>
        <v>0</v>
      </c>
      <c r="L82" s="502">
        <f t="shared" si="7"/>
        <v>0</v>
      </c>
      <c r="M82" s="502">
        <f t="shared" si="7"/>
        <v>0</v>
      </c>
      <c r="N82" s="501">
        <f>+'datos de entrada'!I283</f>
        <v>0</v>
      </c>
      <c r="O82" s="506">
        <f>+'datos de entrada'!J283</f>
        <v>0</v>
      </c>
      <c r="P82" s="506">
        <f>+'datos de entrada'!K283</f>
        <v>0</v>
      </c>
      <c r="Q82" s="506">
        <f>P82*O82</f>
        <v>0</v>
      </c>
      <c r="R82" s="502">
        <f>+'datos de entrada'!L283</f>
        <v>0</v>
      </c>
      <c r="S82" s="502">
        <f>+'datos de entrada'!M283</f>
        <v>0</v>
      </c>
      <c r="T82" s="502">
        <f>+'datos de entrada'!N283</f>
        <v>0</v>
      </c>
      <c r="U82" s="502">
        <f>+'datos de entrada'!O283</f>
        <v>0</v>
      </c>
      <c r="W82" s="502">
        <f t="shared" si="8"/>
        <v>0</v>
      </c>
      <c r="X82" s="502">
        <f t="shared" si="8"/>
        <v>0</v>
      </c>
      <c r="Y82" s="502">
        <f t="shared" si="8"/>
        <v>0</v>
      </c>
      <c r="Z82" s="502">
        <f t="shared" si="8"/>
        <v>0</v>
      </c>
    </row>
    <row r="83" spans="1:26" ht="12.2" customHeight="1">
      <c r="A83" s="501">
        <f>+'datos de entrada'!A284</f>
        <v>0</v>
      </c>
      <c r="B83" s="506">
        <f>+'datos de entrada'!B284</f>
        <v>0</v>
      </c>
      <c r="C83" s="506">
        <f>+'datos de entrada'!C284</f>
        <v>0</v>
      </c>
      <c r="D83" s="506">
        <f>C83*B83</f>
        <v>0</v>
      </c>
      <c r="E83" s="502">
        <f>+'datos de entrada'!D284</f>
        <v>0</v>
      </c>
      <c r="F83" s="502">
        <f>+'datos de entrada'!E284</f>
        <v>0</v>
      </c>
      <c r="G83" s="502">
        <f>+'datos de entrada'!F284</f>
        <v>0</v>
      </c>
      <c r="H83" s="502">
        <f>+'datos de entrada'!G284</f>
        <v>0</v>
      </c>
      <c r="I83" s="507"/>
      <c r="J83" s="502">
        <f t="shared" si="7"/>
        <v>0</v>
      </c>
      <c r="K83" s="502">
        <f t="shared" si="7"/>
        <v>0</v>
      </c>
      <c r="L83" s="502">
        <f t="shared" si="7"/>
        <v>0</v>
      </c>
      <c r="M83" s="502">
        <f t="shared" si="7"/>
        <v>0</v>
      </c>
      <c r="N83" s="501">
        <f>+'datos de entrada'!I284</f>
        <v>0</v>
      </c>
      <c r="O83" s="506">
        <f>+'datos de entrada'!J284</f>
        <v>0</v>
      </c>
      <c r="P83" s="506">
        <f>+'datos de entrada'!K284</f>
        <v>0</v>
      </c>
      <c r="Q83" s="506">
        <f>P83*O83</f>
        <v>0</v>
      </c>
      <c r="R83" s="502">
        <f>+'datos de entrada'!L284</f>
        <v>0</v>
      </c>
      <c r="S83" s="502">
        <f>+'datos de entrada'!M284</f>
        <v>0</v>
      </c>
      <c r="T83" s="502">
        <f>+'datos de entrada'!N284</f>
        <v>0</v>
      </c>
      <c r="U83" s="502">
        <f>+'datos de entrada'!O284</f>
        <v>0</v>
      </c>
      <c r="W83" s="502">
        <f t="shared" si="8"/>
        <v>0</v>
      </c>
      <c r="X83" s="502">
        <f t="shared" si="8"/>
        <v>0</v>
      </c>
      <c r="Y83" s="502">
        <f t="shared" si="8"/>
        <v>0</v>
      </c>
      <c r="Z83" s="502">
        <f t="shared" si="8"/>
        <v>0</v>
      </c>
    </row>
    <row r="84" spans="1:26" ht="12.2" customHeight="1">
      <c r="A84" s="505" t="s">
        <v>605</v>
      </c>
      <c r="B84" s="509" t="s">
        <v>605</v>
      </c>
      <c r="C84" s="509" t="s">
        <v>605</v>
      </c>
      <c r="D84" s="509" t="s">
        <v>605</v>
      </c>
      <c r="E84" s="510" t="s">
        <v>605</v>
      </c>
      <c r="F84" s="510" t="s">
        <v>605</v>
      </c>
      <c r="G84" s="510" t="s">
        <v>605</v>
      </c>
      <c r="H84" s="510" t="s">
        <v>605</v>
      </c>
      <c r="J84" s="510" t="s">
        <v>605</v>
      </c>
      <c r="K84" s="510" t="s">
        <v>605</v>
      </c>
      <c r="L84" s="510" t="s">
        <v>605</v>
      </c>
      <c r="M84" s="510" t="s">
        <v>605</v>
      </c>
      <c r="N84" s="505" t="s">
        <v>605</v>
      </c>
      <c r="O84" s="509" t="s">
        <v>605</v>
      </c>
      <c r="P84" s="509" t="s">
        <v>605</v>
      </c>
      <c r="Q84" s="509" t="s">
        <v>605</v>
      </c>
      <c r="R84" s="510" t="s">
        <v>605</v>
      </c>
      <c r="S84" s="510" t="s">
        <v>605</v>
      </c>
      <c r="T84" s="510" t="s">
        <v>605</v>
      </c>
      <c r="U84" s="510" t="s">
        <v>605</v>
      </c>
      <c r="W84" s="510" t="s">
        <v>605</v>
      </c>
      <c r="X84" s="510" t="s">
        <v>605</v>
      </c>
      <c r="Y84" s="510" t="s">
        <v>605</v>
      </c>
      <c r="Z84" s="510" t="s">
        <v>605</v>
      </c>
    </row>
    <row r="85" spans="1:26" ht="12.2" customHeight="1">
      <c r="A85" s="500" t="str">
        <f>A19</f>
        <v/>
      </c>
      <c r="B85" s="506"/>
      <c r="C85" s="506"/>
      <c r="D85" s="506"/>
      <c r="E85" s="502"/>
      <c r="F85" s="502"/>
      <c r="G85" s="502"/>
      <c r="H85" s="502"/>
      <c r="J85" s="502">
        <f>SUM(J79:J83)</f>
        <v>0</v>
      </c>
      <c r="K85" s="502">
        <f>SUM(K79:K83)</f>
        <v>0</v>
      </c>
      <c r="L85" s="502">
        <f>SUM(L79:L83)</f>
        <v>0</v>
      </c>
      <c r="M85" s="502">
        <f>SUM(M79:M83)</f>
        <v>0</v>
      </c>
      <c r="N85" s="501" t="str">
        <f>+A25</f>
        <v/>
      </c>
      <c r="O85" s="506"/>
      <c r="P85" s="506"/>
      <c r="Q85" s="506"/>
      <c r="R85" s="502"/>
      <c r="S85" s="502"/>
      <c r="T85" s="502"/>
      <c r="U85" s="502"/>
      <c r="W85" s="502">
        <f>SUM(W79:W83)</f>
        <v>0</v>
      </c>
      <c r="X85" s="502">
        <f>SUM(X79:X83)</f>
        <v>0</v>
      </c>
      <c r="Y85" s="502">
        <f>SUM(Y79:Y83)</f>
        <v>0</v>
      </c>
      <c r="Z85" s="502">
        <f>SUM(Z79:Z83)</f>
        <v>0</v>
      </c>
    </row>
    <row r="86" spans="1:26" ht="12.2" customHeight="1">
      <c r="B86" s="506"/>
      <c r="C86" s="506"/>
      <c r="D86" s="506"/>
      <c r="E86" s="502"/>
      <c r="F86" s="502"/>
      <c r="G86" s="502"/>
      <c r="H86" s="502"/>
      <c r="J86" s="502"/>
      <c r="K86" s="502"/>
      <c r="L86" s="502"/>
      <c r="M86" s="502"/>
      <c r="O86" s="506"/>
      <c r="P86" s="506"/>
      <c r="Q86" s="506"/>
      <c r="R86" s="502"/>
      <c r="S86" s="502"/>
      <c r="T86" s="502"/>
      <c r="U86" s="502"/>
      <c r="W86" s="502"/>
      <c r="X86" s="502"/>
      <c r="Y86" s="502"/>
      <c r="Z86" s="502"/>
    </row>
    <row r="87" spans="1:26" ht="12.2" customHeight="1">
      <c r="A87" s="501">
        <f>+'datos de entrada'!A290</f>
        <v>0</v>
      </c>
      <c r="B87" s="506">
        <f>+'datos de entrada'!B290</f>
        <v>0</v>
      </c>
      <c r="C87" s="506">
        <f>+'datos de entrada'!C290</f>
        <v>0</v>
      </c>
      <c r="D87" s="506">
        <f>C87*B87</f>
        <v>0</v>
      </c>
      <c r="E87" s="502">
        <f>+'datos de entrada'!D290</f>
        <v>0</v>
      </c>
      <c r="F87" s="502">
        <f>+'datos de entrada'!E290</f>
        <v>0</v>
      </c>
      <c r="G87" s="502">
        <f>+'datos de entrada'!F290</f>
        <v>0</v>
      </c>
      <c r="H87" s="502">
        <f>+'datos de entrada'!G290</f>
        <v>0</v>
      </c>
      <c r="I87" s="507"/>
      <c r="J87" s="502">
        <f t="shared" ref="J87:M91" si="9">IF($B$111=0,0,E87*$D87/$B$111)</f>
        <v>0</v>
      </c>
      <c r="K87" s="502">
        <f t="shared" si="9"/>
        <v>0</v>
      </c>
      <c r="L87" s="502">
        <f t="shared" si="9"/>
        <v>0</v>
      </c>
      <c r="M87" s="502">
        <f t="shared" si="9"/>
        <v>0</v>
      </c>
      <c r="N87" s="501">
        <f>+'datos de entrada'!I290</f>
        <v>0</v>
      </c>
      <c r="O87" s="506">
        <f>+'datos de entrada'!J290</f>
        <v>0</v>
      </c>
      <c r="P87" s="506">
        <f>+'datos de entrada'!K290</f>
        <v>0</v>
      </c>
      <c r="Q87" s="506">
        <f>P87*O87</f>
        <v>0</v>
      </c>
      <c r="R87" s="502">
        <f>+'datos de entrada'!L290</f>
        <v>0</v>
      </c>
      <c r="S87" s="502">
        <f>+'datos de entrada'!M290</f>
        <v>0</v>
      </c>
      <c r="T87" s="502">
        <f>+'datos de entrada'!N290</f>
        <v>0</v>
      </c>
      <c r="U87" s="502">
        <f>+'datos de entrada'!O290</f>
        <v>0</v>
      </c>
      <c r="W87" s="502">
        <f>IF($B$117=0,0,R87*$Q87/$B$117)</f>
        <v>0</v>
      </c>
      <c r="X87" s="502">
        <f t="shared" ref="X87:Z91" si="10">IF($B$117=0,0,S87*$Q87/$B$117)</f>
        <v>0</v>
      </c>
      <c r="Y87" s="502">
        <f t="shared" si="10"/>
        <v>0</v>
      </c>
      <c r="Z87" s="502">
        <f t="shared" si="10"/>
        <v>0</v>
      </c>
    </row>
    <row r="88" spans="1:26" ht="12.2" customHeight="1">
      <c r="A88" s="501">
        <f>+'datos de entrada'!A291</f>
        <v>0</v>
      </c>
      <c r="B88" s="506">
        <f>+'datos de entrada'!B291</f>
        <v>0</v>
      </c>
      <c r="C88" s="506">
        <f>+'datos de entrada'!C291</f>
        <v>0</v>
      </c>
      <c r="D88" s="506">
        <f>C88*B88</f>
        <v>0</v>
      </c>
      <c r="E88" s="502">
        <f>+'datos de entrada'!D291</f>
        <v>0</v>
      </c>
      <c r="F88" s="502">
        <f>+'datos de entrada'!E291</f>
        <v>0</v>
      </c>
      <c r="G88" s="502">
        <f>+'datos de entrada'!F291</f>
        <v>0</v>
      </c>
      <c r="H88" s="502">
        <f>+'datos de entrada'!G291</f>
        <v>0</v>
      </c>
      <c r="I88" s="507"/>
      <c r="J88" s="502">
        <f t="shared" si="9"/>
        <v>0</v>
      </c>
      <c r="K88" s="502">
        <f t="shared" si="9"/>
        <v>0</v>
      </c>
      <c r="L88" s="502">
        <f t="shared" si="9"/>
        <v>0</v>
      </c>
      <c r="M88" s="502">
        <f t="shared" si="9"/>
        <v>0</v>
      </c>
      <c r="N88" s="501">
        <f>+'datos de entrada'!I291</f>
        <v>0</v>
      </c>
      <c r="O88" s="506">
        <f>+'datos de entrada'!J291</f>
        <v>0</v>
      </c>
      <c r="P88" s="506">
        <f>+'datos de entrada'!K291</f>
        <v>0</v>
      </c>
      <c r="Q88" s="506">
        <f>P88*O88</f>
        <v>0</v>
      </c>
      <c r="R88" s="502">
        <f>+'datos de entrada'!L291</f>
        <v>0</v>
      </c>
      <c r="S88" s="502">
        <f>+'datos de entrada'!M291</f>
        <v>0</v>
      </c>
      <c r="T88" s="502">
        <f>+'datos de entrada'!N291</f>
        <v>0</v>
      </c>
      <c r="U88" s="502">
        <f>+'datos de entrada'!O291</f>
        <v>0</v>
      </c>
      <c r="W88" s="502">
        <f>IF($B$117=0,0,R88*$Q88/$B$117)</f>
        <v>0</v>
      </c>
      <c r="X88" s="502">
        <f t="shared" si="10"/>
        <v>0</v>
      </c>
      <c r="Y88" s="502">
        <f t="shared" si="10"/>
        <v>0</v>
      </c>
      <c r="Z88" s="502">
        <f t="shared" si="10"/>
        <v>0</v>
      </c>
    </row>
    <row r="89" spans="1:26" ht="12.2" customHeight="1">
      <c r="A89" s="501">
        <f>+'datos de entrada'!A292</f>
        <v>0</v>
      </c>
      <c r="B89" s="506">
        <f>+'datos de entrada'!B292</f>
        <v>0</v>
      </c>
      <c r="C89" s="506">
        <f>+'datos de entrada'!C292</f>
        <v>0</v>
      </c>
      <c r="D89" s="506">
        <f>C89*B89</f>
        <v>0</v>
      </c>
      <c r="E89" s="502">
        <f>+'datos de entrada'!D292</f>
        <v>0</v>
      </c>
      <c r="F89" s="502">
        <f>+'datos de entrada'!E292</f>
        <v>0</v>
      </c>
      <c r="G89" s="502">
        <f>+'datos de entrada'!F292</f>
        <v>0</v>
      </c>
      <c r="H89" s="502">
        <f>+'datos de entrada'!G292</f>
        <v>0</v>
      </c>
      <c r="I89" s="507"/>
      <c r="J89" s="502">
        <f t="shared" si="9"/>
        <v>0</v>
      </c>
      <c r="K89" s="502">
        <f t="shared" si="9"/>
        <v>0</v>
      </c>
      <c r="L89" s="502">
        <f t="shared" si="9"/>
        <v>0</v>
      </c>
      <c r="M89" s="502">
        <f t="shared" si="9"/>
        <v>0</v>
      </c>
      <c r="N89" s="501">
        <f>+'datos de entrada'!I292</f>
        <v>0</v>
      </c>
      <c r="O89" s="506">
        <f>+'datos de entrada'!J292</f>
        <v>0</v>
      </c>
      <c r="P89" s="506">
        <f>+'datos de entrada'!K292</f>
        <v>0</v>
      </c>
      <c r="Q89" s="506">
        <f>P89*O89</f>
        <v>0</v>
      </c>
      <c r="R89" s="502">
        <f>+'datos de entrada'!L292</f>
        <v>0</v>
      </c>
      <c r="S89" s="502">
        <f>+'datos de entrada'!M292</f>
        <v>0</v>
      </c>
      <c r="T89" s="502">
        <f>+'datos de entrada'!N292</f>
        <v>0</v>
      </c>
      <c r="U89" s="502">
        <f>+'datos de entrada'!O292</f>
        <v>0</v>
      </c>
      <c r="W89" s="502">
        <f>IF($B$117=0,0,R89*$Q89/$B$117)</f>
        <v>0</v>
      </c>
      <c r="X89" s="502">
        <f t="shared" si="10"/>
        <v>0</v>
      </c>
      <c r="Y89" s="502">
        <f t="shared" si="10"/>
        <v>0</v>
      </c>
      <c r="Z89" s="502">
        <f t="shared" si="10"/>
        <v>0</v>
      </c>
    </row>
    <row r="90" spans="1:26" ht="12.2" customHeight="1">
      <c r="A90" s="501">
        <f>+'datos de entrada'!A293</f>
        <v>0</v>
      </c>
      <c r="B90" s="506">
        <f>+'datos de entrada'!B293</f>
        <v>0</v>
      </c>
      <c r="C90" s="506">
        <f>+'datos de entrada'!C293</f>
        <v>0</v>
      </c>
      <c r="D90" s="506">
        <f>C90*B90</f>
        <v>0</v>
      </c>
      <c r="E90" s="502">
        <f>+'datos de entrada'!D293</f>
        <v>0</v>
      </c>
      <c r="F90" s="502">
        <f>+'datos de entrada'!E293</f>
        <v>0</v>
      </c>
      <c r="G90" s="502">
        <f>+'datos de entrada'!F293</f>
        <v>0</v>
      </c>
      <c r="H90" s="502">
        <f>+'datos de entrada'!G293</f>
        <v>0</v>
      </c>
      <c r="I90" s="507"/>
      <c r="J90" s="502">
        <f t="shared" si="9"/>
        <v>0</v>
      </c>
      <c r="K90" s="502">
        <f t="shared" si="9"/>
        <v>0</v>
      </c>
      <c r="L90" s="502">
        <f t="shared" si="9"/>
        <v>0</v>
      </c>
      <c r="M90" s="502">
        <f t="shared" si="9"/>
        <v>0</v>
      </c>
      <c r="N90" s="501">
        <f>+'datos de entrada'!I293</f>
        <v>0</v>
      </c>
      <c r="O90" s="506">
        <f>+'datos de entrada'!J293</f>
        <v>0</v>
      </c>
      <c r="P90" s="506">
        <f>+'datos de entrada'!K293</f>
        <v>0</v>
      </c>
      <c r="Q90" s="506">
        <f>P90*O90</f>
        <v>0</v>
      </c>
      <c r="R90" s="502">
        <f>+'datos de entrada'!L293</f>
        <v>0</v>
      </c>
      <c r="S90" s="502">
        <f>+'datos de entrada'!M293</f>
        <v>0</v>
      </c>
      <c r="T90" s="502">
        <f>+'datos de entrada'!N293</f>
        <v>0</v>
      </c>
      <c r="U90" s="502">
        <f>+'datos de entrada'!O293</f>
        <v>0</v>
      </c>
      <c r="W90" s="502">
        <f>IF($B$117=0,0,R90*$Q90/$B$117)</f>
        <v>0</v>
      </c>
      <c r="X90" s="502">
        <f t="shared" si="10"/>
        <v>0</v>
      </c>
      <c r="Y90" s="502">
        <f t="shared" si="10"/>
        <v>0</v>
      </c>
      <c r="Z90" s="502">
        <f t="shared" si="10"/>
        <v>0</v>
      </c>
    </row>
    <row r="91" spans="1:26" ht="12.2" customHeight="1">
      <c r="A91" s="501">
        <f>+'datos de entrada'!A294</f>
        <v>0</v>
      </c>
      <c r="B91" s="506">
        <f>+'datos de entrada'!B294</f>
        <v>0</v>
      </c>
      <c r="C91" s="506">
        <f>+'datos de entrada'!C294</f>
        <v>0</v>
      </c>
      <c r="D91" s="506">
        <f>C91*B91</f>
        <v>0</v>
      </c>
      <c r="E91" s="502">
        <f>+'datos de entrada'!D294</f>
        <v>0</v>
      </c>
      <c r="F91" s="502">
        <f>+'datos de entrada'!E294</f>
        <v>0</v>
      </c>
      <c r="G91" s="502">
        <f>+'datos de entrada'!F294</f>
        <v>0</v>
      </c>
      <c r="H91" s="502">
        <f>+'datos de entrada'!G294</f>
        <v>0</v>
      </c>
      <c r="I91" s="507"/>
      <c r="J91" s="502">
        <f t="shared" si="9"/>
        <v>0</v>
      </c>
      <c r="K91" s="502">
        <f t="shared" si="9"/>
        <v>0</v>
      </c>
      <c r="L91" s="502">
        <f t="shared" si="9"/>
        <v>0</v>
      </c>
      <c r="M91" s="502">
        <f t="shared" si="9"/>
        <v>0</v>
      </c>
      <c r="N91" s="501">
        <f>+'datos de entrada'!I294</f>
        <v>0</v>
      </c>
      <c r="O91" s="506">
        <f>+'datos de entrada'!J294</f>
        <v>0</v>
      </c>
      <c r="P91" s="506">
        <f>+'datos de entrada'!K294</f>
        <v>0</v>
      </c>
      <c r="Q91" s="506">
        <f>P91*O91</f>
        <v>0</v>
      </c>
      <c r="R91" s="502">
        <f>+'datos de entrada'!L294</f>
        <v>0</v>
      </c>
      <c r="S91" s="502">
        <f>+'datos de entrada'!M294</f>
        <v>0</v>
      </c>
      <c r="T91" s="502">
        <f>+'datos de entrada'!N294</f>
        <v>0</v>
      </c>
      <c r="U91" s="502">
        <f>+'datos de entrada'!O294</f>
        <v>0</v>
      </c>
      <c r="W91" s="502">
        <f>IF($B$117=0,0,R91*$Q91/$B$117)</f>
        <v>0</v>
      </c>
      <c r="X91" s="502">
        <f t="shared" si="10"/>
        <v>0</v>
      </c>
      <c r="Y91" s="502">
        <f t="shared" si="10"/>
        <v>0</v>
      </c>
      <c r="Z91" s="502">
        <f t="shared" si="10"/>
        <v>0</v>
      </c>
    </row>
    <row r="92" spans="1:26" ht="12.2" customHeight="1">
      <c r="A92" s="505" t="s">
        <v>605</v>
      </c>
      <c r="B92" s="509" t="s">
        <v>605</v>
      </c>
      <c r="C92" s="509" t="s">
        <v>605</v>
      </c>
      <c r="D92" s="509" t="s">
        <v>605</v>
      </c>
      <c r="E92" s="510" t="s">
        <v>605</v>
      </c>
      <c r="F92" s="510" t="s">
        <v>605</v>
      </c>
      <c r="G92" s="510" t="s">
        <v>605</v>
      </c>
      <c r="H92" s="510" t="s">
        <v>605</v>
      </c>
      <c r="J92" s="510" t="s">
        <v>605</v>
      </c>
      <c r="K92" s="510" t="s">
        <v>605</v>
      </c>
      <c r="L92" s="510" t="s">
        <v>605</v>
      </c>
      <c r="M92" s="510" t="s">
        <v>605</v>
      </c>
      <c r="N92" s="505" t="s">
        <v>605</v>
      </c>
      <c r="O92" s="509" t="s">
        <v>605</v>
      </c>
      <c r="P92" s="509" t="s">
        <v>605</v>
      </c>
      <c r="Q92" s="509" t="s">
        <v>605</v>
      </c>
      <c r="R92" s="510" t="s">
        <v>605</v>
      </c>
      <c r="S92" s="510" t="s">
        <v>605</v>
      </c>
      <c r="T92" s="510" t="s">
        <v>605</v>
      </c>
      <c r="U92" s="510" t="s">
        <v>605</v>
      </c>
      <c r="W92" s="510" t="s">
        <v>605</v>
      </c>
      <c r="X92" s="510" t="s">
        <v>605</v>
      </c>
      <c r="Y92" s="510" t="s">
        <v>605</v>
      </c>
      <c r="Z92" s="510" t="s">
        <v>605</v>
      </c>
    </row>
    <row r="93" spans="1:26" ht="12.2" customHeight="1">
      <c r="A93" s="500" t="str">
        <f>A20</f>
        <v/>
      </c>
      <c r="B93" s="506"/>
      <c r="C93" s="506"/>
      <c r="D93" s="506"/>
      <c r="E93" s="502"/>
      <c r="F93" s="502"/>
      <c r="G93" s="502"/>
      <c r="H93" s="502"/>
      <c r="J93" s="502">
        <f>SUM(J87:J91)</f>
        <v>0</v>
      </c>
      <c r="K93" s="502">
        <f>SUM(K87:K91)</f>
        <v>0</v>
      </c>
      <c r="L93" s="502">
        <f>SUM(L87:L91)</f>
        <v>0</v>
      </c>
      <c r="M93" s="502">
        <f>SUM(M87:M91)</f>
        <v>0</v>
      </c>
      <c r="N93" s="501" t="str">
        <f>+A26</f>
        <v/>
      </c>
      <c r="O93" s="506"/>
      <c r="P93" s="506"/>
      <c r="Q93" s="506"/>
      <c r="R93" s="502"/>
      <c r="S93" s="502"/>
      <c r="T93" s="502"/>
      <c r="U93" s="502"/>
      <c r="W93" s="502">
        <f>SUM(W87:W91)</f>
        <v>0</v>
      </c>
      <c r="X93" s="502">
        <f>SUM(X87:X91)</f>
        <v>0</v>
      </c>
      <c r="Y93" s="502">
        <f>SUM(Y87:Y91)</f>
        <v>0</v>
      </c>
      <c r="Z93" s="502">
        <f>SUM(Z87:Z91)</f>
        <v>0</v>
      </c>
    </row>
    <row r="94" spans="1:26" ht="12.2" customHeight="1">
      <c r="B94" s="506"/>
      <c r="C94" s="506"/>
      <c r="D94" s="506"/>
      <c r="E94" s="502"/>
      <c r="F94" s="502"/>
      <c r="G94" s="502"/>
      <c r="H94" s="502"/>
      <c r="J94" s="502"/>
      <c r="K94" s="502"/>
      <c r="L94" s="502"/>
      <c r="M94" s="502"/>
      <c r="O94" s="506"/>
      <c r="P94" s="506"/>
      <c r="Q94" s="506"/>
      <c r="R94" s="502"/>
      <c r="S94" s="502"/>
      <c r="T94" s="502"/>
      <c r="U94" s="502"/>
      <c r="W94" s="502"/>
      <c r="X94" s="502"/>
      <c r="Y94" s="502"/>
      <c r="Z94" s="502"/>
    </row>
    <row r="95" spans="1:26" ht="12.2" customHeight="1">
      <c r="A95" s="501">
        <f>+'datos de entrada'!A300</f>
        <v>0</v>
      </c>
      <c r="B95" s="506">
        <f>+'datos de entrada'!B300</f>
        <v>0</v>
      </c>
      <c r="C95" s="506">
        <f>+'datos de entrada'!C300</f>
        <v>0</v>
      </c>
      <c r="D95" s="506">
        <f>C95*B95</f>
        <v>0</v>
      </c>
      <c r="E95" s="502">
        <f>+'datos de entrada'!D300</f>
        <v>0</v>
      </c>
      <c r="F95" s="502">
        <f>+'datos de entrada'!E300</f>
        <v>0</v>
      </c>
      <c r="G95" s="502">
        <f>+'datos de entrada'!F300</f>
        <v>0</v>
      </c>
      <c r="H95" s="502">
        <f>+'datos de entrada'!G300</f>
        <v>0</v>
      </c>
      <c r="J95" s="502">
        <f t="shared" ref="J95:M99" si="11">IF($B$112=0,0,E95*$D95/$B$112)</f>
        <v>0</v>
      </c>
      <c r="K95" s="502">
        <f t="shared" si="11"/>
        <v>0</v>
      </c>
      <c r="L95" s="502">
        <f t="shared" si="11"/>
        <v>0</v>
      </c>
      <c r="M95" s="502">
        <f t="shared" si="11"/>
        <v>0</v>
      </c>
      <c r="N95" s="501">
        <f>+'datos de entrada'!I300</f>
        <v>0</v>
      </c>
      <c r="O95" s="506">
        <f>+'datos de entrada'!J300</f>
        <v>0</v>
      </c>
      <c r="P95" s="506">
        <f>+'datos de entrada'!K300</f>
        <v>0</v>
      </c>
      <c r="Q95" s="506">
        <f>P95*O95</f>
        <v>0</v>
      </c>
      <c r="R95" s="502">
        <f>+'datos de entrada'!L300</f>
        <v>0</v>
      </c>
      <c r="S95" s="502">
        <f>+'datos de entrada'!M300</f>
        <v>0</v>
      </c>
      <c r="T95" s="502">
        <f>+'datos de entrada'!N300</f>
        <v>0</v>
      </c>
      <c r="U95" s="502">
        <f>+'datos de entrada'!O300</f>
        <v>0</v>
      </c>
      <c r="W95" s="502">
        <f>IF($B$118=0,0,R95*$Q95/$B$118)</f>
        <v>0</v>
      </c>
      <c r="X95" s="502">
        <f t="shared" ref="X95:Z99" si="12">IF($B$118=0,0,S95*$Q95/$B$118)</f>
        <v>0</v>
      </c>
      <c r="Y95" s="502">
        <f t="shared" si="12"/>
        <v>0</v>
      </c>
      <c r="Z95" s="502">
        <f t="shared" si="12"/>
        <v>0</v>
      </c>
    </row>
    <row r="96" spans="1:26" ht="12.2" customHeight="1">
      <c r="A96" s="501">
        <f>+'datos de entrada'!A301</f>
        <v>0</v>
      </c>
      <c r="B96" s="506">
        <f>+'datos de entrada'!B301</f>
        <v>0</v>
      </c>
      <c r="C96" s="506">
        <f>+'datos de entrada'!C301</f>
        <v>0</v>
      </c>
      <c r="D96" s="506">
        <f>C96*B96</f>
        <v>0</v>
      </c>
      <c r="E96" s="502">
        <f>+'datos de entrada'!D301</f>
        <v>0</v>
      </c>
      <c r="F96" s="502">
        <f>+'datos de entrada'!E301</f>
        <v>0</v>
      </c>
      <c r="G96" s="502">
        <f>+'datos de entrada'!F301</f>
        <v>0</v>
      </c>
      <c r="H96" s="502">
        <f>+'datos de entrada'!G301</f>
        <v>0</v>
      </c>
      <c r="J96" s="502">
        <f t="shared" si="11"/>
        <v>0</v>
      </c>
      <c r="K96" s="502">
        <f t="shared" si="11"/>
        <v>0</v>
      </c>
      <c r="L96" s="502">
        <f t="shared" si="11"/>
        <v>0</v>
      </c>
      <c r="M96" s="502">
        <f t="shared" si="11"/>
        <v>0</v>
      </c>
      <c r="N96" s="501">
        <f>+'datos de entrada'!I301</f>
        <v>0</v>
      </c>
      <c r="O96" s="506">
        <f>+'datos de entrada'!J301</f>
        <v>0</v>
      </c>
      <c r="P96" s="506">
        <f>+'datos de entrada'!K301</f>
        <v>0</v>
      </c>
      <c r="Q96" s="506">
        <f>P96*O96</f>
        <v>0</v>
      </c>
      <c r="R96" s="502">
        <f>+'datos de entrada'!L301</f>
        <v>0</v>
      </c>
      <c r="S96" s="502">
        <f>+'datos de entrada'!M301</f>
        <v>0</v>
      </c>
      <c r="T96" s="502">
        <f>+'datos de entrada'!N301</f>
        <v>0</v>
      </c>
      <c r="U96" s="502">
        <f>+'datos de entrada'!O301</f>
        <v>0</v>
      </c>
      <c r="W96" s="502">
        <f>IF($B$118=0,0,R96*$Q96/$B$118)</f>
        <v>0</v>
      </c>
      <c r="X96" s="502">
        <f t="shared" si="12"/>
        <v>0</v>
      </c>
      <c r="Y96" s="502">
        <f t="shared" si="12"/>
        <v>0</v>
      </c>
      <c r="Z96" s="502">
        <f t="shared" si="12"/>
        <v>0</v>
      </c>
    </row>
    <row r="97" spans="1:26" ht="12.2" customHeight="1">
      <c r="A97" s="501">
        <f>+'datos de entrada'!A302</f>
        <v>0</v>
      </c>
      <c r="B97" s="506">
        <f>+'datos de entrada'!B302</f>
        <v>0</v>
      </c>
      <c r="C97" s="506">
        <f>+'datos de entrada'!C302</f>
        <v>0</v>
      </c>
      <c r="D97" s="506">
        <f>C97*B97</f>
        <v>0</v>
      </c>
      <c r="E97" s="502">
        <f>+'datos de entrada'!D302</f>
        <v>0</v>
      </c>
      <c r="F97" s="502">
        <f>+'datos de entrada'!E302</f>
        <v>0</v>
      </c>
      <c r="G97" s="502">
        <f>+'datos de entrada'!F302</f>
        <v>0</v>
      </c>
      <c r="H97" s="502">
        <f>+'datos de entrada'!G302</f>
        <v>0</v>
      </c>
      <c r="J97" s="502">
        <f t="shared" si="11"/>
        <v>0</v>
      </c>
      <c r="K97" s="502">
        <f t="shared" si="11"/>
        <v>0</v>
      </c>
      <c r="L97" s="502">
        <f t="shared" si="11"/>
        <v>0</v>
      </c>
      <c r="M97" s="502">
        <f t="shared" si="11"/>
        <v>0</v>
      </c>
      <c r="N97" s="501">
        <f>+'datos de entrada'!I302</f>
        <v>0</v>
      </c>
      <c r="O97" s="506">
        <f>+'datos de entrada'!J302</f>
        <v>0</v>
      </c>
      <c r="P97" s="506">
        <f>+'datos de entrada'!K302</f>
        <v>0</v>
      </c>
      <c r="Q97" s="506">
        <f>P97*O97</f>
        <v>0</v>
      </c>
      <c r="R97" s="502">
        <f>+'datos de entrada'!L302</f>
        <v>0</v>
      </c>
      <c r="S97" s="502">
        <f>+'datos de entrada'!M302</f>
        <v>0</v>
      </c>
      <c r="T97" s="502">
        <f>+'datos de entrada'!N302</f>
        <v>0</v>
      </c>
      <c r="U97" s="502">
        <f>+'datos de entrada'!O302</f>
        <v>0</v>
      </c>
      <c r="W97" s="502">
        <f>IF($B$118=0,0,R97*$Q97/$B$118)</f>
        <v>0</v>
      </c>
      <c r="X97" s="502">
        <f t="shared" si="12"/>
        <v>0</v>
      </c>
      <c r="Y97" s="502">
        <f t="shared" si="12"/>
        <v>0</v>
      </c>
      <c r="Z97" s="502">
        <f t="shared" si="12"/>
        <v>0</v>
      </c>
    </row>
    <row r="98" spans="1:26" ht="12.2" customHeight="1">
      <c r="A98" s="501">
        <f>+'datos de entrada'!A303</f>
        <v>0</v>
      </c>
      <c r="B98" s="506">
        <f>+'datos de entrada'!B303</f>
        <v>0</v>
      </c>
      <c r="C98" s="506">
        <f>+'datos de entrada'!C303</f>
        <v>0</v>
      </c>
      <c r="D98" s="506">
        <f>C98*B98</f>
        <v>0</v>
      </c>
      <c r="E98" s="502">
        <f>+'datos de entrada'!D303</f>
        <v>0</v>
      </c>
      <c r="F98" s="502">
        <f>+'datos de entrada'!E303</f>
        <v>0</v>
      </c>
      <c r="G98" s="502">
        <f>+'datos de entrada'!F303</f>
        <v>0</v>
      </c>
      <c r="H98" s="502">
        <f>+'datos de entrada'!G303</f>
        <v>0</v>
      </c>
      <c r="J98" s="502">
        <f t="shared" si="11"/>
        <v>0</v>
      </c>
      <c r="K98" s="502">
        <f t="shared" si="11"/>
        <v>0</v>
      </c>
      <c r="L98" s="502">
        <f t="shared" si="11"/>
        <v>0</v>
      </c>
      <c r="M98" s="502">
        <f t="shared" si="11"/>
        <v>0</v>
      </c>
      <c r="N98" s="501">
        <f>+'datos de entrada'!I303</f>
        <v>0</v>
      </c>
      <c r="O98" s="506">
        <f>+'datos de entrada'!J303</f>
        <v>0</v>
      </c>
      <c r="P98" s="506">
        <f>+'datos de entrada'!K303</f>
        <v>0</v>
      </c>
      <c r="Q98" s="506">
        <f>P98*O98</f>
        <v>0</v>
      </c>
      <c r="R98" s="502">
        <f>+'datos de entrada'!L303</f>
        <v>0</v>
      </c>
      <c r="S98" s="502">
        <f>+'datos de entrada'!M303</f>
        <v>0</v>
      </c>
      <c r="T98" s="502">
        <f>+'datos de entrada'!N303</f>
        <v>0</v>
      </c>
      <c r="U98" s="502">
        <f>+'datos de entrada'!O303</f>
        <v>0</v>
      </c>
      <c r="W98" s="502">
        <f>IF($B$118=0,0,R98*$Q98/$B$118)</f>
        <v>0</v>
      </c>
      <c r="X98" s="502">
        <f t="shared" si="12"/>
        <v>0</v>
      </c>
      <c r="Y98" s="502">
        <f t="shared" si="12"/>
        <v>0</v>
      </c>
      <c r="Z98" s="502">
        <f t="shared" si="12"/>
        <v>0</v>
      </c>
    </row>
    <row r="99" spans="1:26" ht="12.2" customHeight="1">
      <c r="A99" s="501">
        <f>+'datos de entrada'!A304</f>
        <v>0</v>
      </c>
      <c r="B99" s="506">
        <f>+'datos de entrada'!B304</f>
        <v>0</v>
      </c>
      <c r="C99" s="506">
        <f>+'datos de entrada'!C304</f>
        <v>0</v>
      </c>
      <c r="D99" s="506">
        <f>C99*B99</f>
        <v>0</v>
      </c>
      <c r="E99" s="502">
        <f>+'datos de entrada'!D304</f>
        <v>0</v>
      </c>
      <c r="F99" s="502">
        <f>+'datos de entrada'!E304</f>
        <v>0</v>
      </c>
      <c r="G99" s="502">
        <f>+'datos de entrada'!F304</f>
        <v>0</v>
      </c>
      <c r="H99" s="502">
        <f>+'datos de entrada'!G304</f>
        <v>0</v>
      </c>
      <c r="J99" s="502">
        <f t="shared" si="11"/>
        <v>0</v>
      </c>
      <c r="K99" s="502">
        <f t="shared" si="11"/>
        <v>0</v>
      </c>
      <c r="L99" s="502">
        <f t="shared" si="11"/>
        <v>0</v>
      </c>
      <c r="M99" s="502">
        <f t="shared" si="11"/>
        <v>0</v>
      </c>
      <c r="N99" s="501">
        <f>+'datos de entrada'!I304</f>
        <v>0</v>
      </c>
      <c r="O99" s="506">
        <f>+'datos de entrada'!J304</f>
        <v>0</v>
      </c>
      <c r="P99" s="506">
        <f>+'datos de entrada'!K304</f>
        <v>0</v>
      </c>
      <c r="Q99" s="506">
        <f>P99*O99</f>
        <v>0</v>
      </c>
      <c r="R99" s="502">
        <f>+'datos de entrada'!L304</f>
        <v>0</v>
      </c>
      <c r="S99" s="502">
        <f>+'datos de entrada'!M304</f>
        <v>0</v>
      </c>
      <c r="T99" s="502">
        <f>+'datos de entrada'!N304</f>
        <v>0</v>
      </c>
      <c r="U99" s="502">
        <f>+'datos de entrada'!O304</f>
        <v>0</v>
      </c>
      <c r="W99" s="502">
        <f>IF($B$118=0,0,R99*$Q99/$B$118)</f>
        <v>0</v>
      </c>
      <c r="X99" s="502">
        <f t="shared" si="12"/>
        <v>0</v>
      </c>
      <c r="Y99" s="502">
        <f t="shared" si="12"/>
        <v>0</v>
      </c>
      <c r="Z99" s="502">
        <f t="shared" si="12"/>
        <v>0</v>
      </c>
    </row>
    <row r="100" spans="1:26" ht="12.2" customHeight="1">
      <c r="A100" s="505" t="s">
        <v>605</v>
      </c>
      <c r="B100" s="509" t="s">
        <v>605</v>
      </c>
      <c r="C100" s="509" t="s">
        <v>605</v>
      </c>
      <c r="D100" s="509" t="s">
        <v>605</v>
      </c>
      <c r="E100" s="510" t="s">
        <v>605</v>
      </c>
      <c r="F100" s="510" t="s">
        <v>605</v>
      </c>
      <c r="G100" s="510" t="s">
        <v>605</v>
      </c>
      <c r="H100" s="510" t="s">
        <v>605</v>
      </c>
      <c r="J100" s="510" t="s">
        <v>605</v>
      </c>
      <c r="K100" s="510" t="s">
        <v>605</v>
      </c>
      <c r="L100" s="510" t="s">
        <v>605</v>
      </c>
      <c r="M100" s="510" t="s">
        <v>605</v>
      </c>
      <c r="N100" s="505" t="s">
        <v>605</v>
      </c>
      <c r="O100" s="509" t="s">
        <v>605</v>
      </c>
      <c r="P100" s="509" t="s">
        <v>605</v>
      </c>
      <c r="Q100" s="509" t="s">
        <v>605</v>
      </c>
      <c r="R100" s="510" t="s">
        <v>605</v>
      </c>
      <c r="S100" s="510" t="s">
        <v>605</v>
      </c>
      <c r="T100" s="510" t="s">
        <v>605</v>
      </c>
      <c r="U100" s="510" t="s">
        <v>605</v>
      </c>
      <c r="W100" s="510" t="s">
        <v>605</v>
      </c>
      <c r="X100" s="510" t="s">
        <v>605</v>
      </c>
      <c r="Y100" s="510" t="s">
        <v>605</v>
      </c>
      <c r="Z100" s="510" t="s">
        <v>605</v>
      </c>
    </row>
    <row r="101" spans="1:26" ht="12.2" customHeight="1">
      <c r="E101" s="502"/>
      <c r="F101" s="502"/>
      <c r="G101" s="502"/>
      <c r="H101" s="502"/>
      <c r="J101" s="502">
        <f>SUM(J95:J99)</f>
        <v>0</v>
      </c>
      <c r="K101" s="502">
        <f>SUM(K95:K99)</f>
        <v>0</v>
      </c>
      <c r="L101" s="502">
        <f>SUM(L95:L99)</f>
        <v>0</v>
      </c>
      <c r="M101" s="502">
        <f>SUM(M95:M99)</f>
        <v>0</v>
      </c>
      <c r="R101" s="502"/>
      <c r="S101" s="502"/>
      <c r="T101" s="502"/>
      <c r="U101" s="502"/>
      <c r="W101" s="502">
        <f>SUM(W95:W99)</f>
        <v>0</v>
      </c>
      <c r="X101" s="502">
        <f>SUM(X95:X99)</f>
        <v>0</v>
      </c>
      <c r="Y101" s="502">
        <f>SUM(Y95:Y99)</f>
        <v>0</v>
      </c>
      <c r="Z101" s="502">
        <f>SUM(Z95:Z99)</f>
        <v>0</v>
      </c>
    </row>
    <row r="102" spans="1:26" ht="12.2" customHeight="1">
      <c r="E102" s="502"/>
      <c r="F102" s="502"/>
      <c r="G102" s="502"/>
      <c r="H102" s="502"/>
    </row>
    <row r="103" spans="1:26" ht="12.2" customHeight="1">
      <c r="A103" s="499" t="s">
        <v>239</v>
      </c>
      <c r="E103" s="502"/>
      <c r="F103" s="502"/>
      <c r="G103" s="502"/>
      <c r="H103" s="502"/>
    </row>
    <row r="104" spans="1:26" ht="12.2" customHeight="1">
      <c r="A104" s="505" t="s">
        <v>605</v>
      </c>
      <c r="B104" s="505" t="s">
        <v>605</v>
      </c>
      <c r="C104" s="505" t="s">
        <v>605</v>
      </c>
      <c r="E104" s="502"/>
      <c r="F104" s="502"/>
      <c r="G104" s="502"/>
      <c r="H104" s="502"/>
    </row>
    <row r="105" spans="1:26" ht="12.2" customHeight="1">
      <c r="A105" s="499" t="s">
        <v>671</v>
      </c>
      <c r="B105" s="499" t="s">
        <v>672</v>
      </c>
      <c r="C105" s="500" t="s">
        <v>861</v>
      </c>
      <c r="E105" s="502"/>
      <c r="F105" s="502"/>
      <c r="G105" s="502"/>
      <c r="H105" s="502"/>
    </row>
    <row r="106" spans="1:26" ht="12.2" customHeight="1">
      <c r="A106" s="505" t="s">
        <v>605</v>
      </c>
      <c r="B106" s="509" t="s">
        <v>605</v>
      </c>
      <c r="C106" s="505" t="s">
        <v>605</v>
      </c>
      <c r="E106" s="502"/>
      <c r="F106" s="502"/>
      <c r="G106" s="502"/>
      <c r="H106" s="502"/>
    </row>
    <row r="107" spans="1:26" ht="12.2" customHeight="1">
      <c r="A107" s="500" t="str">
        <f t="shared" ref="A107:A118" si="13">A15</f>
        <v>CAMISETAS</v>
      </c>
      <c r="B107" s="506">
        <f>SUM(D55:D59)</f>
        <v>12000</v>
      </c>
      <c r="C107" s="501">
        <f>+'datos de entrada'!H254</f>
        <v>8736000</v>
      </c>
      <c r="D107" s="501">
        <f>+C107</f>
        <v>8736000</v>
      </c>
      <c r="E107" s="502"/>
      <c r="F107" s="502"/>
      <c r="G107" s="502"/>
      <c r="H107" s="502"/>
    </row>
    <row r="108" spans="1:26" ht="12.2" customHeight="1">
      <c r="A108" s="500" t="str">
        <f t="shared" si="13"/>
        <v/>
      </c>
      <c r="B108" s="506">
        <f>SUM(D63:D67)</f>
        <v>0</v>
      </c>
      <c r="C108" s="501">
        <f>+'datos de entrada'!H264</f>
        <v>0</v>
      </c>
      <c r="D108" s="501">
        <f t="shared" ref="D108:D118" si="14">+C108</f>
        <v>0</v>
      </c>
      <c r="E108" s="502"/>
      <c r="F108" s="502"/>
      <c r="G108" s="502"/>
      <c r="H108" s="502"/>
    </row>
    <row r="109" spans="1:26" ht="12.2" customHeight="1">
      <c r="A109" s="500" t="str">
        <f t="shared" si="13"/>
        <v/>
      </c>
      <c r="B109" s="506">
        <f>SUM(D71:D76)</f>
        <v>0</v>
      </c>
      <c r="C109" s="501">
        <f>+'datos de entrada'!H275</f>
        <v>0</v>
      </c>
      <c r="D109" s="501">
        <f t="shared" si="14"/>
        <v>0</v>
      </c>
      <c r="E109" s="502"/>
      <c r="F109" s="502"/>
      <c r="G109" s="502"/>
      <c r="H109" s="502"/>
    </row>
    <row r="110" spans="1:26" ht="12.2" customHeight="1">
      <c r="A110" s="500" t="str">
        <f t="shared" si="13"/>
        <v/>
      </c>
      <c r="B110" s="506">
        <f>SUM(D79:D84)</f>
        <v>0</v>
      </c>
      <c r="C110" s="501">
        <f>+'datos de entrada'!H285</f>
        <v>0</v>
      </c>
      <c r="D110" s="501">
        <f t="shared" si="14"/>
        <v>0</v>
      </c>
      <c r="E110" s="502"/>
      <c r="F110" s="502"/>
      <c r="G110" s="502"/>
      <c r="H110" s="502"/>
    </row>
    <row r="111" spans="1:26" ht="12.2" customHeight="1">
      <c r="A111" s="500" t="str">
        <f t="shared" si="13"/>
        <v/>
      </c>
      <c r="B111" s="506">
        <f>SUM(D87:D91)</f>
        <v>0</v>
      </c>
      <c r="C111" s="501">
        <f>+'datos de entrada'!H295</f>
        <v>0</v>
      </c>
      <c r="D111" s="501">
        <f t="shared" si="14"/>
        <v>0</v>
      </c>
      <c r="E111" s="502"/>
      <c r="F111" s="502"/>
      <c r="G111" s="502"/>
      <c r="H111" s="502"/>
    </row>
    <row r="112" spans="1:26" ht="12.2" customHeight="1">
      <c r="A112" s="500" t="str">
        <f t="shared" si="13"/>
        <v/>
      </c>
      <c r="B112" s="506">
        <f>SUM(D95:D99)</f>
        <v>0</v>
      </c>
      <c r="C112" s="501">
        <f>+'datos de entrada'!H305</f>
        <v>0</v>
      </c>
      <c r="D112" s="501">
        <f t="shared" si="14"/>
        <v>0</v>
      </c>
      <c r="E112" s="502"/>
      <c r="F112" s="502"/>
      <c r="G112" s="502"/>
      <c r="H112" s="502"/>
    </row>
    <row r="113" spans="1:18" ht="12.2" customHeight="1">
      <c r="A113" s="500" t="str">
        <f t="shared" si="13"/>
        <v/>
      </c>
      <c r="B113" s="506">
        <f>SUM(Q55:Q59)</f>
        <v>0</v>
      </c>
      <c r="C113" s="501">
        <f>+'datos de entrada'!P254</f>
        <v>0</v>
      </c>
      <c r="D113" s="501">
        <f t="shared" si="14"/>
        <v>0</v>
      </c>
      <c r="E113" s="502"/>
      <c r="F113" s="502"/>
      <c r="G113" s="502"/>
      <c r="H113" s="502"/>
    </row>
    <row r="114" spans="1:18" ht="12.2" customHeight="1">
      <c r="A114" s="500" t="str">
        <f t="shared" si="13"/>
        <v/>
      </c>
      <c r="B114" s="506">
        <f>SUM(Q63:Q67)</f>
        <v>0</v>
      </c>
      <c r="C114" s="501">
        <f>+'datos de entrada'!P264</f>
        <v>0</v>
      </c>
      <c r="D114" s="501">
        <f t="shared" si="14"/>
        <v>0</v>
      </c>
      <c r="E114" s="502"/>
      <c r="F114" s="502"/>
      <c r="G114" s="502"/>
      <c r="H114" s="502"/>
    </row>
    <row r="115" spans="1:18" ht="12.2" customHeight="1">
      <c r="A115" s="500" t="str">
        <f t="shared" si="13"/>
        <v/>
      </c>
      <c r="B115" s="506">
        <f>SUM(Q71:Q76)</f>
        <v>0</v>
      </c>
      <c r="C115" s="501">
        <f>+'datos de entrada'!P275</f>
        <v>0</v>
      </c>
      <c r="D115" s="501">
        <f t="shared" si="14"/>
        <v>0</v>
      </c>
      <c r="E115" s="502"/>
      <c r="F115" s="502"/>
      <c r="G115" s="502"/>
      <c r="H115" s="502"/>
    </row>
    <row r="116" spans="1:18" ht="12.2" customHeight="1">
      <c r="A116" s="500" t="str">
        <f t="shared" si="13"/>
        <v/>
      </c>
      <c r="B116" s="506">
        <f>SUM(Q79:Q84)</f>
        <v>0</v>
      </c>
      <c r="C116" s="501">
        <f>+'datos de entrada'!P285</f>
        <v>0</v>
      </c>
      <c r="D116" s="501">
        <f t="shared" si="14"/>
        <v>0</v>
      </c>
      <c r="E116" s="502"/>
      <c r="F116" s="502"/>
      <c r="G116" s="502"/>
      <c r="H116" s="502"/>
    </row>
    <row r="117" spans="1:18" ht="12.2" customHeight="1">
      <c r="A117" s="500" t="str">
        <f t="shared" si="13"/>
        <v/>
      </c>
      <c r="B117" s="506">
        <f>SUM(Q87:Q91)</f>
        <v>0</v>
      </c>
      <c r="C117" s="501">
        <f>+'datos de entrada'!P295</f>
        <v>0</v>
      </c>
      <c r="D117" s="501">
        <f t="shared" si="14"/>
        <v>0</v>
      </c>
      <c r="E117" s="502"/>
      <c r="F117" s="502"/>
      <c r="G117" s="502"/>
      <c r="H117" s="502"/>
    </row>
    <row r="118" spans="1:18" ht="12.2" customHeight="1">
      <c r="A118" s="500" t="str">
        <f t="shared" si="13"/>
        <v/>
      </c>
      <c r="B118" s="506">
        <f>SUM(Q95:Q99)</f>
        <v>0</v>
      </c>
      <c r="C118" s="501">
        <f>+'datos de entrada'!P305</f>
        <v>0</v>
      </c>
      <c r="D118" s="501">
        <f t="shared" si="14"/>
        <v>0</v>
      </c>
      <c r="E118" s="502"/>
      <c r="F118" s="502"/>
      <c r="G118" s="502"/>
      <c r="H118" s="502"/>
    </row>
    <row r="119" spans="1:18" ht="12.2" customHeight="1">
      <c r="A119" s="505" t="s">
        <v>605</v>
      </c>
      <c r="B119" s="509" t="s">
        <v>605</v>
      </c>
      <c r="C119" s="505" t="s">
        <v>605</v>
      </c>
      <c r="D119" s="500">
        <f>SUM(D107:D118)</f>
        <v>8736000</v>
      </c>
      <c r="E119" s="502"/>
      <c r="F119" s="502"/>
      <c r="G119" s="502"/>
      <c r="H119" s="502"/>
    </row>
    <row r="121" spans="1:18" ht="12.2" customHeight="1">
      <c r="A121" s="499" t="s">
        <v>240</v>
      </c>
    </row>
    <row r="123" spans="1:18" ht="12.2" customHeight="1">
      <c r="A123" s="503" t="s">
        <v>605</v>
      </c>
      <c r="B123" s="503" t="s">
        <v>605</v>
      </c>
      <c r="C123" s="503" t="s">
        <v>605</v>
      </c>
      <c r="D123" s="503" t="s">
        <v>605</v>
      </c>
      <c r="E123" s="503" t="s">
        <v>605</v>
      </c>
      <c r="F123" s="503" t="s">
        <v>605</v>
      </c>
      <c r="G123" s="503" t="s">
        <v>605</v>
      </c>
      <c r="H123" s="503" t="s">
        <v>605</v>
      </c>
      <c r="I123" s="503" t="s">
        <v>605</v>
      </c>
      <c r="J123" s="503" t="s">
        <v>605</v>
      </c>
      <c r="K123" s="503" t="s">
        <v>605</v>
      </c>
      <c r="L123" s="503" t="s">
        <v>605</v>
      </c>
      <c r="M123" s="503" t="s">
        <v>605</v>
      </c>
      <c r="N123" s="503" t="s">
        <v>605</v>
      </c>
      <c r="O123" s="503" t="s">
        <v>605</v>
      </c>
      <c r="P123" s="503" t="s">
        <v>605</v>
      </c>
      <c r="Q123" s="503" t="s">
        <v>605</v>
      </c>
      <c r="R123" s="503" t="s">
        <v>605</v>
      </c>
    </row>
    <row r="124" spans="1:18" ht="12.2" customHeight="1">
      <c r="A124" s="504" t="s">
        <v>575</v>
      </c>
      <c r="B124" s="504" t="s">
        <v>606</v>
      </c>
      <c r="C124" s="504" t="s">
        <v>607</v>
      </c>
      <c r="D124" s="504" t="s">
        <v>608</v>
      </c>
      <c r="E124" s="504" t="s">
        <v>609</v>
      </c>
      <c r="F124" s="504" t="s">
        <v>610</v>
      </c>
      <c r="G124" s="504" t="s">
        <v>611</v>
      </c>
      <c r="H124" s="504" t="s">
        <v>612</v>
      </c>
      <c r="I124" s="504" t="s">
        <v>613</v>
      </c>
      <c r="J124" s="504" t="s">
        <v>614</v>
      </c>
      <c r="K124" s="504" t="s">
        <v>615</v>
      </c>
      <c r="L124" s="504" t="s">
        <v>616</v>
      </c>
      <c r="M124" s="504" t="s">
        <v>617</v>
      </c>
      <c r="N124" s="504" t="s">
        <v>692</v>
      </c>
      <c r="O124" s="504" t="s">
        <v>693</v>
      </c>
      <c r="P124" s="504" t="s">
        <v>694</v>
      </c>
      <c r="Q124" s="504" t="s">
        <v>186</v>
      </c>
      <c r="R124" s="504" t="s">
        <v>187</v>
      </c>
    </row>
    <row r="125" spans="1:18" ht="12.2" customHeight="1">
      <c r="A125" s="503" t="s">
        <v>605</v>
      </c>
      <c r="B125" s="503" t="s">
        <v>605</v>
      </c>
      <c r="C125" s="503" t="s">
        <v>605</v>
      </c>
      <c r="D125" s="503" t="s">
        <v>605</v>
      </c>
      <c r="E125" s="503" t="s">
        <v>605</v>
      </c>
      <c r="F125" s="503" t="s">
        <v>605</v>
      </c>
      <c r="G125" s="503" t="s">
        <v>605</v>
      </c>
      <c r="H125" s="503" t="s">
        <v>605</v>
      </c>
      <c r="I125" s="503" t="s">
        <v>605</v>
      </c>
      <c r="J125" s="503" t="s">
        <v>605</v>
      </c>
      <c r="K125" s="503" t="s">
        <v>605</v>
      </c>
      <c r="L125" s="503" t="s">
        <v>605</v>
      </c>
      <c r="M125" s="503" t="s">
        <v>605</v>
      </c>
      <c r="N125" s="503" t="s">
        <v>605</v>
      </c>
      <c r="O125" s="503" t="s">
        <v>605</v>
      </c>
      <c r="P125" s="503" t="s">
        <v>605</v>
      </c>
      <c r="Q125" s="503" t="s">
        <v>605</v>
      </c>
      <c r="R125" s="503" t="s">
        <v>605</v>
      </c>
    </row>
    <row r="126" spans="1:18" ht="12.2" customHeight="1">
      <c r="A126" s="500" t="str">
        <f>A15</f>
        <v>CAMISETAS</v>
      </c>
      <c r="B126" s="501"/>
      <c r="C126" s="501"/>
      <c r="D126" s="501"/>
      <c r="E126" s="501"/>
      <c r="F126" s="501"/>
      <c r="G126" s="501"/>
      <c r="H126" s="501"/>
      <c r="I126" s="501"/>
      <c r="J126" s="501"/>
      <c r="K126" s="501"/>
      <c r="L126" s="501"/>
      <c r="M126" s="501"/>
      <c r="N126" s="501"/>
      <c r="O126" s="501"/>
      <c r="P126" s="501"/>
      <c r="Q126" s="501"/>
      <c r="R126" s="501"/>
    </row>
    <row r="127" spans="1:18" ht="12.2" customHeight="1">
      <c r="B127" s="501"/>
      <c r="C127" s="501"/>
      <c r="D127" s="501"/>
      <c r="E127" s="501"/>
      <c r="F127" s="501"/>
      <c r="G127" s="501"/>
      <c r="H127" s="501"/>
      <c r="I127" s="501"/>
      <c r="J127" s="501"/>
      <c r="K127" s="501"/>
      <c r="L127" s="501"/>
      <c r="M127" s="501"/>
      <c r="N127" s="501"/>
      <c r="O127" s="501"/>
      <c r="P127" s="501"/>
      <c r="Q127" s="501"/>
      <c r="R127" s="501"/>
    </row>
    <row r="128" spans="1:18" ht="12.2" customHeight="1">
      <c r="A128" s="500" t="str">
        <f>A55</f>
        <v/>
      </c>
      <c r="B128" s="501">
        <f t="shared" ref="B128:M132" si="15">B$15*$D55</f>
        <v>9720000</v>
      </c>
      <c r="C128" s="501">
        <f t="shared" si="15"/>
        <v>11340000</v>
      </c>
      <c r="D128" s="501">
        <f t="shared" si="15"/>
        <v>11340000</v>
      </c>
      <c r="E128" s="501">
        <f t="shared" si="15"/>
        <v>11340000</v>
      </c>
      <c r="F128" s="501">
        <f t="shared" si="15"/>
        <v>16200000</v>
      </c>
      <c r="G128" s="501">
        <f t="shared" si="15"/>
        <v>14580000</v>
      </c>
      <c r="H128" s="501">
        <f t="shared" si="15"/>
        <v>12960000</v>
      </c>
      <c r="I128" s="501">
        <f t="shared" si="15"/>
        <v>12960000</v>
      </c>
      <c r="J128" s="501">
        <f t="shared" si="15"/>
        <v>12960000</v>
      </c>
      <c r="K128" s="501">
        <f t="shared" si="15"/>
        <v>16200000</v>
      </c>
      <c r="L128" s="501">
        <f t="shared" si="15"/>
        <v>22680000</v>
      </c>
      <c r="M128" s="501">
        <f t="shared" si="15"/>
        <v>9720000</v>
      </c>
      <c r="N128" s="501">
        <f>SUM(B128:M128)</f>
        <v>162000000</v>
      </c>
      <c r="O128" s="501">
        <f>C$33*$D55*(1+$D$7)</f>
        <v>184077480</v>
      </c>
      <c r="P128" s="501">
        <f>D$33*$D55*(1+$D$7)*(1+$D$7)</f>
        <v>215316020.40000001</v>
      </c>
      <c r="Q128" s="501">
        <f>E$33*$D55*(1+$D$7)*(1+$D$7)*(1+$D$7)</f>
        <v>0</v>
      </c>
      <c r="R128" s="501">
        <f>F$33*$D55*(1+$D$7)*(1+$D$7)*(1+$D$7)*(1+$D$7)</f>
        <v>0</v>
      </c>
    </row>
    <row r="129" spans="1:18" ht="12.2" customHeight="1">
      <c r="A129" s="500" t="str">
        <f>A56</f>
        <v/>
      </c>
      <c r="B129" s="501">
        <f t="shared" si="15"/>
        <v>0</v>
      </c>
      <c r="C129" s="501">
        <f t="shared" si="15"/>
        <v>0</v>
      </c>
      <c r="D129" s="501">
        <f t="shared" si="15"/>
        <v>0</v>
      </c>
      <c r="E129" s="501">
        <f t="shared" si="15"/>
        <v>0</v>
      </c>
      <c r="F129" s="501">
        <f t="shared" si="15"/>
        <v>0</v>
      </c>
      <c r="G129" s="501">
        <f t="shared" si="15"/>
        <v>0</v>
      </c>
      <c r="H129" s="501">
        <f t="shared" si="15"/>
        <v>0</v>
      </c>
      <c r="I129" s="501">
        <f t="shared" si="15"/>
        <v>0</v>
      </c>
      <c r="J129" s="501">
        <f t="shared" si="15"/>
        <v>0</v>
      </c>
      <c r="K129" s="501">
        <f t="shared" si="15"/>
        <v>0</v>
      </c>
      <c r="L129" s="501">
        <f t="shared" si="15"/>
        <v>0</v>
      </c>
      <c r="M129" s="501">
        <f t="shared" si="15"/>
        <v>0</v>
      </c>
      <c r="N129" s="501">
        <f>SUM(B129:M129)</f>
        <v>0</v>
      </c>
      <c r="O129" s="501">
        <f>C$33*$D56*(1+$D$7)</f>
        <v>0</v>
      </c>
      <c r="P129" s="501">
        <f>D$33*$D56*(1+$D$7)*(1+$D$7)</f>
        <v>0</v>
      </c>
      <c r="Q129" s="501">
        <f>E$33*$D56*(1+$D$7)*(1+$D$7)*(1+$D$7)</f>
        <v>0</v>
      </c>
      <c r="R129" s="501">
        <f>F$33*$D56*(1+$D$7)*(1+$D$7)*(1+$D$7)*(1+$D$7)</f>
        <v>0</v>
      </c>
    </row>
    <row r="130" spans="1:18" ht="12.2" customHeight="1">
      <c r="A130" s="500" t="str">
        <f>A57</f>
        <v/>
      </c>
      <c r="B130" s="501">
        <f t="shared" si="15"/>
        <v>0</v>
      </c>
      <c r="C130" s="501">
        <f t="shared" si="15"/>
        <v>0</v>
      </c>
      <c r="D130" s="501">
        <f t="shared" si="15"/>
        <v>0</v>
      </c>
      <c r="E130" s="501">
        <f t="shared" si="15"/>
        <v>0</v>
      </c>
      <c r="F130" s="501">
        <f t="shared" si="15"/>
        <v>0</v>
      </c>
      <c r="G130" s="501">
        <f t="shared" si="15"/>
        <v>0</v>
      </c>
      <c r="H130" s="501">
        <f t="shared" si="15"/>
        <v>0</v>
      </c>
      <c r="I130" s="501">
        <f t="shared" si="15"/>
        <v>0</v>
      </c>
      <c r="J130" s="501">
        <f t="shared" si="15"/>
        <v>0</v>
      </c>
      <c r="K130" s="501">
        <f t="shared" si="15"/>
        <v>0</v>
      </c>
      <c r="L130" s="501">
        <f t="shared" si="15"/>
        <v>0</v>
      </c>
      <c r="M130" s="501">
        <f t="shared" si="15"/>
        <v>0</v>
      </c>
      <c r="N130" s="501">
        <f>SUM(B130:M130)</f>
        <v>0</v>
      </c>
      <c r="O130" s="501">
        <f>C$33*$D57*(1+$D$7)</f>
        <v>0</v>
      </c>
      <c r="P130" s="501">
        <f>D$33*$D57*(1+$D$7)*(1+$D$7)</f>
        <v>0</v>
      </c>
      <c r="Q130" s="501">
        <f>E$33*$D57*(1+$D$7)*(1+$D$7)*(1+$D$7)</f>
        <v>0</v>
      </c>
      <c r="R130" s="501">
        <f>F$33*$D57*(1+$D$7)*(1+$D$7)*(1+$D$7)*(1+$D$7)</f>
        <v>0</v>
      </c>
    </row>
    <row r="131" spans="1:18" ht="12.2" customHeight="1">
      <c r="A131" s="500" t="str">
        <f>A58</f>
        <v/>
      </c>
      <c r="B131" s="501">
        <f t="shared" si="15"/>
        <v>0</v>
      </c>
      <c r="C131" s="501">
        <f t="shared" si="15"/>
        <v>0</v>
      </c>
      <c r="D131" s="501">
        <f t="shared" si="15"/>
        <v>0</v>
      </c>
      <c r="E131" s="501">
        <f t="shared" si="15"/>
        <v>0</v>
      </c>
      <c r="F131" s="501">
        <f t="shared" si="15"/>
        <v>0</v>
      </c>
      <c r="G131" s="501">
        <f t="shared" si="15"/>
        <v>0</v>
      </c>
      <c r="H131" s="501">
        <f t="shared" si="15"/>
        <v>0</v>
      </c>
      <c r="I131" s="501">
        <f t="shared" si="15"/>
        <v>0</v>
      </c>
      <c r="J131" s="501">
        <f t="shared" si="15"/>
        <v>0</v>
      </c>
      <c r="K131" s="501">
        <f t="shared" si="15"/>
        <v>0</v>
      </c>
      <c r="L131" s="501">
        <f t="shared" si="15"/>
        <v>0</v>
      </c>
      <c r="M131" s="501">
        <f t="shared" si="15"/>
        <v>0</v>
      </c>
      <c r="N131" s="501">
        <f>SUM(B131:M131)</f>
        <v>0</v>
      </c>
      <c r="O131" s="501">
        <f>C$33*$D58*(1+$D$7)</f>
        <v>0</v>
      </c>
      <c r="P131" s="501">
        <f>D$33*$D58*(1+$D$7)*(1+$D$7)</f>
        <v>0</v>
      </c>
      <c r="Q131" s="501">
        <f>E$33*$D58*(1+$D$7)*(1+$D$7)*(1+$D$7)</f>
        <v>0</v>
      </c>
      <c r="R131" s="501">
        <f>F$33*$D58*(1+$D$7)*(1+$D$7)*(1+$D$7)*(1+$D$7)</f>
        <v>0</v>
      </c>
    </row>
    <row r="132" spans="1:18" ht="12.2" customHeight="1">
      <c r="A132" s="500">
        <f>A59</f>
        <v>0</v>
      </c>
      <c r="B132" s="501">
        <f t="shared" si="15"/>
        <v>0</v>
      </c>
      <c r="C132" s="501">
        <f t="shared" si="15"/>
        <v>0</v>
      </c>
      <c r="D132" s="501">
        <f t="shared" si="15"/>
        <v>0</v>
      </c>
      <c r="E132" s="501">
        <f t="shared" si="15"/>
        <v>0</v>
      </c>
      <c r="F132" s="501">
        <f t="shared" si="15"/>
        <v>0</v>
      </c>
      <c r="G132" s="501">
        <f t="shared" si="15"/>
        <v>0</v>
      </c>
      <c r="H132" s="501">
        <f t="shared" si="15"/>
        <v>0</v>
      </c>
      <c r="I132" s="501">
        <f t="shared" si="15"/>
        <v>0</v>
      </c>
      <c r="J132" s="501">
        <f t="shared" si="15"/>
        <v>0</v>
      </c>
      <c r="K132" s="501">
        <f t="shared" si="15"/>
        <v>0</v>
      </c>
      <c r="L132" s="501">
        <f t="shared" si="15"/>
        <v>0</v>
      </c>
      <c r="M132" s="501">
        <f t="shared" si="15"/>
        <v>0</v>
      </c>
      <c r="N132" s="501">
        <f>SUM(B132:M132)</f>
        <v>0</v>
      </c>
      <c r="O132" s="501">
        <f>C$33*$D59*(1+$D$7)</f>
        <v>0</v>
      </c>
      <c r="P132" s="501">
        <f>D$33*$D59*(1+$D$7)*(1+$D$7)</f>
        <v>0</v>
      </c>
      <c r="Q132" s="501">
        <f>E$33*$D59*(1+$D$7)*(1+$D$7)*(1+$D$7)</f>
        <v>0</v>
      </c>
      <c r="R132" s="501">
        <f>F$33*$D59*(1+$D$7)*(1+$D$7)*(1+$D$7)*(1+$D$7)</f>
        <v>0</v>
      </c>
    </row>
    <row r="133" spans="1:18" ht="12.2" customHeight="1">
      <c r="A133" s="505" t="s">
        <v>605</v>
      </c>
      <c r="B133" s="503" t="s">
        <v>605</v>
      </c>
      <c r="C133" s="503" t="s">
        <v>605</v>
      </c>
      <c r="D133" s="503" t="s">
        <v>605</v>
      </c>
      <c r="E133" s="503" t="s">
        <v>605</v>
      </c>
      <c r="F133" s="503" t="s">
        <v>605</v>
      </c>
      <c r="G133" s="503" t="s">
        <v>605</v>
      </c>
      <c r="H133" s="503" t="s">
        <v>605</v>
      </c>
      <c r="I133" s="503" t="s">
        <v>605</v>
      </c>
      <c r="J133" s="503" t="s">
        <v>605</v>
      </c>
      <c r="K133" s="503" t="s">
        <v>605</v>
      </c>
      <c r="L133" s="503" t="s">
        <v>605</v>
      </c>
      <c r="M133" s="503" t="s">
        <v>605</v>
      </c>
      <c r="N133" s="503" t="s">
        <v>605</v>
      </c>
      <c r="O133" s="503" t="s">
        <v>605</v>
      </c>
      <c r="P133" s="503" t="s">
        <v>605</v>
      </c>
      <c r="Q133" s="503" t="s">
        <v>605</v>
      </c>
      <c r="R133" s="503" t="s">
        <v>605</v>
      </c>
    </row>
    <row r="134" spans="1:18" ht="12.2" customHeight="1">
      <c r="A134" s="500" t="str">
        <f>A16</f>
        <v/>
      </c>
      <c r="B134" s="501"/>
      <c r="C134" s="501"/>
      <c r="D134" s="501"/>
      <c r="E134" s="501"/>
      <c r="F134" s="501"/>
      <c r="G134" s="501"/>
      <c r="H134" s="501"/>
      <c r="I134" s="501"/>
      <c r="J134" s="501"/>
      <c r="K134" s="501"/>
      <c r="L134" s="501"/>
      <c r="M134" s="501"/>
      <c r="N134" s="501"/>
      <c r="O134" s="501"/>
      <c r="P134" s="501"/>
      <c r="Q134" s="501"/>
      <c r="R134" s="501"/>
    </row>
    <row r="135" spans="1:18" ht="12.2" customHeight="1">
      <c r="B135" s="501"/>
      <c r="C135" s="501"/>
      <c r="D135" s="501"/>
      <c r="E135" s="501"/>
      <c r="F135" s="501"/>
      <c r="G135" s="501"/>
      <c r="H135" s="501"/>
      <c r="I135" s="501"/>
      <c r="J135" s="501"/>
      <c r="K135" s="501"/>
      <c r="L135" s="501"/>
      <c r="M135" s="501"/>
      <c r="N135" s="501"/>
      <c r="O135" s="501"/>
      <c r="P135" s="501"/>
      <c r="Q135" s="501"/>
      <c r="R135" s="501"/>
    </row>
    <row r="136" spans="1:18" ht="12.2" customHeight="1">
      <c r="A136" s="500">
        <f>A63</f>
        <v>0</v>
      </c>
      <c r="B136" s="501">
        <f t="shared" ref="B136:M140" si="16">B$16*$D63</f>
        <v>0</v>
      </c>
      <c r="C136" s="501">
        <f t="shared" si="16"/>
        <v>0</v>
      </c>
      <c r="D136" s="501">
        <f t="shared" si="16"/>
        <v>0</v>
      </c>
      <c r="E136" s="501">
        <f t="shared" si="16"/>
        <v>0</v>
      </c>
      <c r="F136" s="501">
        <f t="shared" si="16"/>
        <v>0</v>
      </c>
      <c r="G136" s="501">
        <f t="shared" si="16"/>
        <v>0</v>
      </c>
      <c r="H136" s="501">
        <f t="shared" si="16"/>
        <v>0</v>
      </c>
      <c r="I136" s="501">
        <f t="shared" si="16"/>
        <v>0</v>
      </c>
      <c r="J136" s="501">
        <f t="shared" si="16"/>
        <v>0</v>
      </c>
      <c r="K136" s="501">
        <f t="shared" si="16"/>
        <v>0</v>
      </c>
      <c r="L136" s="501">
        <f t="shared" si="16"/>
        <v>0</v>
      </c>
      <c r="M136" s="501">
        <f t="shared" si="16"/>
        <v>0</v>
      </c>
      <c r="N136" s="501">
        <f>SUM(B136:M136)</f>
        <v>0</v>
      </c>
      <c r="O136" s="501">
        <f>C$34*$D63*(1+$D$7)</f>
        <v>0</v>
      </c>
      <c r="P136" s="501">
        <f>D$34*$D63*(1+$D$7)^2</f>
        <v>0</v>
      </c>
      <c r="Q136" s="501">
        <f>E$34*$D63*(1+$D$7)^3</f>
        <v>0</v>
      </c>
      <c r="R136" s="501">
        <f>F$34*$D63*(1+$D$7)^4</f>
        <v>0</v>
      </c>
    </row>
    <row r="137" spans="1:18" ht="12.2" customHeight="1">
      <c r="A137" s="500">
        <f>A64</f>
        <v>0</v>
      </c>
      <c r="B137" s="501">
        <f t="shared" si="16"/>
        <v>0</v>
      </c>
      <c r="C137" s="501">
        <f t="shared" si="16"/>
        <v>0</v>
      </c>
      <c r="D137" s="501">
        <f t="shared" si="16"/>
        <v>0</v>
      </c>
      <c r="E137" s="501">
        <f t="shared" si="16"/>
        <v>0</v>
      </c>
      <c r="F137" s="501">
        <f t="shared" si="16"/>
        <v>0</v>
      </c>
      <c r="G137" s="501">
        <f t="shared" si="16"/>
        <v>0</v>
      </c>
      <c r="H137" s="501">
        <f t="shared" si="16"/>
        <v>0</v>
      </c>
      <c r="I137" s="501">
        <f t="shared" si="16"/>
        <v>0</v>
      </c>
      <c r="J137" s="501">
        <f t="shared" si="16"/>
        <v>0</v>
      </c>
      <c r="K137" s="501">
        <f t="shared" si="16"/>
        <v>0</v>
      </c>
      <c r="L137" s="501">
        <f t="shared" si="16"/>
        <v>0</v>
      </c>
      <c r="M137" s="501">
        <f t="shared" si="16"/>
        <v>0</v>
      </c>
      <c r="N137" s="501">
        <f>SUM(B137:M137)</f>
        <v>0</v>
      </c>
      <c r="O137" s="501">
        <f>C$34*$D64*(1+$D$7)</f>
        <v>0</v>
      </c>
      <c r="P137" s="501">
        <f>D$34*$D64*(1+$D$7)^2</f>
        <v>0</v>
      </c>
      <c r="Q137" s="501">
        <f>E$34*$D64*(1+$D$7)^3</f>
        <v>0</v>
      </c>
      <c r="R137" s="501">
        <f>F$34*$D64*(1+$D$7)^4</f>
        <v>0</v>
      </c>
    </row>
    <row r="138" spans="1:18" ht="12.2" customHeight="1">
      <c r="A138" s="500">
        <f>A65</f>
        <v>0</v>
      </c>
      <c r="B138" s="501">
        <f t="shared" si="16"/>
        <v>0</v>
      </c>
      <c r="C138" s="501">
        <f t="shared" si="16"/>
        <v>0</v>
      </c>
      <c r="D138" s="501">
        <f t="shared" si="16"/>
        <v>0</v>
      </c>
      <c r="E138" s="501">
        <f t="shared" si="16"/>
        <v>0</v>
      </c>
      <c r="F138" s="501">
        <f t="shared" si="16"/>
        <v>0</v>
      </c>
      <c r="G138" s="501">
        <f t="shared" si="16"/>
        <v>0</v>
      </c>
      <c r="H138" s="501">
        <f t="shared" si="16"/>
        <v>0</v>
      </c>
      <c r="I138" s="501">
        <f t="shared" si="16"/>
        <v>0</v>
      </c>
      <c r="J138" s="501">
        <f t="shared" si="16"/>
        <v>0</v>
      </c>
      <c r="K138" s="501">
        <f t="shared" si="16"/>
        <v>0</v>
      </c>
      <c r="L138" s="501">
        <f t="shared" si="16"/>
        <v>0</v>
      </c>
      <c r="M138" s="501">
        <f t="shared" si="16"/>
        <v>0</v>
      </c>
      <c r="N138" s="501">
        <f>SUM(B138:M138)</f>
        <v>0</v>
      </c>
      <c r="O138" s="501">
        <f>C$34*$D65*(1+$D$7)</f>
        <v>0</v>
      </c>
      <c r="P138" s="501">
        <f>D$34*$D65*(1+$D$7)^2</f>
        <v>0</v>
      </c>
      <c r="Q138" s="501">
        <f>E$34*$D65*(1+$D$7)^3</f>
        <v>0</v>
      </c>
      <c r="R138" s="501">
        <f>F$34*$D65*(1+$D$7)^4</f>
        <v>0</v>
      </c>
    </row>
    <row r="139" spans="1:18" ht="12.2" customHeight="1">
      <c r="A139" s="500">
        <f>A66</f>
        <v>0</v>
      </c>
      <c r="B139" s="501">
        <f t="shared" si="16"/>
        <v>0</v>
      </c>
      <c r="C139" s="501">
        <f t="shared" si="16"/>
        <v>0</v>
      </c>
      <c r="D139" s="501">
        <f t="shared" si="16"/>
        <v>0</v>
      </c>
      <c r="E139" s="501">
        <f t="shared" si="16"/>
        <v>0</v>
      </c>
      <c r="F139" s="501">
        <f t="shared" si="16"/>
        <v>0</v>
      </c>
      <c r="G139" s="501">
        <f t="shared" si="16"/>
        <v>0</v>
      </c>
      <c r="H139" s="501">
        <f t="shared" si="16"/>
        <v>0</v>
      </c>
      <c r="I139" s="501">
        <f t="shared" si="16"/>
        <v>0</v>
      </c>
      <c r="J139" s="501">
        <f t="shared" si="16"/>
        <v>0</v>
      </c>
      <c r="K139" s="501">
        <f t="shared" si="16"/>
        <v>0</v>
      </c>
      <c r="L139" s="501">
        <f t="shared" si="16"/>
        <v>0</v>
      </c>
      <c r="M139" s="501">
        <f t="shared" si="16"/>
        <v>0</v>
      </c>
      <c r="N139" s="501">
        <f>SUM(B139:M139)</f>
        <v>0</v>
      </c>
      <c r="O139" s="501">
        <f>C$34*$D66*(1+$D$7)</f>
        <v>0</v>
      </c>
      <c r="P139" s="501">
        <f>D$34*$D66*(1+$D$7)^2</f>
        <v>0</v>
      </c>
      <c r="Q139" s="501">
        <f>E$34*$D66*(1+$D$7)^3</f>
        <v>0</v>
      </c>
      <c r="R139" s="501">
        <f>F$34*$D66*(1+$D$7)^4</f>
        <v>0</v>
      </c>
    </row>
    <row r="140" spans="1:18" ht="12.2" customHeight="1">
      <c r="A140" s="500">
        <f>A67</f>
        <v>0</v>
      </c>
      <c r="B140" s="501">
        <f t="shared" si="16"/>
        <v>0</v>
      </c>
      <c r="C140" s="501">
        <f t="shared" si="16"/>
        <v>0</v>
      </c>
      <c r="D140" s="501">
        <f t="shared" si="16"/>
        <v>0</v>
      </c>
      <c r="E140" s="501">
        <f t="shared" si="16"/>
        <v>0</v>
      </c>
      <c r="F140" s="501">
        <f t="shared" si="16"/>
        <v>0</v>
      </c>
      <c r="G140" s="501">
        <f t="shared" si="16"/>
        <v>0</v>
      </c>
      <c r="H140" s="501">
        <f t="shared" si="16"/>
        <v>0</v>
      </c>
      <c r="I140" s="501">
        <f t="shared" si="16"/>
        <v>0</v>
      </c>
      <c r="J140" s="501">
        <f t="shared" si="16"/>
        <v>0</v>
      </c>
      <c r="K140" s="501">
        <f t="shared" si="16"/>
        <v>0</v>
      </c>
      <c r="L140" s="501">
        <f t="shared" si="16"/>
        <v>0</v>
      </c>
      <c r="M140" s="501">
        <f t="shared" si="16"/>
        <v>0</v>
      </c>
      <c r="N140" s="501">
        <f>SUM(B140:M140)</f>
        <v>0</v>
      </c>
      <c r="O140" s="501">
        <f>C$34*$D67*(1+$D$7)</f>
        <v>0</v>
      </c>
      <c r="P140" s="501">
        <f>D$34*$D67*(1+$D$7)^2</f>
        <v>0</v>
      </c>
      <c r="Q140" s="501">
        <f>E$34*$D67*(1+$D$7)^3</f>
        <v>0</v>
      </c>
      <c r="R140" s="501">
        <f>F$34*$D67*(1+$D$7)^4</f>
        <v>0</v>
      </c>
    </row>
    <row r="141" spans="1:18" ht="12.2" customHeight="1">
      <c r="A141" s="505" t="s">
        <v>605</v>
      </c>
      <c r="B141" s="503" t="s">
        <v>605</v>
      </c>
      <c r="C141" s="503" t="s">
        <v>605</v>
      </c>
      <c r="D141" s="503" t="s">
        <v>605</v>
      </c>
      <c r="E141" s="503" t="s">
        <v>605</v>
      </c>
      <c r="F141" s="503" t="s">
        <v>605</v>
      </c>
      <c r="G141" s="503" t="s">
        <v>605</v>
      </c>
      <c r="H141" s="503" t="s">
        <v>605</v>
      </c>
      <c r="I141" s="503" t="s">
        <v>605</v>
      </c>
      <c r="J141" s="503" t="s">
        <v>605</v>
      </c>
      <c r="K141" s="503" t="s">
        <v>605</v>
      </c>
      <c r="L141" s="503" t="s">
        <v>605</v>
      </c>
      <c r="M141" s="503" t="s">
        <v>605</v>
      </c>
      <c r="N141" s="503" t="s">
        <v>605</v>
      </c>
      <c r="O141" s="503" t="s">
        <v>605</v>
      </c>
      <c r="P141" s="503" t="s">
        <v>605</v>
      </c>
      <c r="Q141" s="503" t="s">
        <v>605</v>
      </c>
      <c r="R141" s="503" t="s">
        <v>605</v>
      </c>
    </row>
    <row r="142" spans="1:18" ht="12.2" customHeight="1">
      <c r="A142" s="500" t="str">
        <f>A17</f>
        <v/>
      </c>
      <c r="B142" s="501"/>
      <c r="C142" s="501"/>
      <c r="D142" s="501"/>
      <c r="E142" s="501"/>
      <c r="F142" s="501"/>
      <c r="G142" s="501"/>
      <c r="H142" s="501"/>
      <c r="I142" s="501"/>
      <c r="J142" s="501"/>
      <c r="K142" s="501"/>
      <c r="L142" s="501"/>
      <c r="M142" s="501"/>
      <c r="N142" s="501"/>
      <c r="O142" s="501"/>
      <c r="P142" s="501"/>
      <c r="Q142" s="501"/>
      <c r="R142" s="501"/>
    </row>
    <row r="143" spans="1:18" ht="12.2" customHeight="1">
      <c r="B143" s="501"/>
      <c r="C143" s="501"/>
      <c r="D143" s="501"/>
      <c r="E143" s="501"/>
      <c r="F143" s="501"/>
      <c r="G143" s="501"/>
      <c r="H143" s="501"/>
      <c r="I143" s="501"/>
      <c r="J143" s="501"/>
      <c r="K143" s="501"/>
      <c r="L143" s="501"/>
      <c r="M143" s="501"/>
      <c r="N143" s="501"/>
      <c r="O143" s="501"/>
      <c r="P143" s="501"/>
      <c r="Q143" s="501"/>
      <c r="R143" s="501"/>
    </row>
    <row r="144" spans="1:18" ht="12.2" customHeight="1">
      <c r="A144" s="500">
        <f>A71</f>
        <v>0</v>
      </c>
      <c r="B144" s="501">
        <f t="shared" ref="B144:M148" si="17">B$17*$D71</f>
        <v>0</v>
      </c>
      <c r="C144" s="501">
        <f t="shared" si="17"/>
        <v>0</v>
      </c>
      <c r="D144" s="501">
        <f t="shared" si="17"/>
        <v>0</v>
      </c>
      <c r="E144" s="501">
        <f t="shared" si="17"/>
        <v>0</v>
      </c>
      <c r="F144" s="501">
        <f t="shared" si="17"/>
        <v>0</v>
      </c>
      <c r="G144" s="501">
        <f t="shared" si="17"/>
        <v>0</v>
      </c>
      <c r="H144" s="501">
        <f t="shared" si="17"/>
        <v>0</v>
      </c>
      <c r="I144" s="501">
        <f t="shared" si="17"/>
        <v>0</v>
      </c>
      <c r="J144" s="501">
        <f t="shared" si="17"/>
        <v>0</v>
      </c>
      <c r="K144" s="501">
        <f t="shared" si="17"/>
        <v>0</v>
      </c>
      <c r="L144" s="501">
        <f t="shared" si="17"/>
        <v>0</v>
      </c>
      <c r="M144" s="501">
        <f t="shared" si="17"/>
        <v>0</v>
      </c>
      <c r="N144" s="501">
        <f>SUM(B144:M144)</f>
        <v>0</v>
      </c>
      <c r="O144" s="501">
        <f>C$35*$D71*(1+$D$7)</f>
        <v>0</v>
      </c>
      <c r="P144" s="501">
        <f>D$35*$D71*(1+$D$7)^2</f>
        <v>0</v>
      </c>
      <c r="Q144" s="501">
        <f>E$35*$D71*(1+$D$7)^3</f>
        <v>0</v>
      </c>
      <c r="R144" s="501">
        <f>F$35*$D71*(1+$D$7)^4</f>
        <v>0</v>
      </c>
    </row>
    <row r="145" spans="1:18" ht="12.2" customHeight="1">
      <c r="A145" s="500">
        <f>A72</f>
        <v>0</v>
      </c>
      <c r="B145" s="501">
        <f t="shared" si="17"/>
        <v>0</v>
      </c>
      <c r="C145" s="501">
        <f t="shared" si="17"/>
        <v>0</v>
      </c>
      <c r="D145" s="501">
        <f t="shared" si="17"/>
        <v>0</v>
      </c>
      <c r="E145" s="501">
        <f t="shared" si="17"/>
        <v>0</v>
      </c>
      <c r="F145" s="501">
        <f t="shared" si="17"/>
        <v>0</v>
      </c>
      <c r="G145" s="501">
        <f t="shared" si="17"/>
        <v>0</v>
      </c>
      <c r="H145" s="501">
        <f t="shared" si="17"/>
        <v>0</v>
      </c>
      <c r="I145" s="501">
        <f t="shared" si="17"/>
        <v>0</v>
      </c>
      <c r="J145" s="501">
        <f t="shared" si="17"/>
        <v>0</v>
      </c>
      <c r="K145" s="501">
        <f t="shared" si="17"/>
        <v>0</v>
      </c>
      <c r="L145" s="501">
        <f t="shared" si="17"/>
        <v>0</v>
      </c>
      <c r="M145" s="501">
        <f t="shared" si="17"/>
        <v>0</v>
      </c>
      <c r="N145" s="501">
        <f>SUM(B145:M145)</f>
        <v>0</v>
      </c>
      <c r="O145" s="501">
        <f>C$35*$D72*(1+$D$7)</f>
        <v>0</v>
      </c>
      <c r="P145" s="501">
        <f>D$35*$D72*(1+$D$7)^2</f>
        <v>0</v>
      </c>
      <c r="Q145" s="501">
        <f>E$35*$D72*(1+$D$7)^3</f>
        <v>0</v>
      </c>
      <c r="R145" s="501">
        <f>F$35*$D72*(1+$D$7)^4</f>
        <v>0</v>
      </c>
    </row>
    <row r="146" spans="1:18" ht="12.2" customHeight="1">
      <c r="A146" s="500">
        <f>A73</f>
        <v>0</v>
      </c>
      <c r="B146" s="501">
        <f t="shared" si="17"/>
        <v>0</v>
      </c>
      <c r="C146" s="501">
        <f t="shared" si="17"/>
        <v>0</v>
      </c>
      <c r="D146" s="501">
        <f t="shared" si="17"/>
        <v>0</v>
      </c>
      <c r="E146" s="501">
        <f t="shared" si="17"/>
        <v>0</v>
      </c>
      <c r="F146" s="501">
        <f t="shared" si="17"/>
        <v>0</v>
      </c>
      <c r="G146" s="501">
        <f t="shared" si="17"/>
        <v>0</v>
      </c>
      <c r="H146" s="501">
        <f t="shared" si="17"/>
        <v>0</v>
      </c>
      <c r="I146" s="501">
        <f t="shared" si="17"/>
        <v>0</v>
      </c>
      <c r="J146" s="501">
        <f t="shared" si="17"/>
        <v>0</v>
      </c>
      <c r="K146" s="501">
        <f t="shared" si="17"/>
        <v>0</v>
      </c>
      <c r="L146" s="501">
        <f t="shared" si="17"/>
        <v>0</v>
      </c>
      <c r="M146" s="501">
        <f t="shared" si="17"/>
        <v>0</v>
      </c>
      <c r="N146" s="501">
        <f>SUM(B146:M146)</f>
        <v>0</v>
      </c>
      <c r="O146" s="501">
        <f>C$35*$D73*(1+$D$7)</f>
        <v>0</v>
      </c>
      <c r="P146" s="501">
        <f>D$35*$D73*(1+$D$7)^2</f>
        <v>0</v>
      </c>
      <c r="Q146" s="501">
        <f>E$35*$D73*(1+$D$7)^3</f>
        <v>0</v>
      </c>
      <c r="R146" s="501">
        <f>F$35*$D73*(1+$D$7)^4</f>
        <v>0</v>
      </c>
    </row>
    <row r="147" spans="1:18" ht="12.2" customHeight="1">
      <c r="A147" s="500">
        <f>A74</f>
        <v>0</v>
      </c>
      <c r="B147" s="501">
        <f t="shared" si="17"/>
        <v>0</v>
      </c>
      <c r="C147" s="501">
        <f t="shared" si="17"/>
        <v>0</v>
      </c>
      <c r="D147" s="501">
        <f t="shared" si="17"/>
        <v>0</v>
      </c>
      <c r="E147" s="501">
        <f t="shared" si="17"/>
        <v>0</v>
      </c>
      <c r="F147" s="501">
        <f t="shared" si="17"/>
        <v>0</v>
      </c>
      <c r="G147" s="501">
        <f t="shared" si="17"/>
        <v>0</v>
      </c>
      <c r="H147" s="501">
        <f t="shared" si="17"/>
        <v>0</v>
      </c>
      <c r="I147" s="501">
        <f t="shared" si="17"/>
        <v>0</v>
      </c>
      <c r="J147" s="501">
        <f t="shared" si="17"/>
        <v>0</v>
      </c>
      <c r="K147" s="501">
        <f t="shared" si="17"/>
        <v>0</v>
      </c>
      <c r="L147" s="501">
        <f t="shared" si="17"/>
        <v>0</v>
      </c>
      <c r="M147" s="501">
        <f t="shared" si="17"/>
        <v>0</v>
      </c>
      <c r="N147" s="501">
        <f>SUM(B147:M147)</f>
        <v>0</v>
      </c>
      <c r="O147" s="501">
        <f>C$35*$D74*(1+$D$7)</f>
        <v>0</v>
      </c>
      <c r="P147" s="501">
        <f>D$35*$D74*(1+$D$7)^2</f>
        <v>0</v>
      </c>
      <c r="Q147" s="501">
        <f>E$35*$D74*(1+$D$7)^3</f>
        <v>0</v>
      </c>
      <c r="R147" s="501">
        <f>F$35*$D74*(1+$D$7)^4</f>
        <v>0</v>
      </c>
    </row>
    <row r="148" spans="1:18" ht="12.2" customHeight="1">
      <c r="A148" s="500">
        <f>A75</f>
        <v>0</v>
      </c>
      <c r="B148" s="501">
        <f t="shared" si="17"/>
        <v>0</v>
      </c>
      <c r="C148" s="501">
        <f t="shared" si="17"/>
        <v>0</v>
      </c>
      <c r="D148" s="501">
        <f t="shared" si="17"/>
        <v>0</v>
      </c>
      <c r="E148" s="501">
        <f t="shared" si="17"/>
        <v>0</v>
      </c>
      <c r="F148" s="501">
        <f t="shared" si="17"/>
        <v>0</v>
      </c>
      <c r="G148" s="501">
        <f t="shared" si="17"/>
        <v>0</v>
      </c>
      <c r="H148" s="501">
        <f t="shared" si="17"/>
        <v>0</v>
      </c>
      <c r="I148" s="501">
        <f t="shared" si="17"/>
        <v>0</v>
      </c>
      <c r="J148" s="501">
        <f t="shared" si="17"/>
        <v>0</v>
      </c>
      <c r="K148" s="501">
        <f t="shared" si="17"/>
        <v>0</v>
      </c>
      <c r="L148" s="501">
        <f t="shared" si="17"/>
        <v>0</v>
      </c>
      <c r="M148" s="501">
        <f t="shared" si="17"/>
        <v>0</v>
      </c>
      <c r="N148" s="501">
        <f>SUM(B148:M148)</f>
        <v>0</v>
      </c>
      <c r="O148" s="501">
        <f>C$35*$D75*(1+$D$7)</f>
        <v>0</v>
      </c>
      <c r="P148" s="501">
        <f>D$35*$D75*(1+$D$7)^2</f>
        <v>0</v>
      </c>
      <c r="Q148" s="501">
        <f>E$35*$D75*(1+$D$7)^3</f>
        <v>0</v>
      </c>
      <c r="R148" s="501">
        <f>F$35*$D75*(1+$D$7)^4</f>
        <v>0</v>
      </c>
    </row>
    <row r="149" spans="1:18" ht="12.2" customHeight="1">
      <c r="A149" s="505" t="s">
        <v>605</v>
      </c>
      <c r="B149" s="503" t="s">
        <v>605</v>
      </c>
      <c r="C149" s="503" t="s">
        <v>605</v>
      </c>
      <c r="D149" s="503" t="s">
        <v>605</v>
      </c>
      <c r="E149" s="503" t="s">
        <v>605</v>
      </c>
      <c r="F149" s="503" t="s">
        <v>605</v>
      </c>
      <c r="G149" s="503" t="s">
        <v>605</v>
      </c>
      <c r="H149" s="503" t="s">
        <v>605</v>
      </c>
      <c r="I149" s="503" t="s">
        <v>605</v>
      </c>
      <c r="J149" s="503" t="s">
        <v>605</v>
      </c>
      <c r="K149" s="503" t="s">
        <v>605</v>
      </c>
      <c r="L149" s="503" t="s">
        <v>605</v>
      </c>
      <c r="M149" s="503" t="s">
        <v>605</v>
      </c>
      <c r="N149" s="503" t="s">
        <v>605</v>
      </c>
      <c r="O149" s="503" t="s">
        <v>605</v>
      </c>
      <c r="P149" s="503" t="s">
        <v>605</v>
      </c>
      <c r="Q149" s="503" t="s">
        <v>605</v>
      </c>
      <c r="R149" s="503" t="s">
        <v>605</v>
      </c>
    </row>
    <row r="150" spans="1:18" ht="12.2" customHeight="1">
      <c r="A150" s="500" t="str">
        <f>A18</f>
        <v/>
      </c>
      <c r="B150" s="501"/>
      <c r="C150" s="501"/>
      <c r="D150" s="501"/>
      <c r="E150" s="501"/>
      <c r="F150" s="501"/>
      <c r="G150" s="501"/>
      <c r="H150" s="501"/>
      <c r="I150" s="501"/>
      <c r="J150" s="501"/>
      <c r="K150" s="501"/>
      <c r="L150" s="501"/>
      <c r="M150" s="501"/>
      <c r="N150" s="501"/>
      <c r="O150" s="501"/>
      <c r="P150" s="501"/>
      <c r="Q150" s="501"/>
      <c r="R150" s="501"/>
    </row>
    <row r="151" spans="1:18" ht="12.2" customHeight="1">
      <c r="B151" s="501"/>
      <c r="C151" s="501"/>
      <c r="D151" s="501"/>
      <c r="E151" s="501"/>
      <c r="F151" s="501"/>
      <c r="G151" s="501"/>
      <c r="H151" s="501"/>
      <c r="I151" s="501"/>
      <c r="J151" s="501"/>
      <c r="K151" s="501"/>
      <c r="L151" s="501"/>
      <c r="M151" s="501"/>
      <c r="N151" s="501"/>
      <c r="O151" s="501"/>
      <c r="P151" s="501"/>
      <c r="Q151" s="501"/>
      <c r="R151" s="501"/>
    </row>
    <row r="152" spans="1:18" ht="12.2" customHeight="1">
      <c r="A152" s="500">
        <f>A79</f>
        <v>0</v>
      </c>
      <c r="B152" s="501">
        <f t="shared" ref="B152:M156" si="18">B$18*$D79</f>
        <v>0</v>
      </c>
      <c r="C152" s="501">
        <f t="shared" si="18"/>
        <v>0</v>
      </c>
      <c r="D152" s="501">
        <f t="shared" si="18"/>
        <v>0</v>
      </c>
      <c r="E152" s="501">
        <f t="shared" si="18"/>
        <v>0</v>
      </c>
      <c r="F152" s="501">
        <f t="shared" si="18"/>
        <v>0</v>
      </c>
      <c r="G152" s="501">
        <f t="shared" si="18"/>
        <v>0</v>
      </c>
      <c r="H152" s="501">
        <f t="shared" si="18"/>
        <v>0</v>
      </c>
      <c r="I152" s="501">
        <f t="shared" si="18"/>
        <v>0</v>
      </c>
      <c r="J152" s="501">
        <f t="shared" si="18"/>
        <v>0</v>
      </c>
      <c r="K152" s="501">
        <f t="shared" si="18"/>
        <v>0</v>
      </c>
      <c r="L152" s="501">
        <f t="shared" si="18"/>
        <v>0</v>
      </c>
      <c r="M152" s="501">
        <f t="shared" si="18"/>
        <v>0</v>
      </c>
      <c r="N152" s="501">
        <f>SUM(B152:M152)</f>
        <v>0</v>
      </c>
      <c r="O152" s="501">
        <f>C$36*$D79*(1+$D$7)</f>
        <v>0</v>
      </c>
      <c r="P152" s="501">
        <f>D$36*$D79*(1+$D$7)^2</f>
        <v>0</v>
      </c>
      <c r="Q152" s="501">
        <f>E$36*$D79*(1+$D$7)^3</f>
        <v>0</v>
      </c>
      <c r="R152" s="501">
        <f>F$36*$D79*(1+$D$7)^4</f>
        <v>0</v>
      </c>
    </row>
    <row r="153" spans="1:18" ht="12.2" customHeight="1">
      <c r="A153" s="500">
        <f>A80</f>
        <v>0</v>
      </c>
      <c r="B153" s="501">
        <f t="shared" si="18"/>
        <v>0</v>
      </c>
      <c r="C153" s="501">
        <f t="shared" si="18"/>
        <v>0</v>
      </c>
      <c r="D153" s="501">
        <f t="shared" si="18"/>
        <v>0</v>
      </c>
      <c r="E153" s="501">
        <f t="shared" si="18"/>
        <v>0</v>
      </c>
      <c r="F153" s="501">
        <f t="shared" si="18"/>
        <v>0</v>
      </c>
      <c r="G153" s="501">
        <f t="shared" si="18"/>
        <v>0</v>
      </c>
      <c r="H153" s="501">
        <f t="shared" si="18"/>
        <v>0</v>
      </c>
      <c r="I153" s="501">
        <f t="shared" si="18"/>
        <v>0</v>
      </c>
      <c r="J153" s="501">
        <f t="shared" si="18"/>
        <v>0</v>
      </c>
      <c r="K153" s="501">
        <f t="shared" si="18"/>
        <v>0</v>
      </c>
      <c r="L153" s="501">
        <f t="shared" si="18"/>
        <v>0</v>
      </c>
      <c r="M153" s="501">
        <f t="shared" si="18"/>
        <v>0</v>
      </c>
      <c r="N153" s="501">
        <f>SUM(B153:M153)</f>
        <v>0</v>
      </c>
      <c r="O153" s="501">
        <f>C$36*$D80*(1+$D$7)</f>
        <v>0</v>
      </c>
      <c r="P153" s="501">
        <f>D$36*$D80*(1+$D$7)^2</f>
        <v>0</v>
      </c>
      <c r="Q153" s="501">
        <f>E$36*$D80*(1+$D$7)^3</f>
        <v>0</v>
      </c>
      <c r="R153" s="501">
        <f>F$36*$D80*(1+$D$7)^4</f>
        <v>0</v>
      </c>
    </row>
    <row r="154" spans="1:18" ht="12.2" customHeight="1">
      <c r="A154" s="500">
        <f>A81</f>
        <v>0</v>
      </c>
      <c r="B154" s="501">
        <f t="shared" si="18"/>
        <v>0</v>
      </c>
      <c r="C154" s="501">
        <f t="shared" si="18"/>
        <v>0</v>
      </c>
      <c r="D154" s="501">
        <f t="shared" si="18"/>
        <v>0</v>
      </c>
      <c r="E154" s="501">
        <f t="shared" si="18"/>
        <v>0</v>
      </c>
      <c r="F154" s="501">
        <f t="shared" si="18"/>
        <v>0</v>
      </c>
      <c r="G154" s="501">
        <f t="shared" si="18"/>
        <v>0</v>
      </c>
      <c r="H154" s="501">
        <f t="shared" si="18"/>
        <v>0</v>
      </c>
      <c r="I154" s="501">
        <f t="shared" si="18"/>
        <v>0</v>
      </c>
      <c r="J154" s="501">
        <f t="shared" si="18"/>
        <v>0</v>
      </c>
      <c r="K154" s="501">
        <f t="shared" si="18"/>
        <v>0</v>
      </c>
      <c r="L154" s="501">
        <f t="shared" si="18"/>
        <v>0</v>
      </c>
      <c r="M154" s="501">
        <f t="shared" si="18"/>
        <v>0</v>
      </c>
      <c r="N154" s="501">
        <f>SUM(B154:M154)</f>
        <v>0</v>
      </c>
      <c r="O154" s="501">
        <f>C$36*$D81*(1+$D$7)</f>
        <v>0</v>
      </c>
      <c r="P154" s="501">
        <f>D$36*$D81*(1+$D$7)^2</f>
        <v>0</v>
      </c>
      <c r="Q154" s="501">
        <f>E$36*$D81*(1+$D$7)^3</f>
        <v>0</v>
      </c>
      <c r="R154" s="501">
        <f>F$36*$D81*(1+$D$7)^4</f>
        <v>0</v>
      </c>
    </row>
    <row r="155" spans="1:18" ht="12.2" customHeight="1">
      <c r="A155" s="500">
        <f>A82</f>
        <v>0</v>
      </c>
      <c r="B155" s="501">
        <f t="shared" si="18"/>
        <v>0</v>
      </c>
      <c r="C155" s="501">
        <f t="shared" si="18"/>
        <v>0</v>
      </c>
      <c r="D155" s="501">
        <f t="shared" si="18"/>
        <v>0</v>
      </c>
      <c r="E155" s="501">
        <f t="shared" si="18"/>
        <v>0</v>
      </c>
      <c r="F155" s="501">
        <f t="shared" si="18"/>
        <v>0</v>
      </c>
      <c r="G155" s="501">
        <f t="shared" si="18"/>
        <v>0</v>
      </c>
      <c r="H155" s="501">
        <f t="shared" si="18"/>
        <v>0</v>
      </c>
      <c r="I155" s="501">
        <f t="shared" si="18"/>
        <v>0</v>
      </c>
      <c r="J155" s="501">
        <f t="shared" si="18"/>
        <v>0</v>
      </c>
      <c r="K155" s="501">
        <f t="shared" si="18"/>
        <v>0</v>
      </c>
      <c r="L155" s="501">
        <f t="shared" si="18"/>
        <v>0</v>
      </c>
      <c r="M155" s="501">
        <f t="shared" si="18"/>
        <v>0</v>
      </c>
      <c r="N155" s="501">
        <f>SUM(B155:M155)</f>
        <v>0</v>
      </c>
      <c r="O155" s="501">
        <f>C$36*$D82*(1+$D$7)</f>
        <v>0</v>
      </c>
      <c r="P155" s="501">
        <f>D$36*$D82*(1+$D$7)^2</f>
        <v>0</v>
      </c>
      <c r="Q155" s="501">
        <f>E$36*$D82*(1+$D$7)^3</f>
        <v>0</v>
      </c>
      <c r="R155" s="501">
        <f>F$36*$D82*(1+$D$7)^4</f>
        <v>0</v>
      </c>
    </row>
    <row r="156" spans="1:18" ht="12.2" customHeight="1">
      <c r="A156" s="500">
        <f>A83</f>
        <v>0</v>
      </c>
      <c r="B156" s="501">
        <f t="shared" si="18"/>
        <v>0</v>
      </c>
      <c r="C156" s="501">
        <f t="shared" si="18"/>
        <v>0</v>
      </c>
      <c r="D156" s="501">
        <f t="shared" si="18"/>
        <v>0</v>
      </c>
      <c r="E156" s="501">
        <f t="shared" si="18"/>
        <v>0</v>
      </c>
      <c r="F156" s="501">
        <f t="shared" si="18"/>
        <v>0</v>
      </c>
      <c r="G156" s="501">
        <f t="shared" si="18"/>
        <v>0</v>
      </c>
      <c r="H156" s="501">
        <f t="shared" si="18"/>
        <v>0</v>
      </c>
      <c r="I156" s="501">
        <f t="shared" si="18"/>
        <v>0</v>
      </c>
      <c r="J156" s="501">
        <f t="shared" si="18"/>
        <v>0</v>
      </c>
      <c r="K156" s="501">
        <f t="shared" si="18"/>
        <v>0</v>
      </c>
      <c r="L156" s="501">
        <f t="shared" si="18"/>
        <v>0</v>
      </c>
      <c r="M156" s="501">
        <f t="shared" si="18"/>
        <v>0</v>
      </c>
      <c r="N156" s="501">
        <f>SUM(B156:M156)</f>
        <v>0</v>
      </c>
      <c r="O156" s="501">
        <f>C$36*$D83*(1+$D$7)</f>
        <v>0</v>
      </c>
      <c r="P156" s="501">
        <f>D$36*$D83*(1+$D$7)^2</f>
        <v>0</v>
      </c>
      <c r="Q156" s="501">
        <f>E$36*$D83*(1+$D$7)^3</f>
        <v>0</v>
      </c>
      <c r="R156" s="501">
        <f>F$36*$D83*(1+$D$7)^4</f>
        <v>0</v>
      </c>
    </row>
    <row r="157" spans="1:18" ht="12.2" customHeight="1">
      <c r="A157" s="505" t="s">
        <v>605</v>
      </c>
      <c r="B157" s="503" t="s">
        <v>605</v>
      </c>
      <c r="C157" s="503" t="s">
        <v>605</v>
      </c>
      <c r="D157" s="503" t="s">
        <v>605</v>
      </c>
      <c r="E157" s="503" t="s">
        <v>605</v>
      </c>
      <c r="F157" s="503" t="s">
        <v>605</v>
      </c>
      <c r="G157" s="503" t="s">
        <v>605</v>
      </c>
      <c r="H157" s="503" t="s">
        <v>605</v>
      </c>
      <c r="I157" s="503" t="s">
        <v>605</v>
      </c>
      <c r="J157" s="503" t="s">
        <v>605</v>
      </c>
      <c r="K157" s="503" t="s">
        <v>605</v>
      </c>
      <c r="L157" s="503" t="s">
        <v>605</v>
      </c>
      <c r="M157" s="503" t="s">
        <v>605</v>
      </c>
      <c r="N157" s="503" t="s">
        <v>605</v>
      </c>
      <c r="O157" s="503" t="s">
        <v>605</v>
      </c>
      <c r="P157" s="503" t="s">
        <v>605</v>
      </c>
      <c r="Q157" s="503" t="s">
        <v>605</v>
      </c>
      <c r="R157" s="503" t="s">
        <v>605</v>
      </c>
    </row>
    <row r="158" spans="1:18" ht="12.2" customHeight="1">
      <c r="A158" s="500" t="str">
        <f>A19</f>
        <v/>
      </c>
      <c r="B158" s="501"/>
      <c r="C158" s="501"/>
      <c r="D158" s="501"/>
      <c r="E158" s="501"/>
      <c r="F158" s="501"/>
      <c r="G158" s="501"/>
      <c r="H158" s="501"/>
      <c r="I158" s="501"/>
      <c r="J158" s="501"/>
      <c r="K158" s="501"/>
      <c r="L158" s="501"/>
      <c r="M158" s="501"/>
      <c r="N158" s="501"/>
      <c r="O158" s="501"/>
      <c r="P158" s="501"/>
      <c r="Q158" s="501"/>
      <c r="R158" s="501"/>
    </row>
    <row r="159" spans="1:18" ht="12.2" customHeight="1">
      <c r="B159" s="501"/>
      <c r="C159" s="501"/>
      <c r="D159" s="501"/>
      <c r="E159" s="501"/>
      <c r="F159" s="501"/>
      <c r="G159" s="501"/>
      <c r="H159" s="501"/>
      <c r="I159" s="501"/>
      <c r="J159" s="501"/>
      <c r="K159" s="501"/>
      <c r="L159" s="501"/>
      <c r="M159" s="501"/>
      <c r="N159" s="501"/>
      <c r="O159" s="501"/>
      <c r="P159" s="501"/>
      <c r="Q159" s="501"/>
      <c r="R159" s="501"/>
    </row>
    <row r="160" spans="1:18" ht="12.2" customHeight="1">
      <c r="A160" s="500">
        <f>A87</f>
        <v>0</v>
      </c>
      <c r="B160" s="501">
        <f t="shared" ref="B160:M164" si="19">B$19*$D87</f>
        <v>0</v>
      </c>
      <c r="C160" s="501">
        <f t="shared" si="19"/>
        <v>0</v>
      </c>
      <c r="D160" s="501">
        <f t="shared" si="19"/>
        <v>0</v>
      </c>
      <c r="E160" s="501">
        <f t="shared" si="19"/>
        <v>0</v>
      </c>
      <c r="F160" s="501">
        <f t="shared" si="19"/>
        <v>0</v>
      </c>
      <c r="G160" s="501">
        <f t="shared" si="19"/>
        <v>0</v>
      </c>
      <c r="H160" s="501">
        <f t="shared" si="19"/>
        <v>0</v>
      </c>
      <c r="I160" s="501">
        <f t="shared" si="19"/>
        <v>0</v>
      </c>
      <c r="J160" s="501">
        <f t="shared" si="19"/>
        <v>0</v>
      </c>
      <c r="K160" s="501">
        <f t="shared" si="19"/>
        <v>0</v>
      </c>
      <c r="L160" s="501">
        <f t="shared" si="19"/>
        <v>0</v>
      </c>
      <c r="M160" s="501">
        <f t="shared" si="19"/>
        <v>0</v>
      </c>
      <c r="N160" s="501">
        <f>SUM(B160:M160)</f>
        <v>0</v>
      </c>
      <c r="O160" s="501">
        <f>$D87*C$37*(1+$D$7)</f>
        <v>0</v>
      </c>
      <c r="P160" s="501">
        <f>$D87*D$37*(1+$D$7)^2</f>
        <v>0</v>
      </c>
      <c r="Q160" s="501">
        <f>$D87*E$37*(1+$D$7)^3</f>
        <v>0</v>
      </c>
      <c r="R160" s="501">
        <f>$D87*F$37*(1+$D$7)^4</f>
        <v>0</v>
      </c>
    </row>
    <row r="161" spans="1:18" ht="12.2" customHeight="1">
      <c r="A161" s="500">
        <f>A88</f>
        <v>0</v>
      </c>
      <c r="B161" s="501">
        <f t="shared" si="19"/>
        <v>0</v>
      </c>
      <c r="C161" s="501">
        <f t="shared" si="19"/>
        <v>0</v>
      </c>
      <c r="D161" s="501">
        <f t="shared" si="19"/>
        <v>0</v>
      </c>
      <c r="E161" s="501">
        <f t="shared" si="19"/>
        <v>0</v>
      </c>
      <c r="F161" s="501">
        <f t="shared" si="19"/>
        <v>0</v>
      </c>
      <c r="G161" s="501">
        <f t="shared" si="19"/>
        <v>0</v>
      </c>
      <c r="H161" s="501">
        <f t="shared" si="19"/>
        <v>0</v>
      </c>
      <c r="I161" s="501">
        <f t="shared" si="19"/>
        <v>0</v>
      </c>
      <c r="J161" s="501">
        <f t="shared" si="19"/>
        <v>0</v>
      </c>
      <c r="K161" s="501">
        <f t="shared" si="19"/>
        <v>0</v>
      </c>
      <c r="L161" s="501">
        <f t="shared" si="19"/>
        <v>0</v>
      </c>
      <c r="M161" s="501">
        <f t="shared" si="19"/>
        <v>0</v>
      </c>
      <c r="N161" s="501">
        <f>SUM(B161:M161)</f>
        <v>0</v>
      </c>
      <c r="O161" s="501">
        <f>$D88*C$37*(1+$D$7)</f>
        <v>0</v>
      </c>
      <c r="P161" s="501">
        <f>$D88*D$37*(1+$D$7)^2</f>
        <v>0</v>
      </c>
      <c r="Q161" s="501">
        <f>$D88*E$37*(1+$D$7)^3</f>
        <v>0</v>
      </c>
      <c r="R161" s="501">
        <f>$D88*F$37*(1+$D$7)^4</f>
        <v>0</v>
      </c>
    </row>
    <row r="162" spans="1:18" ht="12.2" customHeight="1">
      <c r="A162" s="500">
        <f>A89</f>
        <v>0</v>
      </c>
      <c r="B162" s="501">
        <f t="shared" si="19"/>
        <v>0</v>
      </c>
      <c r="C162" s="501">
        <f t="shared" si="19"/>
        <v>0</v>
      </c>
      <c r="D162" s="501">
        <f t="shared" si="19"/>
        <v>0</v>
      </c>
      <c r="E162" s="501">
        <f t="shared" si="19"/>
        <v>0</v>
      </c>
      <c r="F162" s="501">
        <f t="shared" si="19"/>
        <v>0</v>
      </c>
      <c r="G162" s="501">
        <f t="shared" si="19"/>
        <v>0</v>
      </c>
      <c r="H162" s="501">
        <f t="shared" si="19"/>
        <v>0</v>
      </c>
      <c r="I162" s="501">
        <f t="shared" si="19"/>
        <v>0</v>
      </c>
      <c r="J162" s="501">
        <f t="shared" si="19"/>
        <v>0</v>
      </c>
      <c r="K162" s="501">
        <f t="shared" si="19"/>
        <v>0</v>
      </c>
      <c r="L162" s="501">
        <f t="shared" si="19"/>
        <v>0</v>
      </c>
      <c r="M162" s="501">
        <f t="shared" si="19"/>
        <v>0</v>
      </c>
      <c r="N162" s="501">
        <f>SUM(B162:M162)</f>
        <v>0</v>
      </c>
      <c r="O162" s="501">
        <f>$D89*C$37*(1+$D$7)</f>
        <v>0</v>
      </c>
      <c r="P162" s="501">
        <f>$D89*D$37*(1+$D$7)^2</f>
        <v>0</v>
      </c>
      <c r="Q162" s="501">
        <f>$D89*E$37*(1+$D$7)^3</f>
        <v>0</v>
      </c>
      <c r="R162" s="501">
        <f>$D89*F$37*(1+$D$7)^4</f>
        <v>0</v>
      </c>
    </row>
    <row r="163" spans="1:18" ht="12.2" customHeight="1">
      <c r="A163" s="500">
        <f>A90</f>
        <v>0</v>
      </c>
      <c r="B163" s="501">
        <f t="shared" si="19"/>
        <v>0</v>
      </c>
      <c r="C163" s="501">
        <f t="shared" si="19"/>
        <v>0</v>
      </c>
      <c r="D163" s="501">
        <f t="shared" si="19"/>
        <v>0</v>
      </c>
      <c r="E163" s="501">
        <f t="shared" si="19"/>
        <v>0</v>
      </c>
      <c r="F163" s="501">
        <f t="shared" si="19"/>
        <v>0</v>
      </c>
      <c r="G163" s="501">
        <f t="shared" si="19"/>
        <v>0</v>
      </c>
      <c r="H163" s="501">
        <f t="shared" si="19"/>
        <v>0</v>
      </c>
      <c r="I163" s="501">
        <f t="shared" si="19"/>
        <v>0</v>
      </c>
      <c r="J163" s="501">
        <f t="shared" si="19"/>
        <v>0</v>
      </c>
      <c r="K163" s="501">
        <f t="shared" si="19"/>
        <v>0</v>
      </c>
      <c r="L163" s="501">
        <f t="shared" si="19"/>
        <v>0</v>
      </c>
      <c r="M163" s="501">
        <f t="shared" si="19"/>
        <v>0</v>
      </c>
      <c r="N163" s="501">
        <f>SUM(B163:M163)</f>
        <v>0</v>
      </c>
      <c r="O163" s="501">
        <f>$D90*C$37*(1+$D$7)</f>
        <v>0</v>
      </c>
      <c r="P163" s="501">
        <f>$D90*D$37*(1+$D$7)^2</f>
        <v>0</v>
      </c>
      <c r="Q163" s="501">
        <f>$D90*E$37*(1+$D$7)^3</f>
        <v>0</v>
      </c>
      <c r="R163" s="501">
        <f>$D90*F$37*(1+$D$7)^4</f>
        <v>0</v>
      </c>
    </row>
    <row r="164" spans="1:18" ht="12.2" customHeight="1">
      <c r="A164" s="500">
        <f>A91</f>
        <v>0</v>
      </c>
      <c r="B164" s="501">
        <f t="shared" si="19"/>
        <v>0</v>
      </c>
      <c r="C164" s="501">
        <f t="shared" si="19"/>
        <v>0</v>
      </c>
      <c r="D164" s="501">
        <f t="shared" si="19"/>
        <v>0</v>
      </c>
      <c r="E164" s="501">
        <f t="shared" si="19"/>
        <v>0</v>
      </c>
      <c r="F164" s="501">
        <f t="shared" si="19"/>
        <v>0</v>
      </c>
      <c r="G164" s="501">
        <f t="shared" si="19"/>
        <v>0</v>
      </c>
      <c r="H164" s="501">
        <f t="shared" si="19"/>
        <v>0</v>
      </c>
      <c r="I164" s="501">
        <f t="shared" si="19"/>
        <v>0</v>
      </c>
      <c r="J164" s="501">
        <f t="shared" si="19"/>
        <v>0</v>
      </c>
      <c r="K164" s="501">
        <f t="shared" si="19"/>
        <v>0</v>
      </c>
      <c r="L164" s="501">
        <f t="shared" si="19"/>
        <v>0</v>
      </c>
      <c r="M164" s="501">
        <f t="shared" si="19"/>
        <v>0</v>
      </c>
      <c r="N164" s="501">
        <f>SUM(B164:M164)</f>
        <v>0</v>
      </c>
      <c r="O164" s="501">
        <f>$D91*C$37*(1+$D$7)</f>
        <v>0</v>
      </c>
      <c r="P164" s="501">
        <f>$D91*D$37*(1+$D$7)^2</f>
        <v>0</v>
      </c>
      <c r="Q164" s="501">
        <f>$D91*E$37*(1+$D$7)^3</f>
        <v>0</v>
      </c>
      <c r="R164" s="501">
        <f>$D91*F$37*(1+$D$7)^4</f>
        <v>0</v>
      </c>
    </row>
    <row r="165" spans="1:18" ht="12.2" customHeight="1">
      <c r="A165" s="505" t="s">
        <v>605</v>
      </c>
      <c r="B165" s="503" t="s">
        <v>605</v>
      </c>
      <c r="C165" s="503" t="s">
        <v>605</v>
      </c>
      <c r="D165" s="503" t="s">
        <v>605</v>
      </c>
      <c r="E165" s="503" t="s">
        <v>605</v>
      </c>
      <c r="F165" s="503" t="s">
        <v>605</v>
      </c>
      <c r="G165" s="503" t="s">
        <v>605</v>
      </c>
      <c r="H165" s="503" t="s">
        <v>605</v>
      </c>
      <c r="I165" s="503" t="s">
        <v>605</v>
      </c>
      <c r="J165" s="503" t="s">
        <v>605</v>
      </c>
      <c r="K165" s="503" t="s">
        <v>605</v>
      </c>
      <c r="L165" s="503" t="s">
        <v>605</v>
      </c>
      <c r="M165" s="503" t="s">
        <v>605</v>
      </c>
      <c r="N165" s="503" t="s">
        <v>605</v>
      </c>
      <c r="O165" s="503" t="s">
        <v>605</v>
      </c>
      <c r="P165" s="503" t="s">
        <v>605</v>
      </c>
      <c r="Q165" s="503" t="s">
        <v>605</v>
      </c>
      <c r="R165" s="503" t="s">
        <v>605</v>
      </c>
    </row>
    <row r="166" spans="1:18" ht="12.2" customHeight="1">
      <c r="A166" s="500" t="str">
        <f>A20</f>
        <v/>
      </c>
      <c r="B166" s="501"/>
      <c r="C166" s="501"/>
      <c r="D166" s="501"/>
      <c r="E166" s="501"/>
      <c r="F166" s="501"/>
      <c r="G166" s="501"/>
      <c r="H166" s="501"/>
      <c r="I166" s="501"/>
      <c r="J166" s="501"/>
      <c r="K166" s="501"/>
      <c r="L166" s="501"/>
      <c r="M166" s="501"/>
      <c r="N166" s="501"/>
      <c r="O166" s="501"/>
      <c r="P166" s="501"/>
      <c r="Q166" s="501"/>
      <c r="R166" s="501"/>
    </row>
    <row r="167" spans="1:18" ht="12.2" customHeight="1">
      <c r="B167" s="501"/>
      <c r="C167" s="501"/>
      <c r="D167" s="501"/>
      <c r="E167" s="501"/>
      <c r="F167" s="501"/>
      <c r="G167" s="501"/>
      <c r="H167" s="501"/>
      <c r="I167" s="501"/>
      <c r="J167" s="501"/>
      <c r="K167" s="501"/>
      <c r="L167" s="501"/>
      <c r="M167" s="501"/>
      <c r="N167" s="501"/>
      <c r="O167" s="501"/>
      <c r="P167" s="501"/>
      <c r="Q167" s="501"/>
      <c r="R167" s="501"/>
    </row>
    <row r="168" spans="1:18" ht="12.2" customHeight="1">
      <c r="A168" s="500">
        <f>A95</f>
        <v>0</v>
      </c>
      <c r="B168" s="501">
        <f t="shared" ref="B168:M172" si="20">B$20*$D95</f>
        <v>0</v>
      </c>
      <c r="C168" s="501">
        <f t="shared" si="20"/>
        <v>0</v>
      </c>
      <c r="D168" s="501">
        <f t="shared" si="20"/>
        <v>0</v>
      </c>
      <c r="E168" s="501">
        <f t="shared" si="20"/>
        <v>0</v>
      </c>
      <c r="F168" s="501">
        <f t="shared" si="20"/>
        <v>0</v>
      </c>
      <c r="G168" s="501">
        <f t="shared" si="20"/>
        <v>0</v>
      </c>
      <c r="H168" s="501">
        <f t="shared" si="20"/>
        <v>0</v>
      </c>
      <c r="I168" s="501">
        <f t="shared" si="20"/>
        <v>0</v>
      </c>
      <c r="J168" s="501">
        <f t="shared" si="20"/>
        <v>0</v>
      </c>
      <c r="K168" s="501">
        <f t="shared" si="20"/>
        <v>0</v>
      </c>
      <c r="L168" s="501">
        <f t="shared" si="20"/>
        <v>0</v>
      </c>
      <c r="M168" s="501">
        <f t="shared" si="20"/>
        <v>0</v>
      </c>
      <c r="N168" s="501">
        <f>SUM(B168:M168)</f>
        <v>0</v>
      </c>
      <c r="O168" s="501">
        <f>C$38*$D95*(1+$D$7)</f>
        <v>0</v>
      </c>
      <c r="P168" s="501">
        <f>D$38*$D95*(1+$D$7)^2</f>
        <v>0</v>
      </c>
      <c r="Q168" s="501">
        <f>E$38*$D95*(1+$D$7)^3</f>
        <v>0</v>
      </c>
      <c r="R168" s="501">
        <f>F$38*$D95*(1+$D$7)^4</f>
        <v>0</v>
      </c>
    </row>
    <row r="169" spans="1:18" ht="12.2" customHeight="1">
      <c r="A169" s="500">
        <f>A96</f>
        <v>0</v>
      </c>
      <c r="B169" s="501">
        <f t="shared" si="20"/>
        <v>0</v>
      </c>
      <c r="C169" s="501">
        <f t="shared" si="20"/>
        <v>0</v>
      </c>
      <c r="D169" s="501">
        <f t="shared" si="20"/>
        <v>0</v>
      </c>
      <c r="E169" s="501">
        <f t="shared" si="20"/>
        <v>0</v>
      </c>
      <c r="F169" s="501">
        <f t="shared" si="20"/>
        <v>0</v>
      </c>
      <c r="G169" s="501">
        <f t="shared" si="20"/>
        <v>0</v>
      </c>
      <c r="H169" s="501">
        <f t="shared" si="20"/>
        <v>0</v>
      </c>
      <c r="I169" s="501">
        <f t="shared" si="20"/>
        <v>0</v>
      </c>
      <c r="J169" s="501">
        <f t="shared" si="20"/>
        <v>0</v>
      </c>
      <c r="K169" s="501">
        <f t="shared" si="20"/>
        <v>0</v>
      </c>
      <c r="L169" s="501">
        <f t="shared" si="20"/>
        <v>0</v>
      </c>
      <c r="M169" s="501">
        <f t="shared" si="20"/>
        <v>0</v>
      </c>
      <c r="N169" s="501">
        <f>SUM(B169:M169)</f>
        <v>0</v>
      </c>
      <c r="O169" s="501">
        <f>C$38*$D96*(1+$D$7)</f>
        <v>0</v>
      </c>
      <c r="P169" s="501">
        <f>D$38*$D96*(1+$D$7)^2</f>
        <v>0</v>
      </c>
      <c r="Q169" s="501">
        <f>E$38*$D96*(1+$D$7)^3</f>
        <v>0</v>
      </c>
      <c r="R169" s="501">
        <f>F$38*$D96*(1+$D$7)^4</f>
        <v>0</v>
      </c>
    </row>
    <row r="170" spans="1:18" ht="12.2" customHeight="1">
      <c r="A170" s="500">
        <f>A97</f>
        <v>0</v>
      </c>
      <c r="B170" s="501">
        <f t="shared" si="20"/>
        <v>0</v>
      </c>
      <c r="C170" s="501">
        <f t="shared" si="20"/>
        <v>0</v>
      </c>
      <c r="D170" s="501">
        <f t="shared" si="20"/>
        <v>0</v>
      </c>
      <c r="E170" s="501">
        <f t="shared" si="20"/>
        <v>0</v>
      </c>
      <c r="F170" s="501">
        <f t="shared" si="20"/>
        <v>0</v>
      </c>
      <c r="G170" s="501">
        <f t="shared" si="20"/>
        <v>0</v>
      </c>
      <c r="H170" s="501">
        <f t="shared" si="20"/>
        <v>0</v>
      </c>
      <c r="I170" s="501">
        <f t="shared" si="20"/>
        <v>0</v>
      </c>
      <c r="J170" s="501">
        <f t="shared" si="20"/>
        <v>0</v>
      </c>
      <c r="K170" s="501">
        <f t="shared" si="20"/>
        <v>0</v>
      </c>
      <c r="L170" s="501">
        <f t="shared" si="20"/>
        <v>0</v>
      </c>
      <c r="M170" s="501">
        <f t="shared" si="20"/>
        <v>0</v>
      </c>
      <c r="N170" s="501">
        <f>SUM(B170:M170)</f>
        <v>0</v>
      </c>
      <c r="O170" s="501">
        <f>C$38*$D97*(1+$D$7)</f>
        <v>0</v>
      </c>
      <c r="P170" s="501">
        <f>D$38*$D97*(1+$D$7)^2</f>
        <v>0</v>
      </c>
      <c r="Q170" s="501">
        <f>E$38*$D97*(1+$D$7)^3</f>
        <v>0</v>
      </c>
      <c r="R170" s="501">
        <f>F$38*$D97*(1+$D$7)^4</f>
        <v>0</v>
      </c>
    </row>
    <row r="171" spans="1:18" ht="12.2" customHeight="1">
      <c r="A171" s="500">
        <f>A98</f>
        <v>0</v>
      </c>
      <c r="B171" s="501">
        <f t="shared" si="20"/>
        <v>0</v>
      </c>
      <c r="C171" s="501">
        <f t="shared" si="20"/>
        <v>0</v>
      </c>
      <c r="D171" s="501">
        <f t="shared" si="20"/>
        <v>0</v>
      </c>
      <c r="E171" s="501">
        <f t="shared" si="20"/>
        <v>0</v>
      </c>
      <c r="F171" s="501">
        <f t="shared" si="20"/>
        <v>0</v>
      </c>
      <c r="G171" s="501">
        <f t="shared" si="20"/>
        <v>0</v>
      </c>
      <c r="H171" s="501">
        <f t="shared" si="20"/>
        <v>0</v>
      </c>
      <c r="I171" s="501">
        <f t="shared" si="20"/>
        <v>0</v>
      </c>
      <c r="J171" s="501">
        <f t="shared" si="20"/>
        <v>0</v>
      </c>
      <c r="K171" s="501">
        <f t="shared" si="20"/>
        <v>0</v>
      </c>
      <c r="L171" s="501">
        <f t="shared" si="20"/>
        <v>0</v>
      </c>
      <c r="M171" s="501">
        <f t="shared" si="20"/>
        <v>0</v>
      </c>
      <c r="N171" s="501">
        <f>SUM(B171:M171)</f>
        <v>0</v>
      </c>
      <c r="O171" s="501">
        <f>C$38*$D98*(1+$D$7)</f>
        <v>0</v>
      </c>
      <c r="P171" s="501">
        <f>D$38*$D98*(1+$D$7)^2</f>
        <v>0</v>
      </c>
      <c r="Q171" s="501">
        <f>E$38*$D98*(1+$D$7)^3</f>
        <v>0</v>
      </c>
      <c r="R171" s="501">
        <f>F$38*$D98*(1+$D$7)^4</f>
        <v>0</v>
      </c>
    </row>
    <row r="172" spans="1:18" ht="12.2" customHeight="1">
      <c r="A172" s="500">
        <f>A99</f>
        <v>0</v>
      </c>
      <c r="B172" s="501">
        <f t="shared" si="20"/>
        <v>0</v>
      </c>
      <c r="C172" s="501">
        <f t="shared" si="20"/>
        <v>0</v>
      </c>
      <c r="D172" s="501">
        <f t="shared" si="20"/>
        <v>0</v>
      </c>
      <c r="E172" s="501">
        <f t="shared" si="20"/>
        <v>0</v>
      </c>
      <c r="F172" s="501">
        <f t="shared" si="20"/>
        <v>0</v>
      </c>
      <c r="G172" s="501">
        <f t="shared" si="20"/>
        <v>0</v>
      </c>
      <c r="H172" s="501">
        <f t="shared" si="20"/>
        <v>0</v>
      </c>
      <c r="I172" s="501">
        <f t="shared" si="20"/>
        <v>0</v>
      </c>
      <c r="J172" s="501">
        <f t="shared" si="20"/>
        <v>0</v>
      </c>
      <c r="K172" s="501">
        <f t="shared" si="20"/>
        <v>0</v>
      </c>
      <c r="L172" s="501">
        <f t="shared" si="20"/>
        <v>0</v>
      </c>
      <c r="M172" s="501">
        <f t="shared" si="20"/>
        <v>0</v>
      </c>
      <c r="N172" s="501">
        <f>SUM(B172:M172)</f>
        <v>0</v>
      </c>
      <c r="O172" s="501">
        <f>C$38*$D99*(1+$D$7)</f>
        <v>0</v>
      </c>
      <c r="P172" s="501">
        <f>D$38*$D99*(1+$D$7)^2</f>
        <v>0</v>
      </c>
      <c r="Q172" s="501">
        <f>E$38*$D99*(1+$D$7)^3</f>
        <v>0</v>
      </c>
      <c r="R172" s="501">
        <f>F$38*$D99*(1+$D$7)^4</f>
        <v>0</v>
      </c>
    </row>
    <row r="173" spans="1:18" ht="12.2" customHeight="1">
      <c r="A173" s="505" t="s">
        <v>605</v>
      </c>
      <c r="B173" s="503" t="s">
        <v>605</v>
      </c>
      <c r="C173" s="503" t="s">
        <v>605</v>
      </c>
      <c r="D173" s="503" t="s">
        <v>605</v>
      </c>
      <c r="E173" s="503" t="s">
        <v>605</v>
      </c>
      <c r="F173" s="503" t="s">
        <v>605</v>
      </c>
      <c r="G173" s="503" t="s">
        <v>605</v>
      </c>
      <c r="H173" s="503" t="s">
        <v>605</v>
      </c>
      <c r="I173" s="503" t="s">
        <v>605</v>
      </c>
      <c r="J173" s="503" t="s">
        <v>605</v>
      </c>
      <c r="K173" s="503" t="s">
        <v>605</v>
      </c>
      <c r="L173" s="503" t="s">
        <v>605</v>
      </c>
      <c r="M173" s="503" t="s">
        <v>605</v>
      </c>
      <c r="N173" s="503" t="s">
        <v>605</v>
      </c>
      <c r="O173" s="503" t="s">
        <v>605</v>
      </c>
      <c r="P173" s="503" t="s">
        <v>605</v>
      </c>
      <c r="Q173" s="503" t="s">
        <v>605</v>
      </c>
      <c r="R173" s="503" t="s">
        <v>605</v>
      </c>
    </row>
    <row r="174" spans="1:18" ht="12.2" customHeight="1">
      <c r="A174" s="501" t="str">
        <f>+A21</f>
        <v/>
      </c>
      <c r="B174" s="501"/>
      <c r="C174" s="501"/>
      <c r="D174" s="501"/>
      <c r="E174" s="501"/>
      <c r="F174" s="501"/>
      <c r="G174" s="501"/>
      <c r="H174" s="501"/>
      <c r="I174" s="501"/>
      <c r="J174" s="501"/>
      <c r="K174" s="501"/>
      <c r="L174" s="501"/>
      <c r="M174" s="501"/>
      <c r="N174" s="501"/>
      <c r="O174" s="501"/>
      <c r="P174" s="501"/>
      <c r="Q174" s="501"/>
      <c r="R174" s="501"/>
    </row>
    <row r="175" spans="1:18" ht="12.2" customHeight="1">
      <c r="B175" s="501"/>
      <c r="C175" s="501"/>
      <c r="D175" s="501"/>
      <c r="E175" s="501"/>
      <c r="F175" s="501"/>
      <c r="G175" s="501"/>
      <c r="H175" s="501"/>
      <c r="I175" s="501"/>
      <c r="J175" s="501"/>
      <c r="K175" s="501"/>
      <c r="L175" s="501"/>
      <c r="M175" s="501"/>
      <c r="N175" s="501"/>
      <c r="O175" s="501"/>
      <c r="P175" s="501"/>
      <c r="Q175" s="501"/>
      <c r="R175" s="501"/>
    </row>
    <row r="176" spans="1:18" ht="12.2" customHeight="1">
      <c r="A176" s="500">
        <f>+N55</f>
        <v>0</v>
      </c>
      <c r="B176" s="501">
        <f>+$B$21*Q55</f>
        <v>0</v>
      </c>
      <c r="C176" s="501">
        <f>+$C$21*Q55</f>
        <v>0</v>
      </c>
      <c r="D176" s="501">
        <f t="shared" ref="D176:M180" si="21">D$21*$Q55</f>
        <v>0</v>
      </c>
      <c r="E176" s="501">
        <f t="shared" si="21"/>
        <v>0</v>
      </c>
      <c r="F176" s="501">
        <f t="shared" si="21"/>
        <v>0</v>
      </c>
      <c r="G176" s="501">
        <f t="shared" si="21"/>
        <v>0</v>
      </c>
      <c r="H176" s="501">
        <f t="shared" si="21"/>
        <v>0</v>
      </c>
      <c r="I176" s="501">
        <f t="shared" si="21"/>
        <v>0</v>
      </c>
      <c r="J176" s="501">
        <f t="shared" si="21"/>
        <v>0</v>
      </c>
      <c r="K176" s="501">
        <f t="shared" si="21"/>
        <v>0</v>
      </c>
      <c r="L176" s="501">
        <f t="shared" si="21"/>
        <v>0</v>
      </c>
      <c r="M176" s="501">
        <f t="shared" si="21"/>
        <v>0</v>
      </c>
      <c r="N176" s="501">
        <f>SUM(B176:M176)</f>
        <v>0</v>
      </c>
      <c r="O176" s="501">
        <f>C$39*$Q55*(1+$D$7)</f>
        <v>0</v>
      </c>
      <c r="P176" s="501">
        <f>D$39*$Q55*(1+$D$7)*(1+$D$7)</f>
        <v>0</v>
      </c>
      <c r="Q176" s="501">
        <f>E$39*$Q55*(1+$D$7)*(1+$D$7)*(1+$D$7)</f>
        <v>0</v>
      </c>
      <c r="R176" s="501">
        <f>F$39*$Q55*(1+$D$7)*(1+$D$7)*(1+$D$7)*(1+$D$7)</f>
        <v>0</v>
      </c>
    </row>
    <row r="177" spans="1:18" ht="12.2" customHeight="1">
      <c r="A177" s="500">
        <f>+N56</f>
        <v>0</v>
      </c>
      <c r="B177" s="501">
        <f>+$B$21*Q56</f>
        <v>0</v>
      </c>
      <c r="C177" s="501">
        <f>+$C$21*Q56</f>
        <v>0</v>
      </c>
      <c r="D177" s="501">
        <f t="shared" si="21"/>
        <v>0</v>
      </c>
      <c r="E177" s="501">
        <f t="shared" si="21"/>
        <v>0</v>
      </c>
      <c r="F177" s="501">
        <f t="shared" si="21"/>
        <v>0</v>
      </c>
      <c r="G177" s="501">
        <f t="shared" si="21"/>
        <v>0</v>
      </c>
      <c r="H177" s="501">
        <f t="shared" si="21"/>
        <v>0</v>
      </c>
      <c r="I177" s="501">
        <f t="shared" si="21"/>
        <v>0</v>
      </c>
      <c r="J177" s="501">
        <f t="shared" si="21"/>
        <v>0</v>
      </c>
      <c r="K177" s="501">
        <f t="shared" si="21"/>
        <v>0</v>
      </c>
      <c r="L177" s="501">
        <f t="shared" si="21"/>
        <v>0</v>
      </c>
      <c r="M177" s="501">
        <f t="shared" si="21"/>
        <v>0</v>
      </c>
      <c r="N177" s="501">
        <f>SUM(B177:M177)</f>
        <v>0</v>
      </c>
      <c r="O177" s="501">
        <f>C$39*$Q56*(1+$D$7)</f>
        <v>0</v>
      </c>
      <c r="P177" s="501">
        <f>D$39*$Q56*(1+$D$7)*(1+$D$7)</f>
        <v>0</v>
      </c>
      <c r="Q177" s="501">
        <f>E$39*$Q56*(1+$D$7)*(1+$D$7)*(1+$D$7)</f>
        <v>0</v>
      </c>
      <c r="R177" s="501">
        <f>F$39*$Q56*(1+$D$7)*(1+$D$7)*(1+$D$7)*(1+$D$7)</f>
        <v>0</v>
      </c>
    </row>
    <row r="178" spans="1:18" ht="12.2" customHeight="1">
      <c r="A178" s="500">
        <f>+N57</f>
        <v>0</v>
      </c>
      <c r="B178" s="501">
        <f>+$B$21*Q57</f>
        <v>0</v>
      </c>
      <c r="C178" s="501">
        <f>+$C$21*Q57</f>
        <v>0</v>
      </c>
      <c r="D178" s="501">
        <f t="shared" si="21"/>
        <v>0</v>
      </c>
      <c r="E178" s="501">
        <f t="shared" si="21"/>
        <v>0</v>
      </c>
      <c r="F178" s="501">
        <f t="shared" si="21"/>
        <v>0</v>
      </c>
      <c r="G178" s="501">
        <f t="shared" si="21"/>
        <v>0</v>
      </c>
      <c r="H178" s="501">
        <f t="shared" si="21"/>
        <v>0</v>
      </c>
      <c r="I178" s="501">
        <f t="shared" si="21"/>
        <v>0</v>
      </c>
      <c r="J178" s="501">
        <f t="shared" si="21"/>
        <v>0</v>
      </c>
      <c r="K178" s="501">
        <f t="shared" si="21"/>
        <v>0</v>
      </c>
      <c r="L178" s="501">
        <f t="shared" si="21"/>
        <v>0</v>
      </c>
      <c r="M178" s="501">
        <f t="shared" si="21"/>
        <v>0</v>
      </c>
      <c r="N178" s="501">
        <f>SUM(B178:M178)</f>
        <v>0</v>
      </c>
      <c r="O178" s="501">
        <f>C$39*$Q57*(1+$D$7)</f>
        <v>0</v>
      </c>
      <c r="P178" s="501">
        <f>D$39*$Q57*(1+$D$7)*(1+$D$7)</f>
        <v>0</v>
      </c>
      <c r="Q178" s="501">
        <f>E$39*$Q57*(1+$D$7)*(1+$D$7)*(1+$D$7)</f>
        <v>0</v>
      </c>
      <c r="R178" s="501">
        <f>F$39*$Q57*(1+$D$7)*(1+$D$7)*(1+$D$7)*(1+$D$7)</f>
        <v>0</v>
      </c>
    </row>
    <row r="179" spans="1:18" ht="12.2" customHeight="1">
      <c r="A179" s="500">
        <f>+N58</f>
        <v>0</v>
      </c>
      <c r="B179" s="501">
        <f>+$B$21*Q58</f>
        <v>0</v>
      </c>
      <c r="C179" s="501">
        <f>+$C$21*Q58</f>
        <v>0</v>
      </c>
      <c r="D179" s="501">
        <f t="shared" si="21"/>
        <v>0</v>
      </c>
      <c r="E179" s="501">
        <f t="shared" si="21"/>
        <v>0</v>
      </c>
      <c r="F179" s="501">
        <f t="shared" si="21"/>
        <v>0</v>
      </c>
      <c r="G179" s="501">
        <f t="shared" si="21"/>
        <v>0</v>
      </c>
      <c r="H179" s="501">
        <f t="shared" si="21"/>
        <v>0</v>
      </c>
      <c r="I179" s="501">
        <f t="shared" si="21"/>
        <v>0</v>
      </c>
      <c r="J179" s="501">
        <f t="shared" si="21"/>
        <v>0</v>
      </c>
      <c r="K179" s="501">
        <f t="shared" si="21"/>
        <v>0</v>
      </c>
      <c r="L179" s="501">
        <f t="shared" si="21"/>
        <v>0</v>
      </c>
      <c r="M179" s="501">
        <f t="shared" si="21"/>
        <v>0</v>
      </c>
      <c r="N179" s="501">
        <f>SUM(B179:M179)</f>
        <v>0</v>
      </c>
      <c r="O179" s="501">
        <f>C$39*$Q58*(1+$D$7)</f>
        <v>0</v>
      </c>
      <c r="P179" s="501">
        <f>D$39*$Q58*(1+$D$7)*(1+$D$7)</f>
        <v>0</v>
      </c>
      <c r="Q179" s="501">
        <f>E$39*$Q58*(1+$D$7)*(1+$D$7)*(1+$D$7)</f>
        <v>0</v>
      </c>
      <c r="R179" s="501">
        <f>F$39*$Q58*(1+$D$7)*(1+$D$7)*(1+$D$7)*(1+$D$7)</f>
        <v>0</v>
      </c>
    </row>
    <row r="180" spans="1:18" ht="12.2" customHeight="1">
      <c r="A180" s="500">
        <f>+N59</f>
        <v>0</v>
      </c>
      <c r="B180" s="501">
        <f>+$B$21*Q59</f>
        <v>0</v>
      </c>
      <c r="C180" s="501">
        <f>+$C$21*Q59</f>
        <v>0</v>
      </c>
      <c r="D180" s="501">
        <f t="shared" si="21"/>
        <v>0</v>
      </c>
      <c r="E180" s="501">
        <f t="shared" si="21"/>
        <v>0</v>
      </c>
      <c r="F180" s="501">
        <f t="shared" si="21"/>
        <v>0</v>
      </c>
      <c r="G180" s="501">
        <f t="shared" si="21"/>
        <v>0</v>
      </c>
      <c r="H180" s="501">
        <f t="shared" si="21"/>
        <v>0</v>
      </c>
      <c r="I180" s="501">
        <f t="shared" si="21"/>
        <v>0</v>
      </c>
      <c r="J180" s="501">
        <f t="shared" si="21"/>
        <v>0</v>
      </c>
      <c r="K180" s="501">
        <f t="shared" si="21"/>
        <v>0</v>
      </c>
      <c r="L180" s="501">
        <f t="shared" si="21"/>
        <v>0</v>
      </c>
      <c r="M180" s="501">
        <f t="shared" si="21"/>
        <v>0</v>
      </c>
      <c r="N180" s="501">
        <f>SUM(B180:M180)</f>
        <v>0</v>
      </c>
      <c r="O180" s="501">
        <f>C$39*$Q59*(1+$D$7)</f>
        <v>0</v>
      </c>
      <c r="P180" s="501">
        <f>D$39*$Q59*(1+$D$7)*(1+$D$7)</f>
        <v>0</v>
      </c>
      <c r="Q180" s="501">
        <f>E$39*$Q59*(1+$D$7)*(1+$D$7)*(1+$D$7)</f>
        <v>0</v>
      </c>
      <c r="R180" s="501">
        <f>F$39*$Q59*(1+$D$7)*(1+$D$7)*(1+$D$7)*(1+$D$7)</f>
        <v>0</v>
      </c>
    </row>
    <row r="181" spans="1:18" ht="12.2" customHeight="1">
      <c r="A181" s="505" t="s">
        <v>605</v>
      </c>
      <c r="B181" s="503" t="s">
        <v>605</v>
      </c>
      <c r="C181" s="503" t="s">
        <v>605</v>
      </c>
      <c r="D181" s="503" t="s">
        <v>605</v>
      </c>
      <c r="E181" s="503" t="s">
        <v>605</v>
      </c>
      <c r="F181" s="503" t="s">
        <v>605</v>
      </c>
      <c r="G181" s="503" t="s">
        <v>605</v>
      </c>
      <c r="H181" s="503" t="s">
        <v>605</v>
      </c>
      <c r="I181" s="503" t="s">
        <v>605</v>
      </c>
      <c r="J181" s="503" t="s">
        <v>605</v>
      </c>
      <c r="K181" s="503" t="s">
        <v>605</v>
      </c>
      <c r="L181" s="503" t="s">
        <v>605</v>
      </c>
      <c r="M181" s="503" t="s">
        <v>605</v>
      </c>
      <c r="N181" s="503" t="s">
        <v>605</v>
      </c>
      <c r="O181" s="503" t="s">
        <v>605</v>
      </c>
      <c r="P181" s="503" t="s">
        <v>605</v>
      </c>
      <c r="Q181" s="503" t="s">
        <v>605</v>
      </c>
      <c r="R181" s="503" t="s">
        <v>605</v>
      </c>
    </row>
    <row r="182" spans="1:18" ht="12.2" customHeight="1">
      <c r="A182" s="501" t="str">
        <f>+A22</f>
        <v/>
      </c>
      <c r="B182" s="501"/>
      <c r="C182" s="501"/>
      <c r="D182" s="501"/>
      <c r="E182" s="501"/>
      <c r="F182" s="501"/>
      <c r="G182" s="501"/>
      <c r="H182" s="501"/>
      <c r="I182" s="501"/>
      <c r="J182" s="501"/>
      <c r="K182" s="501"/>
      <c r="L182" s="501"/>
      <c r="M182" s="501"/>
      <c r="N182" s="501"/>
      <c r="O182" s="501"/>
      <c r="P182" s="501"/>
      <c r="Q182" s="501"/>
      <c r="R182" s="501"/>
    </row>
    <row r="183" spans="1:18" ht="12.2" customHeight="1">
      <c r="B183" s="501"/>
      <c r="C183" s="501"/>
      <c r="D183" s="501"/>
      <c r="E183" s="501"/>
      <c r="F183" s="501"/>
      <c r="G183" s="501"/>
      <c r="H183" s="501"/>
      <c r="I183" s="501"/>
      <c r="J183" s="501"/>
      <c r="K183" s="501"/>
      <c r="L183" s="501"/>
      <c r="M183" s="501"/>
      <c r="N183" s="501"/>
      <c r="O183" s="501"/>
      <c r="P183" s="501"/>
      <c r="Q183" s="501"/>
      <c r="R183" s="501"/>
    </row>
    <row r="184" spans="1:18" ht="12.2" customHeight="1">
      <c r="A184" s="500">
        <f>N63</f>
        <v>0</v>
      </c>
      <c r="B184" s="501">
        <f>B$22*$Q63</f>
        <v>0</v>
      </c>
      <c r="C184" s="501">
        <f t="shared" ref="C184:M184" si="22">C$22*$Q63</f>
        <v>0</v>
      </c>
      <c r="D184" s="501">
        <f t="shared" si="22"/>
        <v>0</v>
      </c>
      <c r="E184" s="501">
        <f t="shared" si="22"/>
        <v>0</v>
      </c>
      <c r="F184" s="501">
        <f t="shared" si="22"/>
        <v>0</v>
      </c>
      <c r="G184" s="501">
        <f t="shared" si="22"/>
        <v>0</v>
      </c>
      <c r="H184" s="501">
        <f t="shared" si="22"/>
        <v>0</v>
      </c>
      <c r="I184" s="501">
        <f t="shared" si="22"/>
        <v>0</v>
      </c>
      <c r="J184" s="501">
        <f t="shared" si="22"/>
        <v>0</v>
      </c>
      <c r="K184" s="501">
        <f t="shared" si="22"/>
        <v>0</v>
      </c>
      <c r="L184" s="501">
        <f t="shared" si="22"/>
        <v>0</v>
      </c>
      <c r="M184" s="501">
        <f t="shared" si="22"/>
        <v>0</v>
      </c>
      <c r="N184" s="501">
        <f>SUM(B184:M184)</f>
        <v>0</v>
      </c>
      <c r="O184" s="501">
        <f>C$40*$Q63*(1+$D$7)</f>
        <v>0</v>
      </c>
      <c r="P184" s="501">
        <f>D$40*$Q63*(1+$D$7)*(1+$D$7)</f>
        <v>0</v>
      </c>
      <c r="Q184" s="501">
        <f>E$40*$Q63*(1+$D$7)*(1+$D$7)*(1+$D$7)</f>
        <v>0</v>
      </c>
      <c r="R184" s="501">
        <f>F$40*$Q63*(1+$D$7)*(1+$D$7)*(1+$D$7)*(1+$D$7)</f>
        <v>0</v>
      </c>
    </row>
    <row r="185" spans="1:18" ht="12.2" customHeight="1">
      <c r="A185" s="500">
        <f>N64</f>
        <v>0</v>
      </c>
      <c r="B185" s="501">
        <f t="shared" ref="B185:M188" si="23">B$22*$Q64</f>
        <v>0</v>
      </c>
      <c r="C185" s="501">
        <f t="shared" si="23"/>
        <v>0</v>
      </c>
      <c r="D185" s="501">
        <f t="shared" si="23"/>
        <v>0</v>
      </c>
      <c r="E185" s="501">
        <f t="shared" si="23"/>
        <v>0</v>
      </c>
      <c r="F185" s="501">
        <f t="shared" si="23"/>
        <v>0</v>
      </c>
      <c r="G185" s="501">
        <f t="shared" si="23"/>
        <v>0</v>
      </c>
      <c r="H185" s="501">
        <f t="shared" si="23"/>
        <v>0</v>
      </c>
      <c r="I185" s="501">
        <f t="shared" si="23"/>
        <v>0</v>
      </c>
      <c r="J185" s="501">
        <f t="shared" si="23"/>
        <v>0</v>
      </c>
      <c r="K185" s="501">
        <f t="shared" si="23"/>
        <v>0</v>
      </c>
      <c r="L185" s="501">
        <f t="shared" si="23"/>
        <v>0</v>
      </c>
      <c r="M185" s="501">
        <f t="shared" si="23"/>
        <v>0</v>
      </c>
      <c r="N185" s="501">
        <f>SUM(B185:M185)</f>
        <v>0</v>
      </c>
      <c r="O185" s="501">
        <f>C$40*$Q64*(1+$D$7)</f>
        <v>0</v>
      </c>
      <c r="P185" s="501">
        <f>D$40*$Q64*(1+$D$7)*(1+$D$7)</f>
        <v>0</v>
      </c>
      <c r="Q185" s="501">
        <f>E$40*$Q64*(1+$D$7)*(1+$D$7)*(1+$D$7)</f>
        <v>0</v>
      </c>
      <c r="R185" s="501">
        <f>F$40*$Q64*(1+$D$7)*(1+$D$7)*(1+$D$7)*(1+$D$7)</f>
        <v>0</v>
      </c>
    </row>
    <row r="186" spans="1:18" ht="12.2" customHeight="1">
      <c r="A186" s="500">
        <f>N65</f>
        <v>0</v>
      </c>
      <c r="B186" s="501">
        <f t="shared" si="23"/>
        <v>0</v>
      </c>
      <c r="C186" s="501">
        <f t="shared" si="23"/>
        <v>0</v>
      </c>
      <c r="D186" s="501">
        <f t="shared" si="23"/>
        <v>0</v>
      </c>
      <c r="E186" s="501">
        <f t="shared" si="23"/>
        <v>0</v>
      </c>
      <c r="F186" s="501">
        <f t="shared" si="23"/>
        <v>0</v>
      </c>
      <c r="G186" s="501">
        <f t="shared" si="23"/>
        <v>0</v>
      </c>
      <c r="H186" s="501">
        <f t="shared" si="23"/>
        <v>0</v>
      </c>
      <c r="I186" s="501">
        <f t="shared" si="23"/>
        <v>0</v>
      </c>
      <c r="J186" s="501">
        <f t="shared" si="23"/>
        <v>0</v>
      </c>
      <c r="K186" s="501">
        <f t="shared" si="23"/>
        <v>0</v>
      </c>
      <c r="L186" s="501">
        <f t="shared" si="23"/>
        <v>0</v>
      </c>
      <c r="M186" s="501">
        <f t="shared" si="23"/>
        <v>0</v>
      </c>
      <c r="N186" s="501">
        <f>SUM(B186:M186)</f>
        <v>0</v>
      </c>
      <c r="O186" s="501">
        <f>C$40*$Q65*(1+$D$7)</f>
        <v>0</v>
      </c>
      <c r="P186" s="501">
        <f>D$40*$Q65*(1+$D$7)*(1+$D$7)</f>
        <v>0</v>
      </c>
      <c r="Q186" s="501">
        <f>E$40*$Q65*(1+$D$7)*(1+$D$7)*(1+$D$7)</f>
        <v>0</v>
      </c>
      <c r="R186" s="501">
        <f>F$40*$Q65*(1+$D$7)*(1+$D$7)*(1+$D$7)*(1+$D$7)</f>
        <v>0</v>
      </c>
    </row>
    <row r="187" spans="1:18" ht="12.2" customHeight="1">
      <c r="A187" s="500">
        <f>N66</f>
        <v>0</v>
      </c>
      <c r="B187" s="501">
        <f t="shared" si="23"/>
        <v>0</v>
      </c>
      <c r="C187" s="501">
        <f t="shared" si="23"/>
        <v>0</v>
      </c>
      <c r="D187" s="501">
        <f t="shared" si="23"/>
        <v>0</v>
      </c>
      <c r="E187" s="501">
        <f t="shared" si="23"/>
        <v>0</v>
      </c>
      <c r="F187" s="501">
        <f t="shared" si="23"/>
        <v>0</v>
      </c>
      <c r="G187" s="501">
        <f t="shared" si="23"/>
        <v>0</v>
      </c>
      <c r="H187" s="501">
        <f t="shared" si="23"/>
        <v>0</v>
      </c>
      <c r="I187" s="501">
        <f t="shared" si="23"/>
        <v>0</v>
      </c>
      <c r="J187" s="501">
        <f t="shared" si="23"/>
        <v>0</v>
      </c>
      <c r="K187" s="501">
        <f t="shared" si="23"/>
        <v>0</v>
      </c>
      <c r="L187" s="501">
        <f t="shared" si="23"/>
        <v>0</v>
      </c>
      <c r="M187" s="501">
        <f t="shared" si="23"/>
        <v>0</v>
      </c>
      <c r="N187" s="501">
        <f>SUM(B187:M187)</f>
        <v>0</v>
      </c>
      <c r="O187" s="501">
        <f>C$40*$Q66*(1+$D$7)</f>
        <v>0</v>
      </c>
      <c r="P187" s="501">
        <f>D$40*$Q66*(1+$D$7)*(1+$D$7)</f>
        <v>0</v>
      </c>
      <c r="Q187" s="501">
        <f>E$40*$Q66*(1+$D$7)*(1+$D$7)*(1+$D$7)</f>
        <v>0</v>
      </c>
      <c r="R187" s="501">
        <f>F$40*$Q66*(1+$D$7)*(1+$D$7)*(1+$D$7)*(1+$D$7)</f>
        <v>0</v>
      </c>
    </row>
    <row r="188" spans="1:18" ht="12.2" customHeight="1">
      <c r="A188" s="500">
        <f>N67</f>
        <v>0</v>
      </c>
      <c r="B188" s="501">
        <f t="shared" si="23"/>
        <v>0</v>
      </c>
      <c r="C188" s="501">
        <f t="shared" si="23"/>
        <v>0</v>
      </c>
      <c r="D188" s="501">
        <f t="shared" si="23"/>
        <v>0</v>
      </c>
      <c r="E188" s="501">
        <f t="shared" si="23"/>
        <v>0</v>
      </c>
      <c r="F188" s="501">
        <f t="shared" si="23"/>
        <v>0</v>
      </c>
      <c r="G188" s="501">
        <f t="shared" si="23"/>
        <v>0</v>
      </c>
      <c r="H188" s="501">
        <f t="shared" si="23"/>
        <v>0</v>
      </c>
      <c r="I188" s="501">
        <f t="shared" si="23"/>
        <v>0</v>
      </c>
      <c r="J188" s="501">
        <f t="shared" si="23"/>
        <v>0</v>
      </c>
      <c r="K188" s="501">
        <f t="shared" si="23"/>
        <v>0</v>
      </c>
      <c r="L188" s="501">
        <f t="shared" si="23"/>
        <v>0</v>
      </c>
      <c r="M188" s="501">
        <f t="shared" si="23"/>
        <v>0</v>
      </c>
      <c r="N188" s="501">
        <f>SUM(B188:M188)</f>
        <v>0</v>
      </c>
      <c r="O188" s="501">
        <f>C$40*$Q67*(1+$D$7)</f>
        <v>0</v>
      </c>
      <c r="P188" s="501">
        <f>D$40*$Q67*(1+$D$7)*(1+$D$7)</f>
        <v>0</v>
      </c>
      <c r="Q188" s="501">
        <f>E$40*$Q67*(1+$D$7)*(1+$D$7)*(1+$D$7)</f>
        <v>0</v>
      </c>
      <c r="R188" s="501">
        <f>F$40*$Q67*(1+$D$7)*(1+$D$7)*(1+$D$7)*(1+$D$7)</f>
        <v>0</v>
      </c>
    </row>
    <row r="189" spans="1:18" ht="12.2" customHeight="1">
      <c r="A189" s="505" t="s">
        <v>605</v>
      </c>
      <c r="B189" s="503" t="s">
        <v>605</v>
      </c>
      <c r="C189" s="503" t="s">
        <v>605</v>
      </c>
      <c r="D189" s="503" t="s">
        <v>605</v>
      </c>
      <c r="E189" s="503" t="s">
        <v>605</v>
      </c>
      <c r="F189" s="503" t="s">
        <v>605</v>
      </c>
      <c r="G189" s="503" t="s">
        <v>605</v>
      </c>
      <c r="H189" s="503" t="s">
        <v>605</v>
      </c>
      <c r="I189" s="503" t="s">
        <v>605</v>
      </c>
      <c r="J189" s="503" t="s">
        <v>605</v>
      </c>
      <c r="K189" s="503" t="s">
        <v>605</v>
      </c>
      <c r="L189" s="503" t="s">
        <v>605</v>
      </c>
      <c r="M189" s="503" t="s">
        <v>605</v>
      </c>
      <c r="N189" s="503" t="s">
        <v>605</v>
      </c>
      <c r="O189" s="503" t="s">
        <v>605</v>
      </c>
      <c r="P189" s="503" t="s">
        <v>605</v>
      </c>
      <c r="Q189" s="503" t="s">
        <v>605</v>
      </c>
      <c r="R189" s="503" t="s">
        <v>605</v>
      </c>
    </row>
    <row r="190" spans="1:18" ht="12.2" customHeight="1">
      <c r="A190" s="501" t="str">
        <f>+A23</f>
        <v/>
      </c>
      <c r="B190" s="501"/>
      <c r="C190" s="501"/>
      <c r="D190" s="501"/>
      <c r="E190" s="501"/>
      <c r="F190" s="501"/>
      <c r="G190" s="501"/>
      <c r="H190" s="501"/>
      <c r="I190" s="501"/>
      <c r="J190" s="501"/>
      <c r="K190" s="501"/>
      <c r="L190" s="501"/>
      <c r="M190" s="501"/>
      <c r="N190" s="501"/>
      <c r="O190" s="501"/>
      <c r="P190" s="501"/>
      <c r="Q190" s="501"/>
      <c r="R190" s="501"/>
    </row>
    <row r="191" spans="1:18" ht="12.2" customHeight="1">
      <c r="B191" s="501"/>
      <c r="C191" s="501"/>
      <c r="D191" s="501"/>
      <c r="E191" s="501"/>
      <c r="F191" s="501"/>
      <c r="G191" s="501"/>
      <c r="H191" s="501"/>
      <c r="I191" s="501"/>
      <c r="J191" s="501"/>
      <c r="K191" s="501"/>
      <c r="L191" s="501"/>
      <c r="M191" s="501"/>
      <c r="N191" s="501"/>
      <c r="O191" s="501"/>
      <c r="P191" s="501"/>
      <c r="Q191" s="501"/>
      <c r="R191" s="501"/>
    </row>
    <row r="192" spans="1:18" s="511" customFormat="1" ht="12.2" customHeight="1">
      <c r="A192" s="511">
        <f>+N71</f>
        <v>0</v>
      </c>
      <c r="B192" s="512">
        <f>B$23*$Q71</f>
        <v>0</v>
      </c>
      <c r="C192" s="512">
        <f t="shared" ref="C192:M196" si="24">C$23*$Q71</f>
        <v>0</v>
      </c>
      <c r="D192" s="512">
        <f t="shared" si="24"/>
        <v>0</v>
      </c>
      <c r="E192" s="512">
        <f t="shared" si="24"/>
        <v>0</v>
      </c>
      <c r="F192" s="512">
        <f t="shared" si="24"/>
        <v>0</v>
      </c>
      <c r="G192" s="512">
        <f t="shared" si="24"/>
        <v>0</v>
      </c>
      <c r="H192" s="512">
        <f t="shared" si="24"/>
        <v>0</v>
      </c>
      <c r="I192" s="512">
        <f t="shared" si="24"/>
        <v>0</v>
      </c>
      <c r="J192" s="512">
        <f t="shared" si="24"/>
        <v>0</v>
      </c>
      <c r="K192" s="512">
        <f t="shared" si="24"/>
        <v>0</v>
      </c>
      <c r="L192" s="512">
        <f t="shared" si="24"/>
        <v>0</v>
      </c>
      <c r="M192" s="512">
        <f t="shared" si="24"/>
        <v>0</v>
      </c>
      <c r="N192" s="512">
        <f>SUM(B192:M192)</f>
        <v>0</v>
      </c>
      <c r="O192" s="501">
        <f>C$41*$Q71*(1+$D$7)</f>
        <v>0</v>
      </c>
      <c r="P192" s="501">
        <f>D$41*$Q71*(1+$D$7)*(1+$D$7)</f>
        <v>0</v>
      </c>
      <c r="Q192" s="501">
        <f>E$41*$Q71*(1+$D$7)*(1+$D$7)*(1+$D$7)</f>
        <v>0</v>
      </c>
      <c r="R192" s="501">
        <f>F$41*$Q71*(1+$D$7)*(1+$D$7)*(1+$D$7)*(1+$D$7)</f>
        <v>0</v>
      </c>
    </row>
    <row r="193" spans="1:18" s="511" customFormat="1" ht="12.2" customHeight="1">
      <c r="A193" s="511">
        <f>+N72</f>
        <v>0</v>
      </c>
      <c r="B193" s="512">
        <f>B$23*$Q72</f>
        <v>0</v>
      </c>
      <c r="C193" s="512">
        <f t="shared" si="24"/>
        <v>0</v>
      </c>
      <c r="D193" s="512">
        <f t="shared" si="24"/>
        <v>0</v>
      </c>
      <c r="E193" s="512">
        <f t="shared" si="24"/>
        <v>0</v>
      </c>
      <c r="F193" s="512">
        <f t="shared" si="24"/>
        <v>0</v>
      </c>
      <c r="G193" s="512">
        <f t="shared" si="24"/>
        <v>0</v>
      </c>
      <c r="H193" s="512">
        <f t="shared" si="24"/>
        <v>0</v>
      </c>
      <c r="I193" s="512">
        <f t="shared" si="24"/>
        <v>0</v>
      </c>
      <c r="J193" s="512">
        <f t="shared" si="24"/>
        <v>0</v>
      </c>
      <c r="K193" s="512">
        <f t="shared" si="24"/>
        <v>0</v>
      </c>
      <c r="L193" s="512">
        <f t="shared" si="24"/>
        <v>0</v>
      </c>
      <c r="M193" s="512">
        <f t="shared" si="24"/>
        <v>0</v>
      </c>
      <c r="N193" s="512">
        <f>SUM(B193:M193)</f>
        <v>0</v>
      </c>
      <c r="O193" s="501">
        <f>C$41*$Q72*(1+$D$7)</f>
        <v>0</v>
      </c>
      <c r="P193" s="501">
        <f>D$41*$Q72*(1+$D$7)*(1+$D$7)</f>
        <v>0</v>
      </c>
      <c r="Q193" s="501">
        <f>E$41*$Q72*(1+$D$7)*(1+$D$7)*(1+$D$7)</f>
        <v>0</v>
      </c>
      <c r="R193" s="501">
        <f>F$41*$Q72*(1+$D$7)*(1+$D$7)*(1+$D$7)*(1+$D$7)</f>
        <v>0</v>
      </c>
    </row>
    <row r="194" spans="1:18" s="511" customFormat="1" ht="12.2" customHeight="1">
      <c r="A194" s="511">
        <f>+N73</f>
        <v>0</v>
      </c>
      <c r="B194" s="512">
        <f>B$23*$Q73</f>
        <v>0</v>
      </c>
      <c r="C194" s="512">
        <f t="shared" si="24"/>
        <v>0</v>
      </c>
      <c r="D194" s="512">
        <f t="shared" si="24"/>
        <v>0</v>
      </c>
      <c r="E194" s="512">
        <f t="shared" si="24"/>
        <v>0</v>
      </c>
      <c r="F194" s="512">
        <f t="shared" si="24"/>
        <v>0</v>
      </c>
      <c r="G194" s="512">
        <f t="shared" si="24"/>
        <v>0</v>
      </c>
      <c r="H194" s="512">
        <f t="shared" si="24"/>
        <v>0</v>
      </c>
      <c r="I194" s="512">
        <f t="shared" si="24"/>
        <v>0</v>
      </c>
      <c r="J194" s="512">
        <f t="shared" si="24"/>
        <v>0</v>
      </c>
      <c r="K194" s="512">
        <f t="shared" si="24"/>
        <v>0</v>
      </c>
      <c r="L194" s="512">
        <f t="shared" si="24"/>
        <v>0</v>
      </c>
      <c r="M194" s="512">
        <f t="shared" si="24"/>
        <v>0</v>
      </c>
      <c r="N194" s="512">
        <f>SUM(B194:M194)</f>
        <v>0</v>
      </c>
      <c r="O194" s="501">
        <f>C$41*$Q73*(1+$D$7)</f>
        <v>0</v>
      </c>
      <c r="P194" s="501">
        <f>D$41*$Q73*(1+$D$7)*(1+$D$7)</f>
        <v>0</v>
      </c>
      <c r="Q194" s="501">
        <f>E$41*$Q73*(1+$D$7)*(1+$D$7)*(1+$D$7)</f>
        <v>0</v>
      </c>
      <c r="R194" s="501">
        <f>F$41*$Q73*(1+$D$7)*(1+$D$7)*(1+$D$7)*(1+$D$7)</f>
        <v>0</v>
      </c>
    </row>
    <row r="195" spans="1:18" s="511" customFormat="1" ht="12.2" customHeight="1">
      <c r="A195" s="511">
        <f>+N74</f>
        <v>0</v>
      </c>
      <c r="B195" s="512">
        <f>B$23*$Q74</f>
        <v>0</v>
      </c>
      <c r="C195" s="512">
        <f t="shared" si="24"/>
        <v>0</v>
      </c>
      <c r="D195" s="512">
        <f t="shared" si="24"/>
        <v>0</v>
      </c>
      <c r="E195" s="512">
        <f t="shared" si="24"/>
        <v>0</v>
      </c>
      <c r="F195" s="512">
        <f t="shared" si="24"/>
        <v>0</v>
      </c>
      <c r="G195" s="512">
        <f t="shared" si="24"/>
        <v>0</v>
      </c>
      <c r="H195" s="512">
        <f t="shared" si="24"/>
        <v>0</v>
      </c>
      <c r="I195" s="512">
        <f t="shared" si="24"/>
        <v>0</v>
      </c>
      <c r="J195" s="512">
        <f t="shared" si="24"/>
        <v>0</v>
      </c>
      <c r="K195" s="512">
        <f t="shared" si="24"/>
        <v>0</v>
      </c>
      <c r="L195" s="512">
        <f t="shared" si="24"/>
        <v>0</v>
      </c>
      <c r="M195" s="512">
        <f t="shared" si="24"/>
        <v>0</v>
      </c>
      <c r="N195" s="512">
        <f>SUM(B195:M195)</f>
        <v>0</v>
      </c>
      <c r="O195" s="501">
        <f>C$41*$Q74*(1+$D$7)</f>
        <v>0</v>
      </c>
      <c r="P195" s="501">
        <f>D$41*$Q74*(1+$D$7)*(1+$D$7)</f>
        <v>0</v>
      </c>
      <c r="Q195" s="501">
        <f>E$41*$Q74*(1+$D$7)*(1+$D$7)*(1+$D$7)</f>
        <v>0</v>
      </c>
      <c r="R195" s="501">
        <f>F$41*$Q74*(1+$D$7)*(1+$D$7)*(1+$D$7)*(1+$D$7)</f>
        <v>0</v>
      </c>
    </row>
    <row r="196" spans="1:18" s="511" customFormat="1" ht="12.2" customHeight="1">
      <c r="A196" s="511">
        <f>+N75</f>
        <v>0</v>
      </c>
      <c r="B196" s="512">
        <f>B$23*$Q75</f>
        <v>0</v>
      </c>
      <c r="C196" s="512">
        <f t="shared" si="24"/>
        <v>0</v>
      </c>
      <c r="D196" s="512">
        <f t="shared" si="24"/>
        <v>0</v>
      </c>
      <c r="E196" s="512">
        <f t="shared" si="24"/>
        <v>0</v>
      </c>
      <c r="F196" s="512">
        <f t="shared" si="24"/>
        <v>0</v>
      </c>
      <c r="G196" s="512">
        <f t="shared" si="24"/>
        <v>0</v>
      </c>
      <c r="H196" s="512">
        <f t="shared" si="24"/>
        <v>0</v>
      </c>
      <c r="I196" s="512">
        <f t="shared" si="24"/>
        <v>0</v>
      </c>
      <c r="J196" s="512">
        <f t="shared" si="24"/>
        <v>0</v>
      </c>
      <c r="K196" s="512">
        <f t="shared" si="24"/>
        <v>0</v>
      </c>
      <c r="L196" s="512">
        <f t="shared" si="24"/>
        <v>0</v>
      </c>
      <c r="M196" s="512">
        <f t="shared" si="24"/>
        <v>0</v>
      </c>
      <c r="N196" s="512">
        <f>SUM(B196:M196)</f>
        <v>0</v>
      </c>
      <c r="O196" s="501">
        <f>C$41*$Q75*(1+$D$7)</f>
        <v>0</v>
      </c>
      <c r="P196" s="501">
        <f>D$41*$Q75*(1+$D$7)*(1+$D$7)</f>
        <v>0</v>
      </c>
      <c r="Q196" s="501">
        <f>E$41*$Q75*(1+$D$7)*(1+$D$7)*(1+$D$7)</f>
        <v>0</v>
      </c>
      <c r="R196" s="501">
        <f>F$41*$Q75*(1+$D$7)*(1+$D$7)*(1+$D$7)*(1+$D$7)</f>
        <v>0</v>
      </c>
    </row>
    <row r="197" spans="1:18" s="511" customFormat="1" ht="12.2" customHeight="1">
      <c r="A197" s="513" t="s">
        <v>605</v>
      </c>
      <c r="B197" s="514" t="s">
        <v>605</v>
      </c>
      <c r="C197" s="514" t="s">
        <v>605</v>
      </c>
      <c r="D197" s="514" t="s">
        <v>605</v>
      </c>
      <c r="E197" s="514" t="s">
        <v>605</v>
      </c>
      <c r="F197" s="514" t="s">
        <v>605</v>
      </c>
      <c r="G197" s="514" t="s">
        <v>605</v>
      </c>
      <c r="H197" s="514" t="s">
        <v>605</v>
      </c>
      <c r="I197" s="514" t="s">
        <v>605</v>
      </c>
      <c r="J197" s="514" t="s">
        <v>605</v>
      </c>
      <c r="K197" s="514" t="s">
        <v>605</v>
      </c>
      <c r="L197" s="514" t="s">
        <v>605</v>
      </c>
      <c r="M197" s="514" t="s">
        <v>605</v>
      </c>
      <c r="N197" s="514" t="s">
        <v>605</v>
      </c>
      <c r="O197" s="514" t="s">
        <v>605</v>
      </c>
      <c r="P197" s="514" t="s">
        <v>605</v>
      </c>
      <c r="Q197" s="514" t="s">
        <v>605</v>
      </c>
      <c r="R197" s="514" t="s">
        <v>605</v>
      </c>
    </row>
    <row r="198" spans="1:18" s="511" customFormat="1" ht="12.2" customHeight="1">
      <c r="A198" s="512" t="str">
        <f>+A24</f>
        <v/>
      </c>
      <c r="B198" s="512"/>
      <c r="C198" s="512"/>
      <c r="D198" s="512"/>
      <c r="E198" s="512"/>
      <c r="F198" s="512"/>
      <c r="G198" s="512"/>
      <c r="H198" s="512"/>
      <c r="I198" s="512"/>
      <c r="J198" s="512"/>
      <c r="K198" s="512"/>
      <c r="L198" s="512"/>
      <c r="M198" s="512"/>
      <c r="N198" s="512"/>
      <c r="O198" s="512"/>
      <c r="P198" s="512"/>
      <c r="Q198" s="512"/>
      <c r="R198" s="512"/>
    </row>
    <row r="199" spans="1:18" s="511" customFormat="1" ht="12.2" customHeight="1">
      <c r="B199" s="512"/>
      <c r="C199" s="512"/>
      <c r="D199" s="512"/>
      <c r="E199" s="512"/>
      <c r="F199" s="512"/>
      <c r="G199" s="512"/>
      <c r="H199" s="512"/>
      <c r="I199" s="512"/>
      <c r="J199" s="512"/>
      <c r="K199" s="512"/>
      <c r="L199" s="512"/>
      <c r="M199" s="512"/>
      <c r="N199" s="512"/>
      <c r="O199" s="512"/>
      <c r="P199" s="512"/>
      <c r="Q199" s="512"/>
      <c r="R199" s="512"/>
    </row>
    <row r="200" spans="1:18" s="511" customFormat="1" ht="12.2" customHeight="1">
      <c r="A200" s="511">
        <f>+N79</f>
        <v>0</v>
      </c>
      <c r="B200" s="512">
        <f>B$24*$Q79</f>
        <v>0</v>
      </c>
      <c r="C200" s="512">
        <f t="shared" ref="C200:M200" si="25">C$24*$Q79</f>
        <v>0</v>
      </c>
      <c r="D200" s="512">
        <f t="shared" si="25"/>
        <v>0</v>
      </c>
      <c r="E200" s="512">
        <f t="shared" si="25"/>
        <v>0</v>
      </c>
      <c r="F200" s="512">
        <f t="shared" si="25"/>
        <v>0</v>
      </c>
      <c r="G200" s="512">
        <f t="shared" si="25"/>
        <v>0</v>
      </c>
      <c r="H200" s="512">
        <f t="shared" si="25"/>
        <v>0</v>
      </c>
      <c r="I200" s="512">
        <f t="shared" si="25"/>
        <v>0</v>
      </c>
      <c r="J200" s="512">
        <f t="shared" si="25"/>
        <v>0</v>
      </c>
      <c r="K200" s="512">
        <f t="shared" si="25"/>
        <v>0</v>
      </c>
      <c r="L200" s="512">
        <f t="shared" si="25"/>
        <v>0</v>
      </c>
      <c r="M200" s="512">
        <f t="shared" si="25"/>
        <v>0</v>
      </c>
      <c r="N200" s="512">
        <f>SUM(B200:M200)</f>
        <v>0</v>
      </c>
      <c r="O200" s="501">
        <f>C$42*$Q79*(1+$D$7)</f>
        <v>0</v>
      </c>
      <c r="P200" s="501">
        <f>D$42*$Q79*(1+$D$7)*(1+$D$7)</f>
        <v>0</v>
      </c>
      <c r="Q200" s="501">
        <f>E$42*$Q79*(1+$D$7)*(1+$D$7)*(1+$D$7)</f>
        <v>0</v>
      </c>
      <c r="R200" s="501">
        <f>F$42*$Q79*(1+$D$7)*(1+$D$7)*(1+$D$7)*(1+$D$7)</f>
        <v>0</v>
      </c>
    </row>
    <row r="201" spans="1:18" s="511" customFormat="1" ht="12.2" customHeight="1">
      <c r="A201" s="511">
        <f>+N80</f>
        <v>0</v>
      </c>
      <c r="B201" s="512">
        <f t="shared" ref="B201:M204" si="26">B$24*$Q80</f>
        <v>0</v>
      </c>
      <c r="C201" s="512">
        <f t="shared" si="26"/>
        <v>0</v>
      </c>
      <c r="D201" s="512">
        <f t="shared" si="26"/>
        <v>0</v>
      </c>
      <c r="E201" s="512">
        <f t="shared" si="26"/>
        <v>0</v>
      </c>
      <c r="F201" s="512">
        <f t="shared" si="26"/>
        <v>0</v>
      </c>
      <c r="G201" s="512">
        <f t="shared" si="26"/>
        <v>0</v>
      </c>
      <c r="H201" s="512">
        <f t="shared" si="26"/>
        <v>0</v>
      </c>
      <c r="I201" s="512">
        <f t="shared" si="26"/>
        <v>0</v>
      </c>
      <c r="J201" s="512">
        <f t="shared" si="26"/>
        <v>0</v>
      </c>
      <c r="K201" s="512">
        <f t="shared" si="26"/>
        <v>0</v>
      </c>
      <c r="L201" s="512">
        <f t="shared" si="26"/>
        <v>0</v>
      </c>
      <c r="M201" s="512">
        <f t="shared" si="26"/>
        <v>0</v>
      </c>
      <c r="N201" s="512">
        <f>SUM(B201:M201)</f>
        <v>0</v>
      </c>
      <c r="O201" s="501">
        <f>C$42*$Q80*(1+$D$7)</f>
        <v>0</v>
      </c>
      <c r="P201" s="501">
        <f>D$42*$Q80*(1+$D$7)*(1+$D$7)</f>
        <v>0</v>
      </c>
      <c r="Q201" s="501">
        <f>E$42*$Q80*(1+$D$7)*(1+$D$7)*(1+$D$7)</f>
        <v>0</v>
      </c>
      <c r="R201" s="501">
        <f>F$42*$Q80*(1+$D$7)*(1+$D$7)*(1+$D$7)*(1+$D$7)</f>
        <v>0</v>
      </c>
    </row>
    <row r="202" spans="1:18" s="511" customFormat="1" ht="12.2" customHeight="1">
      <c r="A202" s="511">
        <f>+N81</f>
        <v>0</v>
      </c>
      <c r="B202" s="512">
        <f t="shared" si="26"/>
        <v>0</v>
      </c>
      <c r="C202" s="512">
        <f t="shared" si="26"/>
        <v>0</v>
      </c>
      <c r="D202" s="512">
        <f t="shared" si="26"/>
        <v>0</v>
      </c>
      <c r="E202" s="512">
        <f t="shared" si="26"/>
        <v>0</v>
      </c>
      <c r="F202" s="512">
        <f t="shared" si="26"/>
        <v>0</v>
      </c>
      <c r="G202" s="512">
        <f t="shared" si="26"/>
        <v>0</v>
      </c>
      <c r="H202" s="512">
        <f t="shared" si="26"/>
        <v>0</v>
      </c>
      <c r="I202" s="512">
        <f t="shared" si="26"/>
        <v>0</v>
      </c>
      <c r="J202" s="512">
        <f t="shared" si="26"/>
        <v>0</v>
      </c>
      <c r="K202" s="512">
        <f t="shared" si="26"/>
        <v>0</v>
      </c>
      <c r="L202" s="512">
        <f t="shared" si="26"/>
        <v>0</v>
      </c>
      <c r="M202" s="512">
        <f t="shared" si="26"/>
        <v>0</v>
      </c>
      <c r="N202" s="512">
        <f>SUM(B202:M202)</f>
        <v>0</v>
      </c>
      <c r="O202" s="501">
        <f>C$42*$Q81*(1+$D$7)</f>
        <v>0</v>
      </c>
      <c r="P202" s="501">
        <f>D$42*$Q81*(1+$D$7)*(1+$D$7)</f>
        <v>0</v>
      </c>
      <c r="Q202" s="501">
        <f>E$42*$Q81*(1+$D$7)*(1+$D$7)*(1+$D$7)</f>
        <v>0</v>
      </c>
      <c r="R202" s="501">
        <f>F$42*$Q81*(1+$D$7)*(1+$D$7)*(1+$D$7)*(1+$D$7)</f>
        <v>0</v>
      </c>
    </row>
    <row r="203" spans="1:18" s="511" customFormat="1" ht="12.2" customHeight="1">
      <c r="A203" s="511">
        <f>+N82</f>
        <v>0</v>
      </c>
      <c r="B203" s="512">
        <f t="shared" si="26"/>
        <v>0</v>
      </c>
      <c r="C203" s="512">
        <f t="shared" si="26"/>
        <v>0</v>
      </c>
      <c r="D203" s="512">
        <f t="shared" si="26"/>
        <v>0</v>
      </c>
      <c r="E203" s="512">
        <f t="shared" si="26"/>
        <v>0</v>
      </c>
      <c r="F203" s="512">
        <f t="shared" si="26"/>
        <v>0</v>
      </c>
      <c r="G203" s="512">
        <f t="shared" si="26"/>
        <v>0</v>
      </c>
      <c r="H203" s="512">
        <f t="shared" si="26"/>
        <v>0</v>
      </c>
      <c r="I203" s="512">
        <f t="shared" si="26"/>
        <v>0</v>
      </c>
      <c r="J203" s="512">
        <f t="shared" si="26"/>
        <v>0</v>
      </c>
      <c r="K203" s="512">
        <f t="shared" si="26"/>
        <v>0</v>
      </c>
      <c r="L203" s="512">
        <f t="shared" si="26"/>
        <v>0</v>
      </c>
      <c r="M203" s="512">
        <f t="shared" si="26"/>
        <v>0</v>
      </c>
      <c r="N203" s="512">
        <f>SUM(B203:M203)</f>
        <v>0</v>
      </c>
      <c r="O203" s="501">
        <f>C$42*$Q82*(1+$D$7)</f>
        <v>0</v>
      </c>
      <c r="P203" s="501">
        <f>D$42*$Q82*(1+$D$7)*(1+$D$7)</f>
        <v>0</v>
      </c>
      <c r="Q203" s="501">
        <f>E$42*$Q82*(1+$D$7)*(1+$D$7)*(1+$D$7)</f>
        <v>0</v>
      </c>
      <c r="R203" s="501">
        <f>F$42*$Q82*(1+$D$7)*(1+$D$7)*(1+$D$7)*(1+$D$7)</f>
        <v>0</v>
      </c>
    </row>
    <row r="204" spans="1:18" s="511" customFormat="1" ht="12.2" customHeight="1">
      <c r="A204" s="511">
        <f>+N83</f>
        <v>0</v>
      </c>
      <c r="B204" s="512">
        <f t="shared" si="26"/>
        <v>0</v>
      </c>
      <c r="C204" s="512">
        <f t="shared" si="26"/>
        <v>0</v>
      </c>
      <c r="D204" s="512">
        <f t="shared" si="26"/>
        <v>0</v>
      </c>
      <c r="E204" s="512">
        <f t="shared" si="26"/>
        <v>0</v>
      </c>
      <c r="F204" s="512">
        <f t="shared" si="26"/>
        <v>0</v>
      </c>
      <c r="G204" s="512">
        <f t="shared" si="26"/>
        <v>0</v>
      </c>
      <c r="H204" s="512">
        <f t="shared" si="26"/>
        <v>0</v>
      </c>
      <c r="I204" s="512">
        <f t="shared" si="26"/>
        <v>0</v>
      </c>
      <c r="J204" s="512">
        <f t="shared" si="26"/>
        <v>0</v>
      </c>
      <c r="K204" s="512">
        <f t="shared" si="26"/>
        <v>0</v>
      </c>
      <c r="L204" s="512">
        <f t="shared" si="26"/>
        <v>0</v>
      </c>
      <c r="M204" s="512">
        <f t="shared" si="26"/>
        <v>0</v>
      </c>
      <c r="N204" s="512">
        <f>SUM(B204:M204)</f>
        <v>0</v>
      </c>
      <c r="O204" s="501">
        <f>C$42*$Q83*(1+$D$7)</f>
        <v>0</v>
      </c>
      <c r="P204" s="501">
        <f>D$42*$Q83*(1+$D$7)*(1+$D$7)</f>
        <v>0</v>
      </c>
      <c r="Q204" s="501">
        <f>E$42*$Q83*(1+$D$7)*(1+$D$7)*(1+$D$7)</f>
        <v>0</v>
      </c>
      <c r="R204" s="501">
        <f>F$42*$Q83*(1+$D$7)*(1+$D$7)*(1+$D$7)*(1+$D$7)</f>
        <v>0</v>
      </c>
    </row>
    <row r="205" spans="1:18" s="511" customFormat="1" ht="12.2" customHeight="1">
      <c r="A205" s="513" t="s">
        <v>605</v>
      </c>
      <c r="B205" s="514" t="s">
        <v>605</v>
      </c>
      <c r="C205" s="514" t="s">
        <v>605</v>
      </c>
      <c r="D205" s="514" t="s">
        <v>605</v>
      </c>
      <c r="E205" s="514" t="s">
        <v>605</v>
      </c>
      <c r="F205" s="514" t="s">
        <v>605</v>
      </c>
      <c r="G205" s="514" t="s">
        <v>605</v>
      </c>
      <c r="H205" s="514" t="s">
        <v>605</v>
      </c>
      <c r="I205" s="514" t="s">
        <v>605</v>
      </c>
      <c r="J205" s="514" t="s">
        <v>605</v>
      </c>
      <c r="K205" s="514" t="s">
        <v>605</v>
      </c>
      <c r="L205" s="514" t="s">
        <v>605</v>
      </c>
      <c r="M205" s="514" t="s">
        <v>605</v>
      </c>
      <c r="N205" s="514" t="s">
        <v>605</v>
      </c>
      <c r="O205" s="514" t="s">
        <v>605</v>
      </c>
      <c r="P205" s="514" t="s">
        <v>605</v>
      </c>
      <c r="Q205" s="514" t="s">
        <v>605</v>
      </c>
      <c r="R205" s="514" t="s">
        <v>605</v>
      </c>
    </row>
    <row r="206" spans="1:18" s="511" customFormat="1" ht="12.2" customHeight="1">
      <c r="A206" s="512" t="str">
        <f>+A25</f>
        <v/>
      </c>
      <c r="B206" s="512"/>
      <c r="C206" s="512"/>
      <c r="D206" s="512"/>
      <c r="E206" s="512"/>
      <c r="F206" s="512"/>
      <c r="G206" s="512"/>
      <c r="H206" s="512"/>
      <c r="I206" s="512"/>
      <c r="J206" s="512"/>
      <c r="K206" s="512"/>
      <c r="L206" s="512"/>
      <c r="M206" s="512"/>
      <c r="N206" s="512"/>
      <c r="O206" s="512"/>
      <c r="P206" s="512"/>
      <c r="Q206" s="512"/>
      <c r="R206" s="512"/>
    </row>
    <row r="207" spans="1:18" s="511" customFormat="1" ht="12.2" customHeight="1">
      <c r="B207" s="512"/>
      <c r="C207" s="512"/>
      <c r="D207" s="512"/>
      <c r="E207" s="512"/>
      <c r="F207" s="512"/>
      <c r="G207" s="512"/>
      <c r="H207" s="512"/>
      <c r="I207" s="512"/>
      <c r="J207" s="512"/>
      <c r="K207" s="512"/>
      <c r="L207" s="512"/>
      <c r="M207" s="512"/>
      <c r="N207" s="512"/>
      <c r="O207" s="512"/>
      <c r="P207" s="512"/>
      <c r="Q207" s="512"/>
      <c r="R207" s="512"/>
    </row>
    <row r="208" spans="1:18" s="511" customFormat="1" ht="12.2" customHeight="1">
      <c r="A208" s="511">
        <f>+N87</f>
        <v>0</v>
      </c>
      <c r="B208" s="512">
        <f>B$25*$Q87</f>
        <v>0</v>
      </c>
      <c r="C208" s="512">
        <f t="shared" ref="C208:M208" si="27">C$25*$Q87</f>
        <v>0</v>
      </c>
      <c r="D208" s="512">
        <f t="shared" si="27"/>
        <v>0</v>
      </c>
      <c r="E208" s="512">
        <f t="shared" si="27"/>
        <v>0</v>
      </c>
      <c r="F208" s="512">
        <f t="shared" si="27"/>
        <v>0</v>
      </c>
      <c r="G208" s="512">
        <f t="shared" si="27"/>
        <v>0</v>
      </c>
      <c r="H208" s="512">
        <f t="shared" si="27"/>
        <v>0</v>
      </c>
      <c r="I208" s="512">
        <f t="shared" si="27"/>
        <v>0</v>
      </c>
      <c r="J208" s="512">
        <f t="shared" si="27"/>
        <v>0</v>
      </c>
      <c r="K208" s="512">
        <f t="shared" si="27"/>
        <v>0</v>
      </c>
      <c r="L208" s="512">
        <f t="shared" si="27"/>
        <v>0</v>
      </c>
      <c r="M208" s="512">
        <f t="shared" si="27"/>
        <v>0</v>
      </c>
      <c r="N208" s="512">
        <f>SUM(B208:M208)</f>
        <v>0</v>
      </c>
      <c r="O208" s="501">
        <f>C$43*$Q87*(1+$D$7)</f>
        <v>0</v>
      </c>
      <c r="P208" s="501">
        <f>D$43*$Q87*(1+$D$7)*(1+$D$7)</f>
        <v>0</v>
      </c>
      <c r="Q208" s="501">
        <f>E$43*$Q87*(1+$D$7)*(1+$D$7)*(1+$D$7)</f>
        <v>0</v>
      </c>
      <c r="R208" s="501">
        <f>F$43*$Q87*(1+$D$7)*(1+$D$7)*(1+$D$7)*(1+$D$7)</f>
        <v>0</v>
      </c>
    </row>
    <row r="209" spans="1:18" s="511" customFormat="1" ht="12.2" customHeight="1">
      <c r="A209" s="511">
        <f>+N88</f>
        <v>0</v>
      </c>
      <c r="B209" s="512">
        <f t="shared" ref="B209:M212" si="28">B$25*$Q88</f>
        <v>0</v>
      </c>
      <c r="C209" s="512">
        <f t="shared" si="28"/>
        <v>0</v>
      </c>
      <c r="D209" s="512">
        <f t="shared" si="28"/>
        <v>0</v>
      </c>
      <c r="E209" s="512">
        <f t="shared" si="28"/>
        <v>0</v>
      </c>
      <c r="F209" s="512">
        <f t="shared" si="28"/>
        <v>0</v>
      </c>
      <c r="G209" s="512">
        <f t="shared" si="28"/>
        <v>0</v>
      </c>
      <c r="H209" s="512">
        <f t="shared" si="28"/>
        <v>0</v>
      </c>
      <c r="I209" s="512">
        <f t="shared" si="28"/>
        <v>0</v>
      </c>
      <c r="J209" s="512">
        <f t="shared" si="28"/>
        <v>0</v>
      </c>
      <c r="K209" s="512">
        <f t="shared" si="28"/>
        <v>0</v>
      </c>
      <c r="L209" s="512">
        <f t="shared" si="28"/>
        <v>0</v>
      </c>
      <c r="M209" s="512">
        <f t="shared" si="28"/>
        <v>0</v>
      </c>
      <c r="N209" s="512">
        <f>SUM(B209:M209)</f>
        <v>0</v>
      </c>
      <c r="O209" s="501">
        <f>C$43*$Q88*(1+$D$7)</f>
        <v>0</v>
      </c>
      <c r="P209" s="501">
        <f>D$43*$Q88*(1+$D$7)*(1+$D$7)</f>
        <v>0</v>
      </c>
      <c r="Q209" s="501">
        <f>E$43*$Q88*(1+$D$7)*(1+$D$7)*(1+$D$7)</f>
        <v>0</v>
      </c>
      <c r="R209" s="501">
        <f>F$43*$Q88*(1+$D$7)*(1+$D$7)*(1+$D$7)*(1+$D$7)</f>
        <v>0</v>
      </c>
    </row>
    <row r="210" spans="1:18" s="511" customFormat="1" ht="12.2" customHeight="1">
      <c r="A210" s="511">
        <f>+N89</f>
        <v>0</v>
      </c>
      <c r="B210" s="512">
        <f t="shared" si="28"/>
        <v>0</v>
      </c>
      <c r="C210" s="512">
        <f t="shared" si="28"/>
        <v>0</v>
      </c>
      <c r="D210" s="512">
        <f t="shared" si="28"/>
        <v>0</v>
      </c>
      <c r="E210" s="512">
        <f t="shared" si="28"/>
        <v>0</v>
      </c>
      <c r="F210" s="512">
        <f t="shared" si="28"/>
        <v>0</v>
      </c>
      <c r="G210" s="512">
        <f t="shared" si="28"/>
        <v>0</v>
      </c>
      <c r="H210" s="512">
        <f t="shared" si="28"/>
        <v>0</v>
      </c>
      <c r="I210" s="512">
        <f t="shared" si="28"/>
        <v>0</v>
      </c>
      <c r="J210" s="512">
        <f t="shared" si="28"/>
        <v>0</v>
      </c>
      <c r="K210" s="512">
        <f t="shared" si="28"/>
        <v>0</v>
      </c>
      <c r="L210" s="512">
        <f t="shared" si="28"/>
        <v>0</v>
      </c>
      <c r="M210" s="512">
        <f t="shared" si="28"/>
        <v>0</v>
      </c>
      <c r="N210" s="512">
        <f>SUM(B210:M210)</f>
        <v>0</v>
      </c>
      <c r="O210" s="501">
        <f>C$43*$Q89*(1+$D$7)</f>
        <v>0</v>
      </c>
      <c r="P210" s="501">
        <f>D$43*$Q89*(1+$D$7)*(1+$D$7)</f>
        <v>0</v>
      </c>
      <c r="Q210" s="501">
        <f>E$43*$Q89*(1+$D$7)*(1+$D$7)*(1+$D$7)</f>
        <v>0</v>
      </c>
      <c r="R210" s="501">
        <f>F$43*$Q89*(1+$D$7)*(1+$D$7)*(1+$D$7)*(1+$D$7)</f>
        <v>0</v>
      </c>
    </row>
    <row r="211" spans="1:18" s="511" customFormat="1" ht="12.2" customHeight="1">
      <c r="A211" s="511">
        <f>+N90</f>
        <v>0</v>
      </c>
      <c r="B211" s="512">
        <f t="shared" si="28"/>
        <v>0</v>
      </c>
      <c r="C211" s="512">
        <f t="shared" si="28"/>
        <v>0</v>
      </c>
      <c r="D211" s="512">
        <f t="shared" si="28"/>
        <v>0</v>
      </c>
      <c r="E211" s="512">
        <f t="shared" si="28"/>
        <v>0</v>
      </c>
      <c r="F211" s="512">
        <f t="shared" si="28"/>
        <v>0</v>
      </c>
      <c r="G211" s="512">
        <f t="shared" si="28"/>
        <v>0</v>
      </c>
      <c r="H211" s="512">
        <f t="shared" si="28"/>
        <v>0</v>
      </c>
      <c r="I211" s="512">
        <f t="shared" si="28"/>
        <v>0</v>
      </c>
      <c r="J211" s="512">
        <f t="shared" si="28"/>
        <v>0</v>
      </c>
      <c r="K211" s="512">
        <f t="shared" si="28"/>
        <v>0</v>
      </c>
      <c r="L211" s="512">
        <f t="shared" si="28"/>
        <v>0</v>
      </c>
      <c r="M211" s="512">
        <f t="shared" si="28"/>
        <v>0</v>
      </c>
      <c r="N211" s="512">
        <f>SUM(B211:M211)</f>
        <v>0</v>
      </c>
      <c r="O211" s="501">
        <f>C$43*$Q90*(1+$D$7)</f>
        <v>0</v>
      </c>
      <c r="P211" s="501">
        <f>D$43*$Q90*(1+$D$7)*(1+$D$7)</f>
        <v>0</v>
      </c>
      <c r="Q211" s="501">
        <f>E$43*$Q90*(1+$D$7)*(1+$D$7)*(1+$D$7)</f>
        <v>0</v>
      </c>
      <c r="R211" s="501">
        <f>F$43*$Q90*(1+$D$7)*(1+$D$7)*(1+$D$7)*(1+$D$7)</f>
        <v>0</v>
      </c>
    </row>
    <row r="212" spans="1:18" s="511" customFormat="1" ht="12.2" customHeight="1">
      <c r="A212" s="511">
        <f>+N91</f>
        <v>0</v>
      </c>
      <c r="B212" s="512">
        <f t="shared" si="28"/>
        <v>0</v>
      </c>
      <c r="C212" s="512">
        <f t="shared" si="28"/>
        <v>0</v>
      </c>
      <c r="D212" s="512">
        <f t="shared" si="28"/>
        <v>0</v>
      </c>
      <c r="E212" s="512">
        <f t="shared" si="28"/>
        <v>0</v>
      </c>
      <c r="F212" s="512">
        <f t="shared" si="28"/>
        <v>0</v>
      </c>
      <c r="G212" s="512">
        <f t="shared" si="28"/>
        <v>0</v>
      </c>
      <c r="H212" s="512">
        <f t="shared" si="28"/>
        <v>0</v>
      </c>
      <c r="I212" s="512">
        <f t="shared" si="28"/>
        <v>0</v>
      </c>
      <c r="J212" s="512">
        <f t="shared" si="28"/>
        <v>0</v>
      </c>
      <c r="K212" s="512">
        <f t="shared" si="28"/>
        <v>0</v>
      </c>
      <c r="L212" s="512">
        <f t="shared" si="28"/>
        <v>0</v>
      </c>
      <c r="M212" s="512">
        <f t="shared" si="28"/>
        <v>0</v>
      </c>
      <c r="N212" s="512">
        <f>SUM(B212:M212)</f>
        <v>0</v>
      </c>
      <c r="O212" s="501">
        <f>C$43*$Q91*(1+$D$7)</f>
        <v>0</v>
      </c>
      <c r="P212" s="501">
        <f>D$43*$Q91*(1+$D$7)*(1+$D$7)</f>
        <v>0</v>
      </c>
      <c r="Q212" s="501">
        <f>E$43*$Q91*(1+$D$7)*(1+$D$7)*(1+$D$7)</f>
        <v>0</v>
      </c>
      <c r="R212" s="501">
        <f>F$43*$Q91*(1+$D$7)*(1+$D$7)*(1+$D$7)*(1+$D$7)</f>
        <v>0</v>
      </c>
    </row>
    <row r="213" spans="1:18" s="511" customFormat="1" ht="12.2" customHeight="1">
      <c r="A213" s="513" t="s">
        <v>605</v>
      </c>
      <c r="B213" s="514" t="s">
        <v>605</v>
      </c>
      <c r="C213" s="514" t="s">
        <v>605</v>
      </c>
      <c r="D213" s="514" t="s">
        <v>605</v>
      </c>
      <c r="E213" s="514" t="s">
        <v>605</v>
      </c>
      <c r="F213" s="514" t="s">
        <v>605</v>
      </c>
      <c r="G213" s="514" t="s">
        <v>605</v>
      </c>
      <c r="H213" s="514" t="s">
        <v>605</v>
      </c>
      <c r="I213" s="514" t="s">
        <v>605</v>
      </c>
      <c r="J213" s="514" t="s">
        <v>605</v>
      </c>
      <c r="K213" s="514" t="s">
        <v>605</v>
      </c>
      <c r="L213" s="514" t="s">
        <v>605</v>
      </c>
      <c r="M213" s="514" t="s">
        <v>605</v>
      </c>
      <c r="N213" s="514" t="s">
        <v>605</v>
      </c>
      <c r="O213" s="514" t="s">
        <v>605</v>
      </c>
      <c r="P213" s="514" t="s">
        <v>605</v>
      </c>
      <c r="Q213" s="514" t="s">
        <v>605</v>
      </c>
      <c r="R213" s="514" t="s">
        <v>605</v>
      </c>
    </row>
    <row r="214" spans="1:18" s="511" customFormat="1" ht="12.2" customHeight="1">
      <c r="A214" s="512" t="str">
        <f>+A26</f>
        <v/>
      </c>
      <c r="B214" s="512"/>
      <c r="C214" s="512"/>
      <c r="D214" s="512"/>
      <c r="E214" s="512"/>
      <c r="F214" s="512"/>
      <c r="G214" s="512"/>
      <c r="H214" s="512"/>
      <c r="I214" s="512"/>
      <c r="J214" s="512"/>
      <c r="K214" s="512"/>
      <c r="L214" s="512"/>
      <c r="M214" s="512"/>
      <c r="N214" s="512"/>
      <c r="O214" s="512"/>
      <c r="P214" s="512"/>
      <c r="Q214" s="512"/>
      <c r="R214" s="512"/>
    </row>
    <row r="215" spans="1:18" s="511" customFormat="1" ht="12.2" customHeight="1">
      <c r="B215" s="512"/>
      <c r="C215" s="512"/>
      <c r="D215" s="512"/>
      <c r="E215" s="512"/>
      <c r="F215" s="512"/>
      <c r="G215" s="512"/>
      <c r="H215" s="512"/>
      <c r="I215" s="512"/>
      <c r="J215" s="512"/>
      <c r="K215" s="512"/>
      <c r="L215" s="512"/>
      <c r="M215" s="512"/>
      <c r="N215" s="512"/>
      <c r="O215" s="512"/>
      <c r="P215" s="512"/>
      <c r="Q215" s="512"/>
      <c r="R215" s="512"/>
    </row>
    <row r="216" spans="1:18" s="511" customFormat="1" ht="12.2" customHeight="1">
      <c r="A216" s="511">
        <f>+N95</f>
        <v>0</v>
      </c>
      <c r="B216" s="512">
        <f>B$26*$Q95</f>
        <v>0</v>
      </c>
      <c r="C216" s="512">
        <f t="shared" ref="C216:M216" si="29">C$26*$Q95</f>
        <v>0</v>
      </c>
      <c r="D216" s="512">
        <f t="shared" si="29"/>
        <v>0</v>
      </c>
      <c r="E216" s="512">
        <f t="shared" si="29"/>
        <v>0</v>
      </c>
      <c r="F216" s="512">
        <f t="shared" si="29"/>
        <v>0</v>
      </c>
      <c r="G216" s="512">
        <f t="shared" si="29"/>
        <v>0</v>
      </c>
      <c r="H216" s="512">
        <f t="shared" si="29"/>
        <v>0</v>
      </c>
      <c r="I216" s="512">
        <f t="shared" si="29"/>
        <v>0</v>
      </c>
      <c r="J216" s="512">
        <f t="shared" si="29"/>
        <v>0</v>
      </c>
      <c r="K216" s="512">
        <f t="shared" si="29"/>
        <v>0</v>
      </c>
      <c r="L216" s="512">
        <f t="shared" si="29"/>
        <v>0</v>
      </c>
      <c r="M216" s="512">
        <f t="shared" si="29"/>
        <v>0</v>
      </c>
      <c r="N216" s="512">
        <f>SUM(B216:M216)</f>
        <v>0</v>
      </c>
      <c r="O216" s="501">
        <f>C$44*$Q95*(1+$D$7)</f>
        <v>0</v>
      </c>
      <c r="P216" s="501">
        <f>D$44*$Q95*(1+$D$7)*(1+$D$7)</f>
        <v>0</v>
      </c>
      <c r="Q216" s="501">
        <f>E$44*$Q95*(1+$D$7)*(1+$D$7)*(1+$D$7)</f>
        <v>0</v>
      </c>
      <c r="R216" s="501">
        <f>F$44*$Q95*(1+$D$7)*(1+$D$7)*(1+$D$7)*(1+$D$7)</f>
        <v>0</v>
      </c>
    </row>
    <row r="217" spans="1:18" s="511" customFormat="1" ht="12.2" customHeight="1">
      <c r="A217" s="511">
        <f>+N96</f>
        <v>0</v>
      </c>
      <c r="B217" s="512">
        <f t="shared" ref="B217:M220" si="30">B$26*$Q96</f>
        <v>0</v>
      </c>
      <c r="C217" s="512">
        <f t="shared" si="30"/>
        <v>0</v>
      </c>
      <c r="D217" s="512">
        <f t="shared" si="30"/>
        <v>0</v>
      </c>
      <c r="E217" s="512">
        <f t="shared" si="30"/>
        <v>0</v>
      </c>
      <c r="F217" s="512">
        <f t="shared" si="30"/>
        <v>0</v>
      </c>
      <c r="G217" s="512">
        <f t="shared" si="30"/>
        <v>0</v>
      </c>
      <c r="H217" s="512">
        <f t="shared" si="30"/>
        <v>0</v>
      </c>
      <c r="I217" s="512">
        <f t="shared" si="30"/>
        <v>0</v>
      </c>
      <c r="J217" s="512">
        <f t="shared" si="30"/>
        <v>0</v>
      </c>
      <c r="K217" s="512">
        <f t="shared" si="30"/>
        <v>0</v>
      </c>
      <c r="L217" s="512">
        <f t="shared" si="30"/>
        <v>0</v>
      </c>
      <c r="M217" s="512">
        <f t="shared" si="30"/>
        <v>0</v>
      </c>
      <c r="N217" s="512">
        <f>SUM(B217:M217)</f>
        <v>0</v>
      </c>
      <c r="O217" s="501">
        <f>C$44*$Q96*(1+$D$7)</f>
        <v>0</v>
      </c>
      <c r="P217" s="501">
        <f>D$44*$Q96*(1+$D$7)*(1+$D$7)</f>
        <v>0</v>
      </c>
      <c r="Q217" s="501">
        <f>E$44*$Q96*(1+$D$7)*(1+$D$7)*(1+$D$7)</f>
        <v>0</v>
      </c>
      <c r="R217" s="501">
        <f>F$44*$Q96*(1+$D$7)*(1+$D$7)*(1+$D$7)*(1+$D$7)</f>
        <v>0</v>
      </c>
    </row>
    <row r="218" spans="1:18" s="511" customFormat="1" ht="12.2" customHeight="1">
      <c r="A218" s="511">
        <f>+N97</f>
        <v>0</v>
      </c>
      <c r="B218" s="512">
        <f t="shared" si="30"/>
        <v>0</v>
      </c>
      <c r="C218" s="512">
        <f t="shared" si="30"/>
        <v>0</v>
      </c>
      <c r="D218" s="512">
        <f t="shared" si="30"/>
        <v>0</v>
      </c>
      <c r="E218" s="512">
        <f t="shared" si="30"/>
        <v>0</v>
      </c>
      <c r="F218" s="512">
        <f t="shared" si="30"/>
        <v>0</v>
      </c>
      <c r="G218" s="512">
        <f t="shared" si="30"/>
        <v>0</v>
      </c>
      <c r="H218" s="512">
        <f t="shared" si="30"/>
        <v>0</v>
      </c>
      <c r="I218" s="512">
        <f t="shared" si="30"/>
        <v>0</v>
      </c>
      <c r="J218" s="512">
        <f t="shared" si="30"/>
        <v>0</v>
      </c>
      <c r="K218" s="512">
        <f t="shared" si="30"/>
        <v>0</v>
      </c>
      <c r="L218" s="512">
        <f t="shared" si="30"/>
        <v>0</v>
      </c>
      <c r="M218" s="512">
        <f t="shared" si="30"/>
        <v>0</v>
      </c>
      <c r="N218" s="512">
        <f>SUM(B218:M218)</f>
        <v>0</v>
      </c>
      <c r="O218" s="501">
        <f>C$44*$Q97*(1+$D$7)</f>
        <v>0</v>
      </c>
      <c r="P218" s="501">
        <f>D$44*$Q97*(1+$D$7)*(1+$D$7)</f>
        <v>0</v>
      </c>
      <c r="Q218" s="501">
        <f>E$44*$Q97*(1+$D$7)*(1+$D$7)*(1+$D$7)</f>
        <v>0</v>
      </c>
      <c r="R218" s="501">
        <f>F$44*$Q97*(1+$D$7)*(1+$D$7)*(1+$D$7)*(1+$D$7)</f>
        <v>0</v>
      </c>
    </row>
    <row r="219" spans="1:18" s="511" customFormat="1" ht="12.2" customHeight="1">
      <c r="A219" s="511">
        <f>+N98</f>
        <v>0</v>
      </c>
      <c r="B219" s="512">
        <f t="shared" si="30"/>
        <v>0</v>
      </c>
      <c r="C219" s="512">
        <f t="shared" si="30"/>
        <v>0</v>
      </c>
      <c r="D219" s="512">
        <f t="shared" si="30"/>
        <v>0</v>
      </c>
      <c r="E219" s="512">
        <f t="shared" si="30"/>
        <v>0</v>
      </c>
      <c r="F219" s="512">
        <f t="shared" si="30"/>
        <v>0</v>
      </c>
      <c r="G219" s="512">
        <f t="shared" si="30"/>
        <v>0</v>
      </c>
      <c r="H219" s="512">
        <f t="shared" si="30"/>
        <v>0</v>
      </c>
      <c r="I219" s="512">
        <f t="shared" si="30"/>
        <v>0</v>
      </c>
      <c r="J219" s="512">
        <f t="shared" si="30"/>
        <v>0</v>
      </c>
      <c r="K219" s="512">
        <f t="shared" si="30"/>
        <v>0</v>
      </c>
      <c r="L219" s="512">
        <f t="shared" si="30"/>
        <v>0</v>
      </c>
      <c r="M219" s="512">
        <f t="shared" si="30"/>
        <v>0</v>
      </c>
      <c r="N219" s="512">
        <f>SUM(B219:M219)</f>
        <v>0</v>
      </c>
      <c r="O219" s="501">
        <f>C$44*$Q98*(1+$D$7)</f>
        <v>0</v>
      </c>
      <c r="P219" s="501">
        <f>D$44*$Q98*(1+$D$7)*(1+$D$7)</f>
        <v>0</v>
      </c>
      <c r="Q219" s="501">
        <f>E$44*$Q98*(1+$D$7)*(1+$D$7)*(1+$D$7)</f>
        <v>0</v>
      </c>
      <c r="R219" s="501">
        <f>F$44*$Q98*(1+$D$7)*(1+$D$7)*(1+$D$7)*(1+$D$7)</f>
        <v>0</v>
      </c>
    </row>
    <row r="220" spans="1:18" s="511" customFormat="1" ht="12.2" customHeight="1">
      <c r="A220" s="511">
        <f>+N99</f>
        <v>0</v>
      </c>
      <c r="B220" s="512">
        <f t="shared" si="30"/>
        <v>0</v>
      </c>
      <c r="C220" s="512">
        <f t="shared" si="30"/>
        <v>0</v>
      </c>
      <c r="D220" s="512">
        <f t="shared" si="30"/>
        <v>0</v>
      </c>
      <c r="E220" s="512">
        <f t="shared" si="30"/>
        <v>0</v>
      </c>
      <c r="F220" s="512">
        <f t="shared" si="30"/>
        <v>0</v>
      </c>
      <c r="G220" s="512">
        <f t="shared" si="30"/>
        <v>0</v>
      </c>
      <c r="H220" s="512">
        <f t="shared" si="30"/>
        <v>0</v>
      </c>
      <c r="I220" s="512">
        <f t="shared" si="30"/>
        <v>0</v>
      </c>
      <c r="J220" s="512">
        <f t="shared" si="30"/>
        <v>0</v>
      </c>
      <c r="K220" s="512">
        <f t="shared" si="30"/>
        <v>0</v>
      </c>
      <c r="L220" s="512">
        <f t="shared" si="30"/>
        <v>0</v>
      </c>
      <c r="M220" s="512">
        <f t="shared" si="30"/>
        <v>0</v>
      </c>
      <c r="N220" s="512">
        <f>SUM(B220:M220)</f>
        <v>0</v>
      </c>
      <c r="O220" s="501">
        <f>C$44*$Q99*(1+$D$7)</f>
        <v>0</v>
      </c>
      <c r="P220" s="501">
        <f>D$44*$Q99*(1+$D$7)*(1+$D$7)</f>
        <v>0</v>
      </c>
      <c r="Q220" s="501">
        <f>E$44*$Q99*(1+$D$7)*(1+$D$7)*(1+$D$7)</f>
        <v>0</v>
      </c>
      <c r="R220" s="501">
        <f>F$44*$Q99*(1+$D$7)*(1+$D$7)*(1+$D$7)*(1+$D$7)</f>
        <v>0</v>
      </c>
    </row>
    <row r="221" spans="1:18" s="511" customFormat="1" ht="12.2" customHeight="1">
      <c r="A221" s="513" t="s">
        <v>605</v>
      </c>
      <c r="B221" s="514" t="s">
        <v>605</v>
      </c>
      <c r="C221" s="514" t="s">
        <v>605</v>
      </c>
      <c r="D221" s="514" t="s">
        <v>605</v>
      </c>
      <c r="E221" s="514" t="s">
        <v>605</v>
      </c>
      <c r="F221" s="514" t="s">
        <v>605</v>
      </c>
      <c r="G221" s="514" t="s">
        <v>605</v>
      </c>
      <c r="H221" s="514" t="s">
        <v>605</v>
      </c>
      <c r="I221" s="514" t="s">
        <v>605</v>
      </c>
      <c r="J221" s="514" t="s">
        <v>605</v>
      </c>
      <c r="K221" s="514" t="s">
        <v>605</v>
      </c>
      <c r="L221" s="514" t="s">
        <v>605</v>
      </c>
      <c r="M221" s="514" t="s">
        <v>605</v>
      </c>
      <c r="N221" s="514" t="s">
        <v>605</v>
      </c>
      <c r="O221" s="514" t="s">
        <v>605</v>
      </c>
      <c r="P221" s="514" t="s">
        <v>605</v>
      </c>
      <c r="Q221" s="514" t="s">
        <v>605</v>
      </c>
      <c r="R221" s="514" t="s">
        <v>605</v>
      </c>
    </row>
    <row r="222" spans="1:18" ht="12.2" customHeight="1">
      <c r="A222" s="499" t="s">
        <v>241</v>
      </c>
    </row>
    <row r="224" spans="1:18" ht="12.2" customHeight="1">
      <c r="A224" s="500" t="str">
        <f t="shared" ref="A224:A235" si="31">A15</f>
        <v>CAMISETAS</v>
      </c>
      <c r="B224" s="501">
        <f t="shared" ref="B224:R224" si="32">SUM(B128:B132)</f>
        <v>9720000</v>
      </c>
      <c r="C224" s="501">
        <f t="shared" si="32"/>
        <v>11340000</v>
      </c>
      <c r="D224" s="501">
        <f t="shared" si="32"/>
        <v>11340000</v>
      </c>
      <c r="E224" s="501">
        <f t="shared" si="32"/>
        <v>11340000</v>
      </c>
      <c r="F224" s="501">
        <f t="shared" si="32"/>
        <v>16200000</v>
      </c>
      <c r="G224" s="501">
        <f t="shared" si="32"/>
        <v>14580000</v>
      </c>
      <c r="H224" s="501">
        <f t="shared" si="32"/>
        <v>12960000</v>
      </c>
      <c r="I224" s="501">
        <f t="shared" si="32"/>
        <v>12960000</v>
      </c>
      <c r="J224" s="501">
        <f t="shared" si="32"/>
        <v>12960000</v>
      </c>
      <c r="K224" s="501">
        <f t="shared" si="32"/>
        <v>16200000</v>
      </c>
      <c r="L224" s="501">
        <f t="shared" si="32"/>
        <v>22680000</v>
      </c>
      <c r="M224" s="501">
        <f t="shared" si="32"/>
        <v>9720000</v>
      </c>
      <c r="N224" s="501">
        <f t="shared" si="32"/>
        <v>162000000</v>
      </c>
      <c r="O224" s="501">
        <f t="shared" si="32"/>
        <v>184077480</v>
      </c>
      <c r="P224" s="501">
        <f t="shared" si="32"/>
        <v>215316020.40000001</v>
      </c>
      <c r="Q224" s="501">
        <f t="shared" si="32"/>
        <v>0</v>
      </c>
      <c r="R224" s="501">
        <f t="shared" si="32"/>
        <v>0</v>
      </c>
    </row>
    <row r="225" spans="1:18" ht="12.2" customHeight="1">
      <c r="A225" s="500" t="str">
        <f t="shared" si="31"/>
        <v/>
      </c>
      <c r="B225" s="501">
        <f t="shared" ref="B225:R225" si="33">SUM(B136:B140)</f>
        <v>0</v>
      </c>
      <c r="C225" s="501">
        <f t="shared" si="33"/>
        <v>0</v>
      </c>
      <c r="D225" s="501">
        <f t="shared" si="33"/>
        <v>0</v>
      </c>
      <c r="E225" s="501">
        <f t="shared" si="33"/>
        <v>0</v>
      </c>
      <c r="F225" s="501">
        <f t="shared" si="33"/>
        <v>0</v>
      </c>
      <c r="G225" s="501">
        <f t="shared" si="33"/>
        <v>0</v>
      </c>
      <c r="H225" s="501">
        <f t="shared" si="33"/>
        <v>0</v>
      </c>
      <c r="I225" s="501">
        <f t="shared" si="33"/>
        <v>0</v>
      </c>
      <c r="J225" s="501">
        <f t="shared" si="33"/>
        <v>0</v>
      </c>
      <c r="K225" s="501">
        <f t="shared" si="33"/>
        <v>0</v>
      </c>
      <c r="L225" s="501">
        <f t="shared" si="33"/>
        <v>0</v>
      </c>
      <c r="M225" s="501">
        <f t="shared" si="33"/>
        <v>0</v>
      </c>
      <c r="N225" s="501">
        <f t="shared" si="33"/>
        <v>0</v>
      </c>
      <c r="O225" s="501">
        <f t="shared" si="33"/>
        <v>0</v>
      </c>
      <c r="P225" s="501">
        <f t="shared" si="33"/>
        <v>0</v>
      </c>
      <c r="Q225" s="501">
        <f t="shared" si="33"/>
        <v>0</v>
      </c>
      <c r="R225" s="501">
        <f t="shared" si="33"/>
        <v>0</v>
      </c>
    </row>
    <row r="226" spans="1:18" ht="12.2" customHeight="1">
      <c r="A226" s="500" t="str">
        <f t="shared" si="31"/>
        <v/>
      </c>
      <c r="B226" s="501">
        <f t="shared" ref="B226:R226" si="34">SUM(B144:B148)</f>
        <v>0</v>
      </c>
      <c r="C226" s="501">
        <f t="shared" si="34"/>
        <v>0</v>
      </c>
      <c r="D226" s="501">
        <f t="shared" si="34"/>
        <v>0</v>
      </c>
      <c r="E226" s="501">
        <f t="shared" si="34"/>
        <v>0</v>
      </c>
      <c r="F226" s="501">
        <f t="shared" si="34"/>
        <v>0</v>
      </c>
      <c r="G226" s="501">
        <f t="shared" si="34"/>
        <v>0</v>
      </c>
      <c r="H226" s="501">
        <f t="shared" si="34"/>
        <v>0</v>
      </c>
      <c r="I226" s="501">
        <f t="shared" si="34"/>
        <v>0</v>
      </c>
      <c r="J226" s="501">
        <f t="shared" si="34"/>
        <v>0</v>
      </c>
      <c r="K226" s="501">
        <f t="shared" si="34"/>
        <v>0</v>
      </c>
      <c r="L226" s="501">
        <f t="shared" si="34"/>
        <v>0</v>
      </c>
      <c r="M226" s="501">
        <f t="shared" si="34"/>
        <v>0</v>
      </c>
      <c r="N226" s="501">
        <f t="shared" si="34"/>
        <v>0</v>
      </c>
      <c r="O226" s="501">
        <f t="shared" si="34"/>
        <v>0</v>
      </c>
      <c r="P226" s="501">
        <f t="shared" si="34"/>
        <v>0</v>
      </c>
      <c r="Q226" s="501">
        <f t="shared" si="34"/>
        <v>0</v>
      </c>
      <c r="R226" s="501">
        <f t="shared" si="34"/>
        <v>0</v>
      </c>
    </row>
    <row r="227" spans="1:18" ht="12.2" customHeight="1">
      <c r="A227" s="500" t="str">
        <f t="shared" si="31"/>
        <v/>
      </c>
      <c r="B227" s="501">
        <f t="shared" ref="B227:R227" si="35">SUM(B152:B156)</f>
        <v>0</v>
      </c>
      <c r="C227" s="501">
        <f t="shared" si="35"/>
        <v>0</v>
      </c>
      <c r="D227" s="501">
        <f t="shared" si="35"/>
        <v>0</v>
      </c>
      <c r="E227" s="501">
        <f t="shared" si="35"/>
        <v>0</v>
      </c>
      <c r="F227" s="501">
        <f t="shared" si="35"/>
        <v>0</v>
      </c>
      <c r="G227" s="501">
        <f t="shared" si="35"/>
        <v>0</v>
      </c>
      <c r="H227" s="501">
        <f t="shared" si="35"/>
        <v>0</v>
      </c>
      <c r="I227" s="501">
        <f t="shared" si="35"/>
        <v>0</v>
      </c>
      <c r="J227" s="501">
        <f t="shared" si="35"/>
        <v>0</v>
      </c>
      <c r="K227" s="501">
        <f t="shared" si="35"/>
        <v>0</v>
      </c>
      <c r="L227" s="501">
        <f t="shared" si="35"/>
        <v>0</v>
      </c>
      <c r="M227" s="501">
        <f t="shared" si="35"/>
        <v>0</v>
      </c>
      <c r="N227" s="501">
        <f t="shared" si="35"/>
        <v>0</v>
      </c>
      <c r="O227" s="501">
        <f t="shared" si="35"/>
        <v>0</v>
      </c>
      <c r="P227" s="501">
        <f t="shared" si="35"/>
        <v>0</v>
      </c>
      <c r="Q227" s="501">
        <f t="shared" si="35"/>
        <v>0</v>
      </c>
      <c r="R227" s="501">
        <f t="shared" si="35"/>
        <v>0</v>
      </c>
    </row>
    <row r="228" spans="1:18" ht="12.2" customHeight="1">
      <c r="A228" s="500" t="str">
        <f t="shared" si="31"/>
        <v/>
      </c>
      <c r="B228" s="501">
        <f t="shared" ref="B228:R228" si="36">SUM(B160:B164)</f>
        <v>0</v>
      </c>
      <c r="C228" s="501">
        <f t="shared" si="36"/>
        <v>0</v>
      </c>
      <c r="D228" s="501">
        <f t="shared" si="36"/>
        <v>0</v>
      </c>
      <c r="E228" s="501">
        <f t="shared" si="36"/>
        <v>0</v>
      </c>
      <c r="F228" s="501">
        <f t="shared" si="36"/>
        <v>0</v>
      </c>
      <c r="G228" s="501">
        <f t="shared" si="36"/>
        <v>0</v>
      </c>
      <c r="H228" s="501">
        <f t="shared" si="36"/>
        <v>0</v>
      </c>
      <c r="I228" s="501">
        <f t="shared" si="36"/>
        <v>0</v>
      </c>
      <c r="J228" s="501">
        <f t="shared" si="36"/>
        <v>0</v>
      </c>
      <c r="K228" s="501">
        <f t="shared" si="36"/>
        <v>0</v>
      </c>
      <c r="L228" s="501">
        <f t="shared" si="36"/>
        <v>0</v>
      </c>
      <c r="M228" s="501">
        <f t="shared" si="36"/>
        <v>0</v>
      </c>
      <c r="N228" s="501">
        <f t="shared" si="36"/>
        <v>0</v>
      </c>
      <c r="O228" s="501">
        <f t="shared" si="36"/>
        <v>0</v>
      </c>
      <c r="P228" s="501">
        <f t="shared" si="36"/>
        <v>0</v>
      </c>
      <c r="Q228" s="501">
        <f t="shared" si="36"/>
        <v>0</v>
      </c>
      <c r="R228" s="501">
        <f t="shared" si="36"/>
        <v>0</v>
      </c>
    </row>
    <row r="229" spans="1:18" ht="12.2" customHeight="1">
      <c r="A229" s="500" t="str">
        <f t="shared" si="31"/>
        <v/>
      </c>
      <c r="B229" s="501">
        <f t="shared" ref="B229:R229" si="37">SUM(B168:B172)</f>
        <v>0</v>
      </c>
      <c r="C229" s="501">
        <f t="shared" si="37"/>
        <v>0</v>
      </c>
      <c r="D229" s="501">
        <f t="shared" si="37"/>
        <v>0</v>
      </c>
      <c r="E229" s="501">
        <f t="shared" si="37"/>
        <v>0</v>
      </c>
      <c r="F229" s="501">
        <f t="shared" si="37"/>
        <v>0</v>
      </c>
      <c r="G229" s="501">
        <f t="shared" si="37"/>
        <v>0</v>
      </c>
      <c r="H229" s="501">
        <f t="shared" si="37"/>
        <v>0</v>
      </c>
      <c r="I229" s="501">
        <f t="shared" si="37"/>
        <v>0</v>
      </c>
      <c r="J229" s="501">
        <f t="shared" si="37"/>
        <v>0</v>
      </c>
      <c r="K229" s="501">
        <f t="shared" si="37"/>
        <v>0</v>
      </c>
      <c r="L229" s="501">
        <f t="shared" si="37"/>
        <v>0</v>
      </c>
      <c r="M229" s="501">
        <f t="shared" si="37"/>
        <v>0</v>
      </c>
      <c r="N229" s="501">
        <f t="shared" si="37"/>
        <v>0</v>
      </c>
      <c r="O229" s="501">
        <f t="shared" si="37"/>
        <v>0</v>
      </c>
      <c r="P229" s="501">
        <f t="shared" si="37"/>
        <v>0</v>
      </c>
      <c r="Q229" s="501">
        <f t="shared" si="37"/>
        <v>0</v>
      </c>
      <c r="R229" s="501">
        <f t="shared" si="37"/>
        <v>0</v>
      </c>
    </row>
    <row r="230" spans="1:18" ht="12.2" customHeight="1">
      <c r="A230" s="500" t="str">
        <f t="shared" si="31"/>
        <v/>
      </c>
      <c r="B230" s="501">
        <f>SUM(B176:B180)</f>
        <v>0</v>
      </c>
      <c r="C230" s="501">
        <f t="shared" ref="C230:R230" si="38">SUM(C176:C180)</f>
        <v>0</v>
      </c>
      <c r="D230" s="501">
        <f t="shared" si="38"/>
        <v>0</v>
      </c>
      <c r="E230" s="501">
        <f t="shared" si="38"/>
        <v>0</v>
      </c>
      <c r="F230" s="501">
        <f t="shared" si="38"/>
        <v>0</v>
      </c>
      <c r="G230" s="501">
        <f t="shared" si="38"/>
        <v>0</v>
      </c>
      <c r="H230" s="501">
        <f t="shared" si="38"/>
        <v>0</v>
      </c>
      <c r="I230" s="501">
        <f t="shared" si="38"/>
        <v>0</v>
      </c>
      <c r="J230" s="501">
        <f t="shared" si="38"/>
        <v>0</v>
      </c>
      <c r="K230" s="501">
        <f t="shared" si="38"/>
        <v>0</v>
      </c>
      <c r="L230" s="501">
        <f t="shared" si="38"/>
        <v>0</v>
      </c>
      <c r="M230" s="501">
        <f t="shared" si="38"/>
        <v>0</v>
      </c>
      <c r="N230" s="501">
        <f t="shared" si="38"/>
        <v>0</v>
      </c>
      <c r="O230" s="501">
        <f t="shared" si="38"/>
        <v>0</v>
      </c>
      <c r="P230" s="501">
        <f t="shared" si="38"/>
        <v>0</v>
      </c>
      <c r="Q230" s="501">
        <f t="shared" si="38"/>
        <v>0</v>
      </c>
      <c r="R230" s="501">
        <f t="shared" si="38"/>
        <v>0</v>
      </c>
    </row>
    <row r="231" spans="1:18" ht="12.2" customHeight="1">
      <c r="A231" s="500" t="str">
        <f t="shared" si="31"/>
        <v/>
      </c>
      <c r="B231" s="501">
        <f>SUM(B184:B188)</f>
        <v>0</v>
      </c>
      <c r="C231" s="501">
        <f t="shared" ref="C231:R231" si="39">SUM(C184:C188)</f>
        <v>0</v>
      </c>
      <c r="D231" s="501">
        <f t="shared" si="39"/>
        <v>0</v>
      </c>
      <c r="E231" s="501">
        <f t="shared" si="39"/>
        <v>0</v>
      </c>
      <c r="F231" s="501">
        <f t="shared" si="39"/>
        <v>0</v>
      </c>
      <c r="G231" s="501">
        <f t="shared" si="39"/>
        <v>0</v>
      </c>
      <c r="H231" s="501">
        <f t="shared" si="39"/>
        <v>0</v>
      </c>
      <c r="I231" s="501">
        <f t="shared" si="39"/>
        <v>0</v>
      </c>
      <c r="J231" s="501">
        <f t="shared" si="39"/>
        <v>0</v>
      </c>
      <c r="K231" s="501">
        <f t="shared" si="39"/>
        <v>0</v>
      </c>
      <c r="L231" s="501">
        <f t="shared" si="39"/>
        <v>0</v>
      </c>
      <c r="M231" s="501">
        <f t="shared" si="39"/>
        <v>0</v>
      </c>
      <c r="N231" s="501">
        <f t="shared" si="39"/>
        <v>0</v>
      </c>
      <c r="O231" s="501">
        <f t="shared" si="39"/>
        <v>0</v>
      </c>
      <c r="P231" s="501">
        <f t="shared" si="39"/>
        <v>0</v>
      </c>
      <c r="Q231" s="501">
        <f t="shared" si="39"/>
        <v>0</v>
      </c>
      <c r="R231" s="501">
        <f t="shared" si="39"/>
        <v>0</v>
      </c>
    </row>
    <row r="232" spans="1:18" ht="12.2" customHeight="1">
      <c r="A232" s="500" t="str">
        <f t="shared" si="31"/>
        <v/>
      </c>
      <c r="B232" s="501">
        <f>SUM(B192:B196)</f>
        <v>0</v>
      </c>
      <c r="C232" s="501">
        <f t="shared" ref="C232:R232" si="40">SUM(C192:C196)</f>
        <v>0</v>
      </c>
      <c r="D232" s="501">
        <f t="shared" si="40"/>
        <v>0</v>
      </c>
      <c r="E232" s="501">
        <f t="shared" si="40"/>
        <v>0</v>
      </c>
      <c r="F232" s="501">
        <f t="shared" si="40"/>
        <v>0</v>
      </c>
      <c r="G232" s="501">
        <f t="shared" si="40"/>
        <v>0</v>
      </c>
      <c r="H232" s="501">
        <f t="shared" si="40"/>
        <v>0</v>
      </c>
      <c r="I232" s="501">
        <f t="shared" si="40"/>
        <v>0</v>
      </c>
      <c r="J232" s="501">
        <f t="shared" si="40"/>
        <v>0</v>
      </c>
      <c r="K232" s="501">
        <f t="shared" si="40"/>
        <v>0</v>
      </c>
      <c r="L232" s="501">
        <f t="shared" si="40"/>
        <v>0</v>
      </c>
      <c r="M232" s="501">
        <f t="shared" si="40"/>
        <v>0</v>
      </c>
      <c r="N232" s="501">
        <f t="shared" si="40"/>
        <v>0</v>
      </c>
      <c r="O232" s="501">
        <f t="shared" si="40"/>
        <v>0</v>
      </c>
      <c r="P232" s="501">
        <f t="shared" si="40"/>
        <v>0</v>
      </c>
      <c r="Q232" s="501">
        <f t="shared" si="40"/>
        <v>0</v>
      </c>
      <c r="R232" s="501">
        <f t="shared" si="40"/>
        <v>0</v>
      </c>
    </row>
    <row r="233" spans="1:18" ht="12.2" customHeight="1">
      <c r="A233" s="500" t="str">
        <f t="shared" si="31"/>
        <v/>
      </c>
      <c r="B233" s="501">
        <f>SUM(B200:B204)</f>
        <v>0</v>
      </c>
      <c r="C233" s="501">
        <f t="shared" ref="C233:R233" si="41">SUM(C200:C204)</f>
        <v>0</v>
      </c>
      <c r="D233" s="501">
        <f t="shared" si="41"/>
        <v>0</v>
      </c>
      <c r="E233" s="501">
        <f t="shared" si="41"/>
        <v>0</v>
      </c>
      <c r="F233" s="501">
        <f t="shared" si="41"/>
        <v>0</v>
      </c>
      <c r="G233" s="501">
        <f t="shared" si="41"/>
        <v>0</v>
      </c>
      <c r="H233" s="501">
        <f t="shared" si="41"/>
        <v>0</v>
      </c>
      <c r="I233" s="501">
        <f t="shared" si="41"/>
        <v>0</v>
      </c>
      <c r="J233" s="501">
        <f t="shared" si="41"/>
        <v>0</v>
      </c>
      <c r="K233" s="501">
        <f t="shared" si="41"/>
        <v>0</v>
      </c>
      <c r="L233" s="501">
        <f t="shared" si="41"/>
        <v>0</v>
      </c>
      <c r="M233" s="501">
        <f t="shared" si="41"/>
        <v>0</v>
      </c>
      <c r="N233" s="501">
        <f t="shared" si="41"/>
        <v>0</v>
      </c>
      <c r="O233" s="501">
        <f t="shared" si="41"/>
        <v>0</v>
      </c>
      <c r="P233" s="501">
        <f t="shared" si="41"/>
        <v>0</v>
      </c>
      <c r="Q233" s="501">
        <f t="shared" si="41"/>
        <v>0</v>
      </c>
      <c r="R233" s="501">
        <f t="shared" si="41"/>
        <v>0</v>
      </c>
    </row>
    <row r="234" spans="1:18" ht="12.2" customHeight="1">
      <c r="A234" s="500" t="str">
        <f t="shared" si="31"/>
        <v/>
      </c>
      <c r="B234" s="501">
        <f>SUM(B208:B212)</f>
        <v>0</v>
      </c>
      <c r="C234" s="501">
        <f t="shared" ref="C234:R234" si="42">SUM(C208:C212)</f>
        <v>0</v>
      </c>
      <c r="D234" s="501">
        <f t="shared" si="42"/>
        <v>0</v>
      </c>
      <c r="E234" s="501">
        <f t="shared" si="42"/>
        <v>0</v>
      </c>
      <c r="F234" s="501">
        <f t="shared" si="42"/>
        <v>0</v>
      </c>
      <c r="G234" s="501">
        <f t="shared" si="42"/>
        <v>0</v>
      </c>
      <c r="H234" s="501">
        <f t="shared" si="42"/>
        <v>0</v>
      </c>
      <c r="I234" s="501">
        <f t="shared" si="42"/>
        <v>0</v>
      </c>
      <c r="J234" s="501">
        <f t="shared" si="42"/>
        <v>0</v>
      </c>
      <c r="K234" s="501">
        <f t="shared" si="42"/>
        <v>0</v>
      </c>
      <c r="L234" s="501">
        <f t="shared" si="42"/>
        <v>0</v>
      </c>
      <c r="M234" s="501">
        <f t="shared" si="42"/>
        <v>0</v>
      </c>
      <c r="N234" s="501">
        <f t="shared" si="42"/>
        <v>0</v>
      </c>
      <c r="O234" s="501">
        <f t="shared" si="42"/>
        <v>0</v>
      </c>
      <c r="P234" s="501">
        <f t="shared" si="42"/>
        <v>0</v>
      </c>
      <c r="Q234" s="501">
        <f t="shared" si="42"/>
        <v>0</v>
      </c>
      <c r="R234" s="501">
        <f t="shared" si="42"/>
        <v>0</v>
      </c>
    </row>
    <row r="235" spans="1:18" ht="12.2" customHeight="1">
      <c r="A235" s="500" t="str">
        <f t="shared" si="31"/>
        <v/>
      </c>
      <c r="B235" s="501">
        <f>SUM(B216:B220)</f>
        <v>0</v>
      </c>
      <c r="C235" s="501">
        <f t="shared" ref="C235:R235" si="43">SUM(C216:C220)</f>
        <v>0</v>
      </c>
      <c r="D235" s="501">
        <f t="shared" si="43"/>
        <v>0</v>
      </c>
      <c r="E235" s="501">
        <f t="shared" si="43"/>
        <v>0</v>
      </c>
      <c r="F235" s="501">
        <f t="shared" si="43"/>
        <v>0</v>
      </c>
      <c r="G235" s="501">
        <f t="shared" si="43"/>
        <v>0</v>
      </c>
      <c r="H235" s="501">
        <f t="shared" si="43"/>
        <v>0</v>
      </c>
      <c r="I235" s="501">
        <f t="shared" si="43"/>
        <v>0</v>
      </c>
      <c r="J235" s="501">
        <f t="shared" si="43"/>
        <v>0</v>
      </c>
      <c r="K235" s="501">
        <f t="shared" si="43"/>
        <v>0</v>
      </c>
      <c r="L235" s="501">
        <f t="shared" si="43"/>
        <v>0</v>
      </c>
      <c r="M235" s="501">
        <f t="shared" si="43"/>
        <v>0</v>
      </c>
      <c r="N235" s="501">
        <f t="shared" si="43"/>
        <v>0</v>
      </c>
      <c r="O235" s="501">
        <f t="shared" si="43"/>
        <v>0</v>
      </c>
      <c r="P235" s="501">
        <f t="shared" si="43"/>
        <v>0</v>
      </c>
      <c r="Q235" s="501">
        <f t="shared" si="43"/>
        <v>0</v>
      </c>
      <c r="R235" s="501">
        <f t="shared" si="43"/>
        <v>0</v>
      </c>
    </row>
    <row r="236" spans="1:18" ht="12.2" customHeight="1">
      <c r="B236" s="501"/>
      <c r="C236" s="501"/>
      <c r="D236" s="501"/>
      <c r="E236" s="501"/>
      <c r="F236" s="501"/>
      <c r="G236" s="501"/>
      <c r="H236" s="501"/>
      <c r="I236" s="501"/>
      <c r="J236" s="501"/>
      <c r="K236" s="501"/>
      <c r="L236" s="501"/>
      <c r="M236" s="501"/>
      <c r="N236" s="501"/>
      <c r="O236" s="501"/>
      <c r="P236" s="501"/>
      <c r="Q236" s="501"/>
      <c r="R236" s="501"/>
    </row>
    <row r="237" spans="1:18" s="517" customFormat="1" ht="12.2" customHeight="1">
      <c r="A237" s="515" t="s">
        <v>605</v>
      </c>
      <c r="B237" s="516" t="s">
        <v>605</v>
      </c>
      <c r="C237" s="516" t="s">
        <v>605</v>
      </c>
      <c r="D237" s="516" t="s">
        <v>605</v>
      </c>
      <c r="E237" s="516" t="s">
        <v>605</v>
      </c>
      <c r="F237" s="516" t="s">
        <v>605</v>
      </c>
      <c r="G237" s="516" t="s">
        <v>605</v>
      </c>
      <c r="H237" s="516" t="s">
        <v>605</v>
      </c>
      <c r="I237" s="516" t="s">
        <v>605</v>
      </c>
      <c r="J237" s="516" t="s">
        <v>605</v>
      </c>
      <c r="K237" s="516" t="s">
        <v>605</v>
      </c>
      <c r="L237" s="516" t="s">
        <v>605</v>
      </c>
      <c r="M237" s="516" t="s">
        <v>605</v>
      </c>
      <c r="N237" s="516" t="s">
        <v>605</v>
      </c>
      <c r="O237" s="516" t="s">
        <v>605</v>
      </c>
      <c r="P237" s="516" t="s">
        <v>605</v>
      </c>
      <c r="Q237" s="516" t="s">
        <v>605</v>
      </c>
      <c r="R237" s="516" t="s">
        <v>605</v>
      </c>
    </row>
    <row r="238" spans="1:18" ht="12.2" customHeight="1">
      <c r="A238" s="499" t="s">
        <v>49</v>
      </c>
      <c r="B238" s="501">
        <f t="shared" ref="B238:R238" si="44">SUM(B224:B237)</f>
        <v>9720000</v>
      </c>
      <c r="C238" s="501">
        <f t="shared" si="44"/>
        <v>11340000</v>
      </c>
      <c r="D238" s="501">
        <f t="shared" si="44"/>
        <v>11340000</v>
      </c>
      <c r="E238" s="501">
        <f t="shared" si="44"/>
        <v>11340000</v>
      </c>
      <c r="F238" s="501">
        <f t="shared" si="44"/>
        <v>16200000</v>
      </c>
      <c r="G238" s="501">
        <f t="shared" si="44"/>
        <v>14580000</v>
      </c>
      <c r="H238" s="501">
        <f t="shared" si="44"/>
        <v>12960000</v>
      </c>
      <c r="I238" s="501">
        <f t="shared" si="44"/>
        <v>12960000</v>
      </c>
      <c r="J238" s="501">
        <f t="shared" si="44"/>
        <v>12960000</v>
      </c>
      <c r="K238" s="501">
        <f t="shared" si="44"/>
        <v>16200000</v>
      </c>
      <c r="L238" s="501">
        <f t="shared" si="44"/>
        <v>22680000</v>
      </c>
      <c r="M238" s="501">
        <f t="shared" si="44"/>
        <v>9720000</v>
      </c>
      <c r="N238" s="501">
        <f t="shared" si="44"/>
        <v>162000000</v>
      </c>
      <c r="O238" s="501">
        <f t="shared" si="44"/>
        <v>184077480</v>
      </c>
      <c r="P238" s="501">
        <f t="shared" si="44"/>
        <v>215316020.40000001</v>
      </c>
      <c r="Q238" s="501">
        <f t="shared" si="44"/>
        <v>0</v>
      </c>
      <c r="R238" s="501">
        <f t="shared" si="44"/>
        <v>0</v>
      </c>
    </row>
    <row r="239" spans="1:18" ht="12.2" customHeight="1">
      <c r="A239" s="505" t="s">
        <v>605</v>
      </c>
      <c r="B239" s="503" t="s">
        <v>605</v>
      </c>
      <c r="C239" s="503" t="s">
        <v>605</v>
      </c>
      <c r="D239" s="503" t="s">
        <v>605</v>
      </c>
      <c r="E239" s="503" t="s">
        <v>605</v>
      </c>
      <c r="F239" s="503" t="s">
        <v>605</v>
      </c>
      <c r="G239" s="503" t="s">
        <v>605</v>
      </c>
      <c r="H239" s="503" t="s">
        <v>605</v>
      </c>
      <c r="I239" s="503" t="s">
        <v>605</v>
      </c>
      <c r="J239" s="503" t="s">
        <v>605</v>
      </c>
      <c r="K239" s="503" t="s">
        <v>605</v>
      </c>
      <c r="L239" s="503" t="s">
        <v>605</v>
      </c>
      <c r="M239" s="503" t="s">
        <v>605</v>
      </c>
      <c r="N239" s="503" t="s">
        <v>605</v>
      </c>
      <c r="O239" s="503" t="s">
        <v>605</v>
      </c>
      <c r="P239" s="503" t="s">
        <v>605</v>
      </c>
      <c r="Q239" s="503" t="s">
        <v>605</v>
      </c>
      <c r="R239" s="503" t="s">
        <v>605</v>
      </c>
    </row>
    <row r="240" spans="1:18" ht="12.2" customHeight="1">
      <c r="B240" s="501"/>
      <c r="C240" s="501"/>
      <c r="D240" s="501"/>
      <c r="E240" s="501"/>
      <c r="F240" s="501"/>
      <c r="G240" s="501"/>
      <c r="H240" s="501"/>
      <c r="I240" s="501"/>
      <c r="J240" s="501"/>
      <c r="K240" s="501"/>
      <c r="L240" s="501"/>
      <c r="M240" s="501"/>
      <c r="N240" s="501"/>
      <c r="O240" s="501"/>
      <c r="P240" s="501"/>
      <c r="Q240" s="501"/>
      <c r="R240" s="501"/>
    </row>
    <row r="241" spans="1:18" ht="12.2" customHeight="1">
      <c r="B241" s="501"/>
      <c r="C241" s="501"/>
      <c r="D241" s="501"/>
      <c r="E241" s="501"/>
      <c r="F241" s="501"/>
      <c r="G241" s="501"/>
      <c r="H241" s="501"/>
      <c r="I241" s="501"/>
      <c r="J241" s="501"/>
      <c r="K241" s="501"/>
      <c r="L241" s="501"/>
      <c r="M241" s="501"/>
      <c r="N241" s="501"/>
      <c r="O241" s="501"/>
      <c r="P241" s="501"/>
      <c r="Q241" s="501"/>
      <c r="R241" s="501"/>
    </row>
    <row r="242" spans="1:18" ht="12.2" customHeight="1">
      <c r="A242" s="499" t="s">
        <v>242</v>
      </c>
      <c r="B242" s="501"/>
      <c r="C242" s="501"/>
      <c r="D242" s="501"/>
      <c r="E242" s="501"/>
      <c r="F242" s="501"/>
      <c r="G242" s="501"/>
      <c r="H242" s="501"/>
      <c r="I242" s="501"/>
      <c r="J242" s="501"/>
      <c r="K242" s="501"/>
      <c r="L242" s="501"/>
      <c r="M242" s="501"/>
      <c r="N242" s="501"/>
      <c r="O242" s="501"/>
      <c r="P242" s="501"/>
      <c r="Q242" s="501"/>
      <c r="R242" s="501"/>
    </row>
    <row r="243" spans="1:18" ht="12.2" customHeight="1">
      <c r="A243" s="503" t="s">
        <v>605</v>
      </c>
      <c r="B243" s="503" t="s">
        <v>605</v>
      </c>
      <c r="C243" s="503" t="s">
        <v>605</v>
      </c>
      <c r="D243" s="503" t="s">
        <v>605</v>
      </c>
      <c r="E243" s="503" t="s">
        <v>605</v>
      </c>
      <c r="F243" s="503" t="s">
        <v>605</v>
      </c>
      <c r="G243" s="503" t="s">
        <v>605</v>
      </c>
      <c r="H243" s="503" t="s">
        <v>605</v>
      </c>
      <c r="I243" s="503" t="s">
        <v>605</v>
      </c>
      <c r="J243" s="503" t="s">
        <v>605</v>
      </c>
      <c r="K243" s="503" t="s">
        <v>605</v>
      </c>
      <c r="L243" s="503" t="s">
        <v>605</v>
      </c>
      <c r="M243" s="503" t="s">
        <v>605</v>
      </c>
      <c r="N243" s="503" t="s">
        <v>605</v>
      </c>
      <c r="O243" s="503" t="s">
        <v>605</v>
      </c>
      <c r="P243" s="503" t="s">
        <v>605</v>
      </c>
      <c r="Q243" s="503" t="s">
        <v>605</v>
      </c>
      <c r="R243" s="503" t="s">
        <v>605</v>
      </c>
    </row>
    <row r="244" spans="1:18" ht="12.2" customHeight="1">
      <c r="A244" s="504" t="s">
        <v>575</v>
      </c>
      <c r="B244" s="504" t="s">
        <v>606</v>
      </c>
      <c r="C244" s="504" t="s">
        <v>607</v>
      </c>
      <c r="D244" s="504" t="s">
        <v>608</v>
      </c>
      <c r="E244" s="504" t="s">
        <v>609</v>
      </c>
      <c r="F244" s="504" t="s">
        <v>610</v>
      </c>
      <c r="G244" s="504" t="s">
        <v>611</v>
      </c>
      <c r="H244" s="504" t="s">
        <v>612</v>
      </c>
      <c r="I244" s="504" t="s">
        <v>613</v>
      </c>
      <c r="J244" s="504" t="s">
        <v>614</v>
      </c>
      <c r="K244" s="504" t="s">
        <v>615</v>
      </c>
      <c r="L244" s="504" t="s">
        <v>616</v>
      </c>
      <c r="M244" s="504" t="s">
        <v>617</v>
      </c>
      <c r="N244" s="504" t="s">
        <v>692</v>
      </c>
      <c r="O244" s="504" t="s">
        <v>693</v>
      </c>
      <c r="P244" s="504" t="s">
        <v>694</v>
      </c>
      <c r="Q244" s="504" t="s">
        <v>186</v>
      </c>
      <c r="R244" s="504" t="s">
        <v>187</v>
      </c>
    </row>
    <row r="245" spans="1:18" ht="12.2" customHeight="1">
      <c r="A245" s="503" t="s">
        <v>605</v>
      </c>
      <c r="B245" s="503" t="s">
        <v>605</v>
      </c>
      <c r="C245" s="503" t="s">
        <v>605</v>
      </c>
      <c r="D245" s="503" t="s">
        <v>605</v>
      </c>
      <c r="E245" s="503" t="s">
        <v>605</v>
      </c>
      <c r="F245" s="503" t="s">
        <v>605</v>
      </c>
      <c r="G245" s="503" t="s">
        <v>605</v>
      </c>
      <c r="H245" s="503" t="s">
        <v>605</v>
      </c>
      <c r="I245" s="503" t="s">
        <v>605</v>
      </c>
      <c r="J245" s="503" t="s">
        <v>605</v>
      </c>
      <c r="K245" s="503" t="s">
        <v>605</v>
      </c>
      <c r="L245" s="503" t="s">
        <v>605</v>
      </c>
      <c r="M245" s="503" t="s">
        <v>605</v>
      </c>
      <c r="N245" s="503" t="s">
        <v>605</v>
      </c>
      <c r="O245" s="503" t="s">
        <v>605</v>
      </c>
      <c r="P245" s="503" t="s">
        <v>605</v>
      </c>
      <c r="Q245" s="503" t="s">
        <v>605</v>
      </c>
      <c r="R245" s="503" t="s">
        <v>605</v>
      </c>
    </row>
    <row r="246" spans="1:18" ht="12.2" customHeight="1">
      <c r="A246" s="500" t="str">
        <f>A53</f>
        <v>CAMISETAS</v>
      </c>
      <c r="B246" s="501"/>
      <c r="C246" s="501"/>
      <c r="D246" s="501"/>
      <c r="E246" s="501"/>
      <c r="F246" s="501"/>
      <c r="G246" s="501"/>
      <c r="H246" s="501"/>
      <c r="I246" s="501"/>
      <c r="J246" s="501"/>
      <c r="K246" s="501"/>
      <c r="L246" s="501"/>
      <c r="M246" s="501"/>
      <c r="N246" s="501"/>
      <c r="O246" s="501"/>
      <c r="P246" s="501"/>
      <c r="Q246" s="501"/>
      <c r="R246" s="501"/>
    </row>
    <row r="247" spans="1:18" ht="12.2" customHeight="1">
      <c r="B247" s="501"/>
      <c r="C247" s="501"/>
      <c r="D247" s="501"/>
      <c r="E247" s="501"/>
      <c r="F247" s="501"/>
      <c r="G247" s="501"/>
      <c r="H247" s="501"/>
      <c r="I247" s="501"/>
      <c r="J247" s="501"/>
      <c r="K247" s="501"/>
      <c r="L247" s="501"/>
      <c r="M247" s="501"/>
      <c r="N247" s="501"/>
      <c r="O247" s="501"/>
      <c r="P247" s="501"/>
      <c r="Q247" s="501"/>
      <c r="R247" s="501"/>
    </row>
    <row r="248" spans="1:18" ht="12.2" customHeight="1">
      <c r="A248" s="500" t="str">
        <f>A55</f>
        <v/>
      </c>
      <c r="B248" s="501">
        <f>B128*$E55</f>
        <v>9720000</v>
      </c>
      <c r="C248" s="501">
        <f>C128*$E55+B128*$F55</f>
        <v>11340000</v>
      </c>
      <c r="D248" s="501">
        <f>D128*$E55+C128*$F55+B128*$G55</f>
        <v>11340000</v>
      </c>
      <c r="E248" s="501">
        <f t="shared" ref="E248:M252" si="45">E128*$E55+D128*$F55+C128*$G55+B128*$H55</f>
        <v>11340000</v>
      </c>
      <c r="F248" s="501">
        <f t="shared" si="45"/>
        <v>16200000</v>
      </c>
      <c r="G248" s="501">
        <f t="shared" si="45"/>
        <v>14580000</v>
      </c>
      <c r="H248" s="501">
        <f t="shared" si="45"/>
        <v>12960000</v>
      </c>
      <c r="I248" s="501">
        <f t="shared" si="45"/>
        <v>12960000</v>
      </c>
      <c r="J248" s="501">
        <f t="shared" si="45"/>
        <v>12960000</v>
      </c>
      <c r="K248" s="501">
        <f t="shared" si="45"/>
        <v>16200000</v>
      </c>
      <c r="L248" s="501">
        <f t="shared" si="45"/>
        <v>22680000</v>
      </c>
      <c r="M248" s="501">
        <f t="shared" si="45"/>
        <v>9720000</v>
      </c>
      <c r="N248" s="501">
        <f>SUM(B248:M248)</f>
        <v>162000000</v>
      </c>
      <c r="O248" s="501">
        <f t="shared" ref="O248:R252" si="46">O128+B367-C367</f>
        <v>184077480</v>
      </c>
      <c r="P248" s="501">
        <f t="shared" si="46"/>
        <v>215316020.40000001</v>
      </c>
      <c r="Q248" s="501">
        <f t="shared" si="46"/>
        <v>0</v>
      </c>
      <c r="R248" s="501">
        <f t="shared" si="46"/>
        <v>0</v>
      </c>
    </row>
    <row r="249" spans="1:18" ht="12.2" customHeight="1">
      <c r="A249" s="500" t="str">
        <f>A56</f>
        <v/>
      </c>
      <c r="B249" s="501">
        <f>B129*$E56</f>
        <v>0</v>
      </c>
      <c r="C249" s="501">
        <f>C129*$E56+B129*$F56</f>
        <v>0</v>
      </c>
      <c r="D249" s="501">
        <f>D129*$E56+C129*$F56+B129*$G56</f>
        <v>0</v>
      </c>
      <c r="E249" s="501">
        <f t="shared" si="45"/>
        <v>0</v>
      </c>
      <c r="F249" s="501">
        <f t="shared" si="45"/>
        <v>0</v>
      </c>
      <c r="G249" s="501">
        <f t="shared" si="45"/>
        <v>0</v>
      </c>
      <c r="H249" s="501">
        <f t="shared" si="45"/>
        <v>0</v>
      </c>
      <c r="I249" s="501">
        <f t="shared" si="45"/>
        <v>0</v>
      </c>
      <c r="J249" s="501">
        <f t="shared" si="45"/>
        <v>0</v>
      </c>
      <c r="K249" s="501">
        <f t="shared" si="45"/>
        <v>0</v>
      </c>
      <c r="L249" s="501">
        <f t="shared" si="45"/>
        <v>0</v>
      </c>
      <c r="M249" s="501">
        <f t="shared" si="45"/>
        <v>0</v>
      </c>
      <c r="N249" s="501">
        <f>SUM(B249:M249)</f>
        <v>0</v>
      </c>
      <c r="O249" s="501">
        <f t="shared" si="46"/>
        <v>0</v>
      </c>
      <c r="P249" s="501">
        <f t="shared" si="46"/>
        <v>0</v>
      </c>
      <c r="Q249" s="501">
        <f t="shared" si="46"/>
        <v>0</v>
      </c>
      <c r="R249" s="501">
        <f t="shared" si="46"/>
        <v>0</v>
      </c>
    </row>
    <row r="250" spans="1:18" ht="12.2" customHeight="1">
      <c r="A250" s="500" t="str">
        <f>A57</f>
        <v/>
      </c>
      <c r="B250" s="501">
        <f>B130*$E57</f>
        <v>0</v>
      </c>
      <c r="C250" s="501">
        <f>C130*$E57+B130*$F57</f>
        <v>0</v>
      </c>
      <c r="D250" s="501">
        <f>D130*$E57+C130*$F57+B130*$G57</f>
        <v>0</v>
      </c>
      <c r="E250" s="501">
        <f t="shared" si="45"/>
        <v>0</v>
      </c>
      <c r="F250" s="501">
        <f t="shared" si="45"/>
        <v>0</v>
      </c>
      <c r="G250" s="501">
        <f t="shared" si="45"/>
        <v>0</v>
      </c>
      <c r="H250" s="501">
        <f t="shared" si="45"/>
        <v>0</v>
      </c>
      <c r="I250" s="501">
        <f t="shared" si="45"/>
        <v>0</v>
      </c>
      <c r="J250" s="501">
        <f t="shared" si="45"/>
        <v>0</v>
      </c>
      <c r="K250" s="501">
        <f t="shared" si="45"/>
        <v>0</v>
      </c>
      <c r="L250" s="501">
        <f t="shared" si="45"/>
        <v>0</v>
      </c>
      <c r="M250" s="501">
        <f t="shared" si="45"/>
        <v>0</v>
      </c>
      <c r="N250" s="501">
        <f>SUM(B250:M250)</f>
        <v>0</v>
      </c>
      <c r="O250" s="501">
        <f t="shared" si="46"/>
        <v>0</v>
      </c>
      <c r="P250" s="501">
        <f t="shared" si="46"/>
        <v>0</v>
      </c>
      <c r="Q250" s="501">
        <f t="shared" si="46"/>
        <v>0</v>
      </c>
      <c r="R250" s="501">
        <f t="shared" si="46"/>
        <v>0</v>
      </c>
    </row>
    <row r="251" spans="1:18" ht="12.2" customHeight="1">
      <c r="A251" s="500" t="str">
        <f>A58</f>
        <v/>
      </c>
      <c r="B251" s="501">
        <f>B131*$E58</f>
        <v>0</v>
      </c>
      <c r="C251" s="501">
        <f>C131*$E58+B131*$F58</f>
        <v>0</v>
      </c>
      <c r="D251" s="501">
        <f>D131*$E58+C131*$F58+B131*$G58</f>
        <v>0</v>
      </c>
      <c r="E251" s="501">
        <f t="shared" si="45"/>
        <v>0</v>
      </c>
      <c r="F251" s="501">
        <f t="shared" si="45"/>
        <v>0</v>
      </c>
      <c r="G251" s="501">
        <f t="shared" si="45"/>
        <v>0</v>
      </c>
      <c r="H251" s="501">
        <f t="shared" si="45"/>
        <v>0</v>
      </c>
      <c r="I251" s="501">
        <f t="shared" si="45"/>
        <v>0</v>
      </c>
      <c r="J251" s="501">
        <f t="shared" si="45"/>
        <v>0</v>
      </c>
      <c r="K251" s="501">
        <f t="shared" si="45"/>
        <v>0</v>
      </c>
      <c r="L251" s="501">
        <f t="shared" si="45"/>
        <v>0</v>
      </c>
      <c r="M251" s="501">
        <f t="shared" si="45"/>
        <v>0</v>
      </c>
      <c r="N251" s="501">
        <f>SUM(B251:M251)</f>
        <v>0</v>
      </c>
      <c r="O251" s="501">
        <f t="shared" si="46"/>
        <v>0</v>
      </c>
      <c r="P251" s="501">
        <f t="shared" si="46"/>
        <v>0</v>
      </c>
      <c r="Q251" s="501">
        <f t="shared" si="46"/>
        <v>0</v>
      </c>
      <c r="R251" s="501">
        <f t="shared" si="46"/>
        <v>0</v>
      </c>
    </row>
    <row r="252" spans="1:18" ht="12.2" customHeight="1">
      <c r="A252" s="500">
        <f>A59</f>
        <v>0</v>
      </c>
      <c r="B252" s="501">
        <f>B132*$E59</f>
        <v>0</v>
      </c>
      <c r="C252" s="501">
        <f>C132*$E59+B132*$F59</f>
        <v>0</v>
      </c>
      <c r="D252" s="501">
        <f>D132*$E59+C132*$F59+B132*$G59</f>
        <v>0</v>
      </c>
      <c r="E252" s="501">
        <f t="shared" si="45"/>
        <v>0</v>
      </c>
      <c r="F252" s="501">
        <f t="shared" si="45"/>
        <v>0</v>
      </c>
      <c r="G252" s="501">
        <f t="shared" si="45"/>
        <v>0</v>
      </c>
      <c r="H252" s="501">
        <f t="shared" si="45"/>
        <v>0</v>
      </c>
      <c r="I252" s="501">
        <f t="shared" si="45"/>
        <v>0</v>
      </c>
      <c r="J252" s="501">
        <f t="shared" si="45"/>
        <v>0</v>
      </c>
      <c r="K252" s="501">
        <f t="shared" si="45"/>
        <v>0</v>
      </c>
      <c r="L252" s="501">
        <f t="shared" si="45"/>
        <v>0</v>
      </c>
      <c r="M252" s="501">
        <f t="shared" si="45"/>
        <v>0</v>
      </c>
      <c r="N252" s="501">
        <f>SUM(B252:M252)</f>
        <v>0</v>
      </c>
      <c r="O252" s="501">
        <f t="shared" si="46"/>
        <v>0</v>
      </c>
      <c r="P252" s="501">
        <f t="shared" si="46"/>
        <v>0</v>
      </c>
      <c r="Q252" s="501">
        <f t="shared" si="46"/>
        <v>0</v>
      </c>
      <c r="R252" s="501">
        <f t="shared" si="46"/>
        <v>0</v>
      </c>
    </row>
    <row r="253" spans="1:18" ht="12.2" customHeight="1">
      <c r="A253" s="505" t="s">
        <v>605</v>
      </c>
      <c r="B253" s="503" t="s">
        <v>605</v>
      </c>
      <c r="C253" s="503" t="s">
        <v>605</v>
      </c>
      <c r="D253" s="503" t="s">
        <v>605</v>
      </c>
      <c r="E253" s="503" t="s">
        <v>605</v>
      </c>
      <c r="F253" s="503" t="s">
        <v>605</v>
      </c>
      <c r="G253" s="503" t="s">
        <v>605</v>
      </c>
      <c r="H253" s="503" t="s">
        <v>605</v>
      </c>
      <c r="I253" s="503" t="s">
        <v>605</v>
      </c>
      <c r="J253" s="503" t="s">
        <v>605</v>
      </c>
      <c r="K253" s="503" t="s">
        <v>605</v>
      </c>
      <c r="L253" s="503" t="s">
        <v>605</v>
      </c>
      <c r="M253" s="503" t="s">
        <v>605</v>
      </c>
      <c r="N253" s="503" t="s">
        <v>605</v>
      </c>
      <c r="O253" s="503" t="s">
        <v>605</v>
      </c>
      <c r="P253" s="503" t="s">
        <v>605</v>
      </c>
      <c r="Q253" s="503" t="s">
        <v>605</v>
      </c>
      <c r="R253" s="503" t="s">
        <v>605</v>
      </c>
    </row>
    <row r="254" spans="1:18" ht="12.2" customHeight="1">
      <c r="A254" s="500" t="str">
        <f>A61</f>
        <v/>
      </c>
      <c r="B254" s="501"/>
      <c r="C254" s="501"/>
      <c r="D254" s="501"/>
      <c r="E254" s="501"/>
      <c r="F254" s="501"/>
      <c r="G254" s="501"/>
      <c r="H254" s="501"/>
      <c r="I254" s="501"/>
      <c r="J254" s="501"/>
      <c r="K254" s="501"/>
      <c r="L254" s="501"/>
      <c r="M254" s="501"/>
      <c r="N254" s="501"/>
      <c r="O254" s="501"/>
      <c r="P254" s="501"/>
      <c r="Q254" s="501"/>
      <c r="R254" s="501"/>
    </row>
    <row r="255" spans="1:18" ht="12.2" customHeight="1">
      <c r="B255" s="501"/>
      <c r="C255" s="501"/>
      <c r="D255" s="501"/>
      <c r="E255" s="501"/>
      <c r="F255" s="501"/>
      <c r="G255" s="501"/>
      <c r="H255" s="501"/>
      <c r="I255" s="501"/>
      <c r="J255" s="501"/>
      <c r="K255" s="501"/>
      <c r="L255" s="501"/>
      <c r="M255" s="501"/>
      <c r="N255" s="501"/>
      <c r="O255" s="501"/>
      <c r="P255" s="501"/>
      <c r="Q255" s="501"/>
      <c r="R255" s="501"/>
    </row>
    <row r="256" spans="1:18" ht="12.2" customHeight="1">
      <c r="A256" s="500">
        <f>A63</f>
        <v>0</v>
      </c>
      <c r="B256" s="501">
        <f>B136*$E63</f>
        <v>0</v>
      </c>
      <c r="C256" s="501">
        <f>C136*$E63+B136*$F63</f>
        <v>0</v>
      </c>
      <c r="D256" s="501">
        <f>D136*$E63+C136*$F63+B136*$G63</f>
        <v>0</v>
      </c>
      <c r="E256" s="501">
        <f t="shared" ref="E256:M260" si="47">E136*$E63+D136*$F63+C136*$G63+B136*$H63</f>
        <v>0</v>
      </c>
      <c r="F256" s="501">
        <f t="shared" si="47"/>
        <v>0</v>
      </c>
      <c r="G256" s="501">
        <f t="shared" si="47"/>
        <v>0</v>
      </c>
      <c r="H256" s="501">
        <f t="shared" si="47"/>
        <v>0</v>
      </c>
      <c r="I256" s="501">
        <f t="shared" si="47"/>
        <v>0</v>
      </c>
      <c r="J256" s="501">
        <f t="shared" si="47"/>
        <v>0</v>
      </c>
      <c r="K256" s="501">
        <f t="shared" si="47"/>
        <v>0</v>
      </c>
      <c r="L256" s="501">
        <f t="shared" si="47"/>
        <v>0</v>
      </c>
      <c r="M256" s="501">
        <f t="shared" si="47"/>
        <v>0</v>
      </c>
      <c r="N256" s="501">
        <f>SUM(B256:M256)</f>
        <v>0</v>
      </c>
      <c r="O256" s="501">
        <f t="shared" ref="O256:R260" si="48">O136+B375-C375</f>
        <v>0</v>
      </c>
      <c r="P256" s="501">
        <f t="shared" si="48"/>
        <v>0</v>
      </c>
      <c r="Q256" s="501">
        <f t="shared" si="48"/>
        <v>0</v>
      </c>
      <c r="R256" s="501">
        <f t="shared" si="48"/>
        <v>0</v>
      </c>
    </row>
    <row r="257" spans="1:18" ht="12.2" customHeight="1">
      <c r="A257" s="500">
        <f>A64</f>
        <v>0</v>
      </c>
      <c r="B257" s="501">
        <f>B137*$E64</f>
        <v>0</v>
      </c>
      <c r="C257" s="501">
        <f>C137*$E64+B137*$F64</f>
        <v>0</v>
      </c>
      <c r="D257" s="501">
        <f>D137*$E64+C137*$F64+B137*$G64</f>
        <v>0</v>
      </c>
      <c r="E257" s="501">
        <f t="shared" si="47"/>
        <v>0</v>
      </c>
      <c r="F257" s="501">
        <f t="shared" si="47"/>
        <v>0</v>
      </c>
      <c r="G257" s="501">
        <f t="shared" si="47"/>
        <v>0</v>
      </c>
      <c r="H257" s="501">
        <f t="shared" si="47"/>
        <v>0</v>
      </c>
      <c r="I257" s="501">
        <f t="shared" si="47"/>
        <v>0</v>
      </c>
      <c r="J257" s="501">
        <f t="shared" si="47"/>
        <v>0</v>
      </c>
      <c r="K257" s="501">
        <f t="shared" si="47"/>
        <v>0</v>
      </c>
      <c r="L257" s="501">
        <f t="shared" si="47"/>
        <v>0</v>
      </c>
      <c r="M257" s="501">
        <f t="shared" si="47"/>
        <v>0</v>
      </c>
      <c r="N257" s="501">
        <f>SUM(B257:M257)</f>
        <v>0</v>
      </c>
      <c r="O257" s="501">
        <f t="shared" si="48"/>
        <v>0</v>
      </c>
      <c r="P257" s="501">
        <f t="shared" si="48"/>
        <v>0</v>
      </c>
      <c r="Q257" s="501">
        <f t="shared" si="48"/>
        <v>0</v>
      </c>
      <c r="R257" s="501">
        <f t="shared" si="48"/>
        <v>0</v>
      </c>
    </row>
    <row r="258" spans="1:18" ht="12.2" customHeight="1">
      <c r="A258" s="500">
        <f>A65</f>
        <v>0</v>
      </c>
      <c r="B258" s="501">
        <f>B138*$E65</f>
        <v>0</v>
      </c>
      <c r="C258" s="501">
        <f>C138*$E65+B138*$F65</f>
        <v>0</v>
      </c>
      <c r="D258" s="501">
        <f>D138*$E65+C138*$F65+B138*$G65</f>
        <v>0</v>
      </c>
      <c r="E258" s="501">
        <f t="shared" si="47"/>
        <v>0</v>
      </c>
      <c r="F258" s="501">
        <f t="shared" si="47"/>
        <v>0</v>
      </c>
      <c r="G258" s="501">
        <f t="shared" si="47"/>
        <v>0</v>
      </c>
      <c r="H258" s="501">
        <f t="shared" si="47"/>
        <v>0</v>
      </c>
      <c r="I258" s="501">
        <f t="shared" si="47"/>
        <v>0</v>
      </c>
      <c r="J258" s="501">
        <f t="shared" si="47"/>
        <v>0</v>
      </c>
      <c r="K258" s="501">
        <f t="shared" si="47"/>
        <v>0</v>
      </c>
      <c r="L258" s="501">
        <f t="shared" si="47"/>
        <v>0</v>
      </c>
      <c r="M258" s="501">
        <f t="shared" si="47"/>
        <v>0</v>
      </c>
      <c r="N258" s="501">
        <f>SUM(B258:M258)</f>
        <v>0</v>
      </c>
      <c r="O258" s="501">
        <f t="shared" si="48"/>
        <v>0</v>
      </c>
      <c r="P258" s="501">
        <f t="shared" si="48"/>
        <v>0</v>
      </c>
      <c r="Q258" s="501">
        <f t="shared" si="48"/>
        <v>0</v>
      </c>
      <c r="R258" s="501">
        <f t="shared" si="48"/>
        <v>0</v>
      </c>
    </row>
    <row r="259" spans="1:18" ht="12.2" customHeight="1">
      <c r="A259" s="500">
        <f>A66</f>
        <v>0</v>
      </c>
      <c r="B259" s="501">
        <f>B139*$E66</f>
        <v>0</v>
      </c>
      <c r="C259" s="501">
        <f>C139*$E66+B139*$F66</f>
        <v>0</v>
      </c>
      <c r="D259" s="501">
        <f>D139*$E66+C139*$F66+B139*$G66</f>
        <v>0</v>
      </c>
      <c r="E259" s="501">
        <f t="shared" si="47"/>
        <v>0</v>
      </c>
      <c r="F259" s="501">
        <f t="shared" si="47"/>
        <v>0</v>
      </c>
      <c r="G259" s="501">
        <f t="shared" si="47"/>
        <v>0</v>
      </c>
      <c r="H259" s="501">
        <f t="shared" si="47"/>
        <v>0</v>
      </c>
      <c r="I259" s="501">
        <f t="shared" si="47"/>
        <v>0</v>
      </c>
      <c r="J259" s="501">
        <f t="shared" si="47"/>
        <v>0</v>
      </c>
      <c r="K259" s="501">
        <f t="shared" si="47"/>
        <v>0</v>
      </c>
      <c r="L259" s="501">
        <f t="shared" si="47"/>
        <v>0</v>
      </c>
      <c r="M259" s="501">
        <f t="shared" si="47"/>
        <v>0</v>
      </c>
      <c r="N259" s="501">
        <f>SUM(B259:M259)</f>
        <v>0</v>
      </c>
      <c r="O259" s="501">
        <f t="shared" si="48"/>
        <v>0</v>
      </c>
      <c r="P259" s="501">
        <f t="shared" si="48"/>
        <v>0</v>
      </c>
      <c r="Q259" s="501">
        <f t="shared" si="48"/>
        <v>0</v>
      </c>
      <c r="R259" s="501">
        <f t="shared" si="48"/>
        <v>0</v>
      </c>
    </row>
    <row r="260" spans="1:18" ht="12.2" customHeight="1">
      <c r="A260" s="500">
        <f>A67</f>
        <v>0</v>
      </c>
      <c r="B260" s="501">
        <f>B140*$E67</f>
        <v>0</v>
      </c>
      <c r="C260" s="501">
        <f>C140*$E67+B140*$F67</f>
        <v>0</v>
      </c>
      <c r="D260" s="501">
        <f>D140*$E67+C140*$F67+B140*$G67</f>
        <v>0</v>
      </c>
      <c r="E260" s="501">
        <f t="shared" si="47"/>
        <v>0</v>
      </c>
      <c r="F260" s="501">
        <f t="shared" si="47"/>
        <v>0</v>
      </c>
      <c r="G260" s="501">
        <f t="shared" si="47"/>
        <v>0</v>
      </c>
      <c r="H260" s="501">
        <f t="shared" si="47"/>
        <v>0</v>
      </c>
      <c r="I260" s="501">
        <f t="shared" si="47"/>
        <v>0</v>
      </c>
      <c r="J260" s="501">
        <f t="shared" si="47"/>
        <v>0</v>
      </c>
      <c r="K260" s="501">
        <f t="shared" si="47"/>
        <v>0</v>
      </c>
      <c r="L260" s="501">
        <f t="shared" si="47"/>
        <v>0</v>
      </c>
      <c r="M260" s="501">
        <f t="shared" si="47"/>
        <v>0</v>
      </c>
      <c r="N260" s="501">
        <f>SUM(B260:M260)</f>
        <v>0</v>
      </c>
      <c r="O260" s="501">
        <f t="shared" si="48"/>
        <v>0</v>
      </c>
      <c r="P260" s="501">
        <f t="shared" si="48"/>
        <v>0</v>
      </c>
      <c r="Q260" s="501">
        <f t="shared" si="48"/>
        <v>0</v>
      </c>
      <c r="R260" s="501">
        <f t="shared" si="48"/>
        <v>0</v>
      </c>
    </row>
    <row r="261" spans="1:18" ht="12.2" customHeight="1">
      <c r="A261" s="505" t="s">
        <v>605</v>
      </c>
      <c r="B261" s="503" t="s">
        <v>605</v>
      </c>
      <c r="C261" s="503" t="s">
        <v>605</v>
      </c>
      <c r="D261" s="503" t="s">
        <v>605</v>
      </c>
      <c r="E261" s="503" t="s">
        <v>605</v>
      </c>
      <c r="F261" s="503" t="s">
        <v>605</v>
      </c>
      <c r="G261" s="503" t="s">
        <v>605</v>
      </c>
      <c r="H261" s="503" t="s">
        <v>605</v>
      </c>
      <c r="I261" s="503" t="s">
        <v>605</v>
      </c>
      <c r="J261" s="503" t="s">
        <v>605</v>
      </c>
      <c r="K261" s="503" t="s">
        <v>605</v>
      </c>
      <c r="L261" s="503" t="s">
        <v>605</v>
      </c>
      <c r="M261" s="503" t="s">
        <v>605</v>
      </c>
      <c r="N261" s="503" t="s">
        <v>605</v>
      </c>
      <c r="O261" s="503" t="s">
        <v>605</v>
      </c>
      <c r="P261" s="503" t="s">
        <v>605</v>
      </c>
      <c r="Q261" s="503" t="s">
        <v>605</v>
      </c>
      <c r="R261" s="503" t="s">
        <v>605</v>
      </c>
    </row>
    <row r="262" spans="1:18" ht="12.2" customHeight="1">
      <c r="A262" s="500" t="str">
        <f>A69</f>
        <v/>
      </c>
      <c r="B262" s="501"/>
      <c r="C262" s="501"/>
      <c r="D262" s="501"/>
      <c r="E262" s="501"/>
      <c r="F262" s="501"/>
      <c r="G262" s="501"/>
      <c r="H262" s="501"/>
      <c r="I262" s="501"/>
      <c r="J262" s="501"/>
      <c r="K262" s="501"/>
      <c r="L262" s="501"/>
      <c r="M262" s="501"/>
      <c r="N262" s="501"/>
      <c r="O262" s="501"/>
      <c r="P262" s="501"/>
      <c r="Q262" s="501"/>
      <c r="R262" s="501"/>
    </row>
    <row r="263" spans="1:18" ht="12.2" customHeight="1">
      <c r="B263" s="501"/>
      <c r="C263" s="501"/>
      <c r="D263" s="501"/>
      <c r="E263" s="501"/>
      <c r="F263" s="501"/>
      <c r="G263" s="501"/>
      <c r="H263" s="501"/>
      <c r="I263" s="501"/>
      <c r="J263" s="501"/>
      <c r="K263" s="501"/>
      <c r="L263" s="501"/>
      <c r="M263" s="501"/>
      <c r="N263" s="501"/>
      <c r="O263" s="501"/>
      <c r="P263" s="501"/>
      <c r="Q263" s="501"/>
      <c r="R263" s="501"/>
    </row>
    <row r="264" spans="1:18" ht="12.2" customHeight="1">
      <c r="A264" s="500">
        <f>A71</f>
        <v>0</v>
      </c>
      <c r="B264" s="501">
        <f>B144*$E71</f>
        <v>0</v>
      </c>
      <c r="C264" s="501">
        <f>C144*$E71+B144*$F71</f>
        <v>0</v>
      </c>
      <c r="D264" s="501">
        <f>D144*$E71+C144*$F71+B144*$G71</f>
        <v>0</v>
      </c>
      <c r="E264" s="501">
        <f t="shared" ref="E264:M268" si="49">E144*$E71+D144*$F71+C144*$G71+B144*$H71</f>
        <v>0</v>
      </c>
      <c r="F264" s="501">
        <f t="shared" si="49"/>
        <v>0</v>
      </c>
      <c r="G264" s="501">
        <f t="shared" si="49"/>
        <v>0</v>
      </c>
      <c r="H264" s="501">
        <f t="shared" si="49"/>
        <v>0</v>
      </c>
      <c r="I264" s="501">
        <f t="shared" si="49"/>
        <v>0</v>
      </c>
      <c r="J264" s="501">
        <f t="shared" si="49"/>
        <v>0</v>
      </c>
      <c r="K264" s="501">
        <f t="shared" si="49"/>
        <v>0</v>
      </c>
      <c r="L264" s="501">
        <f t="shared" si="49"/>
        <v>0</v>
      </c>
      <c r="M264" s="501">
        <f t="shared" si="49"/>
        <v>0</v>
      </c>
      <c r="N264" s="501">
        <f>SUM(B264:M264)</f>
        <v>0</v>
      </c>
      <c r="O264" s="501">
        <f t="shared" ref="O264:R268" si="50">O144+B383-C383</f>
        <v>0</v>
      </c>
      <c r="P264" s="501">
        <f t="shared" si="50"/>
        <v>0</v>
      </c>
      <c r="Q264" s="501">
        <f t="shared" si="50"/>
        <v>0</v>
      </c>
      <c r="R264" s="501">
        <f t="shared" si="50"/>
        <v>0</v>
      </c>
    </row>
    <row r="265" spans="1:18" ht="12.2" customHeight="1">
      <c r="A265" s="500">
        <f>A72</f>
        <v>0</v>
      </c>
      <c r="B265" s="501">
        <f>B145*$E72</f>
        <v>0</v>
      </c>
      <c r="C265" s="501">
        <f>C145*$E72+B145*$F72</f>
        <v>0</v>
      </c>
      <c r="D265" s="501">
        <f>D145*$E72+C145*$F72+B145*$G72</f>
        <v>0</v>
      </c>
      <c r="E265" s="501">
        <f t="shared" si="49"/>
        <v>0</v>
      </c>
      <c r="F265" s="501">
        <f t="shared" si="49"/>
        <v>0</v>
      </c>
      <c r="G265" s="501">
        <f t="shared" si="49"/>
        <v>0</v>
      </c>
      <c r="H265" s="501">
        <f t="shared" si="49"/>
        <v>0</v>
      </c>
      <c r="I265" s="501">
        <f t="shared" si="49"/>
        <v>0</v>
      </c>
      <c r="J265" s="501">
        <f t="shared" si="49"/>
        <v>0</v>
      </c>
      <c r="K265" s="501">
        <f t="shared" si="49"/>
        <v>0</v>
      </c>
      <c r="L265" s="501">
        <f t="shared" si="49"/>
        <v>0</v>
      </c>
      <c r="M265" s="501">
        <f t="shared" si="49"/>
        <v>0</v>
      </c>
      <c r="N265" s="501">
        <f>SUM(B265:M265)</f>
        <v>0</v>
      </c>
      <c r="O265" s="501">
        <f t="shared" si="50"/>
        <v>0</v>
      </c>
      <c r="P265" s="501">
        <f t="shared" si="50"/>
        <v>0</v>
      </c>
      <c r="Q265" s="501">
        <f t="shared" si="50"/>
        <v>0</v>
      </c>
      <c r="R265" s="501">
        <f t="shared" si="50"/>
        <v>0</v>
      </c>
    </row>
    <row r="266" spans="1:18" ht="12.2" customHeight="1">
      <c r="A266" s="500">
        <f>A73</f>
        <v>0</v>
      </c>
      <c r="B266" s="501">
        <f>B146*$E73</f>
        <v>0</v>
      </c>
      <c r="C266" s="501">
        <f>C146*$E73+B146*$F73</f>
        <v>0</v>
      </c>
      <c r="D266" s="501">
        <f>D146*$E73+C146*$F73+B146*$G73</f>
        <v>0</v>
      </c>
      <c r="E266" s="501">
        <f t="shared" si="49"/>
        <v>0</v>
      </c>
      <c r="F266" s="501">
        <f t="shared" si="49"/>
        <v>0</v>
      </c>
      <c r="G266" s="501">
        <f t="shared" si="49"/>
        <v>0</v>
      </c>
      <c r="H266" s="501">
        <f t="shared" si="49"/>
        <v>0</v>
      </c>
      <c r="I266" s="501">
        <f t="shared" si="49"/>
        <v>0</v>
      </c>
      <c r="J266" s="501">
        <f t="shared" si="49"/>
        <v>0</v>
      </c>
      <c r="K266" s="501">
        <f t="shared" si="49"/>
        <v>0</v>
      </c>
      <c r="L266" s="501">
        <f t="shared" si="49"/>
        <v>0</v>
      </c>
      <c r="M266" s="501">
        <f t="shared" si="49"/>
        <v>0</v>
      </c>
      <c r="N266" s="501">
        <f>SUM(B266:M266)</f>
        <v>0</v>
      </c>
      <c r="O266" s="501">
        <f t="shared" si="50"/>
        <v>0</v>
      </c>
      <c r="P266" s="501">
        <f t="shared" si="50"/>
        <v>0</v>
      </c>
      <c r="Q266" s="501">
        <f t="shared" si="50"/>
        <v>0</v>
      </c>
      <c r="R266" s="501">
        <f t="shared" si="50"/>
        <v>0</v>
      </c>
    </row>
    <row r="267" spans="1:18" ht="12.2" customHeight="1">
      <c r="A267" s="500">
        <f>A74</f>
        <v>0</v>
      </c>
      <c r="B267" s="501">
        <f>B147*$E74</f>
        <v>0</v>
      </c>
      <c r="C267" s="501">
        <f>C147*$E74+B147*$F74</f>
        <v>0</v>
      </c>
      <c r="D267" s="501">
        <f>D147*$E74+C147*$F74+B147*$G74</f>
        <v>0</v>
      </c>
      <c r="E267" s="501">
        <f t="shared" si="49"/>
        <v>0</v>
      </c>
      <c r="F267" s="501">
        <f t="shared" si="49"/>
        <v>0</v>
      </c>
      <c r="G267" s="501">
        <f t="shared" si="49"/>
        <v>0</v>
      </c>
      <c r="H267" s="501">
        <f t="shared" si="49"/>
        <v>0</v>
      </c>
      <c r="I267" s="501">
        <f t="shared" si="49"/>
        <v>0</v>
      </c>
      <c r="J267" s="501">
        <f t="shared" si="49"/>
        <v>0</v>
      </c>
      <c r="K267" s="501">
        <f t="shared" si="49"/>
        <v>0</v>
      </c>
      <c r="L267" s="501">
        <f t="shared" si="49"/>
        <v>0</v>
      </c>
      <c r="M267" s="501">
        <f t="shared" si="49"/>
        <v>0</v>
      </c>
      <c r="N267" s="501">
        <f>SUM(B267:M267)</f>
        <v>0</v>
      </c>
      <c r="O267" s="501">
        <f t="shared" si="50"/>
        <v>0</v>
      </c>
      <c r="P267" s="501">
        <f t="shared" si="50"/>
        <v>0</v>
      </c>
      <c r="Q267" s="501">
        <f t="shared" si="50"/>
        <v>0</v>
      </c>
      <c r="R267" s="501">
        <f t="shared" si="50"/>
        <v>0</v>
      </c>
    </row>
    <row r="268" spans="1:18" ht="12.2" customHeight="1">
      <c r="A268" s="500">
        <f>A75</f>
        <v>0</v>
      </c>
      <c r="B268" s="501">
        <f>B148*$E75</f>
        <v>0</v>
      </c>
      <c r="C268" s="501">
        <f>C148*$E75+B148*$F75</f>
        <v>0</v>
      </c>
      <c r="D268" s="501">
        <f>D148*$E75+C148*$F75+B148*$G75</f>
        <v>0</v>
      </c>
      <c r="E268" s="501">
        <f t="shared" si="49"/>
        <v>0</v>
      </c>
      <c r="F268" s="501">
        <f t="shared" si="49"/>
        <v>0</v>
      </c>
      <c r="G268" s="501">
        <f t="shared" si="49"/>
        <v>0</v>
      </c>
      <c r="H268" s="501">
        <f t="shared" si="49"/>
        <v>0</v>
      </c>
      <c r="I268" s="501">
        <f t="shared" si="49"/>
        <v>0</v>
      </c>
      <c r="J268" s="501">
        <f t="shared" si="49"/>
        <v>0</v>
      </c>
      <c r="K268" s="501">
        <f t="shared" si="49"/>
        <v>0</v>
      </c>
      <c r="L268" s="501">
        <f t="shared" si="49"/>
        <v>0</v>
      </c>
      <c r="M268" s="501">
        <f t="shared" si="49"/>
        <v>0</v>
      </c>
      <c r="N268" s="501">
        <f>SUM(B268:M268)</f>
        <v>0</v>
      </c>
      <c r="O268" s="501">
        <f t="shared" si="50"/>
        <v>0</v>
      </c>
      <c r="P268" s="501">
        <f t="shared" si="50"/>
        <v>0</v>
      </c>
      <c r="Q268" s="501">
        <f t="shared" si="50"/>
        <v>0</v>
      </c>
      <c r="R268" s="501">
        <f t="shared" si="50"/>
        <v>0</v>
      </c>
    </row>
    <row r="269" spans="1:18" ht="12.2" customHeight="1">
      <c r="A269" s="505" t="s">
        <v>605</v>
      </c>
      <c r="B269" s="503" t="s">
        <v>605</v>
      </c>
      <c r="C269" s="503" t="s">
        <v>605</v>
      </c>
      <c r="D269" s="503" t="s">
        <v>605</v>
      </c>
      <c r="E269" s="503" t="s">
        <v>605</v>
      </c>
      <c r="F269" s="503" t="s">
        <v>605</v>
      </c>
      <c r="G269" s="503" t="s">
        <v>605</v>
      </c>
      <c r="H269" s="503" t="s">
        <v>605</v>
      </c>
      <c r="I269" s="503" t="s">
        <v>605</v>
      </c>
      <c r="J269" s="503" t="s">
        <v>605</v>
      </c>
      <c r="K269" s="503" t="s">
        <v>605</v>
      </c>
      <c r="L269" s="503" t="s">
        <v>605</v>
      </c>
      <c r="M269" s="503" t="s">
        <v>605</v>
      </c>
      <c r="N269" s="503" t="s">
        <v>605</v>
      </c>
      <c r="O269" s="503" t="s">
        <v>605</v>
      </c>
      <c r="P269" s="503" t="s">
        <v>605</v>
      </c>
      <c r="Q269" s="503" t="s">
        <v>605</v>
      </c>
      <c r="R269" s="503" t="s">
        <v>605</v>
      </c>
    </row>
    <row r="270" spans="1:18" ht="12.2" customHeight="1">
      <c r="A270" s="500" t="str">
        <f>A77</f>
        <v/>
      </c>
      <c r="B270" s="501"/>
      <c r="C270" s="501"/>
      <c r="D270" s="501"/>
      <c r="E270" s="501"/>
      <c r="F270" s="501"/>
      <c r="G270" s="501"/>
      <c r="H270" s="501"/>
      <c r="I270" s="501"/>
      <c r="J270" s="501"/>
      <c r="K270" s="501"/>
      <c r="L270" s="501"/>
      <c r="M270" s="501"/>
      <c r="N270" s="501"/>
      <c r="O270" s="501"/>
      <c r="P270" s="501"/>
      <c r="Q270" s="501"/>
      <c r="R270" s="501"/>
    </row>
    <row r="271" spans="1:18" ht="12.2" customHeight="1">
      <c r="B271" s="501"/>
      <c r="C271" s="501"/>
      <c r="D271" s="501"/>
      <c r="E271" s="501"/>
      <c r="F271" s="501"/>
      <c r="G271" s="501"/>
      <c r="H271" s="501"/>
      <c r="I271" s="501"/>
      <c r="J271" s="501"/>
      <c r="K271" s="501"/>
      <c r="L271" s="501"/>
      <c r="M271" s="501"/>
      <c r="N271" s="501"/>
      <c r="O271" s="501"/>
      <c r="P271" s="501"/>
      <c r="Q271" s="501"/>
      <c r="R271" s="501"/>
    </row>
    <row r="272" spans="1:18" ht="12.2" customHeight="1">
      <c r="A272" s="500">
        <f>A79</f>
        <v>0</v>
      </c>
      <c r="B272" s="501">
        <f>B152*$E79</f>
        <v>0</v>
      </c>
      <c r="C272" s="501">
        <f>C152*$E79+B152*$F79</f>
        <v>0</v>
      </c>
      <c r="D272" s="501">
        <f>D152*$E79+C152*$F79+B152*$G79</f>
        <v>0</v>
      </c>
      <c r="E272" s="501">
        <f t="shared" ref="E272:M276" si="51">E152*$E79+D152*$F79+C152*$G79+B152*$H79</f>
        <v>0</v>
      </c>
      <c r="F272" s="501">
        <f t="shared" si="51"/>
        <v>0</v>
      </c>
      <c r="G272" s="501">
        <f t="shared" si="51"/>
        <v>0</v>
      </c>
      <c r="H272" s="501">
        <f t="shared" si="51"/>
        <v>0</v>
      </c>
      <c r="I272" s="501">
        <f t="shared" si="51"/>
        <v>0</v>
      </c>
      <c r="J272" s="501">
        <f t="shared" si="51"/>
        <v>0</v>
      </c>
      <c r="K272" s="501">
        <f t="shared" si="51"/>
        <v>0</v>
      </c>
      <c r="L272" s="501">
        <f t="shared" si="51"/>
        <v>0</v>
      </c>
      <c r="M272" s="501">
        <f t="shared" si="51"/>
        <v>0</v>
      </c>
      <c r="N272" s="501">
        <f>SUM(B272:M272)</f>
        <v>0</v>
      </c>
      <c r="O272" s="501">
        <f t="shared" ref="O272:R276" si="52">O152+B391-C391</f>
        <v>0</v>
      </c>
      <c r="P272" s="501">
        <f t="shared" si="52"/>
        <v>0</v>
      </c>
      <c r="Q272" s="501">
        <f t="shared" si="52"/>
        <v>0</v>
      </c>
      <c r="R272" s="501">
        <f t="shared" si="52"/>
        <v>0</v>
      </c>
    </row>
    <row r="273" spans="1:18" ht="12.2" customHeight="1">
      <c r="A273" s="500">
        <f>A80</f>
        <v>0</v>
      </c>
      <c r="B273" s="501">
        <f>B153*$E80</f>
        <v>0</v>
      </c>
      <c r="C273" s="501">
        <f>C153*$E80+B153*$F80</f>
        <v>0</v>
      </c>
      <c r="D273" s="501">
        <f>D153*$E80+C153*$F80+B153*$G80</f>
        <v>0</v>
      </c>
      <c r="E273" s="501">
        <f t="shared" si="51"/>
        <v>0</v>
      </c>
      <c r="F273" s="501">
        <f t="shared" si="51"/>
        <v>0</v>
      </c>
      <c r="G273" s="501">
        <f t="shared" si="51"/>
        <v>0</v>
      </c>
      <c r="H273" s="501">
        <f t="shared" si="51"/>
        <v>0</v>
      </c>
      <c r="I273" s="501">
        <f t="shared" si="51"/>
        <v>0</v>
      </c>
      <c r="J273" s="501">
        <f t="shared" si="51"/>
        <v>0</v>
      </c>
      <c r="K273" s="501">
        <f t="shared" si="51"/>
        <v>0</v>
      </c>
      <c r="L273" s="501">
        <f t="shared" si="51"/>
        <v>0</v>
      </c>
      <c r="M273" s="501">
        <f t="shared" si="51"/>
        <v>0</v>
      </c>
      <c r="N273" s="501">
        <f>SUM(B273:M273)</f>
        <v>0</v>
      </c>
      <c r="O273" s="501">
        <f t="shared" si="52"/>
        <v>0</v>
      </c>
      <c r="P273" s="501">
        <f t="shared" si="52"/>
        <v>0</v>
      </c>
      <c r="Q273" s="501">
        <f t="shared" si="52"/>
        <v>0</v>
      </c>
      <c r="R273" s="501">
        <f t="shared" si="52"/>
        <v>0</v>
      </c>
    </row>
    <row r="274" spans="1:18" ht="12.2" customHeight="1">
      <c r="A274" s="500">
        <f>A81</f>
        <v>0</v>
      </c>
      <c r="B274" s="501">
        <f>B154*$E81</f>
        <v>0</v>
      </c>
      <c r="C274" s="501">
        <f>C154*$E81+B154*$F81</f>
        <v>0</v>
      </c>
      <c r="D274" s="501">
        <f>D154*$E81+C154*$F81+B154*$G81</f>
        <v>0</v>
      </c>
      <c r="E274" s="501">
        <f t="shared" si="51"/>
        <v>0</v>
      </c>
      <c r="F274" s="501">
        <f t="shared" si="51"/>
        <v>0</v>
      </c>
      <c r="G274" s="501">
        <f t="shared" si="51"/>
        <v>0</v>
      </c>
      <c r="H274" s="501">
        <f t="shared" si="51"/>
        <v>0</v>
      </c>
      <c r="I274" s="501">
        <f t="shared" si="51"/>
        <v>0</v>
      </c>
      <c r="J274" s="501">
        <f t="shared" si="51"/>
        <v>0</v>
      </c>
      <c r="K274" s="501">
        <f t="shared" si="51"/>
        <v>0</v>
      </c>
      <c r="L274" s="501">
        <f t="shared" si="51"/>
        <v>0</v>
      </c>
      <c r="M274" s="501">
        <f t="shared" si="51"/>
        <v>0</v>
      </c>
      <c r="N274" s="501">
        <f>SUM(B274:M274)</f>
        <v>0</v>
      </c>
      <c r="O274" s="501">
        <f t="shared" si="52"/>
        <v>0</v>
      </c>
      <c r="P274" s="501">
        <f t="shared" si="52"/>
        <v>0</v>
      </c>
      <c r="Q274" s="501">
        <f t="shared" si="52"/>
        <v>0</v>
      </c>
      <c r="R274" s="501">
        <f t="shared" si="52"/>
        <v>0</v>
      </c>
    </row>
    <row r="275" spans="1:18" ht="12.2" customHeight="1">
      <c r="A275" s="500">
        <f>A82</f>
        <v>0</v>
      </c>
      <c r="B275" s="501">
        <f>B155*$E82</f>
        <v>0</v>
      </c>
      <c r="C275" s="501">
        <f>C155*$E82+B155*$F82</f>
        <v>0</v>
      </c>
      <c r="D275" s="501">
        <f>D155*$E82+C155*$F82+B155*$G82</f>
        <v>0</v>
      </c>
      <c r="E275" s="501">
        <f t="shared" si="51"/>
        <v>0</v>
      </c>
      <c r="F275" s="501">
        <f t="shared" si="51"/>
        <v>0</v>
      </c>
      <c r="G275" s="501">
        <f t="shared" si="51"/>
        <v>0</v>
      </c>
      <c r="H275" s="501">
        <f t="shared" si="51"/>
        <v>0</v>
      </c>
      <c r="I275" s="501">
        <f t="shared" si="51"/>
        <v>0</v>
      </c>
      <c r="J275" s="501">
        <f t="shared" si="51"/>
        <v>0</v>
      </c>
      <c r="K275" s="501">
        <f t="shared" si="51"/>
        <v>0</v>
      </c>
      <c r="L275" s="501">
        <f t="shared" si="51"/>
        <v>0</v>
      </c>
      <c r="M275" s="501">
        <f t="shared" si="51"/>
        <v>0</v>
      </c>
      <c r="N275" s="501">
        <f>SUM(B275:M275)</f>
        <v>0</v>
      </c>
      <c r="O275" s="501">
        <f t="shared" si="52"/>
        <v>0</v>
      </c>
      <c r="P275" s="501">
        <f t="shared" si="52"/>
        <v>0</v>
      </c>
      <c r="Q275" s="501">
        <f t="shared" si="52"/>
        <v>0</v>
      </c>
      <c r="R275" s="501">
        <f t="shared" si="52"/>
        <v>0</v>
      </c>
    </row>
    <row r="276" spans="1:18" ht="12.2" customHeight="1">
      <c r="A276" s="500">
        <f>A83</f>
        <v>0</v>
      </c>
      <c r="B276" s="501">
        <f>B156*$E83</f>
        <v>0</v>
      </c>
      <c r="C276" s="501">
        <f>C156*$E83+B156*$F83</f>
        <v>0</v>
      </c>
      <c r="D276" s="501">
        <f>D156*$E83+C156*$F83+B156*$G83</f>
        <v>0</v>
      </c>
      <c r="E276" s="501">
        <f t="shared" si="51"/>
        <v>0</v>
      </c>
      <c r="F276" s="501">
        <f t="shared" si="51"/>
        <v>0</v>
      </c>
      <c r="G276" s="501">
        <f t="shared" si="51"/>
        <v>0</v>
      </c>
      <c r="H276" s="501">
        <f t="shared" si="51"/>
        <v>0</v>
      </c>
      <c r="I276" s="501">
        <f t="shared" si="51"/>
        <v>0</v>
      </c>
      <c r="J276" s="501">
        <f t="shared" si="51"/>
        <v>0</v>
      </c>
      <c r="K276" s="501">
        <f t="shared" si="51"/>
        <v>0</v>
      </c>
      <c r="L276" s="501">
        <f t="shared" si="51"/>
        <v>0</v>
      </c>
      <c r="M276" s="501">
        <f t="shared" si="51"/>
        <v>0</v>
      </c>
      <c r="N276" s="501">
        <f>SUM(B276:M276)</f>
        <v>0</v>
      </c>
      <c r="O276" s="501">
        <f t="shared" si="52"/>
        <v>0</v>
      </c>
      <c r="P276" s="501">
        <f t="shared" si="52"/>
        <v>0</v>
      </c>
      <c r="Q276" s="501">
        <f t="shared" si="52"/>
        <v>0</v>
      </c>
      <c r="R276" s="501">
        <f t="shared" si="52"/>
        <v>0</v>
      </c>
    </row>
    <row r="277" spans="1:18" ht="12.2" customHeight="1">
      <c r="A277" s="505" t="s">
        <v>605</v>
      </c>
      <c r="B277" s="503" t="s">
        <v>605</v>
      </c>
      <c r="C277" s="503" t="s">
        <v>605</v>
      </c>
      <c r="D277" s="503" t="s">
        <v>605</v>
      </c>
      <c r="E277" s="503" t="s">
        <v>605</v>
      </c>
      <c r="F277" s="503" t="s">
        <v>605</v>
      </c>
      <c r="G277" s="503" t="s">
        <v>605</v>
      </c>
      <c r="H277" s="503" t="s">
        <v>605</v>
      </c>
      <c r="I277" s="503" t="s">
        <v>605</v>
      </c>
      <c r="J277" s="503" t="s">
        <v>605</v>
      </c>
      <c r="K277" s="503" t="s">
        <v>605</v>
      </c>
      <c r="L277" s="503" t="s">
        <v>605</v>
      </c>
      <c r="M277" s="503" t="s">
        <v>605</v>
      </c>
      <c r="N277" s="503" t="s">
        <v>605</v>
      </c>
      <c r="O277" s="503" t="s">
        <v>605</v>
      </c>
      <c r="P277" s="503" t="s">
        <v>605</v>
      </c>
      <c r="Q277" s="503" t="s">
        <v>605</v>
      </c>
      <c r="R277" s="503" t="s">
        <v>605</v>
      </c>
    </row>
    <row r="278" spans="1:18" ht="12.2" customHeight="1">
      <c r="A278" s="500" t="str">
        <f>A85</f>
        <v/>
      </c>
      <c r="B278" s="501"/>
      <c r="C278" s="501"/>
      <c r="D278" s="501"/>
      <c r="E278" s="501"/>
      <c r="F278" s="501"/>
      <c r="G278" s="501"/>
      <c r="H278" s="501"/>
      <c r="I278" s="501"/>
      <c r="J278" s="501"/>
      <c r="K278" s="501"/>
      <c r="L278" s="501"/>
      <c r="M278" s="501"/>
      <c r="N278" s="501"/>
      <c r="O278" s="501"/>
      <c r="P278" s="501"/>
      <c r="Q278" s="501"/>
      <c r="R278" s="501"/>
    </row>
    <row r="279" spans="1:18" ht="12.2" customHeight="1">
      <c r="B279" s="501"/>
      <c r="C279" s="501"/>
      <c r="D279" s="501"/>
      <c r="E279" s="501"/>
      <c r="F279" s="501"/>
      <c r="G279" s="501"/>
      <c r="H279" s="501"/>
      <c r="I279" s="501"/>
      <c r="J279" s="501"/>
      <c r="K279" s="501"/>
      <c r="L279" s="501"/>
      <c r="M279" s="501"/>
      <c r="N279" s="501"/>
      <c r="O279" s="501"/>
      <c r="P279" s="501"/>
      <c r="Q279" s="501"/>
      <c r="R279" s="501"/>
    </row>
    <row r="280" spans="1:18" ht="12.2" customHeight="1">
      <c r="A280" s="500">
        <f>A87</f>
        <v>0</v>
      </c>
      <c r="B280" s="501">
        <f>B160*$E87</f>
        <v>0</v>
      </c>
      <c r="C280" s="501">
        <f>C160*$E87+B160*$F87</f>
        <v>0</v>
      </c>
      <c r="D280" s="501">
        <f>D160*$E87+C160*$F87+B160*$G87</f>
        <v>0</v>
      </c>
      <c r="E280" s="501">
        <f t="shared" ref="E280:M284" si="53">E160*$E87+D160*$F87+C160*$G87+B160*$H87</f>
        <v>0</v>
      </c>
      <c r="F280" s="501">
        <f t="shared" si="53"/>
        <v>0</v>
      </c>
      <c r="G280" s="501">
        <f t="shared" si="53"/>
        <v>0</v>
      </c>
      <c r="H280" s="501">
        <f t="shared" si="53"/>
        <v>0</v>
      </c>
      <c r="I280" s="501">
        <f t="shared" si="53"/>
        <v>0</v>
      </c>
      <c r="J280" s="501">
        <f t="shared" si="53"/>
        <v>0</v>
      </c>
      <c r="K280" s="501">
        <f t="shared" si="53"/>
        <v>0</v>
      </c>
      <c r="L280" s="501">
        <f t="shared" si="53"/>
        <v>0</v>
      </c>
      <c r="M280" s="501">
        <f t="shared" si="53"/>
        <v>0</v>
      </c>
      <c r="N280" s="501">
        <f>SUM(B280:M280)</f>
        <v>0</v>
      </c>
      <c r="O280" s="501">
        <f t="shared" ref="O280:R284" si="54">O160+B399-C399</f>
        <v>0</v>
      </c>
      <c r="P280" s="501">
        <f t="shared" si="54"/>
        <v>0</v>
      </c>
      <c r="Q280" s="501">
        <f t="shared" si="54"/>
        <v>0</v>
      </c>
      <c r="R280" s="501">
        <f t="shared" si="54"/>
        <v>0</v>
      </c>
    </row>
    <row r="281" spans="1:18" ht="12.2" customHeight="1">
      <c r="A281" s="500">
        <f>A88</f>
        <v>0</v>
      </c>
      <c r="B281" s="501">
        <f>B161*$E88</f>
        <v>0</v>
      </c>
      <c r="C281" s="501">
        <f>C161*$E88+B161*$F88</f>
        <v>0</v>
      </c>
      <c r="D281" s="501">
        <f>D161*$E88+C161*$F88+B161*$G88</f>
        <v>0</v>
      </c>
      <c r="E281" s="501">
        <f t="shared" si="53"/>
        <v>0</v>
      </c>
      <c r="F281" s="501">
        <f t="shared" si="53"/>
        <v>0</v>
      </c>
      <c r="G281" s="501">
        <f t="shared" si="53"/>
        <v>0</v>
      </c>
      <c r="H281" s="501">
        <f t="shared" si="53"/>
        <v>0</v>
      </c>
      <c r="I281" s="501">
        <f t="shared" si="53"/>
        <v>0</v>
      </c>
      <c r="J281" s="501">
        <f t="shared" si="53"/>
        <v>0</v>
      </c>
      <c r="K281" s="501">
        <f t="shared" si="53"/>
        <v>0</v>
      </c>
      <c r="L281" s="501">
        <f t="shared" si="53"/>
        <v>0</v>
      </c>
      <c r="M281" s="501">
        <f t="shared" si="53"/>
        <v>0</v>
      </c>
      <c r="N281" s="501">
        <f>SUM(B281:M281)</f>
        <v>0</v>
      </c>
      <c r="O281" s="501">
        <f t="shared" si="54"/>
        <v>0</v>
      </c>
      <c r="P281" s="501">
        <f t="shared" si="54"/>
        <v>0</v>
      </c>
      <c r="Q281" s="501">
        <f t="shared" si="54"/>
        <v>0</v>
      </c>
      <c r="R281" s="501">
        <f t="shared" si="54"/>
        <v>0</v>
      </c>
    </row>
    <row r="282" spans="1:18" ht="12.2" customHeight="1">
      <c r="A282" s="500">
        <f>A89</f>
        <v>0</v>
      </c>
      <c r="B282" s="501">
        <f>B162*$E89</f>
        <v>0</v>
      </c>
      <c r="C282" s="501">
        <f>C162*$E89+B162*$F89</f>
        <v>0</v>
      </c>
      <c r="D282" s="501">
        <f>D162*$E89+C162*$F89+B162*$G89</f>
        <v>0</v>
      </c>
      <c r="E282" s="501">
        <f t="shared" si="53"/>
        <v>0</v>
      </c>
      <c r="F282" s="501">
        <f t="shared" si="53"/>
        <v>0</v>
      </c>
      <c r="G282" s="501">
        <f t="shared" si="53"/>
        <v>0</v>
      </c>
      <c r="H282" s="501">
        <f t="shared" si="53"/>
        <v>0</v>
      </c>
      <c r="I282" s="501">
        <f t="shared" si="53"/>
        <v>0</v>
      </c>
      <c r="J282" s="501">
        <f t="shared" si="53"/>
        <v>0</v>
      </c>
      <c r="K282" s="501">
        <f t="shared" si="53"/>
        <v>0</v>
      </c>
      <c r="L282" s="501">
        <f t="shared" si="53"/>
        <v>0</v>
      </c>
      <c r="M282" s="501">
        <f t="shared" si="53"/>
        <v>0</v>
      </c>
      <c r="N282" s="501">
        <f>SUM(B282:M282)</f>
        <v>0</v>
      </c>
      <c r="O282" s="501">
        <f t="shared" si="54"/>
        <v>0</v>
      </c>
      <c r="P282" s="501">
        <f t="shared" si="54"/>
        <v>0</v>
      </c>
      <c r="Q282" s="501">
        <f t="shared" si="54"/>
        <v>0</v>
      </c>
      <c r="R282" s="501">
        <f t="shared" si="54"/>
        <v>0</v>
      </c>
    </row>
    <row r="283" spans="1:18" ht="12.2" customHeight="1">
      <c r="A283" s="500">
        <f>A90</f>
        <v>0</v>
      </c>
      <c r="B283" s="501">
        <f>B163*$E90</f>
        <v>0</v>
      </c>
      <c r="C283" s="501">
        <f>C163*$E90+B163*$F90</f>
        <v>0</v>
      </c>
      <c r="D283" s="501">
        <f>D163*$E90+C163*$F90+B163*$G90</f>
        <v>0</v>
      </c>
      <c r="E283" s="501">
        <f t="shared" si="53"/>
        <v>0</v>
      </c>
      <c r="F283" s="501">
        <f t="shared" si="53"/>
        <v>0</v>
      </c>
      <c r="G283" s="501">
        <f t="shared" si="53"/>
        <v>0</v>
      </c>
      <c r="H283" s="501">
        <f t="shared" si="53"/>
        <v>0</v>
      </c>
      <c r="I283" s="501">
        <f t="shared" si="53"/>
        <v>0</v>
      </c>
      <c r="J283" s="501">
        <f t="shared" si="53"/>
        <v>0</v>
      </c>
      <c r="K283" s="501">
        <f t="shared" si="53"/>
        <v>0</v>
      </c>
      <c r="L283" s="501">
        <f t="shared" si="53"/>
        <v>0</v>
      </c>
      <c r="M283" s="501">
        <f t="shared" si="53"/>
        <v>0</v>
      </c>
      <c r="N283" s="501">
        <f>SUM(B283:M283)</f>
        <v>0</v>
      </c>
      <c r="O283" s="501">
        <f t="shared" si="54"/>
        <v>0</v>
      </c>
      <c r="P283" s="501">
        <f t="shared" si="54"/>
        <v>0</v>
      </c>
      <c r="Q283" s="501">
        <f t="shared" si="54"/>
        <v>0</v>
      </c>
      <c r="R283" s="501">
        <f t="shared" si="54"/>
        <v>0</v>
      </c>
    </row>
    <row r="284" spans="1:18" ht="12.2" customHeight="1">
      <c r="A284" s="500">
        <f>A91</f>
        <v>0</v>
      </c>
      <c r="B284" s="501">
        <f>B164*$E91</f>
        <v>0</v>
      </c>
      <c r="C284" s="501">
        <f>C164*$E91+B164*$F91</f>
        <v>0</v>
      </c>
      <c r="D284" s="501">
        <f>D164*$E91+C164*$F91+B164*$G91</f>
        <v>0</v>
      </c>
      <c r="E284" s="501">
        <f t="shared" si="53"/>
        <v>0</v>
      </c>
      <c r="F284" s="501">
        <f t="shared" si="53"/>
        <v>0</v>
      </c>
      <c r="G284" s="501">
        <f t="shared" si="53"/>
        <v>0</v>
      </c>
      <c r="H284" s="501">
        <f t="shared" si="53"/>
        <v>0</v>
      </c>
      <c r="I284" s="501">
        <f t="shared" si="53"/>
        <v>0</v>
      </c>
      <c r="J284" s="501">
        <f t="shared" si="53"/>
        <v>0</v>
      </c>
      <c r="K284" s="501">
        <f t="shared" si="53"/>
        <v>0</v>
      </c>
      <c r="L284" s="501">
        <f t="shared" si="53"/>
        <v>0</v>
      </c>
      <c r="M284" s="501">
        <f t="shared" si="53"/>
        <v>0</v>
      </c>
      <c r="N284" s="501">
        <f>SUM(B284:M284)</f>
        <v>0</v>
      </c>
      <c r="O284" s="501">
        <f t="shared" si="54"/>
        <v>0</v>
      </c>
      <c r="P284" s="501">
        <f t="shared" si="54"/>
        <v>0</v>
      </c>
      <c r="Q284" s="501">
        <f t="shared" si="54"/>
        <v>0</v>
      </c>
      <c r="R284" s="501">
        <f t="shared" si="54"/>
        <v>0</v>
      </c>
    </row>
    <row r="285" spans="1:18" ht="12.2" customHeight="1">
      <c r="A285" s="505" t="s">
        <v>605</v>
      </c>
      <c r="B285" s="503" t="s">
        <v>605</v>
      </c>
      <c r="C285" s="503" t="s">
        <v>605</v>
      </c>
      <c r="D285" s="503" t="s">
        <v>605</v>
      </c>
      <c r="E285" s="503" t="s">
        <v>605</v>
      </c>
      <c r="F285" s="503" t="s">
        <v>605</v>
      </c>
      <c r="G285" s="503" t="s">
        <v>605</v>
      </c>
      <c r="H285" s="503" t="s">
        <v>605</v>
      </c>
      <c r="I285" s="503" t="s">
        <v>605</v>
      </c>
      <c r="J285" s="503" t="s">
        <v>605</v>
      </c>
      <c r="K285" s="503" t="s">
        <v>605</v>
      </c>
      <c r="L285" s="503" t="s">
        <v>605</v>
      </c>
      <c r="M285" s="503" t="s">
        <v>605</v>
      </c>
      <c r="N285" s="503" t="s">
        <v>605</v>
      </c>
      <c r="O285" s="503" t="s">
        <v>605</v>
      </c>
      <c r="P285" s="503" t="s">
        <v>605</v>
      </c>
      <c r="Q285" s="503" t="s">
        <v>605</v>
      </c>
      <c r="R285" s="503" t="s">
        <v>605</v>
      </c>
    </row>
    <row r="286" spans="1:18" ht="12.2" customHeight="1">
      <c r="A286" s="500" t="str">
        <f>A93</f>
        <v/>
      </c>
      <c r="B286" s="501"/>
      <c r="C286" s="501"/>
      <c r="D286" s="501"/>
      <c r="E286" s="501"/>
      <c r="F286" s="501"/>
      <c r="G286" s="501"/>
      <c r="H286" s="501"/>
      <c r="I286" s="501"/>
      <c r="J286" s="501"/>
      <c r="K286" s="501"/>
      <c r="L286" s="501"/>
      <c r="M286" s="501"/>
      <c r="N286" s="501"/>
      <c r="O286" s="501"/>
      <c r="P286" s="501"/>
      <c r="Q286" s="501"/>
      <c r="R286" s="501"/>
    </row>
    <row r="287" spans="1:18" ht="12.2" customHeight="1">
      <c r="B287" s="501"/>
      <c r="C287" s="501"/>
      <c r="D287" s="501"/>
      <c r="E287" s="501"/>
      <c r="F287" s="501"/>
      <c r="G287" s="501"/>
      <c r="H287" s="501"/>
      <c r="I287" s="501"/>
      <c r="J287" s="501"/>
      <c r="K287" s="501"/>
      <c r="L287" s="501"/>
      <c r="M287" s="501"/>
      <c r="N287" s="501"/>
      <c r="O287" s="501"/>
      <c r="P287" s="501"/>
      <c r="Q287" s="501"/>
      <c r="R287" s="501"/>
    </row>
    <row r="288" spans="1:18" ht="12.2" customHeight="1">
      <c r="A288" s="500">
        <f>A95</f>
        <v>0</v>
      </c>
      <c r="B288" s="501">
        <f>B168*$E95</f>
        <v>0</v>
      </c>
      <c r="C288" s="501">
        <f>C168*$E95+B168*$F95</f>
        <v>0</v>
      </c>
      <c r="D288" s="501">
        <f>D168*$E95+C168*$F95+B168*$G95</f>
        <v>0</v>
      </c>
      <c r="E288" s="501">
        <f t="shared" ref="E288:M292" si="55">E168*$E95+D168*$F95+C168*$G95+B168*$H95</f>
        <v>0</v>
      </c>
      <c r="F288" s="501">
        <f t="shared" si="55"/>
        <v>0</v>
      </c>
      <c r="G288" s="501">
        <f t="shared" si="55"/>
        <v>0</v>
      </c>
      <c r="H288" s="501">
        <f t="shared" si="55"/>
        <v>0</v>
      </c>
      <c r="I288" s="501">
        <f t="shared" si="55"/>
        <v>0</v>
      </c>
      <c r="J288" s="501">
        <f t="shared" si="55"/>
        <v>0</v>
      </c>
      <c r="K288" s="501">
        <f t="shared" si="55"/>
        <v>0</v>
      </c>
      <c r="L288" s="501">
        <f t="shared" si="55"/>
        <v>0</v>
      </c>
      <c r="M288" s="501">
        <f t="shared" si="55"/>
        <v>0</v>
      </c>
      <c r="N288" s="501">
        <f>SUM(B288:M288)</f>
        <v>0</v>
      </c>
      <c r="O288" s="501">
        <f t="shared" ref="O288:R292" si="56">O168+B407-C407</f>
        <v>0</v>
      </c>
      <c r="P288" s="501">
        <f t="shared" si="56"/>
        <v>0</v>
      </c>
      <c r="Q288" s="501">
        <f t="shared" si="56"/>
        <v>0</v>
      </c>
      <c r="R288" s="501">
        <f t="shared" si="56"/>
        <v>0</v>
      </c>
    </row>
    <row r="289" spans="1:18" ht="12.2" customHeight="1">
      <c r="A289" s="500">
        <f>A96</f>
        <v>0</v>
      </c>
      <c r="B289" s="501">
        <f>B169*$E96</f>
        <v>0</v>
      </c>
      <c r="C289" s="501">
        <f>C169*$E96+B169*$F96</f>
        <v>0</v>
      </c>
      <c r="D289" s="501">
        <f>D169*$E96+C169*$F96+B169*$G96</f>
        <v>0</v>
      </c>
      <c r="E289" s="501">
        <f t="shared" si="55"/>
        <v>0</v>
      </c>
      <c r="F289" s="501">
        <f t="shared" si="55"/>
        <v>0</v>
      </c>
      <c r="G289" s="501">
        <f t="shared" si="55"/>
        <v>0</v>
      </c>
      <c r="H289" s="501">
        <f t="shared" si="55"/>
        <v>0</v>
      </c>
      <c r="I289" s="501">
        <f t="shared" si="55"/>
        <v>0</v>
      </c>
      <c r="J289" s="501">
        <f t="shared" si="55"/>
        <v>0</v>
      </c>
      <c r="K289" s="501">
        <f t="shared" si="55"/>
        <v>0</v>
      </c>
      <c r="L289" s="501">
        <f t="shared" si="55"/>
        <v>0</v>
      </c>
      <c r="M289" s="501">
        <f t="shared" si="55"/>
        <v>0</v>
      </c>
      <c r="N289" s="501">
        <f>SUM(B289:M289)</f>
        <v>0</v>
      </c>
      <c r="O289" s="501">
        <f t="shared" si="56"/>
        <v>0</v>
      </c>
      <c r="P289" s="501">
        <f t="shared" si="56"/>
        <v>0</v>
      </c>
      <c r="Q289" s="501">
        <f t="shared" si="56"/>
        <v>0</v>
      </c>
      <c r="R289" s="501">
        <f t="shared" si="56"/>
        <v>0</v>
      </c>
    </row>
    <row r="290" spans="1:18" ht="12.2" customHeight="1">
      <c r="A290" s="500">
        <f>A97</f>
        <v>0</v>
      </c>
      <c r="B290" s="501">
        <f>B170*$E97</f>
        <v>0</v>
      </c>
      <c r="C290" s="501">
        <f>C170*$E97+B170*$F97</f>
        <v>0</v>
      </c>
      <c r="D290" s="501">
        <f>D170*$E97+C170*$F97+B170*$G97</f>
        <v>0</v>
      </c>
      <c r="E290" s="501">
        <f t="shared" si="55"/>
        <v>0</v>
      </c>
      <c r="F290" s="501">
        <f t="shared" si="55"/>
        <v>0</v>
      </c>
      <c r="G290" s="501">
        <f t="shared" si="55"/>
        <v>0</v>
      </c>
      <c r="H290" s="501">
        <f t="shared" si="55"/>
        <v>0</v>
      </c>
      <c r="I290" s="501">
        <f t="shared" si="55"/>
        <v>0</v>
      </c>
      <c r="J290" s="501">
        <f t="shared" si="55"/>
        <v>0</v>
      </c>
      <c r="K290" s="501">
        <f t="shared" si="55"/>
        <v>0</v>
      </c>
      <c r="L290" s="501">
        <f t="shared" si="55"/>
        <v>0</v>
      </c>
      <c r="M290" s="501">
        <f t="shared" si="55"/>
        <v>0</v>
      </c>
      <c r="N290" s="501">
        <f>SUM(B290:M290)</f>
        <v>0</v>
      </c>
      <c r="O290" s="501">
        <f t="shared" si="56"/>
        <v>0</v>
      </c>
      <c r="P290" s="501">
        <f t="shared" si="56"/>
        <v>0</v>
      </c>
      <c r="Q290" s="501">
        <f t="shared" si="56"/>
        <v>0</v>
      </c>
      <c r="R290" s="501">
        <f t="shared" si="56"/>
        <v>0</v>
      </c>
    </row>
    <row r="291" spans="1:18" ht="12.2" customHeight="1">
      <c r="A291" s="500">
        <f>A98</f>
        <v>0</v>
      </c>
      <c r="B291" s="501">
        <f>B171*$E98</f>
        <v>0</v>
      </c>
      <c r="C291" s="501">
        <f>C171*$E98+B171*$F98</f>
        <v>0</v>
      </c>
      <c r="D291" s="501">
        <f>D171*$E98+C171*$F98+B171*$G98</f>
        <v>0</v>
      </c>
      <c r="E291" s="501">
        <f t="shared" si="55"/>
        <v>0</v>
      </c>
      <c r="F291" s="501">
        <f t="shared" si="55"/>
        <v>0</v>
      </c>
      <c r="G291" s="501">
        <f t="shared" si="55"/>
        <v>0</v>
      </c>
      <c r="H291" s="501">
        <f t="shared" si="55"/>
        <v>0</v>
      </c>
      <c r="I291" s="501">
        <f t="shared" si="55"/>
        <v>0</v>
      </c>
      <c r="J291" s="501">
        <f t="shared" si="55"/>
        <v>0</v>
      </c>
      <c r="K291" s="501">
        <f t="shared" si="55"/>
        <v>0</v>
      </c>
      <c r="L291" s="501">
        <f t="shared" si="55"/>
        <v>0</v>
      </c>
      <c r="M291" s="501">
        <f t="shared" si="55"/>
        <v>0</v>
      </c>
      <c r="N291" s="501">
        <f>SUM(B291:M291)</f>
        <v>0</v>
      </c>
      <c r="O291" s="501">
        <f t="shared" si="56"/>
        <v>0</v>
      </c>
      <c r="P291" s="501">
        <f t="shared" si="56"/>
        <v>0</v>
      </c>
      <c r="Q291" s="501">
        <f t="shared" si="56"/>
        <v>0</v>
      </c>
      <c r="R291" s="501">
        <f t="shared" si="56"/>
        <v>0</v>
      </c>
    </row>
    <row r="292" spans="1:18" ht="12.2" customHeight="1">
      <c r="A292" s="500">
        <f>A99</f>
        <v>0</v>
      </c>
      <c r="B292" s="501">
        <f>B172*$E99</f>
        <v>0</v>
      </c>
      <c r="C292" s="501">
        <f>C172*$E99+B172*$F99</f>
        <v>0</v>
      </c>
      <c r="D292" s="501">
        <f>D172*$E99+C172*$F99+B172*$G99</f>
        <v>0</v>
      </c>
      <c r="E292" s="501">
        <f t="shared" si="55"/>
        <v>0</v>
      </c>
      <c r="F292" s="501">
        <f t="shared" si="55"/>
        <v>0</v>
      </c>
      <c r="G292" s="501">
        <f t="shared" si="55"/>
        <v>0</v>
      </c>
      <c r="H292" s="501">
        <f t="shared" si="55"/>
        <v>0</v>
      </c>
      <c r="I292" s="501">
        <f t="shared" si="55"/>
        <v>0</v>
      </c>
      <c r="J292" s="501">
        <f t="shared" si="55"/>
        <v>0</v>
      </c>
      <c r="K292" s="501">
        <f t="shared" si="55"/>
        <v>0</v>
      </c>
      <c r="L292" s="501">
        <f t="shared" si="55"/>
        <v>0</v>
      </c>
      <c r="M292" s="501">
        <f t="shared" si="55"/>
        <v>0</v>
      </c>
      <c r="N292" s="501">
        <f>SUM(B292:M292)</f>
        <v>0</v>
      </c>
      <c r="O292" s="501">
        <f t="shared" si="56"/>
        <v>0</v>
      </c>
      <c r="P292" s="501">
        <f t="shared" si="56"/>
        <v>0</v>
      </c>
      <c r="Q292" s="501">
        <f t="shared" si="56"/>
        <v>0</v>
      </c>
      <c r="R292" s="501">
        <f t="shared" si="56"/>
        <v>0</v>
      </c>
    </row>
    <row r="293" spans="1:18" ht="12.2" customHeight="1">
      <c r="A293" s="505" t="s">
        <v>605</v>
      </c>
      <c r="B293" s="503" t="s">
        <v>605</v>
      </c>
      <c r="C293" s="503" t="s">
        <v>605</v>
      </c>
      <c r="D293" s="503" t="s">
        <v>605</v>
      </c>
      <c r="E293" s="503" t="s">
        <v>605</v>
      </c>
      <c r="F293" s="503" t="s">
        <v>605</v>
      </c>
      <c r="G293" s="503" t="s">
        <v>605</v>
      </c>
      <c r="H293" s="503" t="s">
        <v>605</v>
      </c>
      <c r="I293" s="503" t="s">
        <v>605</v>
      </c>
      <c r="J293" s="503" t="s">
        <v>605</v>
      </c>
      <c r="K293" s="503" t="s">
        <v>605</v>
      </c>
      <c r="L293" s="503" t="s">
        <v>605</v>
      </c>
      <c r="M293" s="503" t="s">
        <v>605</v>
      </c>
      <c r="N293" s="503" t="s">
        <v>605</v>
      </c>
      <c r="O293" s="503" t="s">
        <v>605</v>
      </c>
      <c r="P293" s="503" t="s">
        <v>605</v>
      </c>
      <c r="Q293" s="503" t="s">
        <v>605</v>
      </c>
      <c r="R293" s="503" t="s">
        <v>605</v>
      </c>
    </row>
    <row r="294" spans="1:18" ht="12.2" customHeight="1">
      <c r="A294" s="501" t="str">
        <f>+N53</f>
        <v/>
      </c>
      <c r="B294" s="501"/>
      <c r="C294" s="503"/>
      <c r="D294" s="503"/>
      <c r="E294" s="503"/>
      <c r="F294" s="503"/>
      <c r="G294" s="503"/>
      <c r="H294" s="503"/>
      <c r="I294" s="503"/>
      <c r="J294" s="503"/>
      <c r="K294" s="503"/>
      <c r="L294" s="503"/>
      <c r="M294" s="503"/>
      <c r="N294" s="503"/>
      <c r="O294" s="503"/>
      <c r="P294" s="503"/>
      <c r="Q294" s="503"/>
      <c r="R294" s="503"/>
    </row>
    <row r="295" spans="1:18" ht="12.2" customHeight="1">
      <c r="A295" s="501"/>
      <c r="B295" s="501"/>
      <c r="C295" s="503"/>
      <c r="D295" s="503"/>
      <c r="E295" s="503"/>
      <c r="F295" s="503"/>
      <c r="G295" s="503"/>
      <c r="H295" s="503"/>
      <c r="I295" s="503"/>
      <c r="J295" s="503"/>
      <c r="K295" s="503"/>
      <c r="L295" s="503"/>
      <c r="M295" s="503"/>
      <c r="N295" s="503"/>
      <c r="O295" s="503"/>
      <c r="P295" s="503"/>
      <c r="Q295" s="503"/>
      <c r="R295" s="503"/>
    </row>
    <row r="296" spans="1:18" ht="12.2" customHeight="1">
      <c r="A296" s="501">
        <f t="shared" ref="A296:A341" si="57">+N55</f>
        <v>0</v>
      </c>
      <c r="B296" s="501">
        <f>B176*$R55</f>
        <v>0</v>
      </c>
      <c r="C296" s="501">
        <f>C176*$R55+B176*$S55</f>
        <v>0</v>
      </c>
      <c r="D296" s="501">
        <f>D176*$R55+C176*$S55+B176*$T55</f>
        <v>0</v>
      </c>
      <c r="E296" s="501">
        <f t="shared" ref="E296:M300" si="58">E176*$R55+D176*$S55+C176*$T55+B176*$U55</f>
        <v>0</v>
      </c>
      <c r="F296" s="501">
        <f t="shared" si="58"/>
        <v>0</v>
      </c>
      <c r="G296" s="501">
        <f t="shared" si="58"/>
        <v>0</v>
      </c>
      <c r="H296" s="501">
        <f t="shared" si="58"/>
        <v>0</v>
      </c>
      <c r="I296" s="501">
        <f t="shared" si="58"/>
        <v>0</v>
      </c>
      <c r="J296" s="501">
        <f t="shared" si="58"/>
        <v>0</v>
      </c>
      <c r="K296" s="501">
        <f t="shared" si="58"/>
        <v>0</v>
      </c>
      <c r="L296" s="501">
        <f t="shared" si="58"/>
        <v>0</v>
      </c>
      <c r="M296" s="501">
        <f t="shared" si="58"/>
        <v>0</v>
      </c>
      <c r="N296" s="501">
        <f t="shared" ref="N296:N340" si="59">SUM(B296:M296)</f>
        <v>0</v>
      </c>
      <c r="O296" s="501">
        <f t="shared" ref="O296:R300" si="60">O176+B415-C415</f>
        <v>0</v>
      </c>
      <c r="P296" s="501">
        <f t="shared" si="60"/>
        <v>0</v>
      </c>
      <c r="Q296" s="501">
        <f t="shared" si="60"/>
        <v>0</v>
      </c>
      <c r="R296" s="501">
        <f t="shared" si="60"/>
        <v>0</v>
      </c>
    </row>
    <row r="297" spans="1:18" ht="12.2" customHeight="1">
      <c r="A297" s="501">
        <f t="shared" si="57"/>
        <v>0</v>
      </c>
      <c r="B297" s="501">
        <f>B177*$R56</f>
        <v>0</v>
      </c>
      <c r="C297" s="501">
        <f>C177*$R56+B177*$S56</f>
        <v>0</v>
      </c>
      <c r="D297" s="501">
        <f>D177*$R56+C177*$S56+B177*$T56</f>
        <v>0</v>
      </c>
      <c r="E297" s="501">
        <f t="shared" si="58"/>
        <v>0</v>
      </c>
      <c r="F297" s="501">
        <f t="shared" si="58"/>
        <v>0</v>
      </c>
      <c r="G297" s="501">
        <f t="shared" si="58"/>
        <v>0</v>
      </c>
      <c r="H297" s="501">
        <f t="shared" si="58"/>
        <v>0</v>
      </c>
      <c r="I297" s="501">
        <f t="shared" si="58"/>
        <v>0</v>
      </c>
      <c r="J297" s="501">
        <f t="shared" si="58"/>
        <v>0</v>
      </c>
      <c r="K297" s="501">
        <f t="shared" si="58"/>
        <v>0</v>
      </c>
      <c r="L297" s="501">
        <f t="shared" si="58"/>
        <v>0</v>
      </c>
      <c r="M297" s="501">
        <f t="shared" si="58"/>
        <v>0</v>
      </c>
      <c r="N297" s="501">
        <f t="shared" si="59"/>
        <v>0</v>
      </c>
      <c r="O297" s="501">
        <f t="shared" si="60"/>
        <v>0</v>
      </c>
      <c r="P297" s="501">
        <f t="shared" si="60"/>
        <v>0</v>
      </c>
      <c r="Q297" s="501">
        <f t="shared" si="60"/>
        <v>0</v>
      </c>
      <c r="R297" s="501">
        <f t="shared" si="60"/>
        <v>0</v>
      </c>
    </row>
    <row r="298" spans="1:18" ht="12.2" customHeight="1">
      <c r="A298" s="501">
        <f t="shared" si="57"/>
        <v>0</v>
      </c>
      <c r="B298" s="501">
        <f>B178*$R57</f>
        <v>0</v>
      </c>
      <c r="C298" s="501">
        <f>C178*$R57+B178*$S57</f>
        <v>0</v>
      </c>
      <c r="D298" s="501">
        <f>D178*$R57+C178*$S57+B178*$T57</f>
        <v>0</v>
      </c>
      <c r="E298" s="501">
        <f t="shared" si="58"/>
        <v>0</v>
      </c>
      <c r="F298" s="501">
        <f t="shared" si="58"/>
        <v>0</v>
      </c>
      <c r="G298" s="501">
        <f t="shared" si="58"/>
        <v>0</v>
      </c>
      <c r="H298" s="501">
        <f t="shared" si="58"/>
        <v>0</v>
      </c>
      <c r="I298" s="501">
        <f t="shared" si="58"/>
        <v>0</v>
      </c>
      <c r="J298" s="501">
        <f t="shared" si="58"/>
        <v>0</v>
      </c>
      <c r="K298" s="501">
        <f t="shared" si="58"/>
        <v>0</v>
      </c>
      <c r="L298" s="501">
        <f t="shared" si="58"/>
        <v>0</v>
      </c>
      <c r="M298" s="501">
        <f t="shared" si="58"/>
        <v>0</v>
      </c>
      <c r="N298" s="501">
        <f t="shared" si="59"/>
        <v>0</v>
      </c>
      <c r="O298" s="501">
        <f t="shared" si="60"/>
        <v>0</v>
      </c>
      <c r="P298" s="501">
        <f t="shared" si="60"/>
        <v>0</v>
      </c>
      <c r="Q298" s="501">
        <f t="shared" si="60"/>
        <v>0</v>
      </c>
      <c r="R298" s="501">
        <f t="shared" si="60"/>
        <v>0</v>
      </c>
    </row>
    <row r="299" spans="1:18" ht="12.2" customHeight="1">
      <c r="A299" s="501">
        <f t="shared" si="57"/>
        <v>0</v>
      </c>
      <c r="B299" s="501">
        <f>B179*$R58</f>
        <v>0</v>
      </c>
      <c r="C299" s="501">
        <f>C179*$R58+B179*$S58</f>
        <v>0</v>
      </c>
      <c r="D299" s="501">
        <f>D179*$R58+C179*$S58+B179*$T58</f>
        <v>0</v>
      </c>
      <c r="E299" s="501">
        <f t="shared" si="58"/>
        <v>0</v>
      </c>
      <c r="F299" s="501">
        <f t="shared" si="58"/>
        <v>0</v>
      </c>
      <c r="G299" s="501">
        <f t="shared" si="58"/>
        <v>0</v>
      </c>
      <c r="H299" s="501">
        <f t="shared" si="58"/>
        <v>0</v>
      </c>
      <c r="I299" s="501">
        <f t="shared" si="58"/>
        <v>0</v>
      </c>
      <c r="J299" s="501">
        <f t="shared" si="58"/>
        <v>0</v>
      </c>
      <c r="K299" s="501">
        <f t="shared" si="58"/>
        <v>0</v>
      </c>
      <c r="L299" s="501">
        <f t="shared" si="58"/>
        <v>0</v>
      </c>
      <c r="M299" s="501">
        <f t="shared" si="58"/>
        <v>0</v>
      </c>
      <c r="N299" s="501">
        <f t="shared" si="59"/>
        <v>0</v>
      </c>
      <c r="O299" s="501">
        <f t="shared" si="60"/>
        <v>0</v>
      </c>
      <c r="P299" s="501">
        <f t="shared" si="60"/>
        <v>0</v>
      </c>
      <c r="Q299" s="501">
        <f t="shared" si="60"/>
        <v>0</v>
      </c>
      <c r="R299" s="501">
        <f t="shared" si="60"/>
        <v>0</v>
      </c>
    </row>
    <row r="300" spans="1:18" ht="12.2" customHeight="1">
      <c r="A300" s="501">
        <f t="shared" si="57"/>
        <v>0</v>
      </c>
      <c r="B300" s="501">
        <f>B180*$R59</f>
        <v>0</v>
      </c>
      <c r="C300" s="501">
        <f>C180*$R59+B180*$S59</f>
        <v>0</v>
      </c>
      <c r="D300" s="501">
        <f>D180*$R59+C180*$S59+B180*$T59</f>
        <v>0</v>
      </c>
      <c r="E300" s="501">
        <f t="shared" si="58"/>
        <v>0</v>
      </c>
      <c r="F300" s="501">
        <f t="shared" si="58"/>
        <v>0</v>
      </c>
      <c r="G300" s="501">
        <f t="shared" si="58"/>
        <v>0</v>
      </c>
      <c r="H300" s="501">
        <f t="shared" si="58"/>
        <v>0</v>
      </c>
      <c r="I300" s="501">
        <f t="shared" si="58"/>
        <v>0</v>
      </c>
      <c r="J300" s="501">
        <f t="shared" si="58"/>
        <v>0</v>
      </c>
      <c r="K300" s="501">
        <f t="shared" si="58"/>
        <v>0</v>
      </c>
      <c r="L300" s="501">
        <f t="shared" si="58"/>
        <v>0</v>
      </c>
      <c r="M300" s="501">
        <f t="shared" si="58"/>
        <v>0</v>
      </c>
      <c r="N300" s="501">
        <f t="shared" si="59"/>
        <v>0</v>
      </c>
      <c r="O300" s="501">
        <f t="shared" si="60"/>
        <v>0</v>
      </c>
      <c r="P300" s="501">
        <f t="shared" si="60"/>
        <v>0</v>
      </c>
      <c r="Q300" s="501">
        <f t="shared" si="60"/>
        <v>0</v>
      </c>
      <c r="R300" s="501">
        <f t="shared" si="60"/>
        <v>0</v>
      </c>
    </row>
    <row r="301" spans="1:18" ht="12.2" customHeight="1">
      <c r="A301" s="501" t="str">
        <f t="shared" si="57"/>
        <v>-</v>
      </c>
      <c r="B301" s="503"/>
      <c r="C301" s="503"/>
      <c r="D301" s="503"/>
      <c r="E301" s="503"/>
      <c r="F301" s="503"/>
      <c r="G301" s="503"/>
      <c r="H301" s="503"/>
      <c r="I301" s="503"/>
      <c r="J301" s="503"/>
      <c r="K301" s="503"/>
      <c r="L301" s="503"/>
      <c r="M301" s="503"/>
      <c r="N301" s="501"/>
      <c r="O301" s="516"/>
      <c r="P301" s="516"/>
      <c r="Q301" s="516"/>
      <c r="R301" s="516"/>
    </row>
    <row r="302" spans="1:18" ht="12.2" customHeight="1">
      <c r="A302" s="501" t="str">
        <f t="shared" si="57"/>
        <v/>
      </c>
      <c r="B302" s="503"/>
      <c r="C302" s="503"/>
      <c r="D302" s="503"/>
      <c r="E302" s="503"/>
      <c r="F302" s="503"/>
      <c r="G302" s="503"/>
      <c r="H302" s="503"/>
      <c r="I302" s="503"/>
      <c r="J302" s="503"/>
      <c r="K302" s="503"/>
      <c r="L302" s="503"/>
      <c r="M302" s="503"/>
      <c r="N302" s="501"/>
      <c r="O302" s="516"/>
      <c r="P302" s="516"/>
      <c r="Q302" s="516"/>
      <c r="R302" s="516"/>
    </row>
    <row r="303" spans="1:18" ht="12.2" customHeight="1">
      <c r="A303" s="501"/>
      <c r="B303" s="503"/>
      <c r="C303" s="503"/>
      <c r="D303" s="503"/>
      <c r="E303" s="503"/>
      <c r="F303" s="503"/>
      <c r="G303" s="503"/>
      <c r="H303" s="503"/>
      <c r="I303" s="503"/>
      <c r="J303" s="503"/>
      <c r="K303" s="503"/>
      <c r="L303" s="503"/>
      <c r="M303" s="503"/>
      <c r="N303" s="501"/>
      <c r="O303" s="516"/>
      <c r="P303" s="516"/>
      <c r="Q303" s="516"/>
      <c r="R303" s="516"/>
    </row>
    <row r="304" spans="1:18" ht="12.2" customHeight="1">
      <c r="A304" s="501">
        <f t="shared" si="57"/>
        <v>0</v>
      </c>
      <c r="B304" s="501">
        <f>B184*$R63</f>
        <v>0</v>
      </c>
      <c r="C304" s="501">
        <f>C184*$R63+B184*$S63</f>
        <v>0</v>
      </c>
      <c r="D304" s="501">
        <f>D184*$R63+C184*$S63+B184*$T63</f>
        <v>0</v>
      </c>
      <c r="E304" s="501">
        <f t="shared" ref="E304:M308" si="61">E184*$R63+D184*$S63+C184*$T63+B184*$U63</f>
        <v>0</v>
      </c>
      <c r="F304" s="501">
        <f t="shared" si="61"/>
        <v>0</v>
      </c>
      <c r="G304" s="501">
        <f t="shared" si="61"/>
        <v>0</v>
      </c>
      <c r="H304" s="501">
        <f t="shared" si="61"/>
        <v>0</v>
      </c>
      <c r="I304" s="501">
        <f t="shared" si="61"/>
        <v>0</v>
      </c>
      <c r="J304" s="501">
        <f t="shared" si="61"/>
        <v>0</v>
      </c>
      <c r="K304" s="501">
        <f t="shared" si="61"/>
        <v>0</v>
      </c>
      <c r="L304" s="501">
        <f t="shared" si="61"/>
        <v>0</v>
      </c>
      <c r="M304" s="501">
        <f t="shared" si="61"/>
        <v>0</v>
      </c>
      <c r="N304" s="501">
        <f t="shared" si="59"/>
        <v>0</v>
      </c>
      <c r="O304" s="501">
        <f t="shared" ref="O304:R308" si="62">O184+B423-C423</f>
        <v>0</v>
      </c>
      <c r="P304" s="501">
        <f t="shared" si="62"/>
        <v>0</v>
      </c>
      <c r="Q304" s="501">
        <f t="shared" si="62"/>
        <v>0</v>
      </c>
      <c r="R304" s="501">
        <f t="shared" si="62"/>
        <v>0</v>
      </c>
    </row>
    <row r="305" spans="1:18" ht="12.2" customHeight="1">
      <c r="A305" s="501">
        <f t="shared" si="57"/>
        <v>0</v>
      </c>
      <c r="B305" s="501">
        <f>B185*$R64</f>
        <v>0</v>
      </c>
      <c r="C305" s="501">
        <f>C185*$R64+B185*$S64</f>
        <v>0</v>
      </c>
      <c r="D305" s="501">
        <f>D185*$R64+C185*$S64+B185*$T64</f>
        <v>0</v>
      </c>
      <c r="E305" s="501">
        <f t="shared" si="61"/>
        <v>0</v>
      </c>
      <c r="F305" s="501">
        <f t="shared" si="61"/>
        <v>0</v>
      </c>
      <c r="G305" s="501">
        <f t="shared" si="61"/>
        <v>0</v>
      </c>
      <c r="H305" s="501">
        <f t="shared" si="61"/>
        <v>0</v>
      </c>
      <c r="I305" s="501">
        <f t="shared" si="61"/>
        <v>0</v>
      </c>
      <c r="J305" s="501">
        <f t="shared" si="61"/>
        <v>0</v>
      </c>
      <c r="K305" s="501">
        <f t="shared" si="61"/>
        <v>0</v>
      </c>
      <c r="L305" s="501">
        <f t="shared" si="61"/>
        <v>0</v>
      </c>
      <c r="M305" s="501">
        <f t="shared" si="61"/>
        <v>0</v>
      </c>
      <c r="N305" s="501">
        <f t="shared" si="59"/>
        <v>0</v>
      </c>
      <c r="O305" s="501">
        <f t="shared" si="62"/>
        <v>0</v>
      </c>
      <c r="P305" s="501">
        <f t="shared" si="62"/>
        <v>0</v>
      </c>
      <c r="Q305" s="501">
        <f t="shared" si="62"/>
        <v>0</v>
      </c>
      <c r="R305" s="501">
        <f t="shared" si="62"/>
        <v>0</v>
      </c>
    </row>
    <row r="306" spans="1:18" ht="12.2" customHeight="1">
      <c r="A306" s="501">
        <f t="shared" si="57"/>
        <v>0</v>
      </c>
      <c r="B306" s="501">
        <f>B186*$R65</f>
        <v>0</v>
      </c>
      <c r="C306" s="501">
        <f>C186*$R65+B186*$S65</f>
        <v>0</v>
      </c>
      <c r="D306" s="501">
        <f>D186*$R65+C186*$S65+B186*$T65</f>
        <v>0</v>
      </c>
      <c r="E306" s="501">
        <f t="shared" si="61"/>
        <v>0</v>
      </c>
      <c r="F306" s="501">
        <f t="shared" si="61"/>
        <v>0</v>
      </c>
      <c r="G306" s="501">
        <f t="shared" si="61"/>
        <v>0</v>
      </c>
      <c r="H306" s="501">
        <f t="shared" si="61"/>
        <v>0</v>
      </c>
      <c r="I306" s="501">
        <f t="shared" si="61"/>
        <v>0</v>
      </c>
      <c r="J306" s="501">
        <f t="shared" si="61"/>
        <v>0</v>
      </c>
      <c r="K306" s="501">
        <f t="shared" si="61"/>
        <v>0</v>
      </c>
      <c r="L306" s="501">
        <f t="shared" si="61"/>
        <v>0</v>
      </c>
      <c r="M306" s="501">
        <f t="shared" si="61"/>
        <v>0</v>
      </c>
      <c r="N306" s="501">
        <f t="shared" si="59"/>
        <v>0</v>
      </c>
      <c r="O306" s="501">
        <f t="shared" si="62"/>
        <v>0</v>
      </c>
      <c r="P306" s="501">
        <f t="shared" si="62"/>
        <v>0</v>
      </c>
      <c r="Q306" s="501">
        <f t="shared" si="62"/>
        <v>0</v>
      </c>
      <c r="R306" s="501">
        <f t="shared" si="62"/>
        <v>0</v>
      </c>
    </row>
    <row r="307" spans="1:18" ht="12.2" customHeight="1">
      <c r="A307" s="501">
        <f t="shared" si="57"/>
        <v>0</v>
      </c>
      <c r="B307" s="501">
        <f>B187*$R66</f>
        <v>0</v>
      </c>
      <c r="C307" s="501">
        <f>C187*$R66+B187*$S66</f>
        <v>0</v>
      </c>
      <c r="D307" s="501">
        <f>D187*$R66+C187*$S66+B187*$T66</f>
        <v>0</v>
      </c>
      <c r="E307" s="501">
        <f t="shared" si="61"/>
        <v>0</v>
      </c>
      <c r="F307" s="501">
        <f t="shared" si="61"/>
        <v>0</v>
      </c>
      <c r="G307" s="501">
        <f t="shared" si="61"/>
        <v>0</v>
      </c>
      <c r="H307" s="501">
        <f t="shared" si="61"/>
        <v>0</v>
      </c>
      <c r="I307" s="501">
        <f t="shared" si="61"/>
        <v>0</v>
      </c>
      <c r="J307" s="501">
        <f t="shared" si="61"/>
        <v>0</v>
      </c>
      <c r="K307" s="501">
        <f t="shared" si="61"/>
        <v>0</v>
      </c>
      <c r="L307" s="501">
        <f t="shared" si="61"/>
        <v>0</v>
      </c>
      <c r="M307" s="501">
        <f t="shared" si="61"/>
        <v>0</v>
      </c>
      <c r="N307" s="501">
        <f t="shared" si="59"/>
        <v>0</v>
      </c>
      <c r="O307" s="501">
        <f t="shared" si="62"/>
        <v>0</v>
      </c>
      <c r="P307" s="501">
        <f t="shared" si="62"/>
        <v>0</v>
      </c>
      <c r="Q307" s="501">
        <f t="shared" si="62"/>
        <v>0</v>
      </c>
      <c r="R307" s="501">
        <f t="shared" si="62"/>
        <v>0</v>
      </c>
    </row>
    <row r="308" spans="1:18" ht="12.2" customHeight="1">
      <c r="A308" s="501">
        <f t="shared" si="57"/>
        <v>0</v>
      </c>
      <c r="B308" s="501">
        <f>B188*$R67</f>
        <v>0</v>
      </c>
      <c r="C308" s="501">
        <f>C188*$R67+B188*$S67</f>
        <v>0</v>
      </c>
      <c r="D308" s="501">
        <f>D188*$R67+C188*$S67+B188*$T67</f>
        <v>0</v>
      </c>
      <c r="E308" s="501">
        <f t="shared" si="61"/>
        <v>0</v>
      </c>
      <c r="F308" s="501">
        <f t="shared" si="61"/>
        <v>0</v>
      </c>
      <c r="G308" s="501">
        <f t="shared" si="61"/>
        <v>0</v>
      </c>
      <c r="H308" s="501">
        <f t="shared" si="61"/>
        <v>0</v>
      </c>
      <c r="I308" s="501">
        <f t="shared" si="61"/>
        <v>0</v>
      </c>
      <c r="J308" s="501">
        <f t="shared" si="61"/>
        <v>0</v>
      </c>
      <c r="K308" s="501">
        <f t="shared" si="61"/>
        <v>0</v>
      </c>
      <c r="L308" s="501">
        <f t="shared" si="61"/>
        <v>0</v>
      </c>
      <c r="M308" s="501">
        <f t="shared" si="61"/>
        <v>0</v>
      </c>
      <c r="N308" s="501">
        <f t="shared" si="59"/>
        <v>0</v>
      </c>
      <c r="O308" s="501">
        <f t="shared" si="62"/>
        <v>0</v>
      </c>
      <c r="P308" s="501">
        <f t="shared" si="62"/>
        <v>0</v>
      </c>
      <c r="Q308" s="501">
        <f t="shared" si="62"/>
        <v>0</v>
      </c>
      <c r="R308" s="501">
        <f t="shared" si="62"/>
        <v>0</v>
      </c>
    </row>
    <row r="309" spans="1:18" ht="12.2" customHeight="1">
      <c r="A309" s="501" t="str">
        <f t="shared" si="57"/>
        <v>-</v>
      </c>
      <c r="B309" s="503"/>
      <c r="C309" s="503"/>
      <c r="D309" s="503"/>
      <c r="E309" s="503"/>
      <c r="F309" s="503"/>
      <c r="G309" s="503"/>
      <c r="H309" s="503"/>
      <c r="I309" s="503"/>
      <c r="J309" s="503"/>
      <c r="K309" s="503"/>
      <c r="L309" s="503"/>
      <c r="M309" s="503"/>
      <c r="N309" s="501"/>
      <c r="O309" s="516"/>
      <c r="P309" s="516"/>
      <c r="Q309" s="516"/>
      <c r="R309" s="516"/>
    </row>
    <row r="310" spans="1:18" ht="12.2" customHeight="1">
      <c r="A310" s="501" t="str">
        <f t="shared" si="57"/>
        <v/>
      </c>
      <c r="B310" s="503"/>
      <c r="C310" s="503"/>
      <c r="D310" s="503"/>
      <c r="E310" s="503"/>
      <c r="F310" s="503"/>
      <c r="G310" s="503"/>
      <c r="H310" s="503"/>
      <c r="I310" s="503"/>
      <c r="J310" s="503"/>
      <c r="K310" s="503"/>
      <c r="L310" s="503"/>
      <c r="M310" s="503"/>
      <c r="N310" s="501"/>
      <c r="O310" s="516"/>
      <c r="P310" s="516"/>
      <c r="Q310" s="516"/>
      <c r="R310" s="516"/>
    </row>
    <row r="311" spans="1:18" ht="12.2" customHeight="1">
      <c r="A311" s="501"/>
      <c r="B311" s="503"/>
      <c r="C311" s="503"/>
      <c r="D311" s="503"/>
      <c r="E311" s="503"/>
      <c r="F311" s="503"/>
      <c r="G311" s="503"/>
      <c r="H311" s="503"/>
      <c r="I311" s="503"/>
      <c r="J311" s="503"/>
      <c r="K311" s="503"/>
      <c r="L311" s="503"/>
      <c r="M311" s="503"/>
      <c r="N311" s="501"/>
      <c r="O311" s="516"/>
      <c r="P311" s="516"/>
      <c r="Q311" s="516"/>
      <c r="R311" s="516"/>
    </row>
    <row r="312" spans="1:18" ht="12.2" customHeight="1">
      <c r="A312" s="501">
        <f t="shared" si="57"/>
        <v>0</v>
      </c>
      <c r="B312" s="501">
        <f>B192*$R71</f>
        <v>0</v>
      </c>
      <c r="C312" s="501">
        <f>C192*$R71+B192*$S71</f>
        <v>0</v>
      </c>
      <c r="D312" s="501">
        <f>D192*$R71+C192*$S71+B192*$T71</f>
        <v>0</v>
      </c>
      <c r="E312" s="501">
        <f t="shared" ref="E312:M316" si="63">E192*$R71+D192*$S71+C192*$T71+B192*$U71</f>
        <v>0</v>
      </c>
      <c r="F312" s="501">
        <f t="shared" si="63"/>
        <v>0</v>
      </c>
      <c r="G312" s="501">
        <f t="shared" si="63"/>
        <v>0</v>
      </c>
      <c r="H312" s="501">
        <f t="shared" si="63"/>
        <v>0</v>
      </c>
      <c r="I312" s="501">
        <f t="shared" si="63"/>
        <v>0</v>
      </c>
      <c r="J312" s="501">
        <f t="shared" si="63"/>
        <v>0</v>
      </c>
      <c r="K312" s="501">
        <f t="shared" si="63"/>
        <v>0</v>
      </c>
      <c r="L312" s="501">
        <f t="shared" si="63"/>
        <v>0</v>
      </c>
      <c r="M312" s="501">
        <f t="shared" si="63"/>
        <v>0</v>
      </c>
      <c r="N312" s="501">
        <f t="shared" si="59"/>
        <v>0</v>
      </c>
      <c r="O312" s="501">
        <f t="shared" ref="O312:R316" si="64">O192+B431-C431</f>
        <v>0</v>
      </c>
      <c r="P312" s="501">
        <f t="shared" si="64"/>
        <v>0</v>
      </c>
      <c r="Q312" s="501">
        <f t="shared" si="64"/>
        <v>0</v>
      </c>
      <c r="R312" s="501">
        <f t="shared" si="64"/>
        <v>0</v>
      </c>
    </row>
    <row r="313" spans="1:18" ht="12.2" customHeight="1">
      <c r="A313" s="501">
        <f t="shared" si="57"/>
        <v>0</v>
      </c>
      <c r="B313" s="501">
        <f>B193*$R72</f>
        <v>0</v>
      </c>
      <c r="C313" s="501">
        <f>C193*$R72+B193*$S72</f>
        <v>0</v>
      </c>
      <c r="D313" s="501">
        <f>D193*$R72+C193*$S72+B193*$T72</f>
        <v>0</v>
      </c>
      <c r="E313" s="501">
        <f t="shared" si="63"/>
        <v>0</v>
      </c>
      <c r="F313" s="501">
        <f t="shared" si="63"/>
        <v>0</v>
      </c>
      <c r="G313" s="501">
        <f t="shared" si="63"/>
        <v>0</v>
      </c>
      <c r="H313" s="501">
        <f t="shared" si="63"/>
        <v>0</v>
      </c>
      <c r="I313" s="501">
        <f t="shared" si="63"/>
        <v>0</v>
      </c>
      <c r="J313" s="501">
        <f t="shared" si="63"/>
        <v>0</v>
      </c>
      <c r="K313" s="501">
        <f t="shared" si="63"/>
        <v>0</v>
      </c>
      <c r="L313" s="501">
        <f t="shared" si="63"/>
        <v>0</v>
      </c>
      <c r="M313" s="501">
        <f t="shared" si="63"/>
        <v>0</v>
      </c>
      <c r="N313" s="501">
        <f t="shared" si="59"/>
        <v>0</v>
      </c>
      <c r="O313" s="501">
        <f t="shared" si="64"/>
        <v>0</v>
      </c>
      <c r="P313" s="501">
        <f t="shared" si="64"/>
        <v>0</v>
      </c>
      <c r="Q313" s="501">
        <f t="shared" si="64"/>
        <v>0</v>
      </c>
      <c r="R313" s="501">
        <f t="shared" si="64"/>
        <v>0</v>
      </c>
    </row>
    <row r="314" spans="1:18" ht="12.2" customHeight="1">
      <c r="A314" s="501">
        <f t="shared" si="57"/>
        <v>0</v>
      </c>
      <c r="B314" s="501">
        <f>B194*$R73</f>
        <v>0</v>
      </c>
      <c r="C314" s="501">
        <f>C194*$R73+B194*$S73</f>
        <v>0</v>
      </c>
      <c r="D314" s="501">
        <f>D194*$R73+C194*$S73+B194*$T73</f>
        <v>0</v>
      </c>
      <c r="E314" s="501">
        <f t="shared" si="63"/>
        <v>0</v>
      </c>
      <c r="F314" s="501">
        <f t="shared" si="63"/>
        <v>0</v>
      </c>
      <c r="G314" s="501">
        <f t="shared" si="63"/>
        <v>0</v>
      </c>
      <c r="H314" s="501">
        <f t="shared" si="63"/>
        <v>0</v>
      </c>
      <c r="I314" s="501">
        <f t="shared" si="63"/>
        <v>0</v>
      </c>
      <c r="J314" s="501">
        <f t="shared" si="63"/>
        <v>0</v>
      </c>
      <c r="K314" s="501">
        <f t="shared" si="63"/>
        <v>0</v>
      </c>
      <c r="L314" s="501">
        <f t="shared" si="63"/>
        <v>0</v>
      </c>
      <c r="M314" s="501">
        <f t="shared" si="63"/>
        <v>0</v>
      </c>
      <c r="N314" s="501">
        <f t="shared" si="59"/>
        <v>0</v>
      </c>
      <c r="O314" s="501">
        <f t="shared" si="64"/>
        <v>0</v>
      </c>
      <c r="P314" s="501">
        <f t="shared" si="64"/>
        <v>0</v>
      </c>
      <c r="Q314" s="501">
        <f t="shared" si="64"/>
        <v>0</v>
      </c>
      <c r="R314" s="501">
        <f t="shared" si="64"/>
        <v>0</v>
      </c>
    </row>
    <row r="315" spans="1:18" ht="12.2" customHeight="1">
      <c r="A315" s="501">
        <f t="shared" si="57"/>
        <v>0</v>
      </c>
      <c r="B315" s="501">
        <f>B195*$R74</f>
        <v>0</v>
      </c>
      <c r="C315" s="501">
        <f>C195*$R74+B195*$S74</f>
        <v>0</v>
      </c>
      <c r="D315" s="501">
        <f>D195*$R74+C195*$S74+B195*$T74</f>
        <v>0</v>
      </c>
      <c r="E315" s="501">
        <f t="shared" si="63"/>
        <v>0</v>
      </c>
      <c r="F315" s="501">
        <f t="shared" si="63"/>
        <v>0</v>
      </c>
      <c r="G315" s="501">
        <f t="shared" si="63"/>
        <v>0</v>
      </c>
      <c r="H315" s="501">
        <f t="shared" si="63"/>
        <v>0</v>
      </c>
      <c r="I315" s="501">
        <f t="shared" si="63"/>
        <v>0</v>
      </c>
      <c r="J315" s="501">
        <f t="shared" si="63"/>
        <v>0</v>
      </c>
      <c r="K315" s="501">
        <f t="shared" si="63"/>
        <v>0</v>
      </c>
      <c r="L315" s="501">
        <f t="shared" si="63"/>
        <v>0</v>
      </c>
      <c r="M315" s="501">
        <f t="shared" si="63"/>
        <v>0</v>
      </c>
      <c r="N315" s="501">
        <f t="shared" si="59"/>
        <v>0</v>
      </c>
      <c r="O315" s="501">
        <f t="shared" si="64"/>
        <v>0</v>
      </c>
      <c r="P315" s="501">
        <f t="shared" si="64"/>
        <v>0</v>
      </c>
      <c r="Q315" s="501">
        <f t="shared" si="64"/>
        <v>0</v>
      </c>
      <c r="R315" s="501">
        <f t="shared" si="64"/>
        <v>0</v>
      </c>
    </row>
    <row r="316" spans="1:18" ht="12.2" customHeight="1">
      <c r="A316" s="501">
        <f t="shared" si="57"/>
        <v>0</v>
      </c>
      <c r="B316" s="501">
        <f>B196*$R75</f>
        <v>0</v>
      </c>
      <c r="C316" s="501">
        <f>C196*$R75+B196*$S75</f>
        <v>0</v>
      </c>
      <c r="D316" s="501">
        <f>D196*$R75+C196*$S75+B196*$T75</f>
        <v>0</v>
      </c>
      <c r="E316" s="501">
        <f t="shared" si="63"/>
        <v>0</v>
      </c>
      <c r="F316" s="501">
        <f t="shared" si="63"/>
        <v>0</v>
      </c>
      <c r="G316" s="501">
        <f t="shared" si="63"/>
        <v>0</v>
      </c>
      <c r="H316" s="501">
        <f t="shared" si="63"/>
        <v>0</v>
      </c>
      <c r="I316" s="501">
        <f t="shared" si="63"/>
        <v>0</v>
      </c>
      <c r="J316" s="501">
        <f t="shared" si="63"/>
        <v>0</v>
      </c>
      <c r="K316" s="501">
        <f t="shared" si="63"/>
        <v>0</v>
      </c>
      <c r="L316" s="501">
        <f t="shared" si="63"/>
        <v>0</v>
      </c>
      <c r="M316" s="501">
        <f t="shared" si="63"/>
        <v>0</v>
      </c>
      <c r="N316" s="501">
        <f t="shared" si="59"/>
        <v>0</v>
      </c>
      <c r="O316" s="501">
        <f t="shared" si="64"/>
        <v>0</v>
      </c>
      <c r="P316" s="501">
        <f t="shared" si="64"/>
        <v>0</v>
      </c>
      <c r="Q316" s="501">
        <f t="shared" si="64"/>
        <v>0</v>
      </c>
      <c r="R316" s="501">
        <f t="shared" si="64"/>
        <v>0</v>
      </c>
    </row>
    <row r="317" spans="1:18" ht="12.2" customHeight="1">
      <c r="A317" s="501" t="str">
        <f t="shared" si="57"/>
        <v>-</v>
      </c>
      <c r="B317" s="503"/>
      <c r="C317" s="503"/>
      <c r="D317" s="503"/>
      <c r="E317" s="503"/>
      <c r="F317" s="503"/>
      <c r="G317" s="503"/>
      <c r="H317" s="503"/>
      <c r="I317" s="503"/>
      <c r="J317" s="503"/>
      <c r="K317" s="503"/>
      <c r="L317" s="503"/>
      <c r="M317" s="503"/>
      <c r="N317" s="501"/>
      <c r="O317" s="516"/>
      <c r="P317" s="516"/>
      <c r="Q317" s="516"/>
      <c r="R317" s="516"/>
    </row>
    <row r="318" spans="1:18" ht="12.2" customHeight="1">
      <c r="A318" s="501" t="str">
        <f t="shared" si="57"/>
        <v/>
      </c>
      <c r="B318" s="503"/>
      <c r="C318" s="503"/>
      <c r="D318" s="503"/>
      <c r="E318" s="503"/>
      <c r="F318" s="503"/>
      <c r="G318" s="503"/>
      <c r="H318" s="503"/>
      <c r="I318" s="503"/>
      <c r="J318" s="503"/>
      <c r="K318" s="503"/>
      <c r="L318" s="503"/>
      <c r="M318" s="503"/>
      <c r="N318" s="501"/>
      <c r="O318" s="516"/>
      <c r="P318" s="516"/>
      <c r="Q318" s="516"/>
      <c r="R318" s="516"/>
    </row>
    <row r="319" spans="1:18" ht="12.2" customHeight="1">
      <c r="A319" s="501"/>
      <c r="B319" s="503"/>
      <c r="C319" s="503"/>
      <c r="D319" s="503"/>
      <c r="E319" s="503"/>
      <c r="F319" s="503"/>
      <c r="G319" s="503"/>
      <c r="H319" s="503"/>
      <c r="I319" s="503"/>
      <c r="J319" s="503"/>
      <c r="K319" s="503"/>
      <c r="L319" s="503"/>
      <c r="M319" s="503"/>
      <c r="N319" s="501"/>
      <c r="O319" s="516"/>
      <c r="P319" s="516"/>
      <c r="Q319" s="516"/>
      <c r="R319" s="516"/>
    </row>
    <row r="320" spans="1:18" ht="12.2" customHeight="1">
      <c r="A320" s="501">
        <f t="shared" si="57"/>
        <v>0</v>
      </c>
      <c r="B320" s="501">
        <f>B200*$R79</f>
        <v>0</v>
      </c>
      <c r="C320" s="501">
        <f>C200*$R79+B200*$S79</f>
        <v>0</v>
      </c>
      <c r="D320" s="501">
        <f>D200*$R79+C200*$S79+B200*$T79</f>
        <v>0</v>
      </c>
      <c r="E320" s="501">
        <f t="shared" ref="E320:M324" si="65">E200*$R79+D200*$S79+C200*$T79+B200*$U79</f>
        <v>0</v>
      </c>
      <c r="F320" s="501">
        <f t="shared" si="65"/>
        <v>0</v>
      </c>
      <c r="G320" s="501">
        <f t="shared" si="65"/>
        <v>0</v>
      </c>
      <c r="H320" s="501">
        <f t="shared" si="65"/>
        <v>0</v>
      </c>
      <c r="I320" s="501">
        <f t="shared" si="65"/>
        <v>0</v>
      </c>
      <c r="J320" s="501">
        <f t="shared" si="65"/>
        <v>0</v>
      </c>
      <c r="K320" s="501">
        <f t="shared" si="65"/>
        <v>0</v>
      </c>
      <c r="L320" s="501">
        <f t="shared" si="65"/>
        <v>0</v>
      </c>
      <c r="M320" s="501">
        <f t="shared" si="65"/>
        <v>0</v>
      </c>
      <c r="N320" s="501">
        <f t="shared" si="59"/>
        <v>0</v>
      </c>
      <c r="O320" s="501">
        <f t="shared" ref="O320:R324" si="66">O200+B439-C439</f>
        <v>0</v>
      </c>
      <c r="P320" s="501">
        <f t="shared" si="66"/>
        <v>0</v>
      </c>
      <c r="Q320" s="501">
        <f t="shared" si="66"/>
        <v>0</v>
      </c>
      <c r="R320" s="501">
        <f t="shared" si="66"/>
        <v>0</v>
      </c>
    </row>
    <row r="321" spans="1:18" ht="12.2" customHeight="1">
      <c r="A321" s="501">
        <f t="shared" si="57"/>
        <v>0</v>
      </c>
      <c r="B321" s="501">
        <f>B201*$R80</f>
        <v>0</v>
      </c>
      <c r="C321" s="501">
        <f>C201*$R80+B201*$S80</f>
        <v>0</v>
      </c>
      <c r="D321" s="501">
        <f>D201*$R80+C201*$S80+B201*$T80</f>
        <v>0</v>
      </c>
      <c r="E321" s="501">
        <f t="shared" si="65"/>
        <v>0</v>
      </c>
      <c r="F321" s="501">
        <f t="shared" si="65"/>
        <v>0</v>
      </c>
      <c r="G321" s="501">
        <f t="shared" si="65"/>
        <v>0</v>
      </c>
      <c r="H321" s="501">
        <f t="shared" si="65"/>
        <v>0</v>
      </c>
      <c r="I321" s="501">
        <f t="shared" si="65"/>
        <v>0</v>
      </c>
      <c r="J321" s="501">
        <f t="shared" si="65"/>
        <v>0</v>
      </c>
      <c r="K321" s="501">
        <f t="shared" si="65"/>
        <v>0</v>
      </c>
      <c r="L321" s="501">
        <f t="shared" si="65"/>
        <v>0</v>
      </c>
      <c r="M321" s="501">
        <f t="shared" si="65"/>
        <v>0</v>
      </c>
      <c r="N321" s="501">
        <f t="shared" si="59"/>
        <v>0</v>
      </c>
      <c r="O321" s="501">
        <f t="shared" si="66"/>
        <v>0</v>
      </c>
      <c r="P321" s="501">
        <f t="shared" si="66"/>
        <v>0</v>
      </c>
      <c r="Q321" s="501">
        <f t="shared" si="66"/>
        <v>0</v>
      </c>
      <c r="R321" s="501">
        <f t="shared" si="66"/>
        <v>0</v>
      </c>
    </row>
    <row r="322" spans="1:18" ht="12.2" customHeight="1">
      <c r="A322" s="501">
        <f t="shared" si="57"/>
        <v>0</v>
      </c>
      <c r="B322" s="501">
        <f>B202*$R81</f>
        <v>0</v>
      </c>
      <c r="C322" s="501">
        <f>C202*$R81+B202*$S81</f>
        <v>0</v>
      </c>
      <c r="D322" s="501">
        <f>D202*$R81+C202*$S81+B202*$T81</f>
        <v>0</v>
      </c>
      <c r="E322" s="501">
        <f t="shared" si="65"/>
        <v>0</v>
      </c>
      <c r="F322" s="501">
        <f t="shared" si="65"/>
        <v>0</v>
      </c>
      <c r="G322" s="501">
        <f t="shared" si="65"/>
        <v>0</v>
      </c>
      <c r="H322" s="501">
        <f t="shared" si="65"/>
        <v>0</v>
      </c>
      <c r="I322" s="501">
        <f t="shared" si="65"/>
        <v>0</v>
      </c>
      <c r="J322" s="501">
        <f t="shared" si="65"/>
        <v>0</v>
      </c>
      <c r="K322" s="501">
        <f t="shared" si="65"/>
        <v>0</v>
      </c>
      <c r="L322" s="501">
        <f t="shared" si="65"/>
        <v>0</v>
      </c>
      <c r="M322" s="501">
        <f t="shared" si="65"/>
        <v>0</v>
      </c>
      <c r="N322" s="501">
        <f t="shared" si="59"/>
        <v>0</v>
      </c>
      <c r="O322" s="501">
        <f t="shared" si="66"/>
        <v>0</v>
      </c>
      <c r="P322" s="501">
        <f t="shared" si="66"/>
        <v>0</v>
      </c>
      <c r="Q322" s="501">
        <f t="shared" si="66"/>
        <v>0</v>
      </c>
      <c r="R322" s="501">
        <f t="shared" si="66"/>
        <v>0</v>
      </c>
    </row>
    <row r="323" spans="1:18" ht="12.2" customHeight="1">
      <c r="A323" s="501">
        <f t="shared" si="57"/>
        <v>0</v>
      </c>
      <c r="B323" s="501">
        <f>B203*$R82</f>
        <v>0</v>
      </c>
      <c r="C323" s="501">
        <f>C203*$R82+B203*$S82</f>
        <v>0</v>
      </c>
      <c r="D323" s="501">
        <f>D203*$R82+C203*$S82+B203*$T82</f>
        <v>0</v>
      </c>
      <c r="E323" s="501">
        <f t="shared" si="65"/>
        <v>0</v>
      </c>
      <c r="F323" s="501">
        <f t="shared" si="65"/>
        <v>0</v>
      </c>
      <c r="G323" s="501">
        <f t="shared" si="65"/>
        <v>0</v>
      </c>
      <c r="H323" s="501">
        <f t="shared" si="65"/>
        <v>0</v>
      </c>
      <c r="I323" s="501">
        <f t="shared" si="65"/>
        <v>0</v>
      </c>
      <c r="J323" s="501">
        <f t="shared" si="65"/>
        <v>0</v>
      </c>
      <c r="K323" s="501">
        <f t="shared" si="65"/>
        <v>0</v>
      </c>
      <c r="L323" s="501">
        <f t="shared" si="65"/>
        <v>0</v>
      </c>
      <c r="M323" s="501">
        <f t="shared" si="65"/>
        <v>0</v>
      </c>
      <c r="N323" s="501">
        <f t="shared" si="59"/>
        <v>0</v>
      </c>
      <c r="O323" s="501">
        <f t="shared" si="66"/>
        <v>0</v>
      </c>
      <c r="P323" s="501">
        <f t="shared" si="66"/>
        <v>0</v>
      </c>
      <c r="Q323" s="501">
        <f t="shared" si="66"/>
        <v>0</v>
      </c>
      <c r="R323" s="501">
        <f t="shared" si="66"/>
        <v>0</v>
      </c>
    </row>
    <row r="324" spans="1:18" ht="12.2" customHeight="1">
      <c r="A324" s="501">
        <f t="shared" si="57"/>
        <v>0</v>
      </c>
      <c r="B324" s="501">
        <f>B204*$R83</f>
        <v>0</v>
      </c>
      <c r="C324" s="501">
        <f>C204*$R83+B204*$S83</f>
        <v>0</v>
      </c>
      <c r="D324" s="501">
        <f>D204*$R83+C204*$S83+B204*$T83</f>
        <v>0</v>
      </c>
      <c r="E324" s="501">
        <f t="shared" si="65"/>
        <v>0</v>
      </c>
      <c r="F324" s="501">
        <f t="shared" si="65"/>
        <v>0</v>
      </c>
      <c r="G324" s="501">
        <f t="shared" si="65"/>
        <v>0</v>
      </c>
      <c r="H324" s="501">
        <f t="shared" si="65"/>
        <v>0</v>
      </c>
      <c r="I324" s="501">
        <f t="shared" si="65"/>
        <v>0</v>
      </c>
      <c r="J324" s="501">
        <f t="shared" si="65"/>
        <v>0</v>
      </c>
      <c r="K324" s="501">
        <f t="shared" si="65"/>
        <v>0</v>
      </c>
      <c r="L324" s="501">
        <f t="shared" si="65"/>
        <v>0</v>
      </c>
      <c r="M324" s="501">
        <f t="shared" si="65"/>
        <v>0</v>
      </c>
      <c r="N324" s="501">
        <f t="shared" si="59"/>
        <v>0</v>
      </c>
      <c r="O324" s="501">
        <f t="shared" si="66"/>
        <v>0</v>
      </c>
      <c r="P324" s="501">
        <f t="shared" si="66"/>
        <v>0</v>
      </c>
      <c r="Q324" s="501">
        <f t="shared" si="66"/>
        <v>0</v>
      </c>
      <c r="R324" s="501">
        <f t="shared" si="66"/>
        <v>0</v>
      </c>
    </row>
    <row r="325" spans="1:18" ht="12.2" customHeight="1">
      <c r="A325" s="501" t="str">
        <f t="shared" si="57"/>
        <v>-</v>
      </c>
      <c r="B325" s="503"/>
      <c r="C325" s="503"/>
      <c r="D325" s="503"/>
      <c r="E325" s="503"/>
      <c r="F325" s="503"/>
      <c r="G325" s="503"/>
      <c r="H325" s="503"/>
      <c r="I325" s="503"/>
      <c r="J325" s="503"/>
      <c r="K325" s="503"/>
      <c r="L325" s="503"/>
      <c r="M325" s="503"/>
      <c r="N325" s="501"/>
      <c r="O325" s="516"/>
      <c r="P325" s="516"/>
      <c r="Q325" s="516"/>
      <c r="R325" s="516"/>
    </row>
    <row r="326" spans="1:18" ht="12.2" customHeight="1">
      <c r="A326" s="501" t="str">
        <f t="shared" si="57"/>
        <v/>
      </c>
      <c r="B326" s="503"/>
      <c r="C326" s="503"/>
      <c r="D326" s="503"/>
      <c r="E326" s="503"/>
      <c r="F326" s="503"/>
      <c r="G326" s="503"/>
      <c r="H326" s="503"/>
      <c r="I326" s="503"/>
      <c r="J326" s="503"/>
      <c r="K326" s="503"/>
      <c r="L326" s="503"/>
      <c r="M326" s="503"/>
      <c r="N326" s="501"/>
      <c r="O326" s="516"/>
      <c r="P326" s="516"/>
      <c r="Q326" s="516"/>
      <c r="R326" s="516"/>
    </row>
    <row r="327" spans="1:18" ht="12.2" customHeight="1">
      <c r="A327" s="501"/>
      <c r="B327" s="503"/>
      <c r="C327" s="503"/>
      <c r="D327" s="503"/>
      <c r="E327" s="503"/>
      <c r="F327" s="503"/>
      <c r="G327" s="503"/>
      <c r="H327" s="503"/>
      <c r="I327" s="503"/>
      <c r="J327" s="503"/>
      <c r="K327" s="503"/>
      <c r="L327" s="503"/>
      <c r="M327" s="503"/>
      <c r="N327" s="501"/>
      <c r="O327" s="516"/>
      <c r="P327" s="516"/>
      <c r="Q327" s="516"/>
      <c r="R327" s="516"/>
    </row>
    <row r="328" spans="1:18" ht="12.2" customHeight="1">
      <c r="A328" s="501">
        <f t="shared" si="57"/>
        <v>0</v>
      </c>
      <c r="B328" s="501">
        <f>B208*$R87</f>
        <v>0</v>
      </c>
      <c r="C328" s="501">
        <f>C208*$R87+B208*$S87</f>
        <v>0</v>
      </c>
      <c r="D328" s="501">
        <f>D208*$R87+C208*$S87+B208*$T87</f>
        <v>0</v>
      </c>
      <c r="E328" s="501">
        <f t="shared" ref="E328:M332" si="67">E208*$R87+D208*$S87+C208*$T87+B208*$U87</f>
        <v>0</v>
      </c>
      <c r="F328" s="501">
        <f t="shared" si="67"/>
        <v>0</v>
      </c>
      <c r="G328" s="501">
        <f t="shared" si="67"/>
        <v>0</v>
      </c>
      <c r="H328" s="501">
        <f t="shared" si="67"/>
        <v>0</v>
      </c>
      <c r="I328" s="501">
        <f t="shared" si="67"/>
        <v>0</v>
      </c>
      <c r="J328" s="501">
        <f t="shared" si="67"/>
        <v>0</v>
      </c>
      <c r="K328" s="501">
        <f t="shared" si="67"/>
        <v>0</v>
      </c>
      <c r="L328" s="501">
        <f t="shared" si="67"/>
        <v>0</v>
      </c>
      <c r="M328" s="501">
        <f t="shared" si="67"/>
        <v>0</v>
      </c>
      <c r="N328" s="501">
        <f t="shared" si="59"/>
        <v>0</v>
      </c>
      <c r="O328" s="501">
        <f t="shared" ref="O328:R332" si="68">O208+B447-C447</f>
        <v>0</v>
      </c>
      <c r="P328" s="501">
        <f t="shared" si="68"/>
        <v>0</v>
      </c>
      <c r="Q328" s="501">
        <f t="shared" si="68"/>
        <v>0</v>
      </c>
      <c r="R328" s="501">
        <f t="shared" si="68"/>
        <v>0</v>
      </c>
    </row>
    <row r="329" spans="1:18" ht="12.2" customHeight="1">
      <c r="A329" s="501">
        <f t="shared" si="57"/>
        <v>0</v>
      </c>
      <c r="B329" s="501">
        <f>B209*$R88</f>
        <v>0</v>
      </c>
      <c r="C329" s="501">
        <f>C209*$R88+B209*$S88</f>
        <v>0</v>
      </c>
      <c r="D329" s="501">
        <f>D209*$R88+C209*$S88+B209*$T88</f>
        <v>0</v>
      </c>
      <c r="E329" s="501">
        <f t="shared" si="67"/>
        <v>0</v>
      </c>
      <c r="F329" s="501">
        <f t="shared" si="67"/>
        <v>0</v>
      </c>
      <c r="G329" s="501">
        <f t="shared" si="67"/>
        <v>0</v>
      </c>
      <c r="H329" s="501">
        <f t="shared" si="67"/>
        <v>0</v>
      </c>
      <c r="I329" s="501">
        <f t="shared" si="67"/>
        <v>0</v>
      </c>
      <c r="J329" s="501">
        <f t="shared" si="67"/>
        <v>0</v>
      </c>
      <c r="K329" s="501">
        <f t="shared" si="67"/>
        <v>0</v>
      </c>
      <c r="L329" s="501">
        <f t="shared" si="67"/>
        <v>0</v>
      </c>
      <c r="M329" s="501">
        <f t="shared" si="67"/>
        <v>0</v>
      </c>
      <c r="N329" s="501">
        <f t="shared" si="59"/>
        <v>0</v>
      </c>
      <c r="O329" s="501">
        <f t="shared" si="68"/>
        <v>0</v>
      </c>
      <c r="P329" s="501">
        <f t="shared" si="68"/>
        <v>0</v>
      </c>
      <c r="Q329" s="501">
        <f t="shared" si="68"/>
        <v>0</v>
      </c>
      <c r="R329" s="501">
        <f t="shared" si="68"/>
        <v>0</v>
      </c>
    </row>
    <row r="330" spans="1:18" ht="12.2" customHeight="1">
      <c r="A330" s="501">
        <f t="shared" si="57"/>
        <v>0</v>
      </c>
      <c r="B330" s="501">
        <f>B210*$R89</f>
        <v>0</v>
      </c>
      <c r="C330" s="501">
        <f>C210*$R89+B210*$S89</f>
        <v>0</v>
      </c>
      <c r="D330" s="501">
        <f>D210*$R89+C210*$S89+B210*$T89</f>
        <v>0</v>
      </c>
      <c r="E330" s="501">
        <f t="shared" si="67"/>
        <v>0</v>
      </c>
      <c r="F330" s="501">
        <f t="shared" si="67"/>
        <v>0</v>
      </c>
      <c r="G330" s="501">
        <f t="shared" si="67"/>
        <v>0</v>
      </c>
      <c r="H330" s="501">
        <f t="shared" si="67"/>
        <v>0</v>
      </c>
      <c r="I330" s="501">
        <f t="shared" si="67"/>
        <v>0</v>
      </c>
      <c r="J330" s="501">
        <f t="shared" si="67"/>
        <v>0</v>
      </c>
      <c r="K330" s="501">
        <f t="shared" si="67"/>
        <v>0</v>
      </c>
      <c r="L330" s="501">
        <f t="shared" si="67"/>
        <v>0</v>
      </c>
      <c r="M330" s="501">
        <f t="shared" si="67"/>
        <v>0</v>
      </c>
      <c r="N330" s="501">
        <f t="shared" si="59"/>
        <v>0</v>
      </c>
      <c r="O330" s="501">
        <f t="shared" si="68"/>
        <v>0</v>
      </c>
      <c r="P330" s="501">
        <f t="shared" si="68"/>
        <v>0</v>
      </c>
      <c r="Q330" s="501">
        <f t="shared" si="68"/>
        <v>0</v>
      </c>
      <c r="R330" s="501">
        <f t="shared" si="68"/>
        <v>0</v>
      </c>
    </row>
    <row r="331" spans="1:18" ht="12.2" customHeight="1">
      <c r="A331" s="501">
        <f t="shared" si="57"/>
        <v>0</v>
      </c>
      <c r="B331" s="501">
        <f>B211*$R90</f>
        <v>0</v>
      </c>
      <c r="C331" s="501">
        <f>C211*$R90+B211*$S90</f>
        <v>0</v>
      </c>
      <c r="D331" s="501">
        <f>D211*$R90+C211*$S90+B211*$T90</f>
        <v>0</v>
      </c>
      <c r="E331" s="501">
        <f t="shared" si="67"/>
        <v>0</v>
      </c>
      <c r="F331" s="501">
        <f t="shared" si="67"/>
        <v>0</v>
      </c>
      <c r="G331" s="501">
        <f t="shared" si="67"/>
        <v>0</v>
      </c>
      <c r="H331" s="501">
        <f t="shared" si="67"/>
        <v>0</v>
      </c>
      <c r="I331" s="501">
        <f t="shared" si="67"/>
        <v>0</v>
      </c>
      <c r="J331" s="501">
        <f t="shared" si="67"/>
        <v>0</v>
      </c>
      <c r="K331" s="501">
        <f t="shared" si="67"/>
        <v>0</v>
      </c>
      <c r="L331" s="501">
        <f t="shared" si="67"/>
        <v>0</v>
      </c>
      <c r="M331" s="501">
        <f t="shared" si="67"/>
        <v>0</v>
      </c>
      <c r="N331" s="501">
        <f t="shared" si="59"/>
        <v>0</v>
      </c>
      <c r="O331" s="501">
        <f t="shared" si="68"/>
        <v>0</v>
      </c>
      <c r="P331" s="501">
        <f t="shared" si="68"/>
        <v>0</v>
      </c>
      <c r="Q331" s="501">
        <f t="shared" si="68"/>
        <v>0</v>
      </c>
      <c r="R331" s="501">
        <f t="shared" si="68"/>
        <v>0</v>
      </c>
    </row>
    <row r="332" spans="1:18" ht="12.2" customHeight="1">
      <c r="A332" s="501">
        <f t="shared" si="57"/>
        <v>0</v>
      </c>
      <c r="B332" s="501">
        <f>B212*$R91</f>
        <v>0</v>
      </c>
      <c r="C332" s="501">
        <f>C212*$R91+B212*$S91</f>
        <v>0</v>
      </c>
      <c r="D332" s="501">
        <f>D212*$R91+C212*$S91+B212*$T91</f>
        <v>0</v>
      </c>
      <c r="E332" s="501">
        <f t="shared" si="67"/>
        <v>0</v>
      </c>
      <c r="F332" s="501">
        <f t="shared" si="67"/>
        <v>0</v>
      </c>
      <c r="G332" s="501">
        <f t="shared" si="67"/>
        <v>0</v>
      </c>
      <c r="H332" s="501">
        <f t="shared" si="67"/>
        <v>0</v>
      </c>
      <c r="I332" s="501">
        <f t="shared" si="67"/>
        <v>0</v>
      </c>
      <c r="J332" s="501">
        <f t="shared" si="67"/>
        <v>0</v>
      </c>
      <c r="K332" s="501">
        <f t="shared" si="67"/>
        <v>0</v>
      </c>
      <c r="L332" s="501">
        <f t="shared" si="67"/>
        <v>0</v>
      </c>
      <c r="M332" s="501">
        <f t="shared" si="67"/>
        <v>0</v>
      </c>
      <c r="N332" s="501">
        <f t="shared" si="59"/>
        <v>0</v>
      </c>
      <c r="O332" s="501">
        <f t="shared" si="68"/>
        <v>0</v>
      </c>
      <c r="P332" s="501">
        <f t="shared" si="68"/>
        <v>0</v>
      </c>
      <c r="Q332" s="501">
        <f t="shared" si="68"/>
        <v>0</v>
      </c>
      <c r="R332" s="501">
        <f t="shared" si="68"/>
        <v>0</v>
      </c>
    </row>
    <row r="333" spans="1:18" ht="12.2" customHeight="1">
      <c r="A333" s="501" t="str">
        <f t="shared" si="57"/>
        <v>-</v>
      </c>
      <c r="B333" s="503"/>
      <c r="C333" s="503"/>
      <c r="D333" s="503"/>
      <c r="E333" s="503"/>
      <c r="F333" s="503"/>
      <c r="G333" s="503"/>
      <c r="H333" s="503"/>
      <c r="I333" s="503"/>
      <c r="J333" s="503"/>
      <c r="K333" s="503"/>
      <c r="L333" s="503"/>
      <c r="M333" s="503"/>
      <c r="N333" s="501"/>
      <c r="O333" s="516"/>
      <c r="P333" s="516"/>
      <c r="Q333" s="516"/>
      <c r="R333" s="516"/>
    </row>
    <row r="334" spans="1:18" ht="12.2" customHeight="1">
      <c r="A334" s="501" t="str">
        <f t="shared" si="57"/>
        <v/>
      </c>
      <c r="B334" s="503"/>
      <c r="C334" s="503"/>
      <c r="D334" s="503"/>
      <c r="E334" s="503"/>
      <c r="F334" s="503"/>
      <c r="G334" s="503"/>
      <c r="H334" s="503"/>
      <c r="I334" s="503"/>
      <c r="J334" s="503"/>
      <c r="K334" s="503"/>
      <c r="L334" s="503"/>
      <c r="M334" s="503"/>
      <c r="N334" s="501"/>
      <c r="O334" s="516"/>
      <c r="P334" s="516"/>
      <c r="Q334" s="516"/>
      <c r="R334" s="516"/>
    </row>
    <row r="335" spans="1:18" ht="12.2" customHeight="1">
      <c r="A335" s="501"/>
      <c r="B335" s="503"/>
      <c r="C335" s="503"/>
      <c r="D335" s="503"/>
      <c r="E335" s="503"/>
      <c r="F335" s="503"/>
      <c r="G335" s="503"/>
      <c r="H335" s="503"/>
      <c r="I335" s="503"/>
      <c r="J335" s="503"/>
      <c r="K335" s="503"/>
      <c r="L335" s="503"/>
      <c r="M335" s="503"/>
      <c r="N335" s="501"/>
      <c r="O335" s="516"/>
      <c r="P335" s="516"/>
      <c r="Q335" s="516"/>
      <c r="R335" s="516"/>
    </row>
    <row r="336" spans="1:18" ht="12.2" customHeight="1">
      <c r="A336" s="501">
        <f t="shared" si="57"/>
        <v>0</v>
      </c>
      <c r="B336" s="501">
        <f>B216*$R95</f>
        <v>0</v>
      </c>
      <c r="C336" s="501">
        <f>C216*$R95+B216*$S95</f>
        <v>0</v>
      </c>
      <c r="D336" s="501">
        <f>D216*$R95+C216*$S95+B216*$T95</f>
        <v>0</v>
      </c>
      <c r="E336" s="501">
        <f t="shared" ref="E336:M340" si="69">E216*$R95+D216*$S95+C216*$T95+B216*$U95</f>
        <v>0</v>
      </c>
      <c r="F336" s="501">
        <f t="shared" si="69"/>
        <v>0</v>
      </c>
      <c r="G336" s="501">
        <f t="shared" si="69"/>
        <v>0</v>
      </c>
      <c r="H336" s="501">
        <f t="shared" si="69"/>
        <v>0</v>
      </c>
      <c r="I336" s="501">
        <f t="shared" si="69"/>
        <v>0</v>
      </c>
      <c r="J336" s="501">
        <f t="shared" si="69"/>
        <v>0</v>
      </c>
      <c r="K336" s="501">
        <f t="shared" si="69"/>
        <v>0</v>
      </c>
      <c r="L336" s="501">
        <f t="shared" si="69"/>
        <v>0</v>
      </c>
      <c r="M336" s="501">
        <f t="shared" si="69"/>
        <v>0</v>
      </c>
      <c r="N336" s="501">
        <f t="shared" si="59"/>
        <v>0</v>
      </c>
      <c r="O336" s="501">
        <f t="shared" ref="O336:R340" si="70">O216+B455-C455</f>
        <v>0</v>
      </c>
      <c r="P336" s="501">
        <f t="shared" si="70"/>
        <v>0</v>
      </c>
      <c r="Q336" s="501">
        <f t="shared" si="70"/>
        <v>0</v>
      </c>
      <c r="R336" s="501">
        <f t="shared" si="70"/>
        <v>0</v>
      </c>
    </row>
    <row r="337" spans="1:18" ht="12.2" customHeight="1">
      <c r="A337" s="501">
        <f t="shared" si="57"/>
        <v>0</v>
      </c>
      <c r="B337" s="501">
        <f>B217*$R96</f>
        <v>0</v>
      </c>
      <c r="C337" s="501">
        <f>C217*$R96+B217*$S96</f>
        <v>0</v>
      </c>
      <c r="D337" s="501">
        <f>D217*$R96+C217*$S96+B217*$T96</f>
        <v>0</v>
      </c>
      <c r="E337" s="501">
        <f t="shared" si="69"/>
        <v>0</v>
      </c>
      <c r="F337" s="501">
        <f t="shared" si="69"/>
        <v>0</v>
      </c>
      <c r="G337" s="501">
        <f t="shared" si="69"/>
        <v>0</v>
      </c>
      <c r="H337" s="501">
        <f t="shared" si="69"/>
        <v>0</v>
      </c>
      <c r="I337" s="501">
        <f t="shared" si="69"/>
        <v>0</v>
      </c>
      <c r="J337" s="501">
        <f t="shared" si="69"/>
        <v>0</v>
      </c>
      <c r="K337" s="501">
        <f t="shared" si="69"/>
        <v>0</v>
      </c>
      <c r="L337" s="501">
        <f t="shared" si="69"/>
        <v>0</v>
      </c>
      <c r="M337" s="501">
        <f t="shared" si="69"/>
        <v>0</v>
      </c>
      <c r="N337" s="501">
        <f t="shared" si="59"/>
        <v>0</v>
      </c>
      <c r="O337" s="501">
        <f t="shared" si="70"/>
        <v>0</v>
      </c>
      <c r="P337" s="501">
        <f t="shared" si="70"/>
        <v>0</v>
      </c>
      <c r="Q337" s="501">
        <f t="shared" si="70"/>
        <v>0</v>
      </c>
      <c r="R337" s="501">
        <f t="shared" si="70"/>
        <v>0</v>
      </c>
    </row>
    <row r="338" spans="1:18" ht="12.2" customHeight="1">
      <c r="A338" s="501">
        <f t="shared" si="57"/>
        <v>0</v>
      </c>
      <c r="B338" s="501">
        <f>B218*$R97</f>
        <v>0</v>
      </c>
      <c r="C338" s="501">
        <f>C218*$R97+B218*$S97</f>
        <v>0</v>
      </c>
      <c r="D338" s="501">
        <f>D218*$R97+C218*$S97+B218*$T97</f>
        <v>0</v>
      </c>
      <c r="E338" s="501">
        <f t="shared" si="69"/>
        <v>0</v>
      </c>
      <c r="F338" s="501">
        <f t="shared" si="69"/>
        <v>0</v>
      </c>
      <c r="G338" s="501">
        <f t="shared" si="69"/>
        <v>0</v>
      </c>
      <c r="H338" s="501">
        <f t="shared" si="69"/>
        <v>0</v>
      </c>
      <c r="I338" s="501">
        <f t="shared" si="69"/>
        <v>0</v>
      </c>
      <c r="J338" s="501">
        <f t="shared" si="69"/>
        <v>0</v>
      </c>
      <c r="K338" s="501">
        <f t="shared" si="69"/>
        <v>0</v>
      </c>
      <c r="L338" s="501">
        <f t="shared" si="69"/>
        <v>0</v>
      </c>
      <c r="M338" s="501">
        <f t="shared" si="69"/>
        <v>0</v>
      </c>
      <c r="N338" s="501">
        <f t="shared" si="59"/>
        <v>0</v>
      </c>
      <c r="O338" s="501">
        <f t="shared" si="70"/>
        <v>0</v>
      </c>
      <c r="P338" s="501">
        <f t="shared" si="70"/>
        <v>0</v>
      </c>
      <c r="Q338" s="501">
        <f t="shared" si="70"/>
        <v>0</v>
      </c>
      <c r="R338" s="501">
        <f t="shared" si="70"/>
        <v>0</v>
      </c>
    </row>
    <row r="339" spans="1:18" ht="12.2" customHeight="1">
      <c r="A339" s="501">
        <f t="shared" si="57"/>
        <v>0</v>
      </c>
      <c r="B339" s="501">
        <f>B219*$R98</f>
        <v>0</v>
      </c>
      <c r="C339" s="501">
        <f>C219*$R98+B219*$S98</f>
        <v>0</v>
      </c>
      <c r="D339" s="501">
        <f>D219*$R98+C219*$S98+B219*$T98</f>
        <v>0</v>
      </c>
      <c r="E339" s="501">
        <f t="shared" si="69"/>
        <v>0</v>
      </c>
      <c r="F339" s="501">
        <f t="shared" si="69"/>
        <v>0</v>
      </c>
      <c r="G339" s="501">
        <f t="shared" si="69"/>
        <v>0</v>
      </c>
      <c r="H339" s="501">
        <f t="shared" si="69"/>
        <v>0</v>
      </c>
      <c r="I339" s="501">
        <f t="shared" si="69"/>
        <v>0</v>
      </c>
      <c r="J339" s="501">
        <f t="shared" si="69"/>
        <v>0</v>
      </c>
      <c r="K339" s="501">
        <f t="shared" si="69"/>
        <v>0</v>
      </c>
      <c r="L339" s="501">
        <f t="shared" si="69"/>
        <v>0</v>
      </c>
      <c r="M339" s="501">
        <f t="shared" si="69"/>
        <v>0</v>
      </c>
      <c r="N339" s="501">
        <f t="shared" si="59"/>
        <v>0</v>
      </c>
      <c r="O339" s="501">
        <f t="shared" si="70"/>
        <v>0</v>
      </c>
      <c r="P339" s="501">
        <f t="shared" si="70"/>
        <v>0</v>
      </c>
      <c r="Q339" s="501">
        <f t="shared" si="70"/>
        <v>0</v>
      </c>
      <c r="R339" s="501">
        <f t="shared" si="70"/>
        <v>0</v>
      </c>
    </row>
    <row r="340" spans="1:18" ht="12.2" customHeight="1">
      <c r="A340" s="501">
        <f t="shared" si="57"/>
        <v>0</v>
      </c>
      <c r="B340" s="501">
        <f>B220*$R99</f>
        <v>0</v>
      </c>
      <c r="C340" s="501">
        <f>C220*$R99+B220*$S99</f>
        <v>0</v>
      </c>
      <c r="D340" s="501">
        <f>D220*$R99+C220*$S99+B220*$T99</f>
        <v>0</v>
      </c>
      <c r="E340" s="501">
        <f t="shared" si="69"/>
        <v>0</v>
      </c>
      <c r="F340" s="501">
        <f t="shared" si="69"/>
        <v>0</v>
      </c>
      <c r="G340" s="501">
        <f t="shared" si="69"/>
        <v>0</v>
      </c>
      <c r="H340" s="501">
        <f t="shared" si="69"/>
        <v>0</v>
      </c>
      <c r="I340" s="501">
        <f t="shared" si="69"/>
        <v>0</v>
      </c>
      <c r="J340" s="501">
        <f t="shared" si="69"/>
        <v>0</v>
      </c>
      <c r="K340" s="501">
        <f t="shared" si="69"/>
        <v>0</v>
      </c>
      <c r="L340" s="501">
        <f t="shared" si="69"/>
        <v>0</v>
      </c>
      <c r="M340" s="501">
        <f t="shared" si="69"/>
        <v>0</v>
      </c>
      <c r="N340" s="501">
        <f t="shared" si="59"/>
        <v>0</v>
      </c>
      <c r="O340" s="501">
        <f t="shared" si="70"/>
        <v>0</v>
      </c>
      <c r="P340" s="501">
        <f t="shared" si="70"/>
        <v>0</v>
      </c>
      <c r="Q340" s="501">
        <f t="shared" si="70"/>
        <v>0</v>
      </c>
      <c r="R340" s="501">
        <f t="shared" si="70"/>
        <v>0</v>
      </c>
    </row>
    <row r="341" spans="1:18" ht="12.2" customHeight="1">
      <c r="A341" s="501" t="str">
        <f t="shared" si="57"/>
        <v>-</v>
      </c>
      <c r="B341" s="503"/>
      <c r="C341" s="503"/>
      <c r="D341" s="503"/>
      <c r="E341" s="503"/>
      <c r="F341" s="503"/>
      <c r="G341" s="503"/>
      <c r="H341" s="503"/>
      <c r="I341" s="503"/>
      <c r="J341" s="503"/>
      <c r="K341" s="503"/>
      <c r="L341" s="503"/>
      <c r="M341" s="503"/>
      <c r="N341" s="501"/>
      <c r="O341" s="503"/>
      <c r="P341" s="503"/>
      <c r="Q341" s="503"/>
      <c r="R341" s="503"/>
    </row>
    <row r="342" spans="1:18" ht="12.2" customHeight="1">
      <c r="A342" s="499" t="s">
        <v>243</v>
      </c>
      <c r="B342" s="501"/>
      <c r="C342" s="501"/>
      <c r="D342" s="501"/>
      <c r="E342" s="501"/>
      <c r="F342" s="501"/>
      <c r="G342" s="501"/>
      <c r="H342" s="501"/>
      <c r="I342" s="501"/>
      <c r="J342" s="501"/>
      <c r="K342" s="501"/>
      <c r="L342" s="501"/>
      <c r="M342" s="501"/>
      <c r="N342" s="501"/>
      <c r="O342" s="501"/>
      <c r="P342" s="501"/>
      <c r="Q342" s="501"/>
      <c r="R342" s="501"/>
    </row>
    <row r="343" spans="1:18" ht="12.2" customHeight="1">
      <c r="B343" s="501"/>
      <c r="C343" s="501"/>
      <c r="D343" s="501"/>
      <c r="E343" s="501"/>
      <c r="F343" s="501"/>
      <c r="G343" s="501"/>
      <c r="H343" s="501"/>
      <c r="I343" s="501"/>
      <c r="J343" s="501"/>
      <c r="K343" s="501"/>
      <c r="L343" s="501"/>
      <c r="M343" s="501"/>
      <c r="N343" s="501"/>
      <c r="O343" s="501"/>
      <c r="P343" s="501"/>
      <c r="Q343" s="501"/>
      <c r="R343" s="501"/>
    </row>
    <row r="344" spans="1:18" ht="12.2" customHeight="1">
      <c r="A344" s="500" t="str">
        <f t="shared" ref="A344:A355" si="71">A15</f>
        <v>CAMISETAS</v>
      </c>
      <c r="B344" s="501">
        <f t="shared" ref="B344:R344" si="72">SUM(B248:B252)</f>
        <v>9720000</v>
      </c>
      <c r="C344" s="501">
        <f t="shared" si="72"/>
        <v>11340000</v>
      </c>
      <c r="D344" s="501">
        <f t="shared" si="72"/>
        <v>11340000</v>
      </c>
      <c r="E344" s="501">
        <f t="shared" si="72"/>
        <v>11340000</v>
      </c>
      <c r="F344" s="501">
        <f t="shared" si="72"/>
        <v>16200000</v>
      </c>
      <c r="G344" s="501">
        <f t="shared" si="72"/>
        <v>14580000</v>
      </c>
      <c r="H344" s="501">
        <f t="shared" si="72"/>
        <v>12960000</v>
      </c>
      <c r="I344" s="501">
        <f t="shared" si="72"/>
        <v>12960000</v>
      </c>
      <c r="J344" s="501">
        <f t="shared" si="72"/>
        <v>12960000</v>
      </c>
      <c r="K344" s="501">
        <f t="shared" si="72"/>
        <v>16200000</v>
      </c>
      <c r="L344" s="501">
        <f t="shared" si="72"/>
        <v>22680000</v>
      </c>
      <c r="M344" s="501">
        <f t="shared" si="72"/>
        <v>9720000</v>
      </c>
      <c r="N344" s="501">
        <f t="shared" si="72"/>
        <v>162000000</v>
      </c>
      <c r="O344" s="501">
        <f t="shared" si="72"/>
        <v>184077480</v>
      </c>
      <c r="P344" s="501">
        <f t="shared" si="72"/>
        <v>215316020.40000001</v>
      </c>
      <c r="Q344" s="501">
        <f t="shared" si="72"/>
        <v>0</v>
      </c>
      <c r="R344" s="501">
        <f t="shared" si="72"/>
        <v>0</v>
      </c>
    </row>
    <row r="345" spans="1:18" ht="12.2" customHeight="1">
      <c r="A345" s="500" t="str">
        <f t="shared" si="71"/>
        <v/>
      </c>
      <c r="B345" s="501">
        <f>SUM(B256:B260)</f>
        <v>0</v>
      </c>
      <c r="C345" s="501">
        <f t="shared" ref="C345:R345" si="73">SUM(C256:C261)</f>
        <v>0</v>
      </c>
      <c r="D345" s="501">
        <f t="shared" si="73"/>
        <v>0</v>
      </c>
      <c r="E345" s="501">
        <f t="shared" si="73"/>
        <v>0</v>
      </c>
      <c r="F345" s="501">
        <f t="shared" si="73"/>
        <v>0</v>
      </c>
      <c r="G345" s="501">
        <f t="shared" si="73"/>
        <v>0</v>
      </c>
      <c r="H345" s="501">
        <f t="shared" si="73"/>
        <v>0</v>
      </c>
      <c r="I345" s="501">
        <f t="shared" si="73"/>
        <v>0</v>
      </c>
      <c r="J345" s="501">
        <f t="shared" si="73"/>
        <v>0</v>
      </c>
      <c r="K345" s="501">
        <f t="shared" si="73"/>
        <v>0</v>
      </c>
      <c r="L345" s="501">
        <f t="shared" si="73"/>
        <v>0</v>
      </c>
      <c r="M345" s="501">
        <f t="shared" si="73"/>
        <v>0</v>
      </c>
      <c r="N345" s="501">
        <f t="shared" si="73"/>
        <v>0</v>
      </c>
      <c r="O345" s="501">
        <f t="shared" si="73"/>
        <v>0</v>
      </c>
      <c r="P345" s="501">
        <f t="shared" si="73"/>
        <v>0</v>
      </c>
      <c r="Q345" s="501">
        <f t="shared" si="73"/>
        <v>0</v>
      </c>
      <c r="R345" s="501">
        <f t="shared" si="73"/>
        <v>0</v>
      </c>
    </row>
    <row r="346" spans="1:18" ht="12.2" customHeight="1">
      <c r="A346" s="500" t="str">
        <f t="shared" si="71"/>
        <v/>
      </c>
      <c r="B346" s="501">
        <f>SUM(B264:B268)</f>
        <v>0</v>
      </c>
      <c r="C346" s="501">
        <f t="shared" ref="C346:R346" si="74">SUM(C264:C269)</f>
        <v>0</v>
      </c>
      <c r="D346" s="501">
        <f t="shared" si="74"/>
        <v>0</v>
      </c>
      <c r="E346" s="501">
        <f t="shared" si="74"/>
        <v>0</v>
      </c>
      <c r="F346" s="501">
        <f t="shared" si="74"/>
        <v>0</v>
      </c>
      <c r="G346" s="501">
        <f t="shared" si="74"/>
        <v>0</v>
      </c>
      <c r="H346" s="501">
        <f t="shared" si="74"/>
        <v>0</v>
      </c>
      <c r="I346" s="501">
        <f t="shared" si="74"/>
        <v>0</v>
      </c>
      <c r="J346" s="501">
        <f t="shared" si="74"/>
        <v>0</v>
      </c>
      <c r="K346" s="501">
        <f t="shared" si="74"/>
        <v>0</v>
      </c>
      <c r="L346" s="501">
        <f t="shared" si="74"/>
        <v>0</v>
      </c>
      <c r="M346" s="501">
        <f t="shared" si="74"/>
        <v>0</v>
      </c>
      <c r="N346" s="501">
        <f t="shared" si="74"/>
        <v>0</v>
      </c>
      <c r="O346" s="501">
        <f t="shared" si="74"/>
        <v>0</v>
      </c>
      <c r="P346" s="501">
        <f t="shared" si="74"/>
        <v>0</v>
      </c>
      <c r="Q346" s="501">
        <f t="shared" si="74"/>
        <v>0</v>
      </c>
      <c r="R346" s="501">
        <f t="shared" si="74"/>
        <v>0</v>
      </c>
    </row>
    <row r="347" spans="1:18" ht="12.2" customHeight="1">
      <c r="A347" s="500" t="str">
        <f t="shared" si="71"/>
        <v/>
      </c>
      <c r="B347" s="501">
        <f>SUM(B272:B276)</f>
        <v>0</v>
      </c>
      <c r="C347" s="501">
        <f t="shared" ref="C347:R347" si="75">SUM(C272:C277)</f>
        <v>0</v>
      </c>
      <c r="D347" s="501">
        <f t="shared" si="75"/>
        <v>0</v>
      </c>
      <c r="E347" s="501">
        <f t="shared" si="75"/>
        <v>0</v>
      </c>
      <c r="F347" s="501">
        <f t="shared" si="75"/>
        <v>0</v>
      </c>
      <c r="G347" s="501">
        <f t="shared" si="75"/>
        <v>0</v>
      </c>
      <c r="H347" s="501">
        <f t="shared" si="75"/>
        <v>0</v>
      </c>
      <c r="I347" s="501">
        <f t="shared" si="75"/>
        <v>0</v>
      </c>
      <c r="J347" s="501">
        <f t="shared" si="75"/>
        <v>0</v>
      </c>
      <c r="K347" s="501">
        <f t="shared" si="75"/>
        <v>0</v>
      </c>
      <c r="L347" s="501">
        <f t="shared" si="75"/>
        <v>0</v>
      </c>
      <c r="M347" s="501">
        <f t="shared" si="75"/>
        <v>0</v>
      </c>
      <c r="N347" s="501">
        <f t="shared" si="75"/>
        <v>0</v>
      </c>
      <c r="O347" s="501">
        <f t="shared" si="75"/>
        <v>0</v>
      </c>
      <c r="P347" s="501">
        <f t="shared" si="75"/>
        <v>0</v>
      </c>
      <c r="Q347" s="501">
        <f t="shared" si="75"/>
        <v>0</v>
      </c>
      <c r="R347" s="501">
        <f t="shared" si="75"/>
        <v>0</v>
      </c>
    </row>
    <row r="348" spans="1:18" ht="12.2" customHeight="1">
      <c r="A348" s="500" t="str">
        <f t="shared" si="71"/>
        <v/>
      </c>
      <c r="B348" s="501">
        <f>SUM(B280:B284)</f>
        <v>0</v>
      </c>
      <c r="C348" s="501">
        <f t="shared" ref="C348:R348" si="76">SUM(C280:C285)</f>
        <v>0</v>
      </c>
      <c r="D348" s="501">
        <f t="shared" si="76"/>
        <v>0</v>
      </c>
      <c r="E348" s="501">
        <f t="shared" si="76"/>
        <v>0</v>
      </c>
      <c r="F348" s="501">
        <f t="shared" si="76"/>
        <v>0</v>
      </c>
      <c r="G348" s="501">
        <f t="shared" si="76"/>
        <v>0</v>
      </c>
      <c r="H348" s="501">
        <f t="shared" si="76"/>
        <v>0</v>
      </c>
      <c r="I348" s="501">
        <f t="shared" si="76"/>
        <v>0</v>
      </c>
      <c r="J348" s="501">
        <f t="shared" si="76"/>
        <v>0</v>
      </c>
      <c r="K348" s="501">
        <f t="shared" si="76"/>
        <v>0</v>
      </c>
      <c r="L348" s="501">
        <f t="shared" si="76"/>
        <v>0</v>
      </c>
      <c r="M348" s="501">
        <f t="shared" si="76"/>
        <v>0</v>
      </c>
      <c r="N348" s="501">
        <f t="shared" si="76"/>
        <v>0</v>
      </c>
      <c r="O348" s="501">
        <f t="shared" si="76"/>
        <v>0</v>
      </c>
      <c r="P348" s="501">
        <f t="shared" si="76"/>
        <v>0</v>
      </c>
      <c r="Q348" s="501">
        <f t="shared" si="76"/>
        <v>0</v>
      </c>
      <c r="R348" s="501">
        <f t="shared" si="76"/>
        <v>0</v>
      </c>
    </row>
    <row r="349" spans="1:18" ht="12.2" customHeight="1">
      <c r="A349" s="500" t="str">
        <f t="shared" si="71"/>
        <v/>
      </c>
      <c r="B349" s="501">
        <f>SUM(B288:B292)</f>
        <v>0</v>
      </c>
      <c r="C349" s="501">
        <f t="shared" ref="C349:R349" si="77">SUM(C288:C293)</f>
        <v>0</v>
      </c>
      <c r="D349" s="501">
        <f t="shared" si="77"/>
        <v>0</v>
      </c>
      <c r="E349" s="501">
        <f t="shared" si="77"/>
        <v>0</v>
      </c>
      <c r="F349" s="501">
        <f t="shared" si="77"/>
        <v>0</v>
      </c>
      <c r="G349" s="501">
        <f t="shared" si="77"/>
        <v>0</v>
      </c>
      <c r="H349" s="501">
        <f t="shared" si="77"/>
        <v>0</v>
      </c>
      <c r="I349" s="501">
        <f t="shared" si="77"/>
        <v>0</v>
      </c>
      <c r="J349" s="501">
        <f t="shared" si="77"/>
        <v>0</v>
      </c>
      <c r="K349" s="501">
        <f t="shared" si="77"/>
        <v>0</v>
      </c>
      <c r="L349" s="501">
        <f t="shared" si="77"/>
        <v>0</v>
      </c>
      <c r="M349" s="501">
        <f t="shared" si="77"/>
        <v>0</v>
      </c>
      <c r="N349" s="501">
        <f t="shared" si="77"/>
        <v>0</v>
      </c>
      <c r="O349" s="501">
        <f t="shared" si="77"/>
        <v>0</v>
      </c>
      <c r="P349" s="501">
        <f t="shared" si="77"/>
        <v>0</v>
      </c>
      <c r="Q349" s="501">
        <f t="shared" si="77"/>
        <v>0</v>
      </c>
      <c r="R349" s="501">
        <f t="shared" si="77"/>
        <v>0</v>
      </c>
    </row>
    <row r="350" spans="1:18" ht="12.2" customHeight="1">
      <c r="A350" s="500" t="str">
        <f t="shared" si="71"/>
        <v/>
      </c>
      <c r="B350" s="501">
        <f>SUM(B296:B300)</f>
        <v>0</v>
      </c>
      <c r="C350" s="501">
        <f t="shared" ref="C350:R350" si="78">SUM(C296:C300)</f>
        <v>0</v>
      </c>
      <c r="D350" s="501">
        <f t="shared" si="78"/>
        <v>0</v>
      </c>
      <c r="E350" s="501">
        <f t="shared" si="78"/>
        <v>0</v>
      </c>
      <c r="F350" s="501">
        <f t="shared" si="78"/>
        <v>0</v>
      </c>
      <c r="G350" s="501">
        <f t="shared" si="78"/>
        <v>0</v>
      </c>
      <c r="H350" s="501">
        <f t="shared" si="78"/>
        <v>0</v>
      </c>
      <c r="I350" s="501">
        <f t="shared" si="78"/>
        <v>0</v>
      </c>
      <c r="J350" s="501">
        <f t="shared" si="78"/>
        <v>0</v>
      </c>
      <c r="K350" s="501">
        <f t="shared" si="78"/>
        <v>0</v>
      </c>
      <c r="L350" s="501">
        <f t="shared" si="78"/>
        <v>0</v>
      </c>
      <c r="M350" s="501">
        <f t="shared" si="78"/>
        <v>0</v>
      </c>
      <c r="N350" s="501">
        <f t="shared" si="78"/>
        <v>0</v>
      </c>
      <c r="O350" s="501">
        <f t="shared" si="78"/>
        <v>0</v>
      </c>
      <c r="P350" s="501">
        <f t="shared" si="78"/>
        <v>0</v>
      </c>
      <c r="Q350" s="501">
        <f t="shared" si="78"/>
        <v>0</v>
      </c>
      <c r="R350" s="501">
        <f t="shared" si="78"/>
        <v>0</v>
      </c>
    </row>
    <row r="351" spans="1:18" ht="12.2" customHeight="1">
      <c r="A351" s="500" t="str">
        <f t="shared" si="71"/>
        <v/>
      </c>
      <c r="B351" s="501">
        <f>SUM(B304:B308)</f>
        <v>0</v>
      </c>
      <c r="C351" s="501">
        <f t="shared" ref="C351:R351" si="79">SUM(C304:C308)</f>
        <v>0</v>
      </c>
      <c r="D351" s="501">
        <f t="shared" si="79"/>
        <v>0</v>
      </c>
      <c r="E351" s="501">
        <f t="shared" si="79"/>
        <v>0</v>
      </c>
      <c r="F351" s="501">
        <f t="shared" si="79"/>
        <v>0</v>
      </c>
      <c r="G351" s="501">
        <f t="shared" si="79"/>
        <v>0</v>
      </c>
      <c r="H351" s="501">
        <f t="shared" si="79"/>
        <v>0</v>
      </c>
      <c r="I351" s="501">
        <f t="shared" si="79"/>
        <v>0</v>
      </c>
      <c r="J351" s="501">
        <f t="shared" si="79"/>
        <v>0</v>
      </c>
      <c r="K351" s="501">
        <f t="shared" si="79"/>
        <v>0</v>
      </c>
      <c r="L351" s="501">
        <f t="shared" si="79"/>
        <v>0</v>
      </c>
      <c r="M351" s="501">
        <f t="shared" si="79"/>
        <v>0</v>
      </c>
      <c r="N351" s="501">
        <f t="shared" si="79"/>
        <v>0</v>
      </c>
      <c r="O351" s="501">
        <f t="shared" si="79"/>
        <v>0</v>
      </c>
      <c r="P351" s="501">
        <f t="shared" si="79"/>
        <v>0</v>
      </c>
      <c r="Q351" s="501">
        <f t="shared" si="79"/>
        <v>0</v>
      </c>
      <c r="R351" s="501">
        <f t="shared" si="79"/>
        <v>0</v>
      </c>
    </row>
    <row r="352" spans="1:18" ht="12.2" customHeight="1">
      <c r="A352" s="500" t="str">
        <f t="shared" si="71"/>
        <v/>
      </c>
      <c r="B352" s="501">
        <f>SUM(B312:B316)</f>
        <v>0</v>
      </c>
      <c r="C352" s="501">
        <f t="shared" ref="C352:R352" si="80">SUM(C312:C316)</f>
        <v>0</v>
      </c>
      <c r="D352" s="501">
        <f t="shared" si="80"/>
        <v>0</v>
      </c>
      <c r="E352" s="501">
        <f t="shared" si="80"/>
        <v>0</v>
      </c>
      <c r="F352" s="501">
        <f t="shared" si="80"/>
        <v>0</v>
      </c>
      <c r="G352" s="501">
        <f t="shared" si="80"/>
        <v>0</v>
      </c>
      <c r="H352" s="501">
        <f t="shared" si="80"/>
        <v>0</v>
      </c>
      <c r="I352" s="501">
        <f t="shared" si="80"/>
        <v>0</v>
      </c>
      <c r="J352" s="501">
        <f t="shared" si="80"/>
        <v>0</v>
      </c>
      <c r="K352" s="501">
        <f t="shared" si="80"/>
        <v>0</v>
      </c>
      <c r="L352" s="501">
        <f t="shared" si="80"/>
        <v>0</v>
      </c>
      <c r="M352" s="501">
        <f t="shared" si="80"/>
        <v>0</v>
      </c>
      <c r="N352" s="501">
        <f t="shared" si="80"/>
        <v>0</v>
      </c>
      <c r="O352" s="501">
        <f t="shared" si="80"/>
        <v>0</v>
      </c>
      <c r="P352" s="501">
        <f t="shared" si="80"/>
        <v>0</v>
      </c>
      <c r="Q352" s="501">
        <f t="shared" si="80"/>
        <v>0</v>
      </c>
      <c r="R352" s="501">
        <f t="shared" si="80"/>
        <v>0</v>
      </c>
    </row>
    <row r="353" spans="1:18" ht="12.2" customHeight="1">
      <c r="A353" s="500" t="str">
        <f t="shared" si="71"/>
        <v/>
      </c>
      <c r="B353" s="501">
        <f>SUM(B320:B324)</f>
        <v>0</v>
      </c>
      <c r="C353" s="501">
        <f t="shared" ref="C353:R353" si="81">SUM(C320:C324)</f>
        <v>0</v>
      </c>
      <c r="D353" s="501">
        <f t="shared" si="81"/>
        <v>0</v>
      </c>
      <c r="E353" s="501">
        <f t="shared" si="81"/>
        <v>0</v>
      </c>
      <c r="F353" s="501">
        <f t="shared" si="81"/>
        <v>0</v>
      </c>
      <c r="G353" s="501">
        <f t="shared" si="81"/>
        <v>0</v>
      </c>
      <c r="H353" s="501">
        <f t="shared" si="81"/>
        <v>0</v>
      </c>
      <c r="I353" s="501">
        <f t="shared" si="81"/>
        <v>0</v>
      </c>
      <c r="J353" s="501">
        <f t="shared" si="81"/>
        <v>0</v>
      </c>
      <c r="K353" s="501">
        <f t="shared" si="81"/>
        <v>0</v>
      </c>
      <c r="L353" s="501">
        <f t="shared" si="81"/>
        <v>0</v>
      </c>
      <c r="M353" s="501">
        <f t="shared" si="81"/>
        <v>0</v>
      </c>
      <c r="N353" s="501">
        <f t="shared" si="81"/>
        <v>0</v>
      </c>
      <c r="O353" s="501">
        <f t="shared" si="81"/>
        <v>0</v>
      </c>
      <c r="P353" s="501">
        <f t="shared" si="81"/>
        <v>0</v>
      </c>
      <c r="Q353" s="501">
        <f t="shared" si="81"/>
        <v>0</v>
      </c>
      <c r="R353" s="501">
        <f t="shared" si="81"/>
        <v>0</v>
      </c>
    </row>
    <row r="354" spans="1:18" ht="12.2" customHeight="1">
      <c r="A354" s="500" t="str">
        <f t="shared" si="71"/>
        <v/>
      </c>
      <c r="B354" s="501">
        <f>SUM(B328:B332)</f>
        <v>0</v>
      </c>
      <c r="C354" s="501">
        <f t="shared" ref="C354:R354" si="82">SUM(C328:C332)</f>
        <v>0</v>
      </c>
      <c r="D354" s="501">
        <f t="shared" si="82"/>
        <v>0</v>
      </c>
      <c r="E354" s="501">
        <f t="shared" si="82"/>
        <v>0</v>
      </c>
      <c r="F354" s="501">
        <f t="shared" si="82"/>
        <v>0</v>
      </c>
      <c r="G354" s="501">
        <f t="shared" si="82"/>
        <v>0</v>
      </c>
      <c r="H354" s="501">
        <f t="shared" si="82"/>
        <v>0</v>
      </c>
      <c r="I354" s="501">
        <f t="shared" si="82"/>
        <v>0</v>
      </c>
      <c r="J354" s="501">
        <f t="shared" si="82"/>
        <v>0</v>
      </c>
      <c r="K354" s="501">
        <f t="shared" si="82"/>
        <v>0</v>
      </c>
      <c r="L354" s="501">
        <f t="shared" si="82"/>
        <v>0</v>
      </c>
      <c r="M354" s="501">
        <f t="shared" si="82"/>
        <v>0</v>
      </c>
      <c r="N354" s="501">
        <f t="shared" si="82"/>
        <v>0</v>
      </c>
      <c r="O354" s="501">
        <f t="shared" si="82"/>
        <v>0</v>
      </c>
      <c r="P354" s="501">
        <f t="shared" si="82"/>
        <v>0</v>
      </c>
      <c r="Q354" s="501">
        <f t="shared" si="82"/>
        <v>0</v>
      </c>
      <c r="R354" s="501">
        <f t="shared" si="82"/>
        <v>0</v>
      </c>
    </row>
    <row r="355" spans="1:18" ht="12.2" customHeight="1">
      <c r="A355" s="500" t="str">
        <f t="shared" si="71"/>
        <v/>
      </c>
      <c r="B355" s="501">
        <f>SUM(B336:B340)</f>
        <v>0</v>
      </c>
      <c r="C355" s="501">
        <f t="shared" ref="C355:R355" si="83">SUM(C336:C340)</f>
        <v>0</v>
      </c>
      <c r="D355" s="501">
        <f t="shared" si="83"/>
        <v>0</v>
      </c>
      <c r="E355" s="501">
        <f t="shared" si="83"/>
        <v>0</v>
      </c>
      <c r="F355" s="501">
        <f t="shared" si="83"/>
        <v>0</v>
      </c>
      <c r="G355" s="501">
        <f t="shared" si="83"/>
        <v>0</v>
      </c>
      <c r="H355" s="501">
        <f t="shared" si="83"/>
        <v>0</v>
      </c>
      <c r="I355" s="501">
        <f t="shared" si="83"/>
        <v>0</v>
      </c>
      <c r="J355" s="501">
        <f t="shared" si="83"/>
        <v>0</v>
      </c>
      <c r="K355" s="501">
        <f t="shared" si="83"/>
        <v>0</v>
      </c>
      <c r="L355" s="501">
        <f t="shared" si="83"/>
        <v>0</v>
      </c>
      <c r="M355" s="501">
        <f t="shared" si="83"/>
        <v>0</v>
      </c>
      <c r="N355" s="501">
        <f t="shared" si="83"/>
        <v>0</v>
      </c>
      <c r="O355" s="501">
        <f t="shared" si="83"/>
        <v>0</v>
      </c>
      <c r="P355" s="501">
        <f t="shared" si="83"/>
        <v>0</v>
      </c>
      <c r="Q355" s="501">
        <f t="shared" si="83"/>
        <v>0</v>
      </c>
      <c r="R355" s="501">
        <f t="shared" si="83"/>
        <v>0</v>
      </c>
    </row>
    <row r="356" spans="1:18" ht="12.2" customHeight="1">
      <c r="A356" s="505" t="s">
        <v>605</v>
      </c>
      <c r="B356" s="503" t="s">
        <v>605</v>
      </c>
      <c r="C356" s="503" t="s">
        <v>605</v>
      </c>
      <c r="D356" s="503" t="s">
        <v>605</v>
      </c>
      <c r="E356" s="503" t="s">
        <v>605</v>
      </c>
      <c r="F356" s="503" t="s">
        <v>605</v>
      </c>
      <c r="G356" s="503" t="s">
        <v>605</v>
      </c>
      <c r="H356" s="503" t="s">
        <v>605</v>
      </c>
      <c r="I356" s="503" t="s">
        <v>605</v>
      </c>
      <c r="J356" s="503" t="s">
        <v>605</v>
      </c>
      <c r="K356" s="503" t="s">
        <v>605</v>
      </c>
      <c r="L356" s="503" t="s">
        <v>605</v>
      </c>
      <c r="M356" s="503" t="s">
        <v>605</v>
      </c>
      <c r="N356" s="503" t="s">
        <v>605</v>
      </c>
      <c r="O356" s="503" t="s">
        <v>605</v>
      </c>
      <c r="P356" s="503" t="s">
        <v>605</v>
      </c>
      <c r="Q356" s="503" t="s">
        <v>605</v>
      </c>
      <c r="R356" s="503" t="s">
        <v>605</v>
      </c>
    </row>
    <row r="357" spans="1:18" ht="12.2" customHeight="1">
      <c r="A357" s="499" t="s">
        <v>49</v>
      </c>
      <c r="B357" s="501">
        <f t="shared" ref="B357:R357" si="84">SUM(B344:B356)</f>
        <v>9720000</v>
      </c>
      <c r="C357" s="501">
        <f t="shared" si="84"/>
        <v>11340000</v>
      </c>
      <c r="D357" s="501">
        <f t="shared" si="84"/>
        <v>11340000</v>
      </c>
      <c r="E357" s="501">
        <f t="shared" si="84"/>
        <v>11340000</v>
      </c>
      <c r="F357" s="501">
        <f t="shared" si="84"/>
        <v>16200000</v>
      </c>
      <c r="G357" s="501">
        <f t="shared" si="84"/>
        <v>14580000</v>
      </c>
      <c r="H357" s="501">
        <f t="shared" si="84"/>
        <v>12960000</v>
      </c>
      <c r="I357" s="501">
        <f t="shared" si="84"/>
        <v>12960000</v>
      </c>
      <c r="J357" s="501">
        <f t="shared" si="84"/>
        <v>12960000</v>
      </c>
      <c r="K357" s="501">
        <f t="shared" si="84"/>
        <v>16200000</v>
      </c>
      <c r="L357" s="501">
        <f t="shared" si="84"/>
        <v>22680000</v>
      </c>
      <c r="M357" s="501">
        <f t="shared" si="84"/>
        <v>9720000</v>
      </c>
      <c r="N357" s="501">
        <f t="shared" si="84"/>
        <v>162000000</v>
      </c>
      <c r="O357" s="501">
        <f t="shared" si="84"/>
        <v>184077480</v>
      </c>
      <c r="P357" s="501">
        <f t="shared" si="84"/>
        <v>215316020.40000001</v>
      </c>
      <c r="Q357" s="501">
        <f t="shared" si="84"/>
        <v>0</v>
      </c>
      <c r="R357" s="501">
        <f t="shared" si="84"/>
        <v>0</v>
      </c>
    </row>
    <row r="358" spans="1:18" ht="12.2" customHeight="1">
      <c r="A358" s="505" t="s">
        <v>605</v>
      </c>
      <c r="B358" s="503" t="s">
        <v>605</v>
      </c>
      <c r="C358" s="503" t="s">
        <v>605</v>
      </c>
      <c r="D358" s="503" t="s">
        <v>605</v>
      </c>
      <c r="E358" s="503" t="s">
        <v>605</v>
      </c>
      <c r="F358" s="503" t="s">
        <v>605</v>
      </c>
      <c r="G358" s="503" t="s">
        <v>605</v>
      </c>
      <c r="H358" s="503" t="s">
        <v>605</v>
      </c>
      <c r="I358" s="503" t="s">
        <v>605</v>
      </c>
      <c r="J358" s="503" t="s">
        <v>605</v>
      </c>
      <c r="K358" s="503" t="s">
        <v>605</v>
      </c>
      <c r="L358" s="503" t="s">
        <v>605</v>
      </c>
      <c r="M358" s="503" t="s">
        <v>605</v>
      </c>
      <c r="N358" s="503" t="s">
        <v>605</v>
      </c>
      <c r="O358" s="503" t="s">
        <v>605</v>
      </c>
      <c r="P358" s="503" t="s">
        <v>605</v>
      </c>
      <c r="Q358" s="503" t="s">
        <v>605</v>
      </c>
      <c r="R358" s="503" t="s">
        <v>605</v>
      </c>
    </row>
    <row r="359" spans="1:18" ht="12.2" customHeight="1">
      <c r="B359" s="501"/>
      <c r="C359" s="501"/>
      <c r="D359" s="501"/>
      <c r="E359" s="501"/>
      <c r="F359" s="501"/>
      <c r="G359" s="501"/>
      <c r="H359" s="501"/>
      <c r="I359" s="501"/>
      <c r="J359" s="501"/>
      <c r="K359" s="501"/>
      <c r="L359" s="501"/>
      <c r="M359" s="501"/>
      <c r="N359" s="501"/>
      <c r="O359" s="501"/>
      <c r="P359" s="501"/>
      <c r="Q359" s="501"/>
      <c r="R359" s="501"/>
    </row>
    <row r="360" spans="1:18" ht="12.2" customHeight="1">
      <c r="B360" s="501"/>
      <c r="C360" s="501"/>
      <c r="D360" s="501"/>
      <c r="E360" s="501"/>
      <c r="F360" s="501"/>
      <c r="G360" s="501"/>
      <c r="H360" s="501"/>
      <c r="I360" s="501"/>
      <c r="J360" s="501"/>
      <c r="K360" s="501"/>
      <c r="L360" s="501"/>
      <c r="M360" s="501"/>
      <c r="N360" s="501"/>
      <c r="O360" s="501"/>
      <c r="P360" s="501"/>
      <c r="Q360" s="501"/>
      <c r="R360" s="501"/>
    </row>
    <row r="361" spans="1:18" ht="12.2" customHeight="1">
      <c r="A361" s="499" t="s">
        <v>244</v>
      </c>
      <c r="B361" s="501"/>
      <c r="C361" s="501"/>
      <c r="D361" s="501"/>
      <c r="E361" s="501"/>
      <c r="F361" s="501"/>
      <c r="G361" s="501"/>
      <c r="H361" s="501"/>
      <c r="I361" s="501"/>
      <c r="J361" s="501"/>
      <c r="K361" s="501"/>
      <c r="L361" s="501"/>
      <c r="M361" s="501"/>
      <c r="N361" s="501"/>
      <c r="O361" s="501"/>
      <c r="P361" s="501"/>
      <c r="Q361" s="501"/>
      <c r="R361" s="501"/>
    </row>
    <row r="362" spans="1:18" ht="12.2" customHeight="1">
      <c r="A362" s="505" t="s">
        <v>605</v>
      </c>
      <c r="B362" s="503" t="s">
        <v>605</v>
      </c>
      <c r="C362" s="503" t="s">
        <v>605</v>
      </c>
      <c r="D362" s="503" t="s">
        <v>605</v>
      </c>
      <c r="E362" s="518" t="s">
        <v>605</v>
      </c>
      <c r="F362" s="518" t="s">
        <v>605</v>
      </c>
      <c r="G362" s="501"/>
      <c r="H362" s="501"/>
      <c r="I362" s="501"/>
      <c r="J362" s="501"/>
      <c r="K362" s="501"/>
      <c r="L362" s="501"/>
      <c r="M362" s="501"/>
      <c r="N362" s="501"/>
      <c r="O362" s="501"/>
      <c r="P362" s="501"/>
      <c r="Q362" s="501"/>
      <c r="R362" s="501"/>
    </row>
    <row r="363" spans="1:18" ht="12.2" customHeight="1">
      <c r="A363" s="499" t="s">
        <v>635</v>
      </c>
      <c r="B363" s="504" t="s">
        <v>692</v>
      </c>
      <c r="C363" s="504" t="s">
        <v>693</v>
      </c>
      <c r="D363" s="504" t="s">
        <v>694</v>
      </c>
      <c r="E363" s="519" t="s">
        <v>186</v>
      </c>
      <c r="F363" s="519" t="s">
        <v>187</v>
      </c>
      <c r="G363" s="501"/>
      <c r="H363" s="501"/>
      <c r="I363" s="501"/>
      <c r="J363" s="501"/>
      <c r="K363" s="501"/>
      <c r="L363" s="501"/>
      <c r="M363" s="501"/>
      <c r="N363" s="501"/>
      <c r="O363" s="501"/>
      <c r="P363" s="501"/>
      <c r="Q363" s="501"/>
      <c r="R363" s="501"/>
    </row>
    <row r="364" spans="1:18" ht="12.2" customHeight="1">
      <c r="A364" s="505" t="s">
        <v>605</v>
      </c>
      <c r="B364" s="503" t="s">
        <v>605</v>
      </c>
      <c r="C364" s="503" t="s">
        <v>605</v>
      </c>
      <c r="D364" s="503" t="s">
        <v>605</v>
      </c>
      <c r="E364" s="518" t="s">
        <v>605</v>
      </c>
      <c r="F364" s="518" t="s">
        <v>605</v>
      </c>
      <c r="G364" s="501"/>
      <c r="H364" s="501"/>
      <c r="I364" s="501"/>
      <c r="J364" s="501"/>
      <c r="K364" s="501"/>
      <c r="L364" s="501"/>
      <c r="M364" s="501"/>
      <c r="N364" s="501"/>
      <c r="O364" s="501"/>
      <c r="P364" s="501"/>
      <c r="Q364" s="501"/>
      <c r="R364" s="501"/>
    </row>
    <row r="365" spans="1:18" ht="12.2" customHeight="1">
      <c r="A365" s="500" t="str">
        <f>A53</f>
        <v>CAMISETAS</v>
      </c>
      <c r="B365" s="501"/>
      <c r="C365" s="501"/>
      <c r="D365" s="501"/>
      <c r="E365" s="520"/>
      <c r="F365" s="520"/>
      <c r="G365" s="501"/>
      <c r="H365" s="501"/>
      <c r="I365" s="501"/>
      <c r="J365" s="501"/>
      <c r="K365" s="501"/>
      <c r="L365" s="501"/>
      <c r="M365" s="501"/>
      <c r="N365" s="501"/>
      <c r="O365" s="501"/>
      <c r="P365" s="501"/>
      <c r="Q365" s="501"/>
      <c r="R365" s="501"/>
    </row>
    <row r="366" spans="1:18" ht="12.2" customHeight="1">
      <c r="E366" s="520"/>
      <c r="F366" s="520"/>
    </row>
    <row r="367" spans="1:18" ht="12.2" customHeight="1">
      <c r="A367" s="500" t="str">
        <f>A55</f>
        <v/>
      </c>
      <c r="B367" s="501">
        <f>(M$15*(F55+G55+H55)+L$15*(G55+H55)+K$15*H55)*D55</f>
        <v>0</v>
      </c>
      <c r="C367" s="501">
        <f t="shared" ref="C367:F371" si="85">IF($B$33=0,0,(($K$15*$H55+$L$15*($G55+$H55)+$M$15*($F55+$G55+$H55))*C$33/$B$33)*$D55)</f>
        <v>0</v>
      </c>
      <c r="D367" s="501">
        <f t="shared" si="85"/>
        <v>0</v>
      </c>
      <c r="E367" s="520">
        <f t="shared" si="85"/>
        <v>0</v>
      </c>
      <c r="F367" s="520">
        <f t="shared" si="85"/>
        <v>0</v>
      </c>
      <c r="G367" s="501"/>
      <c r="H367" s="501"/>
      <c r="I367" s="501"/>
      <c r="J367" s="501"/>
      <c r="K367" s="501"/>
      <c r="L367" s="501"/>
      <c r="M367" s="501"/>
      <c r="N367" s="501"/>
      <c r="O367" s="501"/>
      <c r="P367" s="501"/>
      <c r="Q367" s="501"/>
      <c r="R367" s="501"/>
    </row>
    <row r="368" spans="1:18" ht="12.2" customHeight="1">
      <c r="A368" s="500" t="str">
        <f>A56</f>
        <v/>
      </c>
      <c r="B368" s="501">
        <f>(M$15*(F56+G56+H56)+L$15*(G56+H56)+K$15*H56)*D56</f>
        <v>0</v>
      </c>
      <c r="C368" s="501">
        <f t="shared" si="85"/>
        <v>0</v>
      </c>
      <c r="D368" s="501">
        <f t="shared" si="85"/>
        <v>0</v>
      </c>
      <c r="E368" s="520">
        <f t="shared" si="85"/>
        <v>0</v>
      </c>
      <c r="F368" s="520">
        <f t="shared" si="85"/>
        <v>0</v>
      </c>
      <c r="G368" s="501"/>
      <c r="H368" s="501"/>
      <c r="I368" s="501"/>
      <c r="J368" s="501"/>
      <c r="K368" s="501"/>
      <c r="L368" s="501"/>
      <c r="M368" s="501"/>
      <c r="N368" s="501"/>
      <c r="O368" s="501"/>
      <c r="P368" s="501"/>
      <c r="Q368" s="501"/>
      <c r="R368" s="501"/>
    </row>
    <row r="369" spans="1:18" ht="12.2" customHeight="1">
      <c r="A369" s="500" t="str">
        <f>A57</f>
        <v/>
      </c>
      <c r="B369" s="501">
        <f>(M$15*(F57+G57+H57)+L$15*(G57+H57)+K$15*H57)*D57</f>
        <v>0</v>
      </c>
      <c r="C369" s="501">
        <f t="shared" si="85"/>
        <v>0</v>
      </c>
      <c r="D369" s="501">
        <f t="shared" si="85"/>
        <v>0</v>
      </c>
      <c r="E369" s="520">
        <f t="shared" si="85"/>
        <v>0</v>
      </c>
      <c r="F369" s="520">
        <f t="shared" si="85"/>
        <v>0</v>
      </c>
      <c r="G369" s="501"/>
      <c r="H369" s="501"/>
      <c r="I369" s="501"/>
      <c r="J369" s="501"/>
      <c r="K369" s="501"/>
      <c r="L369" s="501"/>
      <c r="M369" s="501"/>
      <c r="N369" s="501"/>
      <c r="O369" s="501"/>
      <c r="P369" s="501"/>
      <c r="Q369" s="501"/>
      <c r="R369" s="501"/>
    </row>
    <row r="370" spans="1:18" ht="12.2" customHeight="1">
      <c r="A370" s="500" t="str">
        <f>A58</f>
        <v/>
      </c>
      <c r="B370" s="501">
        <f>(M$15*(F58+G58+H58)+L$15*(G58+H58)+K$15*H58)*D58</f>
        <v>0</v>
      </c>
      <c r="C370" s="501">
        <f t="shared" si="85"/>
        <v>0</v>
      </c>
      <c r="D370" s="501">
        <f t="shared" si="85"/>
        <v>0</v>
      </c>
      <c r="E370" s="520">
        <f t="shared" si="85"/>
        <v>0</v>
      </c>
      <c r="F370" s="520">
        <f t="shared" si="85"/>
        <v>0</v>
      </c>
      <c r="G370" s="501"/>
      <c r="H370" s="501"/>
      <c r="I370" s="501"/>
      <c r="J370" s="501"/>
      <c r="K370" s="501"/>
      <c r="L370" s="501"/>
      <c r="M370" s="501"/>
      <c r="N370" s="501"/>
      <c r="O370" s="501"/>
      <c r="P370" s="501"/>
      <c r="Q370" s="501"/>
      <c r="R370" s="501"/>
    </row>
    <row r="371" spans="1:18" ht="12.2" customHeight="1">
      <c r="A371" s="500">
        <f>A59</f>
        <v>0</v>
      </c>
      <c r="B371" s="501">
        <f>(M$15*(F59+G59+H59)+L$15*(G59+H59)+K$15*H59)*D59</f>
        <v>0</v>
      </c>
      <c r="C371" s="501">
        <f t="shared" si="85"/>
        <v>0</v>
      </c>
      <c r="D371" s="501">
        <f t="shared" si="85"/>
        <v>0</v>
      </c>
      <c r="E371" s="520">
        <f t="shared" si="85"/>
        <v>0</v>
      </c>
      <c r="F371" s="520">
        <f t="shared" si="85"/>
        <v>0</v>
      </c>
      <c r="G371" s="501"/>
      <c r="H371" s="501"/>
      <c r="I371" s="501"/>
      <c r="J371" s="501"/>
      <c r="K371" s="501"/>
      <c r="L371" s="501"/>
      <c r="M371" s="501"/>
      <c r="N371" s="501"/>
      <c r="O371" s="501"/>
      <c r="P371" s="501"/>
      <c r="Q371" s="501"/>
      <c r="R371" s="501"/>
    </row>
    <row r="372" spans="1:18" ht="12.2" customHeight="1">
      <c r="A372" s="505" t="s">
        <v>605</v>
      </c>
      <c r="B372" s="503" t="s">
        <v>605</v>
      </c>
      <c r="C372" s="503" t="s">
        <v>605</v>
      </c>
      <c r="D372" s="503" t="s">
        <v>605</v>
      </c>
      <c r="E372" s="518" t="s">
        <v>605</v>
      </c>
      <c r="F372" s="518" t="s">
        <v>605</v>
      </c>
      <c r="G372" s="501"/>
      <c r="H372" s="501"/>
      <c r="I372" s="501"/>
      <c r="J372" s="501"/>
      <c r="K372" s="501"/>
      <c r="L372" s="501"/>
      <c r="M372" s="501"/>
      <c r="N372" s="501"/>
      <c r="O372" s="501"/>
      <c r="P372" s="501"/>
      <c r="Q372" s="501"/>
      <c r="R372" s="501"/>
    </row>
    <row r="373" spans="1:18" ht="12.2" customHeight="1">
      <c r="A373" s="500" t="str">
        <f>A61</f>
        <v/>
      </c>
      <c r="B373" s="501"/>
      <c r="C373" s="501"/>
      <c r="D373" s="501"/>
      <c r="E373" s="520"/>
      <c r="F373" s="520"/>
      <c r="G373" s="501"/>
      <c r="H373" s="501"/>
      <c r="I373" s="501"/>
      <c r="J373" s="501"/>
      <c r="K373" s="501"/>
      <c r="L373" s="501"/>
      <c r="M373" s="501"/>
      <c r="N373" s="501"/>
      <c r="O373" s="501"/>
      <c r="P373" s="501"/>
      <c r="Q373" s="501"/>
      <c r="R373" s="501"/>
    </row>
    <row r="374" spans="1:18" ht="12.2" customHeight="1">
      <c r="B374" s="501"/>
      <c r="C374" s="501"/>
      <c r="D374" s="501"/>
      <c r="E374" s="520"/>
      <c r="F374" s="520"/>
      <c r="G374" s="501"/>
      <c r="H374" s="501"/>
      <c r="I374" s="501"/>
      <c r="J374" s="501"/>
      <c r="K374" s="501"/>
      <c r="L374" s="501"/>
      <c r="M374" s="501"/>
      <c r="N374" s="501"/>
      <c r="O374" s="501"/>
      <c r="P374" s="501"/>
      <c r="Q374" s="501"/>
      <c r="R374" s="501"/>
    </row>
    <row r="375" spans="1:18" ht="12.2" customHeight="1">
      <c r="A375" s="500">
        <f>A63</f>
        <v>0</v>
      </c>
      <c r="B375" s="501">
        <f>(M$16*(F63+G63+H63)+L$16*(G63+H63)+K$16*H63)*D63</f>
        <v>0</v>
      </c>
      <c r="C375" s="501">
        <f t="shared" ref="C375:F379" si="86">IF($B$34=0,0,(($K$16*$H63+$L$16*($G63+$H63)+$M$16*($F63+$G63+$H63))*C$34/$B$34)*$D63)</f>
        <v>0</v>
      </c>
      <c r="D375" s="501">
        <f t="shared" si="86"/>
        <v>0</v>
      </c>
      <c r="E375" s="520">
        <f t="shared" si="86"/>
        <v>0</v>
      </c>
      <c r="F375" s="520">
        <f t="shared" si="86"/>
        <v>0</v>
      </c>
      <c r="G375" s="501"/>
      <c r="H375" s="501"/>
      <c r="I375" s="501"/>
      <c r="J375" s="501"/>
      <c r="K375" s="501"/>
      <c r="L375" s="501"/>
      <c r="M375" s="501"/>
      <c r="N375" s="501"/>
      <c r="O375" s="501"/>
      <c r="P375" s="501"/>
      <c r="Q375" s="501"/>
      <c r="R375" s="501"/>
    </row>
    <row r="376" spans="1:18" ht="12.2" customHeight="1">
      <c r="A376" s="500">
        <f>A64</f>
        <v>0</v>
      </c>
      <c r="B376" s="501">
        <f>(M$16*(F64+G64+H64)+L$16*(G64+H64)+K$16*H64)*D64</f>
        <v>0</v>
      </c>
      <c r="C376" s="501">
        <f t="shared" si="86"/>
        <v>0</v>
      </c>
      <c r="D376" s="501">
        <f t="shared" si="86"/>
        <v>0</v>
      </c>
      <c r="E376" s="520">
        <f t="shared" si="86"/>
        <v>0</v>
      </c>
      <c r="F376" s="520">
        <f t="shared" si="86"/>
        <v>0</v>
      </c>
      <c r="G376" s="501"/>
      <c r="H376" s="501"/>
      <c r="I376" s="501"/>
      <c r="J376" s="501"/>
      <c r="K376" s="501"/>
      <c r="L376" s="501"/>
      <c r="M376" s="501"/>
      <c r="N376" s="501"/>
      <c r="O376" s="501"/>
      <c r="P376" s="501"/>
      <c r="Q376" s="501"/>
      <c r="R376" s="501"/>
    </row>
    <row r="377" spans="1:18" ht="12.2" customHeight="1">
      <c r="A377" s="500">
        <f>A65</f>
        <v>0</v>
      </c>
      <c r="B377" s="501">
        <f>(M$16*(F65+G65+H65)+L$16*(G65+H65)+K$16*H65)*D65</f>
        <v>0</v>
      </c>
      <c r="C377" s="501">
        <f t="shared" si="86"/>
        <v>0</v>
      </c>
      <c r="D377" s="501">
        <f t="shared" si="86"/>
        <v>0</v>
      </c>
      <c r="E377" s="520">
        <f t="shared" si="86"/>
        <v>0</v>
      </c>
      <c r="F377" s="520">
        <f t="shared" si="86"/>
        <v>0</v>
      </c>
      <c r="G377" s="501"/>
      <c r="H377" s="501"/>
      <c r="I377" s="501"/>
      <c r="J377" s="501"/>
      <c r="K377" s="501"/>
      <c r="L377" s="501"/>
      <c r="M377" s="501"/>
      <c r="N377" s="501"/>
      <c r="O377" s="501"/>
      <c r="P377" s="501"/>
      <c r="Q377" s="501"/>
      <c r="R377" s="501"/>
    </row>
    <row r="378" spans="1:18" ht="12.2" customHeight="1">
      <c r="A378" s="500">
        <f>A66</f>
        <v>0</v>
      </c>
      <c r="B378" s="501">
        <f>(M$16*(F66+G66+H66)+L$16*(G66+H66)+K$16*H66)*D66</f>
        <v>0</v>
      </c>
      <c r="C378" s="501">
        <f t="shared" si="86"/>
        <v>0</v>
      </c>
      <c r="D378" s="501">
        <f t="shared" si="86"/>
        <v>0</v>
      </c>
      <c r="E378" s="520">
        <f t="shared" si="86"/>
        <v>0</v>
      </c>
      <c r="F378" s="520">
        <f t="shared" si="86"/>
        <v>0</v>
      </c>
      <c r="G378" s="501"/>
      <c r="H378" s="501"/>
      <c r="I378" s="501"/>
      <c r="J378" s="501"/>
      <c r="K378" s="501"/>
      <c r="L378" s="501"/>
      <c r="M378" s="501"/>
      <c r="N378" s="501"/>
      <c r="O378" s="501"/>
      <c r="P378" s="501"/>
      <c r="Q378" s="501"/>
      <c r="R378" s="501"/>
    </row>
    <row r="379" spans="1:18" ht="12.2" customHeight="1">
      <c r="A379" s="500">
        <f>A67</f>
        <v>0</v>
      </c>
      <c r="B379" s="501">
        <f>(M$16*(F67+G67+H67)+L$16*(G67+H67)+K$16*H67)*D67</f>
        <v>0</v>
      </c>
      <c r="C379" s="501">
        <f t="shared" si="86"/>
        <v>0</v>
      </c>
      <c r="D379" s="501">
        <f t="shared" si="86"/>
        <v>0</v>
      </c>
      <c r="E379" s="520">
        <f t="shared" si="86"/>
        <v>0</v>
      </c>
      <c r="F379" s="520">
        <f t="shared" si="86"/>
        <v>0</v>
      </c>
      <c r="G379" s="501"/>
      <c r="H379" s="501"/>
      <c r="I379" s="501"/>
      <c r="J379" s="501"/>
      <c r="K379" s="501"/>
      <c r="L379" s="501"/>
      <c r="M379" s="501"/>
      <c r="N379" s="501"/>
      <c r="O379" s="501"/>
      <c r="P379" s="501"/>
      <c r="Q379" s="501"/>
      <c r="R379" s="501"/>
    </row>
    <row r="380" spans="1:18" ht="12.2" customHeight="1">
      <c r="A380" s="505" t="s">
        <v>605</v>
      </c>
      <c r="B380" s="503" t="s">
        <v>605</v>
      </c>
      <c r="C380" s="503" t="s">
        <v>605</v>
      </c>
      <c r="D380" s="503" t="s">
        <v>605</v>
      </c>
      <c r="E380" s="518" t="s">
        <v>605</v>
      </c>
      <c r="F380" s="518" t="s">
        <v>605</v>
      </c>
      <c r="G380" s="501"/>
      <c r="H380" s="501"/>
      <c r="I380" s="501"/>
      <c r="J380" s="501"/>
      <c r="K380" s="501"/>
      <c r="L380" s="501"/>
      <c r="M380" s="501"/>
      <c r="N380" s="501"/>
      <c r="O380" s="501"/>
      <c r="P380" s="501"/>
      <c r="Q380" s="501"/>
      <c r="R380" s="501"/>
    </row>
    <row r="381" spans="1:18" ht="12.2" customHeight="1">
      <c r="A381" s="500" t="str">
        <f>A69</f>
        <v/>
      </c>
      <c r="B381" s="501"/>
      <c r="C381" s="501"/>
      <c r="D381" s="501"/>
      <c r="E381" s="520"/>
      <c r="F381" s="520"/>
      <c r="G381" s="501"/>
      <c r="H381" s="501"/>
      <c r="I381" s="501"/>
      <c r="J381" s="501"/>
      <c r="K381" s="501"/>
      <c r="L381" s="501"/>
      <c r="M381" s="501"/>
      <c r="N381" s="501"/>
      <c r="O381" s="501"/>
      <c r="P381" s="501"/>
      <c r="Q381" s="501"/>
      <c r="R381" s="501"/>
    </row>
    <row r="382" spans="1:18" ht="12.2" customHeight="1">
      <c r="B382" s="501"/>
      <c r="C382" s="501"/>
      <c r="D382" s="501"/>
      <c r="E382" s="520"/>
      <c r="F382" s="520"/>
      <c r="G382" s="501"/>
      <c r="H382" s="501"/>
      <c r="I382" s="501"/>
      <c r="J382" s="501"/>
      <c r="K382" s="501"/>
      <c r="L382" s="501"/>
      <c r="M382" s="501"/>
      <c r="N382" s="501"/>
      <c r="O382" s="501"/>
      <c r="P382" s="501"/>
      <c r="Q382" s="501"/>
      <c r="R382" s="501"/>
    </row>
    <row r="383" spans="1:18" ht="12.2" customHeight="1">
      <c r="A383" s="500">
        <f>A71</f>
        <v>0</v>
      </c>
      <c r="B383" s="501">
        <f>(M$17*(F71+G71+H71)+L$17*(G71+H71)+K$17*H71)*D71</f>
        <v>0</v>
      </c>
      <c r="C383" s="501">
        <f t="shared" ref="C383:F387" si="87">IF($B$35=0,0,(($K$17*$H71+$L$17*($G71+$H71)+$M$17*($F71+$G71+$H71))*C$35/$B$35)*$D71)</f>
        <v>0</v>
      </c>
      <c r="D383" s="501">
        <f t="shared" si="87"/>
        <v>0</v>
      </c>
      <c r="E383" s="520">
        <f t="shared" si="87"/>
        <v>0</v>
      </c>
      <c r="F383" s="520">
        <f t="shared" si="87"/>
        <v>0</v>
      </c>
      <c r="G383" s="501"/>
      <c r="H383" s="501"/>
      <c r="I383" s="501"/>
      <c r="J383" s="501"/>
      <c r="K383" s="501"/>
      <c r="L383" s="501"/>
      <c r="M383" s="501"/>
      <c r="N383" s="501"/>
      <c r="O383" s="501"/>
      <c r="P383" s="501"/>
      <c r="Q383" s="501"/>
      <c r="R383" s="501"/>
    </row>
    <row r="384" spans="1:18" ht="12.2" customHeight="1">
      <c r="A384" s="500">
        <f>A72</f>
        <v>0</v>
      </c>
      <c r="B384" s="501">
        <f>(M$17*(F72+G72+H72)+L$17*(G72+H72)+K$17*H72)*D72</f>
        <v>0</v>
      </c>
      <c r="C384" s="501">
        <f t="shared" si="87"/>
        <v>0</v>
      </c>
      <c r="D384" s="501">
        <f t="shared" si="87"/>
        <v>0</v>
      </c>
      <c r="E384" s="520">
        <f t="shared" si="87"/>
        <v>0</v>
      </c>
      <c r="F384" s="520">
        <f t="shared" si="87"/>
        <v>0</v>
      </c>
      <c r="G384" s="501"/>
      <c r="H384" s="501"/>
      <c r="I384" s="501"/>
      <c r="J384" s="501"/>
      <c r="K384" s="501"/>
      <c r="L384" s="501"/>
      <c r="M384" s="501"/>
      <c r="N384" s="501"/>
      <c r="O384" s="501"/>
      <c r="P384" s="501"/>
      <c r="Q384" s="501"/>
      <c r="R384" s="501"/>
    </row>
    <row r="385" spans="1:18" ht="12.2" customHeight="1">
      <c r="A385" s="500">
        <f>A73</f>
        <v>0</v>
      </c>
      <c r="B385" s="501">
        <f>(M$17*(F73+G73+H73)+L$17*(G73+H73)+K$17*H73)*D73</f>
        <v>0</v>
      </c>
      <c r="C385" s="501">
        <f t="shared" si="87"/>
        <v>0</v>
      </c>
      <c r="D385" s="501">
        <f t="shared" si="87"/>
        <v>0</v>
      </c>
      <c r="E385" s="520">
        <f t="shared" si="87"/>
        <v>0</v>
      </c>
      <c r="F385" s="520">
        <f t="shared" si="87"/>
        <v>0</v>
      </c>
      <c r="G385" s="501"/>
      <c r="H385" s="501"/>
      <c r="I385" s="501"/>
      <c r="J385" s="501"/>
      <c r="K385" s="501"/>
      <c r="L385" s="501"/>
      <c r="M385" s="501"/>
      <c r="N385" s="501"/>
      <c r="O385" s="501"/>
      <c r="P385" s="501"/>
      <c r="Q385" s="501"/>
      <c r="R385" s="501"/>
    </row>
    <row r="386" spans="1:18" ht="12.2" customHeight="1">
      <c r="A386" s="500">
        <f>A74</f>
        <v>0</v>
      </c>
      <c r="B386" s="501">
        <f>(M$17*(F74+G74+H74)+L$17*(G74+H74)+K$17*H74)*D74</f>
        <v>0</v>
      </c>
      <c r="C386" s="501">
        <f t="shared" si="87"/>
        <v>0</v>
      </c>
      <c r="D386" s="501">
        <f t="shared" si="87"/>
        <v>0</v>
      </c>
      <c r="E386" s="520">
        <f t="shared" si="87"/>
        <v>0</v>
      </c>
      <c r="F386" s="520">
        <f t="shared" si="87"/>
        <v>0</v>
      </c>
      <c r="G386" s="501"/>
      <c r="H386" s="501"/>
      <c r="I386" s="501"/>
      <c r="J386" s="501"/>
      <c r="K386" s="501"/>
      <c r="L386" s="501"/>
      <c r="M386" s="501"/>
      <c r="N386" s="501"/>
      <c r="O386" s="501"/>
      <c r="P386" s="501"/>
      <c r="Q386" s="501"/>
      <c r="R386" s="501"/>
    </row>
    <row r="387" spans="1:18" ht="12.2" customHeight="1">
      <c r="A387" s="500">
        <f>A75</f>
        <v>0</v>
      </c>
      <c r="B387" s="501">
        <f>(M$17*(F75+G75+H75)+L$17*(G75+H75)+K$17*H75)*D75</f>
        <v>0</v>
      </c>
      <c r="C387" s="501">
        <f t="shared" si="87"/>
        <v>0</v>
      </c>
      <c r="D387" s="501">
        <f t="shared" si="87"/>
        <v>0</v>
      </c>
      <c r="E387" s="520">
        <f t="shared" si="87"/>
        <v>0</v>
      </c>
      <c r="F387" s="520">
        <f t="shared" si="87"/>
        <v>0</v>
      </c>
      <c r="G387" s="501"/>
      <c r="H387" s="501"/>
      <c r="I387" s="501"/>
      <c r="J387" s="501"/>
      <c r="K387" s="501"/>
      <c r="L387" s="501"/>
      <c r="M387" s="501"/>
      <c r="N387" s="501"/>
      <c r="O387" s="501"/>
      <c r="P387" s="501"/>
      <c r="Q387" s="501"/>
      <c r="R387" s="501"/>
    </row>
    <row r="388" spans="1:18" ht="12.2" customHeight="1">
      <c r="A388" s="505" t="s">
        <v>605</v>
      </c>
      <c r="B388" s="503" t="s">
        <v>605</v>
      </c>
      <c r="C388" s="503" t="s">
        <v>605</v>
      </c>
      <c r="D388" s="503" t="s">
        <v>605</v>
      </c>
      <c r="E388" s="518" t="s">
        <v>605</v>
      </c>
      <c r="F388" s="518" t="s">
        <v>605</v>
      </c>
      <c r="G388" s="501"/>
      <c r="H388" s="501"/>
      <c r="I388" s="501"/>
      <c r="J388" s="501"/>
      <c r="K388" s="501"/>
      <c r="L388" s="501"/>
      <c r="M388" s="501"/>
      <c r="N388" s="501"/>
      <c r="O388" s="501"/>
      <c r="P388" s="501"/>
      <c r="Q388" s="501"/>
      <c r="R388" s="501"/>
    </row>
    <row r="389" spans="1:18" ht="12.2" customHeight="1">
      <c r="A389" s="500" t="str">
        <f>A77</f>
        <v/>
      </c>
      <c r="B389" s="501"/>
      <c r="C389" s="501"/>
      <c r="D389" s="501"/>
      <c r="E389" s="520"/>
      <c r="F389" s="520"/>
      <c r="G389" s="501"/>
      <c r="H389" s="501"/>
      <c r="I389" s="501"/>
      <c r="J389" s="501"/>
      <c r="K389" s="501"/>
      <c r="L389" s="501"/>
      <c r="M389" s="501"/>
      <c r="N389" s="501"/>
      <c r="O389" s="501"/>
      <c r="P389" s="501"/>
      <c r="Q389" s="501"/>
      <c r="R389" s="501"/>
    </row>
    <row r="390" spans="1:18" ht="12.2" customHeight="1">
      <c r="B390" s="501"/>
      <c r="C390" s="501"/>
      <c r="D390" s="501"/>
      <c r="E390" s="520"/>
      <c r="F390" s="520"/>
      <c r="G390" s="501"/>
      <c r="H390" s="501"/>
      <c r="I390" s="501"/>
      <c r="J390" s="501"/>
      <c r="K390" s="501"/>
      <c r="L390" s="501"/>
      <c r="M390" s="501"/>
      <c r="N390" s="501"/>
      <c r="O390" s="501"/>
      <c r="P390" s="501"/>
      <c r="Q390" s="501"/>
      <c r="R390" s="501"/>
    </row>
    <row r="391" spans="1:18" ht="12.2" customHeight="1">
      <c r="A391" s="500">
        <f>A79</f>
        <v>0</v>
      </c>
      <c r="B391" s="501">
        <f>(M$18*(F79+G79+H79)+L$18*(G79+H79)+K$18*H79)*D79</f>
        <v>0</v>
      </c>
      <c r="C391" s="501">
        <f t="shared" ref="C391:F395" si="88">IF($B$36=0,0,(($K$18*$H79+$L$18*($G79+$H79)+$M$18*($F79+$G79+$H79))*C$36/$B$36)*$D79)</f>
        <v>0</v>
      </c>
      <c r="D391" s="501">
        <f t="shared" si="88"/>
        <v>0</v>
      </c>
      <c r="E391" s="520">
        <f t="shared" si="88"/>
        <v>0</v>
      </c>
      <c r="F391" s="520">
        <f t="shared" si="88"/>
        <v>0</v>
      </c>
      <c r="G391" s="501"/>
      <c r="H391" s="501"/>
      <c r="I391" s="501"/>
      <c r="J391" s="501"/>
      <c r="K391" s="501"/>
      <c r="L391" s="501"/>
      <c r="M391" s="501"/>
      <c r="N391" s="501"/>
      <c r="O391" s="501"/>
      <c r="P391" s="501"/>
      <c r="Q391" s="501"/>
      <c r="R391" s="501"/>
    </row>
    <row r="392" spans="1:18" ht="12.2" customHeight="1">
      <c r="A392" s="500">
        <f>A80</f>
        <v>0</v>
      </c>
      <c r="B392" s="501">
        <f>(M$18*(F80+G80+H80)+L$18*(G80+H80)+K$18*H80)*D80</f>
        <v>0</v>
      </c>
      <c r="C392" s="501">
        <f t="shared" si="88"/>
        <v>0</v>
      </c>
      <c r="D392" s="501">
        <f t="shared" si="88"/>
        <v>0</v>
      </c>
      <c r="E392" s="520">
        <f t="shared" si="88"/>
        <v>0</v>
      </c>
      <c r="F392" s="520">
        <f t="shared" si="88"/>
        <v>0</v>
      </c>
      <c r="G392" s="501"/>
      <c r="H392" s="501"/>
      <c r="I392" s="501"/>
      <c r="J392" s="501"/>
      <c r="K392" s="501"/>
      <c r="L392" s="501"/>
      <c r="M392" s="501"/>
      <c r="N392" s="501"/>
      <c r="O392" s="501"/>
      <c r="P392" s="501"/>
      <c r="Q392" s="501"/>
      <c r="R392" s="501"/>
    </row>
    <row r="393" spans="1:18" ht="12.2" customHeight="1">
      <c r="A393" s="500">
        <f>A81</f>
        <v>0</v>
      </c>
      <c r="B393" s="501">
        <f>(M$18*(F81+G81+H81)+L$18*(G81+H81)+K$18*H81)*D81</f>
        <v>0</v>
      </c>
      <c r="C393" s="501">
        <f t="shared" si="88"/>
        <v>0</v>
      </c>
      <c r="D393" s="501">
        <f t="shared" si="88"/>
        <v>0</v>
      </c>
      <c r="E393" s="520">
        <f t="shared" si="88"/>
        <v>0</v>
      </c>
      <c r="F393" s="520">
        <f t="shared" si="88"/>
        <v>0</v>
      </c>
      <c r="G393" s="501"/>
      <c r="H393" s="501"/>
      <c r="I393" s="501"/>
      <c r="J393" s="501"/>
      <c r="K393" s="501"/>
      <c r="L393" s="501"/>
      <c r="M393" s="501"/>
      <c r="N393" s="501"/>
      <c r="O393" s="501"/>
      <c r="P393" s="501"/>
      <c r="Q393" s="501"/>
      <c r="R393" s="501"/>
    </row>
    <row r="394" spans="1:18" ht="12.2" customHeight="1">
      <c r="A394" s="500">
        <f>A82</f>
        <v>0</v>
      </c>
      <c r="B394" s="501">
        <f>(M$18*(F82+G82+H82)+L$18*(G82+H82)+K$18*H82)*D82</f>
        <v>0</v>
      </c>
      <c r="C394" s="501">
        <f t="shared" si="88"/>
        <v>0</v>
      </c>
      <c r="D394" s="501">
        <f t="shared" si="88"/>
        <v>0</v>
      </c>
      <c r="E394" s="520">
        <f t="shared" si="88"/>
        <v>0</v>
      </c>
      <c r="F394" s="520">
        <f t="shared" si="88"/>
        <v>0</v>
      </c>
      <c r="G394" s="501"/>
      <c r="H394" s="501"/>
      <c r="I394" s="501"/>
      <c r="J394" s="501"/>
      <c r="K394" s="501"/>
      <c r="L394" s="501"/>
      <c r="M394" s="501"/>
      <c r="N394" s="501"/>
      <c r="O394" s="501"/>
      <c r="P394" s="501"/>
      <c r="Q394" s="501"/>
      <c r="R394" s="501"/>
    </row>
    <row r="395" spans="1:18" ht="12.2" customHeight="1">
      <c r="A395" s="500">
        <f>A83</f>
        <v>0</v>
      </c>
      <c r="B395" s="501">
        <f>(M$18*(F83+G83+H83)+L$18*(G83+H83)+K$18*H83)*D83</f>
        <v>0</v>
      </c>
      <c r="C395" s="501">
        <f t="shared" si="88"/>
        <v>0</v>
      </c>
      <c r="D395" s="501">
        <f t="shared" si="88"/>
        <v>0</v>
      </c>
      <c r="E395" s="520">
        <f t="shared" si="88"/>
        <v>0</v>
      </c>
      <c r="F395" s="520">
        <f t="shared" si="88"/>
        <v>0</v>
      </c>
      <c r="G395" s="501"/>
      <c r="H395" s="501"/>
      <c r="I395" s="501"/>
      <c r="J395" s="501"/>
      <c r="K395" s="501"/>
      <c r="L395" s="501"/>
      <c r="M395" s="501"/>
      <c r="N395" s="501"/>
      <c r="O395" s="501"/>
      <c r="P395" s="501"/>
      <c r="Q395" s="501"/>
      <c r="R395" s="501"/>
    </row>
    <row r="396" spans="1:18" ht="12.2" customHeight="1">
      <c r="A396" s="505" t="s">
        <v>605</v>
      </c>
      <c r="B396" s="503" t="s">
        <v>605</v>
      </c>
      <c r="C396" s="503" t="s">
        <v>605</v>
      </c>
      <c r="D396" s="503" t="s">
        <v>605</v>
      </c>
      <c r="E396" s="518" t="s">
        <v>605</v>
      </c>
      <c r="F396" s="518" t="s">
        <v>605</v>
      </c>
      <c r="G396" s="501"/>
      <c r="H396" s="501"/>
      <c r="I396" s="501"/>
      <c r="J396" s="501"/>
      <c r="K396" s="501"/>
      <c r="L396" s="501"/>
      <c r="M396" s="501"/>
      <c r="N396" s="501"/>
      <c r="O396" s="501"/>
      <c r="P396" s="501"/>
      <c r="Q396" s="501"/>
      <c r="R396" s="501"/>
    </row>
    <row r="397" spans="1:18" ht="12.2" customHeight="1">
      <c r="A397" s="500" t="str">
        <f>A85</f>
        <v/>
      </c>
      <c r="B397" s="501"/>
      <c r="C397" s="501"/>
      <c r="D397" s="501"/>
      <c r="E397" s="520"/>
      <c r="F397" s="520"/>
      <c r="G397" s="501"/>
      <c r="H397" s="501"/>
      <c r="I397" s="501"/>
      <c r="J397" s="501"/>
      <c r="K397" s="501"/>
      <c r="L397" s="501"/>
      <c r="M397" s="501"/>
      <c r="N397" s="501"/>
      <c r="O397" s="501"/>
      <c r="P397" s="501"/>
      <c r="Q397" s="501"/>
      <c r="R397" s="501"/>
    </row>
    <row r="398" spans="1:18" ht="12.2" customHeight="1">
      <c r="B398" s="501"/>
      <c r="C398" s="501"/>
      <c r="D398" s="501"/>
      <c r="E398" s="520"/>
      <c r="F398" s="520"/>
      <c r="G398" s="501"/>
      <c r="H398" s="501"/>
      <c r="I398" s="501"/>
      <c r="J398" s="501"/>
      <c r="K398" s="501"/>
      <c r="L398" s="501"/>
      <c r="M398" s="501"/>
      <c r="N398" s="501"/>
      <c r="O398" s="501"/>
      <c r="P398" s="501"/>
      <c r="Q398" s="501"/>
      <c r="R398" s="501"/>
    </row>
    <row r="399" spans="1:18" ht="12.2" customHeight="1">
      <c r="A399" s="500">
        <f>A87</f>
        <v>0</v>
      </c>
      <c r="B399" s="501">
        <f>(M$19*(F87+G87+H87)+L$19*(G87+H87)+K$19*H87)*D87</f>
        <v>0</v>
      </c>
      <c r="C399" s="501">
        <f t="shared" ref="C399:F403" si="89">IF($B$37=0,0,(($K$19*$H87+$L$19*($G87+$H87)+$M$19*($F87+$G87+$H87))*C$37/$B$37)*$D87)</f>
        <v>0</v>
      </c>
      <c r="D399" s="501">
        <f t="shared" si="89"/>
        <v>0</v>
      </c>
      <c r="E399" s="520">
        <f t="shared" si="89"/>
        <v>0</v>
      </c>
      <c r="F399" s="520">
        <f t="shared" si="89"/>
        <v>0</v>
      </c>
      <c r="G399" s="501"/>
      <c r="H399" s="501"/>
      <c r="I399" s="501"/>
      <c r="J399" s="501"/>
      <c r="K399" s="501"/>
      <c r="L399" s="501"/>
      <c r="M399" s="501"/>
      <c r="N399" s="501"/>
      <c r="O399" s="501"/>
      <c r="P399" s="501"/>
      <c r="Q399" s="501"/>
      <c r="R399" s="501"/>
    </row>
    <row r="400" spans="1:18" ht="12.2" customHeight="1">
      <c r="A400" s="500">
        <f>A88</f>
        <v>0</v>
      </c>
      <c r="B400" s="501">
        <f>(M$19*(F88+G88+H88)+L$19*(G88+H88)+K$19*H88)*D88</f>
        <v>0</v>
      </c>
      <c r="C400" s="501">
        <f t="shared" si="89"/>
        <v>0</v>
      </c>
      <c r="D400" s="501">
        <f t="shared" si="89"/>
        <v>0</v>
      </c>
      <c r="E400" s="520">
        <f t="shared" si="89"/>
        <v>0</v>
      </c>
      <c r="F400" s="520">
        <f t="shared" si="89"/>
        <v>0</v>
      </c>
      <c r="G400" s="501"/>
      <c r="H400" s="501"/>
      <c r="I400" s="501"/>
      <c r="J400" s="501"/>
      <c r="K400" s="501"/>
      <c r="L400" s="501"/>
      <c r="M400" s="501"/>
      <c r="N400" s="501"/>
      <c r="O400" s="501"/>
      <c r="P400" s="501"/>
      <c r="Q400" s="501"/>
      <c r="R400" s="501"/>
    </row>
    <row r="401" spans="1:18" ht="12.2" customHeight="1">
      <c r="A401" s="500">
        <f>A89</f>
        <v>0</v>
      </c>
      <c r="B401" s="501">
        <f>(M$19*(F89+G89+H89)+L$19*(G89+H89)+K$19*H89)*D89</f>
        <v>0</v>
      </c>
      <c r="C401" s="501">
        <f t="shared" si="89"/>
        <v>0</v>
      </c>
      <c r="D401" s="501">
        <f t="shared" si="89"/>
        <v>0</v>
      </c>
      <c r="E401" s="520">
        <f t="shared" si="89"/>
        <v>0</v>
      </c>
      <c r="F401" s="520">
        <f t="shared" si="89"/>
        <v>0</v>
      </c>
      <c r="G401" s="501"/>
      <c r="H401" s="501"/>
      <c r="I401" s="501"/>
      <c r="J401" s="501"/>
      <c r="K401" s="501"/>
      <c r="L401" s="501"/>
      <c r="M401" s="501"/>
      <c r="N401" s="501"/>
      <c r="O401" s="501"/>
      <c r="P401" s="501"/>
      <c r="Q401" s="501"/>
      <c r="R401" s="501"/>
    </row>
    <row r="402" spans="1:18" ht="12.2" customHeight="1">
      <c r="A402" s="500">
        <f>A90</f>
        <v>0</v>
      </c>
      <c r="B402" s="501">
        <f>(M$19*(F90+G90+H90)+L$19*(G90+H90)+K$19*H90)*D90</f>
        <v>0</v>
      </c>
      <c r="C402" s="501">
        <f t="shared" si="89"/>
        <v>0</v>
      </c>
      <c r="D402" s="501">
        <f t="shared" si="89"/>
        <v>0</v>
      </c>
      <c r="E402" s="520">
        <f t="shared" si="89"/>
        <v>0</v>
      </c>
      <c r="F402" s="520">
        <f t="shared" si="89"/>
        <v>0</v>
      </c>
      <c r="G402" s="501"/>
      <c r="H402" s="501"/>
      <c r="I402" s="501"/>
      <c r="J402" s="501"/>
      <c r="K402" s="501"/>
      <c r="L402" s="501"/>
      <c r="M402" s="501"/>
      <c r="N402" s="501"/>
      <c r="O402" s="501"/>
      <c r="P402" s="501"/>
      <c r="Q402" s="501"/>
      <c r="R402" s="501"/>
    </row>
    <row r="403" spans="1:18" ht="12.2" customHeight="1">
      <c r="A403" s="500">
        <f>A91</f>
        <v>0</v>
      </c>
      <c r="B403" s="501">
        <f>(M$19*(F91+G91+H91)+L$19*(G91+H91)+K$19*H91)*D91</f>
        <v>0</v>
      </c>
      <c r="C403" s="501">
        <f t="shared" si="89"/>
        <v>0</v>
      </c>
      <c r="D403" s="501">
        <f t="shared" si="89"/>
        <v>0</v>
      </c>
      <c r="E403" s="520">
        <f t="shared" si="89"/>
        <v>0</v>
      </c>
      <c r="F403" s="520">
        <f t="shared" si="89"/>
        <v>0</v>
      </c>
      <c r="G403" s="501"/>
      <c r="H403" s="501"/>
      <c r="I403" s="501"/>
      <c r="J403" s="501"/>
      <c r="K403" s="501"/>
      <c r="L403" s="501"/>
      <c r="M403" s="501"/>
      <c r="N403" s="501"/>
      <c r="O403" s="501"/>
      <c r="P403" s="501"/>
      <c r="Q403" s="501"/>
      <c r="R403" s="501"/>
    </row>
    <row r="404" spans="1:18" ht="12.2" customHeight="1">
      <c r="A404" s="505" t="s">
        <v>605</v>
      </c>
      <c r="B404" s="503" t="s">
        <v>605</v>
      </c>
      <c r="C404" s="503" t="s">
        <v>605</v>
      </c>
      <c r="D404" s="503" t="s">
        <v>605</v>
      </c>
      <c r="E404" s="518" t="s">
        <v>605</v>
      </c>
      <c r="F404" s="518" t="s">
        <v>605</v>
      </c>
      <c r="G404" s="501"/>
      <c r="H404" s="501"/>
      <c r="I404" s="501"/>
      <c r="J404" s="501"/>
      <c r="K404" s="501"/>
      <c r="L404" s="501"/>
      <c r="M404" s="501"/>
      <c r="N404" s="501"/>
      <c r="O404" s="501"/>
      <c r="P404" s="501"/>
      <c r="Q404" s="501"/>
      <c r="R404" s="501"/>
    </row>
    <row r="405" spans="1:18" ht="12.2" customHeight="1">
      <c r="A405" s="500" t="str">
        <f>A93</f>
        <v/>
      </c>
      <c r="B405" s="501"/>
      <c r="C405" s="501"/>
      <c r="D405" s="501"/>
      <c r="E405" s="520"/>
      <c r="F405" s="520"/>
      <c r="G405" s="501"/>
      <c r="H405" s="501"/>
      <c r="I405" s="501"/>
      <c r="J405" s="501"/>
      <c r="K405" s="501"/>
      <c r="L405" s="501"/>
      <c r="M405" s="501"/>
      <c r="N405" s="501"/>
      <c r="O405" s="501"/>
      <c r="P405" s="501"/>
      <c r="Q405" s="501"/>
      <c r="R405" s="501"/>
    </row>
    <row r="406" spans="1:18" ht="12.2" customHeight="1">
      <c r="B406" s="501"/>
      <c r="C406" s="501"/>
      <c r="D406" s="501"/>
      <c r="E406" s="520"/>
      <c r="F406" s="520"/>
      <c r="G406" s="501"/>
      <c r="H406" s="501"/>
      <c r="I406" s="501"/>
      <c r="J406" s="501"/>
      <c r="K406" s="501"/>
      <c r="L406" s="501"/>
      <c r="M406" s="501"/>
      <c r="N406" s="501"/>
      <c r="O406" s="501"/>
      <c r="P406" s="501"/>
      <c r="Q406" s="501"/>
      <c r="R406" s="501"/>
    </row>
    <row r="407" spans="1:18" ht="12.2" customHeight="1">
      <c r="A407" s="500">
        <f>A95</f>
        <v>0</v>
      </c>
      <c r="B407" s="501">
        <f>(M$20*(F95+G95+H95)+L$20*(G95+H95)+K$20*H95)*D95</f>
        <v>0</v>
      </c>
      <c r="C407" s="501">
        <f t="shared" ref="C407:F411" si="90">IF($B$38=0,0,(($K$20*$H95+$L$20*($G95+$H95)+$M$20*($F95+$G95+$H95))*C$38/$B$38)*$D95)</f>
        <v>0</v>
      </c>
      <c r="D407" s="501">
        <f t="shared" si="90"/>
        <v>0</v>
      </c>
      <c r="E407" s="520">
        <f t="shared" si="90"/>
        <v>0</v>
      </c>
      <c r="F407" s="520">
        <f t="shared" si="90"/>
        <v>0</v>
      </c>
      <c r="G407" s="501"/>
      <c r="H407" s="501"/>
      <c r="I407" s="501"/>
      <c r="J407" s="501"/>
      <c r="K407" s="501"/>
      <c r="L407" s="501"/>
      <c r="M407" s="501"/>
      <c r="N407" s="501"/>
      <c r="O407" s="501"/>
      <c r="P407" s="501"/>
      <c r="Q407" s="501"/>
      <c r="R407" s="501"/>
    </row>
    <row r="408" spans="1:18" ht="12.2" customHeight="1">
      <c r="A408" s="500">
        <f>A96</f>
        <v>0</v>
      </c>
      <c r="B408" s="501">
        <f>(M$20*(F96+G96+H96)+L$20*(G96+H96)+K$20*H96)*D96</f>
        <v>0</v>
      </c>
      <c r="C408" s="501">
        <f t="shared" si="90"/>
        <v>0</v>
      </c>
      <c r="D408" s="501">
        <f t="shared" si="90"/>
        <v>0</v>
      </c>
      <c r="E408" s="520">
        <f t="shared" si="90"/>
        <v>0</v>
      </c>
      <c r="F408" s="520">
        <f t="shared" si="90"/>
        <v>0</v>
      </c>
      <c r="G408" s="501"/>
      <c r="H408" s="501"/>
      <c r="I408" s="501"/>
      <c r="J408" s="501"/>
      <c r="K408" s="501"/>
      <c r="L408" s="501"/>
      <c r="M408" s="501"/>
      <c r="N408" s="501"/>
      <c r="O408" s="501"/>
      <c r="P408" s="501"/>
      <c r="Q408" s="501"/>
      <c r="R408" s="501"/>
    </row>
    <row r="409" spans="1:18" ht="12.2" customHeight="1">
      <c r="A409" s="500">
        <f>A97</f>
        <v>0</v>
      </c>
      <c r="B409" s="501">
        <f>(M$20*(F97+G97+H97)+L$20*(G97+H97)+K$20*H97)*D97</f>
        <v>0</v>
      </c>
      <c r="C409" s="501">
        <f t="shared" si="90"/>
        <v>0</v>
      </c>
      <c r="D409" s="501">
        <f t="shared" si="90"/>
        <v>0</v>
      </c>
      <c r="E409" s="520">
        <f t="shared" si="90"/>
        <v>0</v>
      </c>
      <c r="F409" s="520">
        <f t="shared" si="90"/>
        <v>0</v>
      </c>
      <c r="G409" s="501"/>
      <c r="H409" s="501"/>
      <c r="I409" s="501"/>
      <c r="J409" s="501"/>
      <c r="K409" s="501"/>
      <c r="L409" s="501"/>
      <c r="M409" s="501"/>
      <c r="N409" s="501"/>
      <c r="O409" s="501"/>
      <c r="P409" s="501"/>
      <c r="Q409" s="501"/>
      <c r="R409" s="501"/>
    </row>
    <row r="410" spans="1:18" ht="12.2" customHeight="1">
      <c r="A410" s="500">
        <f>A98</f>
        <v>0</v>
      </c>
      <c r="B410" s="501">
        <f>(M$20*(F98+G98+H98)+L$20*(G98+H98)+K$20*H98)*D98</f>
        <v>0</v>
      </c>
      <c r="C410" s="501">
        <f t="shared" si="90"/>
        <v>0</v>
      </c>
      <c r="D410" s="501">
        <f t="shared" si="90"/>
        <v>0</v>
      </c>
      <c r="E410" s="520">
        <f t="shared" si="90"/>
        <v>0</v>
      </c>
      <c r="F410" s="520">
        <f t="shared" si="90"/>
        <v>0</v>
      </c>
      <c r="G410" s="501"/>
      <c r="H410" s="501"/>
      <c r="I410" s="501"/>
      <c r="J410" s="501"/>
      <c r="K410" s="501"/>
      <c r="L410" s="501"/>
      <c r="M410" s="501"/>
      <c r="N410" s="501"/>
      <c r="O410" s="501"/>
      <c r="P410" s="501"/>
      <c r="Q410" s="501"/>
      <c r="R410" s="501"/>
    </row>
    <row r="411" spans="1:18" ht="12.2" customHeight="1">
      <c r="A411" s="500">
        <f>A99</f>
        <v>0</v>
      </c>
      <c r="B411" s="501">
        <f>(M$20*(F99+G99+H99)+L$20*(G99+H99)+K$20*H99)*D99</f>
        <v>0</v>
      </c>
      <c r="C411" s="501">
        <f t="shared" si="90"/>
        <v>0</v>
      </c>
      <c r="D411" s="501">
        <f t="shared" si="90"/>
        <v>0</v>
      </c>
      <c r="E411" s="520">
        <f t="shared" si="90"/>
        <v>0</v>
      </c>
      <c r="F411" s="520">
        <f t="shared" si="90"/>
        <v>0</v>
      </c>
      <c r="G411" s="501"/>
      <c r="H411" s="501"/>
      <c r="I411" s="501"/>
      <c r="J411" s="501"/>
      <c r="K411" s="501"/>
      <c r="L411" s="501"/>
      <c r="M411" s="501"/>
      <c r="N411" s="501"/>
      <c r="O411" s="501"/>
      <c r="P411" s="501"/>
      <c r="Q411" s="501"/>
      <c r="R411" s="501"/>
    </row>
    <row r="412" spans="1:18" ht="12.2" customHeight="1">
      <c r="A412" s="505" t="s">
        <v>605</v>
      </c>
      <c r="B412" s="503" t="s">
        <v>605</v>
      </c>
      <c r="C412" s="503" t="s">
        <v>605</v>
      </c>
      <c r="D412" s="503" t="s">
        <v>605</v>
      </c>
      <c r="E412" s="518" t="s">
        <v>605</v>
      </c>
      <c r="F412" s="518" t="s">
        <v>605</v>
      </c>
      <c r="G412" s="501"/>
      <c r="H412" s="501"/>
      <c r="I412" s="501"/>
      <c r="J412" s="501"/>
      <c r="K412" s="501"/>
      <c r="L412" s="501"/>
      <c r="M412" s="501"/>
      <c r="N412" s="501"/>
      <c r="O412" s="501"/>
      <c r="P412" s="501"/>
      <c r="Q412" s="501"/>
      <c r="R412" s="501"/>
    </row>
    <row r="413" spans="1:18" ht="12.2" customHeight="1">
      <c r="A413" s="501" t="str">
        <f>N53</f>
        <v/>
      </c>
      <c r="B413" s="503"/>
      <c r="C413" s="503"/>
      <c r="D413" s="503"/>
      <c r="E413" s="518"/>
      <c r="F413" s="518"/>
      <c r="G413" s="501"/>
      <c r="H413" s="501"/>
      <c r="I413" s="501"/>
      <c r="J413" s="501"/>
      <c r="K413" s="501"/>
      <c r="L413" s="501"/>
      <c r="M413" s="501"/>
      <c r="N413" s="501"/>
      <c r="O413" s="501"/>
      <c r="P413" s="501"/>
      <c r="Q413" s="501"/>
      <c r="R413" s="501"/>
    </row>
    <row r="414" spans="1:18" ht="12.2" customHeight="1">
      <c r="A414" s="501"/>
      <c r="B414" s="503"/>
      <c r="C414" s="503"/>
      <c r="D414" s="503"/>
      <c r="E414" s="518"/>
      <c r="F414" s="518"/>
      <c r="G414" s="501"/>
      <c r="H414" s="501"/>
      <c r="I414" s="501"/>
      <c r="J414" s="501"/>
      <c r="K414" s="501"/>
      <c r="L414" s="501"/>
      <c r="M414" s="501"/>
      <c r="N414" s="501"/>
      <c r="O414" s="501"/>
      <c r="P414" s="501"/>
      <c r="Q414" s="501"/>
      <c r="R414" s="501"/>
    </row>
    <row r="415" spans="1:18" ht="12.2" customHeight="1">
      <c r="A415" s="501">
        <f t="shared" ref="A415:A460" si="91">N55</f>
        <v>0</v>
      </c>
      <c r="B415" s="501">
        <f>(M$21*(S55+T55+U55)+L$21*(T55+U55)+K$21*U55)*Q55</f>
        <v>0</v>
      </c>
      <c r="C415" s="501">
        <f>IF($B$39=0,0,(($K$21*$U55+$L$21*($T55+$U55)+$M$21*($S55+$T55+$U55))*C$39/$B$39)*$Q55)</f>
        <v>0</v>
      </c>
      <c r="D415" s="501">
        <f>IF($B$39=0,0,(($K$21*$U55+$L$21*($T55+$U55)+$M$21*($S55+$T55+$U55))*D$39/$B$39)*$Q55)</f>
        <v>0</v>
      </c>
      <c r="E415" s="520">
        <f>IF($B$39=0,0,(($K$21*$U55+$L$21*($T55+$U55)+$M$21*($S55+$T55+$U55))*E$39/$B$39)*$Q55)</f>
        <v>0</v>
      </c>
      <c r="F415" s="520">
        <f>IF($B$39=0,0,(($K$21*$U55+$L$21*($T55+$U55)+$M$21*($S55+$T55+$U55))*F$39/$B$39)*$Q55)</f>
        <v>0</v>
      </c>
      <c r="G415" s="501"/>
      <c r="H415" s="501"/>
      <c r="I415" s="501"/>
      <c r="J415" s="501"/>
      <c r="K415" s="501"/>
      <c r="L415" s="501"/>
      <c r="M415" s="501"/>
      <c r="N415" s="501"/>
      <c r="O415" s="501"/>
      <c r="P415" s="501"/>
      <c r="Q415" s="501"/>
      <c r="R415" s="501"/>
    </row>
    <row r="416" spans="1:18" ht="12.2" customHeight="1">
      <c r="A416" s="501">
        <f t="shared" si="91"/>
        <v>0</v>
      </c>
      <c r="B416" s="501">
        <f>(M$21*(S56+T56+U56)+L$21*(T56+U56)+K$21*U56)*Q56</f>
        <v>0</v>
      </c>
      <c r="C416" s="501">
        <f t="shared" ref="C416:F419" si="92">IF($B$39=0,0,(($K$21*$U56+$L$21*($T56+$U56)+$M$21*($S56+$T56+$U56))*C$39/$B$39)*$Q56)</f>
        <v>0</v>
      </c>
      <c r="D416" s="501">
        <f t="shared" si="92"/>
        <v>0</v>
      </c>
      <c r="E416" s="520">
        <f t="shared" si="92"/>
        <v>0</v>
      </c>
      <c r="F416" s="520">
        <f t="shared" si="92"/>
        <v>0</v>
      </c>
      <c r="G416" s="501"/>
      <c r="H416" s="501"/>
      <c r="I416" s="501"/>
      <c r="J416" s="501"/>
      <c r="K416" s="501"/>
      <c r="L416" s="501"/>
      <c r="M416" s="501"/>
      <c r="N416" s="501"/>
      <c r="O416" s="501"/>
      <c r="P416" s="501"/>
      <c r="Q416" s="501"/>
      <c r="R416" s="501"/>
    </row>
    <row r="417" spans="1:18" ht="12.2" customHeight="1">
      <c r="A417" s="501">
        <f t="shared" si="91"/>
        <v>0</v>
      </c>
      <c r="B417" s="501">
        <f>(M$21*(S57+T57+U57)+L$21*(T57+U57)+K$21*U57)*Q57</f>
        <v>0</v>
      </c>
      <c r="C417" s="501">
        <f t="shared" si="92"/>
        <v>0</v>
      </c>
      <c r="D417" s="501">
        <f t="shared" si="92"/>
        <v>0</v>
      </c>
      <c r="E417" s="520">
        <f t="shared" si="92"/>
        <v>0</v>
      </c>
      <c r="F417" s="520">
        <f t="shared" si="92"/>
        <v>0</v>
      </c>
      <c r="G417" s="501"/>
      <c r="H417" s="501"/>
      <c r="I417" s="501"/>
      <c r="J417" s="501"/>
      <c r="K417" s="501"/>
      <c r="L417" s="501"/>
      <c r="M417" s="501"/>
      <c r="N417" s="501"/>
      <c r="O417" s="501"/>
      <c r="P417" s="501"/>
      <c r="Q417" s="501"/>
      <c r="R417" s="501"/>
    </row>
    <row r="418" spans="1:18" ht="12.2" customHeight="1">
      <c r="A418" s="501">
        <f t="shared" si="91"/>
        <v>0</v>
      </c>
      <c r="B418" s="501">
        <f>(M$21*(S58+T58+U58)+L$21*(T58+U58)+K$21*U58)*Q58</f>
        <v>0</v>
      </c>
      <c r="C418" s="501">
        <f t="shared" si="92"/>
        <v>0</v>
      </c>
      <c r="D418" s="501">
        <f t="shared" si="92"/>
        <v>0</v>
      </c>
      <c r="E418" s="520">
        <f t="shared" si="92"/>
        <v>0</v>
      </c>
      <c r="F418" s="520">
        <f t="shared" si="92"/>
        <v>0</v>
      </c>
      <c r="G418" s="501"/>
      <c r="H418" s="501"/>
      <c r="I418" s="501"/>
      <c r="J418" s="501"/>
      <c r="K418" s="501"/>
      <c r="L418" s="501"/>
      <c r="M418" s="501"/>
      <c r="N418" s="501"/>
      <c r="O418" s="501"/>
      <c r="P418" s="501"/>
      <c r="Q418" s="501"/>
      <c r="R418" s="501"/>
    </row>
    <row r="419" spans="1:18" ht="12.2" customHeight="1">
      <c r="A419" s="501">
        <f t="shared" si="91"/>
        <v>0</v>
      </c>
      <c r="B419" s="501">
        <f>(M$21*(S59+T59+U59)+L$21*(T59+U59)+K$21*U59)*Q59</f>
        <v>0</v>
      </c>
      <c r="C419" s="501">
        <f t="shared" si="92"/>
        <v>0</v>
      </c>
      <c r="D419" s="501">
        <f t="shared" si="92"/>
        <v>0</v>
      </c>
      <c r="E419" s="520">
        <f t="shared" si="92"/>
        <v>0</v>
      </c>
      <c r="F419" s="520">
        <f t="shared" si="92"/>
        <v>0</v>
      </c>
      <c r="G419" s="501"/>
      <c r="H419" s="501"/>
      <c r="I419" s="501"/>
      <c r="J419" s="501"/>
      <c r="K419" s="501"/>
      <c r="L419" s="501"/>
      <c r="M419" s="501"/>
      <c r="N419" s="501"/>
      <c r="O419" s="501"/>
      <c r="P419" s="501"/>
      <c r="Q419" s="501"/>
      <c r="R419" s="501"/>
    </row>
    <row r="420" spans="1:18" ht="12.2" customHeight="1">
      <c r="A420" s="501" t="str">
        <f t="shared" si="91"/>
        <v>-</v>
      </c>
      <c r="B420" s="503"/>
      <c r="C420" s="503"/>
      <c r="D420" s="503"/>
      <c r="E420" s="518"/>
      <c r="F420" s="518"/>
      <c r="G420" s="501"/>
      <c r="H420" s="501"/>
      <c r="I420" s="501"/>
      <c r="J420" s="501"/>
      <c r="K420" s="501"/>
      <c r="L420" s="501"/>
      <c r="M420" s="501"/>
      <c r="N420" s="501"/>
      <c r="O420" s="501"/>
      <c r="P420" s="501"/>
      <c r="Q420" s="501"/>
      <c r="R420" s="501"/>
    </row>
    <row r="421" spans="1:18" ht="12.2" customHeight="1">
      <c r="A421" s="501" t="str">
        <f t="shared" si="91"/>
        <v/>
      </c>
      <c r="B421" s="503"/>
      <c r="C421" s="503"/>
      <c r="D421" s="503"/>
      <c r="E421" s="518"/>
      <c r="F421" s="518"/>
      <c r="G421" s="501"/>
      <c r="H421" s="501"/>
      <c r="I421" s="501"/>
      <c r="J421" s="501"/>
      <c r="K421" s="501"/>
      <c r="L421" s="501"/>
      <c r="M421" s="501"/>
      <c r="N421" s="501"/>
      <c r="O421" s="501"/>
      <c r="P421" s="501"/>
      <c r="Q421" s="501"/>
      <c r="R421" s="501"/>
    </row>
    <row r="422" spans="1:18" ht="12.2" customHeight="1">
      <c r="A422" s="501"/>
      <c r="B422" s="503"/>
      <c r="C422" s="503"/>
      <c r="D422" s="503"/>
      <c r="E422" s="518"/>
      <c r="F422" s="518"/>
      <c r="G422" s="501"/>
      <c r="H422" s="501"/>
      <c r="I422" s="501"/>
      <c r="J422" s="501"/>
      <c r="K422" s="501"/>
      <c r="L422" s="501"/>
      <c r="M422" s="501"/>
      <c r="N422" s="501"/>
      <c r="O422" s="501"/>
      <c r="P422" s="501"/>
      <c r="Q422" s="501"/>
      <c r="R422" s="501"/>
    </row>
    <row r="423" spans="1:18" ht="12.2" customHeight="1">
      <c r="A423" s="501">
        <f t="shared" si="91"/>
        <v>0</v>
      </c>
      <c r="B423" s="501">
        <f>(M$22*(S63+T63+U63)+L$22*(T63+U63)+K$22*U63)*Q63</f>
        <v>0</v>
      </c>
      <c r="C423" s="501">
        <f t="shared" ref="C423:F427" si="93">IF($B$40=0,0,(($K$22*$U63+$L$22*($T63+$U63)+$M$22*($S63+$T63+$U63))*C$40/$B$40)*$Q63)</f>
        <v>0</v>
      </c>
      <c r="D423" s="501">
        <f t="shared" si="93"/>
        <v>0</v>
      </c>
      <c r="E423" s="520">
        <f t="shared" si="93"/>
        <v>0</v>
      </c>
      <c r="F423" s="520">
        <f t="shared" si="93"/>
        <v>0</v>
      </c>
      <c r="G423" s="501"/>
      <c r="H423" s="501"/>
      <c r="I423" s="501"/>
      <c r="J423" s="501"/>
      <c r="K423" s="501"/>
      <c r="L423" s="501"/>
      <c r="M423" s="501"/>
      <c r="N423" s="501"/>
      <c r="O423" s="501"/>
      <c r="P423" s="501"/>
      <c r="Q423" s="501"/>
      <c r="R423" s="501"/>
    </row>
    <row r="424" spans="1:18" ht="12.2" customHeight="1">
      <c r="A424" s="501">
        <f t="shared" si="91"/>
        <v>0</v>
      </c>
      <c r="B424" s="501">
        <f>(M$22*(S64+T64+U64)+L$22*(T64+U64)+K$22*U64)*Q64</f>
        <v>0</v>
      </c>
      <c r="C424" s="501">
        <f t="shared" si="93"/>
        <v>0</v>
      </c>
      <c r="D424" s="501">
        <f t="shared" si="93"/>
        <v>0</v>
      </c>
      <c r="E424" s="520">
        <f t="shared" si="93"/>
        <v>0</v>
      </c>
      <c r="F424" s="520">
        <f t="shared" si="93"/>
        <v>0</v>
      </c>
      <c r="G424" s="501"/>
      <c r="H424" s="501"/>
      <c r="I424" s="501"/>
      <c r="J424" s="501"/>
      <c r="K424" s="501"/>
      <c r="L424" s="501"/>
      <c r="M424" s="501"/>
      <c r="N424" s="501"/>
      <c r="O424" s="501"/>
      <c r="P424" s="501"/>
      <c r="Q424" s="501"/>
      <c r="R424" s="501"/>
    </row>
    <row r="425" spans="1:18" ht="12.2" customHeight="1">
      <c r="A425" s="501">
        <f t="shared" si="91"/>
        <v>0</v>
      </c>
      <c r="B425" s="501">
        <f>(M$22*(S65+T65+U65)+L$22*(T65+U65)+K$22*U65)*Q65</f>
        <v>0</v>
      </c>
      <c r="C425" s="501">
        <f t="shared" si="93"/>
        <v>0</v>
      </c>
      <c r="D425" s="501">
        <f t="shared" si="93"/>
        <v>0</v>
      </c>
      <c r="E425" s="520">
        <f t="shared" si="93"/>
        <v>0</v>
      </c>
      <c r="F425" s="520">
        <f t="shared" si="93"/>
        <v>0</v>
      </c>
      <c r="G425" s="501"/>
      <c r="H425" s="501"/>
      <c r="I425" s="501"/>
      <c r="J425" s="501"/>
      <c r="K425" s="501"/>
      <c r="L425" s="501"/>
      <c r="M425" s="501"/>
      <c r="N425" s="501"/>
      <c r="O425" s="501"/>
      <c r="P425" s="501"/>
      <c r="Q425" s="501"/>
      <c r="R425" s="501"/>
    </row>
    <row r="426" spans="1:18" ht="12.2" customHeight="1">
      <c r="A426" s="501">
        <f t="shared" si="91"/>
        <v>0</v>
      </c>
      <c r="B426" s="501">
        <f>(M$22*(S66+T66+U66)+L$22*(T66+U66)+K$22*U66)*Q66</f>
        <v>0</v>
      </c>
      <c r="C426" s="501">
        <f t="shared" si="93"/>
        <v>0</v>
      </c>
      <c r="D426" s="501">
        <f t="shared" si="93"/>
        <v>0</v>
      </c>
      <c r="E426" s="520">
        <f t="shared" si="93"/>
        <v>0</v>
      </c>
      <c r="F426" s="520">
        <f t="shared" si="93"/>
        <v>0</v>
      </c>
      <c r="G426" s="501"/>
      <c r="H426" s="501"/>
      <c r="I426" s="501"/>
      <c r="J426" s="501"/>
      <c r="K426" s="501"/>
      <c r="L426" s="501"/>
      <c r="M426" s="501"/>
      <c r="N426" s="501"/>
      <c r="O426" s="501"/>
      <c r="P426" s="501"/>
      <c r="Q426" s="501"/>
      <c r="R426" s="501"/>
    </row>
    <row r="427" spans="1:18" ht="12.2" customHeight="1">
      <c r="A427" s="501">
        <f t="shared" si="91"/>
        <v>0</v>
      </c>
      <c r="B427" s="501">
        <f>(M$22*(S67+T67+U67)+L$22*(T67+U67)+K$22*U67)*Q67</f>
        <v>0</v>
      </c>
      <c r="C427" s="501">
        <f t="shared" si="93"/>
        <v>0</v>
      </c>
      <c r="D427" s="501">
        <f t="shared" si="93"/>
        <v>0</v>
      </c>
      <c r="E427" s="520">
        <f t="shared" si="93"/>
        <v>0</v>
      </c>
      <c r="F427" s="520">
        <f t="shared" si="93"/>
        <v>0</v>
      </c>
      <c r="G427" s="501"/>
      <c r="H427" s="501"/>
      <c r="I427" s="501"/>
      <c r="J427" s="501"/>
      <c r="K427" s="501"/>
      <c r="L427" s="501"/>
      <c r="M427" s="501"/>
      <c r="N427" s="501"/>
      <c r="O427" s="501"/>
      <c r="P427" s="501"/>
      <c r="Q427" s="501"/>
      <c r="R427" s="501"/>
    </row>
    <row r="428" spans="1:18" ht="12.2" customHeight="1">
      <c r="A428" s="501" t="str">
        <f t="shared" si="91"/>
        <v>-</v>
      </c>
      <c r="B428" s="503"/>
      <c r="C428" s="503"/>
      <c r="D428" s="503"/>
      <c r="E428" s="518"/>
      <c r="F428" s="518"/>
      <c r="G428" s="501"/>
      <c r="H428" s="501"/>
      <c r="I428" s="501"/>
      <c r="J428" s="501"/>
      <c r="K428" s="501"/>
      <c r="L428" s="501"/>
      <c r="M428" s="501"/>
      <c r="N428" s="501"/>
      <c r="O428" s="501"/>
      <c r="P428" s="501"/>
      <c r="Q428" s="501"/>
      <c r="R428" s="501"/>
    </row>
    <row r="429" spans="1:18" ht="12.2" customHeight="1">
      <c r="A429" s="501" t="str">
        <f t="shared" si="91"/>
        <v/>
      </c>
      <c r="B429" s="503"/>
      <c r="C429" s="503"/>
      <c r="D429" s="503"/>
      <c r="E429" s="518"/>
      <c r="F429" s="518"/>
      <c r="G429" s="501"/>
      <c r="H429" s="501"/>
      <c r="I429" s="501"/>
      <c r="J429" s="501"/>
      <c r="K429" s="501"/>
      <c r="L429" s="501"/>
      <c r="M429" s="501"/>
      <c r="N429" s="501"/>
      <c r="O429" s="501"/>
      <c r="P429" s="501"/>
      <c r="Q429" s="501"/>
      <c r="R429" s="501"/>
    </row>
    <row r="430" spans="1:18" ht="12.2" customHeight="1">
      <c r="A430" s="501"/>
      <c r="B430" s="503"/>
      <c r="C430" s="503"/>
      <c r="D430" s="503"/>
      <c r="E430" s="518"/>
      <c r="F430" s="518"/>
      <c r="G430" s="501"/>
      <c r="H430" s="501"/>
      <c r="I430" s="501"/>
      <c r="J430" s="501"/>
      <c r="K430" s="501"/>
      <c r="L430" s="501"/>
      <c r="M430" s="501"/>
      <c r="N430" s="501"/>
      <c r="O430" s="501"/>
      <c r="P430" s="501"/>
      <c r="Q430" s="501"/>
      <c r="R430" s="501"/>
    </row>
    <row r="431" spans="1:18" ht="12.2" customHeight="1">
      <c r="A431" s="501">
        <f t="shared" si="91"/>
        <v>0</v>
      </c>
      <c r="B431" s="501">
        <f>(M$23*(S71+T71+U71)+L$23*(T71+U71)+K$23*U71)*Q71</f>
        <v>0</v>
      </c>
      <c r="C431" s="501">
        <f t="shared" ref="C431:F435" si="94">IF($B$41=0,0,(($K$23*$U71+$L$23*($T71+$U71)+$M$23*($S71+$T71+$U71))*C$41/$B$41)*$Q71)</f>
        <v>0</v>
      </c>
      <c r="D431" s="501">
        <f t="shared" si="94"/>
        <v>0</v>
      </c>
      <c r="E431" s="520">
        <f t="shared" si="94"/>
        <v>0</v>
      </c>
      <c r="F431" s="520">
        <f t="shared" si="94"/>
        <v>0</v>
      </c>
      <c r="G431" s="501"/>
      <c r="H431" s="501"/>
      <c r="I431" s="501"/>
      <c r="J431" s="501"/>
      <c r="K431" s="501"/>
      <c r="L431" s="501"/>
      <c r="M431" s="501"/>
      <c r="N431" s="501"/>
      <c r="O431" s="501"/>
      <c r="P431" s="501"/>
      <c r="Q431" s="501"/>
      <c r="R431" s="501"/>
    </row>
    <row r="432" spans="1:18" ht="12.2" customHeight="1">
      <c r="A432" s="501">
        <f t="shared" si="91"/>
        <v>0</v>
      </c>
      <c r="B432" s="501">
        <f>(M$23*(S72+T72+U72)+L$23*(T72+U72)+K$23*U72)*Q72</f>
        <v>0</v>
      </c>
      <c r="C432" s="501">
        <f t="shared" si="94"/>
        <v>0</v>
      </c>
      <c r="D432" s="501">
        <f t="shared" si="94"/>
        <v>0</v>
      </c>
      <c r="E432" s="520">
        <f t="shared" si="94"/>
        <v>0</v>
      </c>
      <c r="F432" s="520">
        <f t="shared" si="94"/>
        <v>0</v>
      </c>
      <c r="G432" s="501"/>
      <c r="H432" s="501"/>
      <c r="I432" s="501"/>
      <c r="J432" s="501"/>
      <c r="K432" s="501"/>
      <c r="L432" s="501"/>
      <c r="M432" s="501"/>
      <c r="N432" s="501"/>
      <c r="O432" s="501"/>
      <c r="P432" s="501"/>
      <c r="Q432" s="501"/>
      <c r="R432" s="501"/>
    </row>
    <row r="433" spans="1:18" ht="12.2" customHeight="1">
      <c r="A433" s="501">
        <f t="shared" si="91"/>
        <v>0</v>
      </c>
      <c r="B433" s="501">
        <f>(M$23*(S73+T73+U73)+L$23*(T73+U73)+K$23*U73)*Q73</f>
        <v>0</v>
      </c>
      <c r="C433" s="501">
        <f t="shared" si="94"/>
        <v>0</v>
      </c>
      <c r="D433" s="501">
        <f t="shared" si="94"/>
        <v>0</v>
      </c>
      <c r="E433" s="520">
        <f t="shared" si="94"/>
        <v>0</v>
      </c>
      <c r="F433" s="520">
        <f t="shared" si="94"/>
        <v>0</v>
      </c>
      <c r="G433" s="501"/>
      <c r="H433" s="501"/>
      <c r="I433" s="501"/>
      <c r="J433" s="501"/>
      <c r="K433" s="501"/>
      <c r="L433" s="501"/>
      <c r="M433" s="501"/>
      <c r="N433" s="501"/>
      <c r="O433" s="501"/>
      <c r="P433" s="501"/>
      <c r="Q433" s="501"/>
      <c r="R433" s="501"/>
    </row>
    <row r="434" spans="1:18" ht="12.2" customHeight="1">
      <c r="A434" s="501">
        <f t="shared" si="91"/>
        <v>0</v>
      </c>
      <c r="B434" s="501">
        <f>(M$23*(S74+T74+U74)+L$23*(T74+U74)+K$23*U74)*Q74</f>
        <v>0</v>
      </c>
      <c r="C434" s="501">
        <f t="shared" si="94"/>
        <v>0</v>
      </c>
      <c r="D434" s="501">
        <f t="shared" si="94"/>
        <v>0</v>
      </c>
      <c r="E434" s="520">
        <f t="shared" si="94"/>
        <v>0</v>
      </c>
      <c r="F434" s="520">
        <f t="shared" si="94"/>
        <v>0</v>
      </c>
      <c r="G434" s="501"/>
      <c r="H434" s="501"/>
      <c r="I434" s="501"/>
      <c r="J434" s="501"/>
      <c r="K434" s="501"/>
      <c r="L434" s="501"/>
      <c r="M434" s="501"/>
      <c r="N434" s="501"/>
      <c r="O434" s="501"/>
      <c r="P434" s="501"/>
      <c r="Q434" s="501"/>
      <c r="R434" s="501"/>
    </row>
    <row r="435" spans="1:18" ht="12.2" customHeight="1">
      <c r="A435" s="501">
        <f t="shared" si="91"/>
        <v>0</v>
      </c>
      <c r="B435" s="501">
        <f>(M$23*(S75+T75+U75)+L$23*(T75+U75)+K$23*U75)*Q75</f>
        <v>0</v>
      </c>
      <c r="C435" s="501">
        <f t="shared" si="94"/>
        <v>0</v>
      </c>
      <c r="D435" s="501">
        <f t="shared" si="94"/>
        <v>0</v>
      </c>
      <c r="E435" s="520">
        <f t="shared" si="94"/>
        <v>0</v>
      </c>
      <c r="F435" s="520">
        <f t="shared" si="94"/>
        <v>0</v>
      </c>
      <c r="G435" s="501"/>
      <c r="H435" s="501"/>
      <c r="I435" s="501"/>
      <c r="J435" s="501"/>
      <c r="K435" s="501"/>
      <c r="L435" s="501"/>
      <c r="M435" s="501"/>
      <c r="N435" s="501"/>
      <c r="O435" s="501"/>
      <c r="P435" s="501"/>
      <c r="Q435" s="501"/>
      <c r="R435" s="501"/>
    </row>
    <row r="436" spans="1:18" ht="12.2" customHeight="1">
      <c r="A436" s="501" t="str">
        <f t="shared" si="91"/>
        <v>-</v>
      </c>
      <c r="B436" s="503"/>
      <c r="C436" s="503"/>
      <c r="D436" s="503"/>
      <c r="E436" s="518"/>
      <c r="F436" s="518"/>
      <c r="G436" s="501"/>
      <c r="H436" s="501"/>
      <c r="I436" s="501"/>
      <c r="J436" s="501"/>
      <c r="K436" s="501"/>
      <c r="L436" s="501"/>
      <c r="M436" s="501"/>
      <c r="N436" s="501"/>
      <c r="O436" s="501"/>
      <c r="P436" s="501"/>
      <c r="Q436" s="501"/>
      <c r="R436" s="501"/>
    </row>
    <row r="437" spans="1:18" ht="12.2" customHeight="1">
      <c r="A437" s="501" t="str">
        <f t="shared" si="91"/>
        <v/>
      </c>
      <c r="B437" s="503"/>
      <c r="C437" s="503"/>
      <c r="D437" s="503"/>
      <c r="E437" s="518"/>
      <c r="F437" s="518"/>
      <c r="G437" s="501"/>
      <c r="H437" s="501"/>
      <c r="I437" s="501"/>
      <c r="J437" s="501"/>
      <c r="K437" s="501"/>
      <c r="L437" s="501"/>
      <c r="M437" s="501"/>
      <c r="N437" s="501"/>
      <c r="O437" s="501"/>
      <c r="P437" s="501"/>
      <c r="Q437" s="501"/>
      <c r="R437" s="501"/>
    </row>
    <row r="438" spans="1:18" ht="12.2" customHeight="1">
      <c r="A438" s="501"/>
      <c r="B438" s="503"/>
      <c r="C438" s="503"/>
      <c r="D438" s="503"/>
      <c r="E438" s="518"/>
      <c r="F438" s="518"/>
      <c r="G438" s="501"/>
      <c r="H438" s="501"/>
      <c r="I438" s="501"/>
      <c r="J438" s="501"/>
      <c r="K438" s="501"/>
      <c r="L438" s="501"/>
      <c r="M438" s="501"/>
      <c r="N438" s="501"/>
      <c r="O438" s="501"/>
      <c r="P438" s="501"/>
      <c r="Q438" s="501"/>
      <c r="R438" s="501"/>
    </row>
    <row r="439" spans="1:18" ht="12.2" customHeight="1">
      <c r="A439" s="501">
        <f t="shared" si="91"/>
        <v>0</v>
      </c>
      <c r="B439" s="501">
        <f>(M$24*(S79+T79+U79)+L$24*(T79+U79)+K$24*U79)*Q79</f>
        <v>0</v>
      </c>
      <c r="C439" s="501">
        <f t="shared" ref="C439:F443" si="95">IF($B$42=0,0,(($K$24*$U79+$L$24*($T79+$U79)+$M$24*($S79+$T79+$U79))*C$42/$B$42)*$Q79)</f>
        <v>0</v>
      </c>
      <c r="D439" s="501">
        <f t="shared" si="95"/>
        <v>0</v>
      </c>
      <c r="E439" s="520">
        <f t="shared" si="95"/>
        <v>0</v>
      </c>
      <c r="F439" s="520">
        <f t="shared" si="95"/>
        <v>0</v>
      </c>
      <c r="G439" s="501"/>
      <c r="H439" s="501"/>
      <c r="I439" s="501"/>
      <c r="J439" s="501"/>
      <c r="K439" s="501"/>
      <c r="L439" s="501"/>
      <c r="M439" s="501"/>
      <c r="N439" s="501"/>
      <c r="O439" s="501"/>
      <c r="P439" s="501"/>
      <c r="Q439" s="501"/>
      <c r="R439" s="501"/>
    </row>
    <row r="440" spans="1:18" ht="12.2" customHeight="1">
      <c r="A440" s="501">
        <f t="shared" si="91"/>
        <v>0</v>
      </c>
      <c r="B440" s="501">
        <f>(M$24*(S80+T80+U80)+L$24*(T80+U80)+K$24*U80)*Q80</f>
        <v>0</v>
      </c>
      <c r="C440" s="501">
        <f t="shared" si="95"/>
        <v>0</v>
      </c>
      <c r="D440" s="501">
        <f t="shared" si="95"/>
        <v>0</v>
      </c>
      <c r="E440" s="520">
        <f t="shared" si="95"/>
        <v>0</v>
      </c>
      <c r="F440" s="520">
        <f t="shared" si="95"/>
        <v>0</v>
      </c>
      <c r="G440" s="501"/>
      <c r="H440" s="501"/>
      <c r="I440" s="501"/>
      <c r="J440" s="501"/>
      <c r="K440" s="501"/>
      <c r="L440" s="501"/>
      <c r="M440" s="501"/>
      <c r="N440" s="501"/>
      <c r="O440" s="501"/>
      <c r="P440" s="501"/>
      <c r="Q440" s="501"/>
      <c r="R440" s="501"/>
    </row>
    <row r="441" spans="1:18" ht="12.2" customHeight="1">
      <c r="A441" s="501">
        <f t="shared" si="91"/>
        <v>0</v>
      </c>
      <c r="B441" s="501">
        <f>(M$24*(S81+T81+U81)+L$24*(T81+U81)+K$24*U81)*Q81</f>
        <v>0</v>
      </c>
      <c r="C441" s="501">
        <f t="shared" si="95"/>
        <v>0</v>
      </c>
      <c r="D441" s="501">
        <f t="shared" si="95"/>
        <v>0</v>
      </c>
      <c r="E441" s="520">
        <f t="shared" si="95"/>
        <v>0</v>
      </c>
      <c r="F441" s="520">
        <f t="shared" si="95"/>
        <v>0</v>
      </c>
      <c r="G441" s="501"/>
      <c r="H441" s="501"/>
      <c r="I441" s="501"/>
      <c r="J441" s="501"/>
      <c r="K441" s="501"/>
      <c r="L441" s="501"/>
      <c r="M441" s="501"/>
      <c r="N441" s="501"/>
      <c r="O441" s="501"/>
      <c r="P441" s="501"/>
      <c r="Q441" s="501"/>
      <c r="R441" s="501"/>
    </row>
    <row r="442" spans="1:18" ht="12.2" customHeight="1">
      <c r="A442" s="501">
        <f t="shared" si="91"/>
        <v>0</v>
      </c>
      <c r="B442" s="501">
        <f>(M$24*(S82+T82+U82)+L$24*(T82+U82)+K$24*U82)*Q82</f>
        <v>0</v>
      </c>
      <c r="C442" s="501">
        <f t="shared" si="95"/>
        <v>0</v>
      </c>
      <c r="D442" s="501">
        <f t="shared" si="95"/>
        <v>0</v>
      </c>
      <c r="E442" s="520">
        <f t="shared" si="95"/>
        <v>0</v>
      </c>
      <c r="F442" s="520">
        <f t="shared" si="95"/>
        <v>0</v>
      </c>
      <c r="G442" s="501"/>
      <c r="H442" s="501"/>
      <c r="I442" s="501"/>
      <c r="J442" s="501"/>
      <c r="K442" s="501"/>
      <c r="L442" s="501"/>
      <c r="M442" s="501"/>
      <c r="N442" s="501"/>
      <c r="O442" s="501"/>
      <c r="P442" s="501"/>
      <c r="Q442" s="501"/>
      <c r="R442" s="501"/>
    </row>
    <row r="443" spans="1:18" ht="12.2" customHeight="1">
      <c r="A443" s="501">
        <f t="shared" si="91"/>
        <v>0</v>
      </c>
      <c r="B443" s="501">
        <f>(M$24*(S83+T83+U83)+L$24*(T83+U83)+K$24*U83)*Q83</f>
        <v>0</v>
      </c>
      <c r="C443" s="501">
        <f t="shared" si="95"/>
        <v>0</v>
      </c>
      <c r="D443" s="501">
        <f t="shared" si="95"/>
        <v>0</v>
      </c>
      <c r="E443" s="520">
        <f t="shared" si="95"/>
        <v>0</v>
      </c>
      <c r="F443" s="520">
        <f t="shared" si="95"/>
        <v>0</v>
      </c>
      <c r="G443" s="501"/>
      <c r="H443" s="501"/>
      <c r="I443" s="501"/>
      <c r="J443" s="501"/>
      <c r="K443" s="501"/>
      <c r="L443" s="501"/>
      <c r="M443" s="501"/>
      <c r="N443" s="501"/>
      <c r="O443" s="501"/>
      <c r="P443" s="501"/>
      <c r="Q443" s="501"/>
      <c r="R443" s="501"/>
    </row>
    <row r="444" spans="1:18" ht="12.2" customHeight="1">
      <c r="A444" s="501" t="str">
        <f t="shared" si="91"/>
        <v>-</v>
      </c>
      <c r="B444" s="503"/>
      <c r="C444" s="503"/>
      <c r="D444" s="503"/>
      <c r="E444" s="518"/>
      <c r="F444" s="518"/>
      <c r="G444" s="501"/>
      <c r="H444" s="501"/>
      <c r="I444" s="501"/>
      <c r="J444" s="501"/>
      <c r="K444" s="501"/>
      <c r="L444" s="501"/>
      <c r="M444" s="501"/>
      <c r="N444" s="501"/>
      <c r="O444" s="501"/>
      <c r="P444" s="501"/>
      <c r="Q444" s="501"/>
      <c r="R444" s="501"/>
    </row>
    <row r="445" spans="1:18" ht="12.2" customHeight="1">
      <c r="A445" s="501" t="str">
        <f t="shared" si="91"/>
        <v/>
      </c>
      <c r="B445" s="503"/>
      <c r="C445" s="501"/>
      <c r="D445" s="501"/>
      <c r="E445" s="520"/>
      <c r="F445" s="520"/>
      <c r="G445" s="501"/>
      <c r="H445" s="501"/>
      <c r="I445" s="501"/>
      <c r="J445" s="501"/>
      <c r="K445" s="501"/>
      <c r="L445" s="501"/>
      <c r="M445" s="501"/>
      <c r="N445" s="501"/>
      <c r="O445" s="501"/>
      <c r="P445" s="501"/>
      <c r="Q445" s="501"/>
      <c r="R445" s="501"/>
    </row>
    <row r="446" spans="1:18" ht="12.2" customHeight="1">
      <c r="A446" s="501"/>
      <c r="B446" s="503"/>
      <c r="C446" s="503"/>
      <c r="D446" s="503"/>
      <c r="E446" s="518"/>
      <c r="F446" s="518"/>
      <c r="G446" s="501"/>
      <c r="H446" s="501"/>
      <c r="I446" s="501"/>
      <c r="J446" s="501"/>
      <c r="K446" s="501"/>
      <c r="L446" s="501"/>
      <c r="M446" s="501"/>
      <c r="N446" s="501"/>
      <c r="O446" s="501"/>
      <c r="P446" s="501"/>
      <c r="Q446" s="501"/>
      <c r="R446" s="501"/>
    </row>
    <row r="447" spans="1:18" ht="12.2" customHeight="1">
      <c r="A447" s="501">
        <f t="shared" si="91"/>
        <v>0</v>
      </c>
      <c r="B447" s="501">
        <f>(M$25*(S87+T87+U87)+L$25*(T87+U87)+K$25*U87)*Q87</f>
        <v>0</v>
      </c>
      <c r="C447" s="501">
        <f t="shared" ref="C447:F451" si="96">IF($B$43=0,0,(($K$25*$U87+$L$25*($T87+$U87)+$M$25*($S87+$T87+$U87))*C$43/$B$43)*$Q87)</f>
        <v>0</v>
      </c>
      <c r="D447" s="501">
        <f t="shared" si="96"/>
        <v>0</v>
      </c>
      <c r="E447" s="520">
        <f t="shared" si="96"/>
        <v>0</v>
      </c>
      <c r="F447" s="520">
        <f t="shared" si="96"/>
        <v>0</v>
      </c>
      <c r="G447" s="501"/>
      <c r="H447" s="501"/>
      <c r="I447" s="501"/>
      <c r="J447" s="501"/>
      <c r="K447" s="501"/>
      <c r="L447" s="501"/>
      <c r="M447" s="501"/>
      <c r="N447" s="501"/>
      <c r="O447" s="501"/>
      <c r="P447" s="501"/>
      <c r="Q447" s="501"/>
      <c r="R447" s="501"/>
    </row>
    <row r="448" spans="1:18" ht="12.2" customHeight="1">
      <c r="A448" s="501">
        <f t="shared" si="91"/>
        <v>0</v>
      </c>
      <c r="B448" s="501">
        <f>(M$25*(S88+T88+U88)+L$25*(T88+U88)+K$25*U88)*Q88</f>
        <v>0</v>
      </c>
      <c r="C448" s="501">
        <f t="shared" si="96"/>
        <v>0</v>
      </c>
      <c r="D448" s="501">
        <f t="shared" si="96"/>
        <v>0</v>
      </c>
      <c r="E448" s="520">
        <f t="shared" si="96"/>
        <v>0</v>
      </c>
      <c r="F448" s="520">
        <f t="shared" si="96"/>
        <v>0</v>
      </c>
      <c r="G448" s="501"/>
      <c r="H448" s="501"/>
      <c r="I448" s="501"/>
      <c r="J448" s="501"/>
      <c r="K448" s="501"/>
      <c r="L448" s="501"/>
      <c r="M448" s="501"/>
      <c r="N448" s="501"/>
      <c r="O448" s="501"/>
      <c r="P448" s="501"/>
      <c r="Q448" s="501"/>
      <c r="R448" s="501"/>
    </row>
    <row r="449" spans="1:18" ht="12.2" customHeight="1">
      <c r="A449" s="501">
        <f t="shared" si="91"/>
        <v>0</v>
      </c>
      <c r="B449" s="501">
        <f>(M$25*(S89+T89+U89)+L$25*(T89+U89)+K$25*U89)*Q89</f>
        <v>0</v>
      </c>
      <c r="C449" s="501">
        <f t="shared" si="96"/>
        <v>0</v>
      </c>
      <c r="D449" s="501">
        <f t="shared" si="96"/>
        <v>0</v>
      </c>
      <c r="E449" s="520">
        <f t="shared" si="96"/>
        <v>0</v>
      </c>
      <c r="F449" s="520">
        <f t="shared" si="96"/>
        <v>0</v>
      </c>
      <c r="G449" s="501"/>
      <c r="H449" s="501"/>
      <c r="I449" s="501"/>
      <c r="J449" s="501"/>
      <c r="K449" s="501"/>
      <c r="L449" s="501"/>
      <c r="M449" s="501"/>
      <c r="N449" s="501"/>
      <c r="O449" s="501"/>
      <c r="P449" s="501"/>
      <c r="Q449" s="501"/>
      <c r="R449" s="501"/>
    </row>
    <row r="450" spans="1:18" ht="12.2" customHeight="1">
      <c r="A450" s="501">
        <f t="shared" si="91"/>
        <v>0</v>
      </c>
      <c r="B450" s="501">
        <f>(M$25*(S90+T90+U90)+L$25*(T90+U90)+K$25*U90)*Q90</f>
        <v>0</v>
      </c>
      <c r="C450" s="501">
        <f t="shared" si="96"/>
        <v>0</v>
      </c>
      <c r="D450" s="501">
        <f t="shared" si="96"/>
        <v>0</v>
      </c>
      <c r="E450" s="520">
        <f t="shared" si="96"/>
        <v>0</v>
      </c>
      <c r="F450" s="520">
        <f t="shared" si="96"/>
        <v>0</v>
      </c>
      <c r="G450" s="501"/>
      <c r="H450" s="501"/>
      <c r="I450" s="501"/>
      <c r="J450" s="501"/>
      <c r="K450" s="501"/>
      <c r="L450" s="501"/>
      <c r="M450" s="501"/>
      <c r="N450" s="501"/>
      <c r="O450" s="501"/>
      <c r="P450" s="501"/>
      <c r="Q450" s="501"/>
      <c r="R450" s="501"/>
    </row>
    <row r="451" spans="1:18" ht="12.2" customHeight="1">
      <c r="A451" s="501">
        <f t="shared" si="91"/>
        <v>0</v>
      </c>
      <c r="B451" s="501">
        <f>(M$25*(S91+T91+U91)+L$25*(T91+U91)+K$25*U91)*Q91</f>
        <v>0</v>
      </c>
      <c r="C451" s="501">
        <f t="shared" si="96"/>
        <v>0</v>
      </c>
      <c r="D451" s="501">
        <f t="shared" si="96"/>
        <v>0</v>
      </c>
      <c r="E451" s="520">
        <f t="shared" si="96"/>
        <v>0</v>
      </c>
      <c r="F451" s="520">
        <f t="shared" si="96"/>
        <v>0</v>
      </c>
      <c r="G451" s="501"/>
      <c r="H451" s="501"/>
      <c r="I451" s="501"/>
      <c r="J451" s="501"/>
      <c r="K451" s="501"/>
      <c r="L451" s="501"/>
      <c r="M451" s="501"/>
      <c r="N451" s="501"/>
      <c r="O451" s="501"/>
      <c r="P451" s="501"/>
      <c r="Q451" s="501"/>
      <c r="R451" s="501"/>
    </row>
    <row r="452" spans="1:18" ht="12.2" customHeight="1">
      <c r="A452" s="501" t="str">
        <f t="shared" si="91"/>
        <v>-</v>
      </c>
      <c r="B452" s="503"/>
      <c r="C452" s="503"/>
      <c r="D452" s="503"/>
      <c r="E452" s="518"/>
      <c r="F452" s="518"/>
      <c r="G452" s="501"/>
      <c r="H452" s="501"/>
      <c r="I452" s="501"/>
      <c r="J452" s="501"/>
      <c r="K452" s="501"/>
      <c r="L452" s="501"/>
      <c r="M452" s="501"/>
      <c r="N452" s="501"/>
      <c r="O452" s="501"/>
      <c r="P452" s="501"/>
      <c r="Q452" s="501"/>
      <c r="R452" s="501"/>
    </row>
    <row r="453" spans="1:18" ht="12.2" customHeight="1">
      <c r="A453" s="501" t="str">
        <f t="shared" si="91"/>
        <v/>
      </c>
      <c r="B453" s="503"/>
      <c r="C453" s="503"/>
      <c r="D453" s="503"/>
      <c r="E453" s="518"/>
      <c r="F453" s="518"/>
      <c r="G453" s="501"/>
      <c r="H453" s="501"/>
      <c r="I453" s="501"/>
      <c r="J453" s="501"/>
      <c r="K453" s="501"/>
      <c r="L453" s="501"/>
      <c r="M453" s="501"/>
      <c r="N453" s="501"/>
      <c r="O453" s="501"/>
      <c r="P453" s="501"/>
      <c r="Q453" s="501"/>
      <c r="R453" s="501"/>
    </row>
    <row r="454" spans="1:18" ht="12.2" customHeight="1">
      <c r="A454" s="501"/>
      <c r="B454" s="503"/>
      <c r="C454" s="503"/>
      <c r="D454" s="503"/>
      <c r="E454" s="518"/>
      <c r="F454" s="518"/>
      <c r="G454" s="501"/>
      <c r="H454" s="501"/>
      <c r="I454" s="501"/>
      <c r="J454" s="501"/>
      <c r="K454" s="501"/>
      <c r="L454" s="501"/>
      <c r="M454" s="501"/>
      <c r="N454" s="501"/>
      <c r="O454" s="501"/>
      <c r="P454" s="501"/>
      <c r="Q454" s="501"/>
      <c r="R454" s="501"/>
    </row>
    <row r="455" spans="1:18" ht="12.2" customHeight="1">
      <c r="A455" s="501">
        <f t="shared" si="91"/>
        <v>0</v>
      </c>
      <c r="B455" s="501">
        <f>(M$26*(S95+T95+U95)+L$26*(T95+U95)+K$26*U95)*Q95</f>
        <v>0</v>
      </c>
      <c r="C455" s="501">
        <f t="shared" ref="C455:F458" si="97">IF($B$44=0,0,(($K$26*$U95+$L$26*($T95+$U95)+$M$26*($S95+$T95+$U95))*C$44/$B$44)*$Q95)</f>
        <v>0</v>
      </c>
      <c r="D455" s="501">
        <f t="shared" si="97"/>
        <v>0</v>
      </c>
      <c r="E455" s="520">
        <f t="shared" si="97"/>
        <v>0</v>
      </c>
      <c r="F455" s="520">
        <f t="shared" si="97"/>
        <v>0</v>
      </c>
      <c r="G455" s="501"/>
      <c r="H455" s="501"/>
      <c r="I455" s="501"/>
      <c r="J455" s="501"/>
      <c r="K455" s="501"/>
      <c r="L455" s="501"/>
      <c r="M455" s="501"/>
      <c r="N455" s="501"/>
      <c r="O455" s="501"/>
      <c r="P455" s="501"/>
      <c r="Q455" s="501"/>
      <c r="R455" s="501"/>
    </row>
    <row r="456" spans="1:18" ht="12.2" customHeight="1">
      <c r="A456" s="501">
        <f t="shared" si="91"/>
        <v>0</v>
      </c>
      <c r="B456" s="501">
        <f>(M$26*(S96+T96+U96)+L$26*(T96+U96)+K$26*U96)*Q96</f>
        <v>0</v>
      </c>
      <c r="C456" s="501">
        <f t="shared" si="97"/>
        <v>0</v>
      </c>
      <c r="D456" s="501">
        <f t="shared" si="97"/>
        <v>0</v>
      </c>
      <c r="E456" s="520">
        <f t="shared" si="97"/>
        <v>0</v>
      </c>
      <c r="F456" s="520">
        <f t="shared" si="97"/>
        <v>0</v>
      </c>
      <c r="G456" s="501"/>
      <c r="H456" s="501"/>
      <c r="I456" s="501"/>
      <c r="J456" s="501"/>
      <c r="K456" s="501"/>
      <c r="L456" s="501"/>
      <c r="M456" s="501"/>
      <c r="N456" s="501"/>
      <c r="O456" s="501"/>
      <c r="P456" s="501"/>
      <c r="Q456" s="501"/>
      <c r="R456" s="501"/>
    </row>
    <row r="457" spans="1:18" ht="12.2" customHeight="1">
      <c r="A457" s="501">
        <f t="shared" si="91"/>
        <v>0</v>
      </c>
      <c r="B457" s="501">
        <f>(M$26*(S97+T97+U97)+L$26*(T97+U97)+K$26*U97)*Q97</f>
        <v>0</v>
      </c>
      <c r="C457" s="501">
        <f t="shared" si="97"/>
        <v>0</v>
      </c>
      <c r="D457" s="501">
        <f t="shared" si="97"/>
        <v>0</v>
      </c>
      <c r="E457" s="520">
        <f t="shared" si="97"/>
        <v>0</v>
      </c>
      <c r="F457" s="520">
        <f t="shared" si="97"/>
        <v>0</v>
      </c>
      <c r="G457" s="501"/>
      <c r="H457" s="501"/>
      <c r="I457" s="501"/>
      <c r="J457" s="501"/>
      <c r="K457" s="501"/>
      <c r="L457" s="501"/>
      <c r="M457" s="501"/>
      <c r="N457" s="501"/>
      <c r="O457" s="501"/>
      <c r="P457" s="501"/>
      <c r="Q457" s="501"/>
      <c r="R457" s="501"/>
    </row>
    <row r="458" spans="1:18" ht="12.2" customHeight="1">
      <c r="A458" s="501">
        <f t="shared" si="91"/>
        <v>0</v>
      </c>
      <c r="B458" s="501">
        <f>(M$26*(S98+T98+U98)+L$26*(T98+U98)+K$26*U98)*Q98</f>
        <v>0</v>
      </c>
      <c r="C458" s="501">
        <f t="shared" si="97"/>
        <v>0</v>
      </c>
      <c r="D458" s="501">
        <f t="shared" si="97"/>
        <v>0</v>
      </c>
      <c r="E458" s="520">
        <f t="shared" si="97"/>
        <v>0</v>
      </c>
      <c r="F458" s="520">
        <f t="shared" si="97"/>
        <v>0</v>
      </c>
      <c r="G458" s="501"/>
      <c r="H458" s="501"/>
      <c r="I458" s="501"/>
      <c r="J458" s="501"/>
      <c r="K458" s="501"/>
      <c r="L458" s="501"/>
      <c r="M458" s="501"/>
      <c r="N458" s="501"/>
      <c r="O458" s="501"/>
      <c r="P458" s="501"/>
      <c r="Q458" s="501"/>
      <c r="R458" s="501"/>
    </row>
    <row r="459" spans="1:18" ht="12.2" customHeight="1">
      <c r="A459" s="501">
        <f t="shared" si="91"/>
        <v>0</v>
      </c>
      <c r="B459" s="501">
        <f>(M$26*(S99+T99+U99)+L$26*(T99+U99)+K$26*U99)*Q99</f>
        <v>0</v>
      </c>
      <c r="C459" s="501">
        <f>IF($B$44=0,0,(($K$26*$U99+$L$26*($T99+$U99)+$M$26*($S99+$T99+$U99))*C$44/$B$44)*$Q99)</f>
        <v>0</v>
      </c>
      <c r="D459" s="501">
        <f>IF($B$44=0,0,(($K$26*$U99+$L$26*($T99+$U99)+$M$26*($S99+$T99+$U99))*D$44/$B$44)*$Q99)</f>
        <v>0</v>
      </c>
      <c r="E459" s="520">
        <f>IF($B$44=0,0,(($K$26*$U99+$L$26*($T99+$U99)+$M$26*($S99+$T99+$U99))*E$44/$B$44)*$Q99)</f>
        <v>0</v>
      </c>
      <c r="F459" s="520">
        <f>IF($B$44=0,0,(($K$26*$U99+$L$26*($T99+$U99)+$M$26*($S99+$T99+$U99))*F$44/$B$44)*$Q99)</f>
        <v>0</v>
      </c>
      <c r="G459" s="501"/>
      <c r="H459" s="501"/>
      <c r="I459" s="501"/>
      <c r="J459" s="501"/>
      <c r="K459" s="501"/>
      <c r="L459" s="501"/>
      <c r="M459" s="501"/>
      <c r="N459" s="501"/>
      <c r="O459" s="501"/>
      <c r="P459" s="501"/>
      <c r="Q459" s="501"/>
      <c r="R459" s="501"/>
    </row>
    <row r="460" spans="1:18" ht="12.2" customHeight="1">
      <c r="A460" s="501" t="str">
        <f t="shared" si="91"/>
        <v>-</v>
      </c>
      <c r="B460" s="503"/>
      <c r="C460" s="501"/>
      <c r="D460" s="501"/>
      <c r="E460" s="520"/>
      <c r="F460" s="520"/>
      <c r="G460" s="501"/>
      <c r="H460" s="501"/>
      <c r="I460" s="501"/>
      <c r="J460" s="501"/>
      <c r="K460" s="501"/>
      <c r="L460" s="501"/>
      <c r="M460" s="501"/>
      <c r="N460" s="501"/>
      <c r="O460" s="501"/>
      <c r="P460" s="501"/>
      <c r="Q460" s="501"/>
      <c r="R460" s="501"/>
    </row>
    <row r="461" spans="1:18" ht="12.2" customHeight="1">
      <c r="A461" s="505"/>
      <c r="B461" s="503"/>
      <c r="C461" s="503"/>
      <c r="D461" s="503"/>
      <c r="E461" s="518"/>
      <c r="F461" s="518"/>
      <c r="G461" s="501"/>
      <c r="H461" s="501"/>
      <c r="I461" s="501"/>
      <c r="J461" s="501"/>
      <c r="K461" s="501"/>
      <c r="L461" s="501"/>
      <c r="M461" s="501"/>
      <c r="N461" s="501"/>
      <c r="O461" s="501"/>
      <c r="P461" s="501"/>
      <c r="Q461" s="501"/>
      <c r="R461" s="501"/>
    </row>
    <row r="462" spans="1:18" ht="12.2" customHeight="1">
      <c r="A462" s="499" t="s">
        <v>245</v>
      </c>
      <c r="B462" s="501"/>
      <c r="C462" s="501"/>
      <c r="D462" s="501"/>
      <c r="E462" s="520"/>
      <c r="F462" s="520"/>
      <c r="G462" s="501"/>
      <c r="H462" s="501"/>
      <c r="I462" s="501"/>
      <c r="J462" s="501"/>
      <c r="K462" s="501"/>
      <c r="L462" s="501"/>
      <c r="M462" s="501"/>
      <c r="N462" s="501"/>
      <c r="O462" s="501"/>
      <c r="P462" s="501"/>
      <c r="Q462" s="501"/>
      <c r="R462" s="501"/>
    </row>
    <row r="463" spans="1:18" ht="12.2" customHeight="1">
      <c r="B463" s="501"/>
      <c r="C463" s="501"/>
      <c r="D463" s="501"/>
      <c r="E463" s="520"/>
      <c r="F463" s="520"/>
      <c r="G463" s="501"/>
      <c r="H463" s="501"/>
      <c r="I463" s="501"/>
      <c r="J463" s="501"/>
      <c r="K463" s="501"/>
      <c r="L463" s="501"/>
      <c r="M463" s="501"/>
      <c r="N463" s="501"/>
      <c r="O463" s="501"/>
      <c r="P463" s="501"/>
      <c r="Q463" s="501"/>
      <c r="R463" s="501"/>
    </row>
    <row r="464" spans="1:18" ht="12.2" customHeight="1">
      <c r="A464" s="500" t="str">
        <f t="shared" ref="A464:A475" si="98">A15</f>
        <v>CAMISETAS</v>
      </c>
      <c r="B464" s="501">
        <f>SUM(B367:B372)</f>
        <v>0</v>
      </c>
      <c r="C464" s="501">
        <f>SUM(C367:C372)</f>
        <v>0</v>
      </c>
      <c r="D464" s="501">
        <f>SUM(D367:D372)</f>
        <v>0</v>
      </c>
      <c r="E464" s="520">
        <f>SUM(E367:E372)</f>
        <v>0</v>
      </c>
      <c r="F464" s="520">
        <f>SUM(F367:F372)</f>
        <v>0</v>
      </c>
      <c r="G464" s="501"/>
      <c r="H464" s="501"/>
      <c r="I464" s="501"/>
      <c r="J464" s="501"/>
      <c r="K464" s="501"/>
      <c r="L464" s="501"/>
      <c r="M464" s="501"/>
      <c r="N464" s="501"/>
      <c r="O464" s="501"/>
      <c r="P464" s="501"/>
      <c r="Q464" s="501"/>
      <c r="R464" s="501"/>
    </row>
    <row r="465" spans="1:18" ht="12.2" customHeight="1">
      <c r="A465" s="500" t="str">
        <f t="shared" si="98"/>
        <v/>
      </c>
      <c r="B465" s="501">
        <f>SUM(B375:B380)</f>
        <v>0</v>
      </c>
      <c r="C465" s="501">
        <f>SUM(C375:C380)</f>
        <v>0</v>
      </c>
      <c r="D465" s="501">
        <f>SUM(D375:D380)</f>
        <v>0</v>
      </c>
      <c r="E465" s="520">
        <f>SUM(E375:E380)</f>
        <v>0</v>
      </c>
      <c r="F465" s="520">
        <f>SUM(F375:F380)</f>
        <v>0</v>
      </c>
      <c r="G465" s="501"/>
      <c r="H465" s="501"/>
      <c r="I465" s="501"/>
      <c r="J465" s="501"/>
      <c r="K465" s="501"/>
      <c r="L465" s="501"/>
      <c r="M465" s="501"/>
      <c r="N465" s="501"/>
      <c r="O465" s="501"/>
      <c r="P465" s="501"/>
      <c r="Q465" s="501"/>
      <c r="R465" s="501"/>
    </row>
    <row r="466" spans="1:18" ht="12.2" customHeight="1">
      <c r="A466" s="500" t="str">
        <f t="shared" si="98"/>
        <v/>
      </c>
      <c r="B466" s="501">
        <f>SUM(B383:B388)</f>
        <v>0</v>
      </c>
      <c r="C466" s="501">
        <f>SUM(C383:C388)</f>
        <v>0</v>
      </c>
      <c r="D466" s="501">
        <f>SUM(D383:D388)</f>
        <v>0</v>
      </c>
      <c r="E466" s="520">
        <f>SUM(E383:E388)</f>
        <v>0</v>
      </c>
      <c r="F466" s="520">
        <f>SUM(F383:F388)</f>
        <v>0</v>
      </c>
      <c r="G466" s="501"/>
      <c r="H466" s="501"/>
      <c r="I466" s="501"/>
      <c r="J466" s="501"/>
      <c r="K466" s="501"/>
      <c r="L466" s="501"/>
      <c r="M466" s="501"/>
      <c r="N466" s="501"/>
      <c r="O466" s="501"/>
      <c r="P466" s="501"/>
      <c r="Q466" s="501"/>
      <c r="R466" s="501"/>
    </row>
    <row r="467" spans="1:18" ht="12.2" customHeight="1">
      <c r="A467" s="500" t="str">
        <f t="shared" si="98"/>
        <v/>
      </c>
      <c r="B467" s="501">
        <f>SUM(B391:B396)</f>
        <v>0</v>
      </c>
      <c r="C467" s="501">
        <f>SUM(C391:C396)</f>
        <v>0</v>
      </c>
      <c r="D467" s="501">
        <f>SUM(D391:D396)</f>
        <v>0</v>
      </c>
      <c r="E467" s="520">
        <f>SUM(E391:E396)</f>
        <v>0</v>
      </c>
      <c r="F467" s="520">
        <f>SUM(F391:F396)</f>
        <v>0</v>
      </c>
      <c r="G467" s="501"/>
      <c r="H467" s="501"/>
      <c r="I467" s="501"/>
      <c r="J467" s="501"/>
      <c r="K467" s="501"/>
      <c r="L467" s="501"/>
      <c r="M467" s="501"/>
      <c r="N467" s="501"/>
      <c r="O467" s="501"/>
      <c r="P467" s="501"/>
      <c r="Q467" s="501"/>
      <c r="R467" s="501"/>
    </row>
    <row r="468" spans="1:18" ht="12.2" customHeight="1">
      <c r="A468" s="500" t="str">
        <f t="shared" si="98"/>
        <v/>
      </c>
      <c r="B468" s="501">
        <f>SUM(B399:B404)</f>
        <v>0</v>
      </c>
      <c r="C468" s="501">
        <f>SUM(C399:C404)</f>
        <v>0</v>
      </c>
      <c r="D468" s="501">
        <f>SUM(D399:D404)</f>
        <v>0</v>
      </c>
      <c r="E468" s="520">
        <f>SUM(E399:E404)</f>
        <v>0</v>
      </c>
      <c r="F468" s="520">
        <f>SUM(F399:F404)</f>
        <v>0</v>
      </c>
      <c r="G468" s="501"/>
      <c r="H468" s="501"/>
      <c r="I468" s="501"/>
      <c r="J468" s="501"/>
      <c r="K468" s="501"/>
      <c r="L468" s="501"/>
      <c r="M468" s="501"/>
      <c r="N468" s="501"/>
      <c r="O468" s="501"/>
      <c r="P468" s="501"/>
      <c r="Q468" s="501"/>
      <c r="R468" s="501"/>
    </row>
    <row r="469" spans="1:18" ht="12.2" customHeight="1">
      <c r="A469" s="500" t="str">
        <f t="shared" si="98"/>
        <v/>
      </c>
      <c r="B469" s="501">
        <f>SUM(B407:B412)</f>
        <v>0</v>
      </c>
      <c r="C469" s="501">
        <f>SUM(C407:C412)</f>
        <v>0</v>
      </c>
      <c r="D469" s="501">
        <f>SUM(D407:D412)</f>
        <v>0</v>
      </c>
      <c r="E469" s="520">
        <f>SUM(E407:E412)</f>
        <v>0</v>
      </c>
      <c r="F469" s="520">
        <f>SUM(F407:F412)</f>
        <v>0</v>
      </c>
      <c r="G469" s="501"/>
      <c r="H469" s="501"/>
      <c r="I469" s="501"/>
      <c r="J469" s="501"/>
      <c r="K469" s="501"/>
      <c r="L469" s="501"/>
      <c r="M469" s="501"/>
      <c r="N469" s="501"/>
      <c r="O469" s="501"/>
      <c r="P469" s="501"/>
      <c r="Q469" s="501"/>
      <c r="R469" s="501"/>
    </row>
    <row r="470" spans="1:18" ht="12.2" customHeight="1">
      <c r="A470" s="500" t="str">
        <f t="shared" si="98"/>
        <v/>
      </c>
      <c r="B470" s="501">
        <f>SUM(B415:B419)</f>
        <v>0</v>
      </c>
      <c r="C470" s="501">
        <f>SUM(C415:C419)</f>
        <v>0</v>
      </c>
      <c r="D470" s="501">
        <f>SUM(D415:D419)</f>
        <v>0</v>
      </c>
      <c r="E470" s="520">
        <f>SUM(E415:E419)</f>
        <v>0</v>
      </c>
      <c r="F470" s="520">
        <f>SUM(F415:F419)</f>
        <v>0</v>
      </c>
      <c r="G470" s="501"/>
      <c r="H470" s="501"/>
      <c r="I470" s="501"/>
      <c r="J470" s="501"/>
      <c r="K470" s="501"/>
      <c r="L470" s="501"/>
      <c r="M470" s="501"/>
      <c r="N470" s="501"/>
      <c r="O470" s="501"/>
      <c r="P470" s="501"/>
      <c r="Q470" s="501"/>
      <c r="R470" s="501"/>
    </row>
    <row r="471" spans="1:18" ht="12.2" customHeight="1">
      <c r="A471" s="500" t="str">
        <f t="shared" si="98"/>
        <v/>
      </c>
      <c r="B471" s="501">
        <f>SUM(B423:B427)</f>
        <v>0</v>
      </c>
      <c r="C471" s="501">
        <f>SUM(C423:C427)</f>
        <v>0</v>
      </c>
      <c r="D471" s="501">
        <f>SUM(D423:D427)</f>
        <v>0</v>
      </c>
      <c r="E471" s="520">
        <f>SUM(E423:E427)</f>
        <v>0</v>
      </c>
      <c r="F471" s="520">
        <f>SUM(F423:F427)</f>
        <v>0</v>
      </c>
      <c r="G471" s="501"/>
      <c r="H471" s="501"/>
      <c r="I471" s="501"/>
      <c r="J471" s="501"/>
      <c r="K471" s="501"/>
      <c r="L471" s="501"/>
      <c r="M471" s="501"/>
      <c r="N471" s="501"/>
      <c r="O471" s="501"/>
      <c r="P471" s="501"/>
      <c r="Q471" s="501"/>
      <c r="R471" s="501"/>
    </row>
    <row r="472" spans="1:18" ht="12.2" customHeight="1">
      <c r="A472" s="500" t="str">
        <f t="shared" si="98"/>
        <v/>
      </c>
      <c r="B472" s="501">
        <f>SUM(B431:B435)</f>
        <v>0</v>
      </c>
      <c r="C472" s="501">
        <f>SUM(C431:C435)</f>
        <v>0</v>
      </c>
      <c r="D472" s="501">
        <f>SUM(D431:D435)</f>
        <v>0</v>
      </c>
      <c r="E472" s="520">
        <f>SUM(E431:E435)</f>
        <v>0</v>
      </c>
      <c r="F472" s="520">
        <f>SUM(F431:F435)</f>
        <v>0</v>
      </c>
      <c r="G472" s="501"/>
      <c r="H472" s="501"/>
      <c r="I472" s="501"/>
      <c r="J472" s="501"/>
      <c r="K472" s="501"/>
      <c r="L472" s="501"/>
      <c r="M472" s="501"/>
      <c r="N472" s="501"/>
      <c r="O472" s="501"/>
      <c r="P472" s="501"/>
      <c r="Q472" s="501"/>
      <c r="R472" s="501"/>
    </row>
    <row r="473" spans="1:18" ht="12.2" customHeight="1">
      <c r="A473" s="500" t="str">
        <f t="shared" si="98"/>
        <v/>
      </c>
      <c r="B473" s="501">
        <f>SUM(B439:B443)</f>
        <v>0</v>
      </c>
      <c r="C473" s="501">
        <f>SUM(C439:C443)</f>
        <v>0</v>
      </c>
      <c r="D473" s="501">
        <f>SUM(D439:D443)</f>
        <v>0</v>
      </c>
      <c r="E473" s="520">
        <f>SUM(E439:E443)</f>
        <v>0</v>
      </c>
      <c r="F473" s="520">
        <f>SUM(F439:F443)</f>
        <v>0</v>
      </c>
      <c r="G473" s="501"/>
      <c r="H473" s="501"/>
      <c r="I473" s="501"/>
      <c r="J473" s="501"/>
      <c r="K473" s="501"/>
      <c r="L473" s="501"/>
      <c r="M473" s="501"/>
      <c r="N473" s="501"/>
      <c r="O473" s="501"/>
      <c r="P473" s="501"/>
      <c r="Q473" s="501"/>
      <c r="R473" s="501"/>
    </row>
    <row r="474" spans="1:18" ht="12.2" customHeight="1">
      <c r="A474" s="500" t="str">
        <f t="shared" si="98"/>
        <v/>
      </c>
      <c r="B474" s="501">
        <f>SUM(B447:B451)</f>
        <v>0</v>
      </c>
      <c r="C474" s="501">
        <f>SUM(C447:C451)</f>
        <v>0</v>
      </c>
      <c r="D474" s="501">
        <f>SUM(D447:D451)</f>
        <v>0</v>
      </c>
      <c r="E474" s="520">
        <f>SUM(E447:E451)</f>
        <v>0</v>
      </c>
      <c r="F474" s="520">
        <f>SUM(F447:F451)</f>
        <v>0</v>
      </c>
      <c r="G474" s="501"/>
      <c r="H474" s="501"/>
      <c r="I474" s="501"/>
      <c r="J474" s="501"/>
      <c r="K474" s="501"/>
      <c r="L474" s="501"/>
      <c r="M474" s="501"/>
      <c r="N474" s="501"/>
      <c r="O474" s="501"/>
      <c r="P474" s="501"/>
      <c r="Q474" s="501"/>
      <c r="R474" s="501"/>
    </row>
    <row r="475" spans="1:18" ht="12.2" customHeight="1">
      <c r="A475" s="500" t="str">
        <f t="shared" si="98"/>
        <v/>
      </c>
      <c r="B475" s="501">
        <f>SUM(B455:B459)</f>
        <v>0</v>
      </c>
      <c r="C475" s="501">
        <f>SUM(C455:C459)</f>
        <v>0</v>
      </c>
      <c r="D475" s="501">
        <f>SUM(D455:D459)</f>
        <v>0</v>
      </c>
      <c r="E475" s="520">
        <f>SUM(E455:E459)</f>
        <v>0</v>
      </c>
      <c r="F475" s="520">
        <f>SUM(F455:F459)</f>
        <v>0</v>
      </c>
      <c r="G475" s="501"/>
      <c r="H475" s="501"/>
      <c r="I475" s="501"/>
      <c r="J475" s="501"/>
      <c r="K475" s="501"/>
      <c r="L475" s="501"/>
      <c r="M475" s="501"/>
      <c r="N475" s="501"/>
      <c r="O475" s="501"/>
      <c r="P475" s="501"/>
      <c r="Q475" s="501"/>
      <c r="R475" s="501"/>
    </row>
    <row r="476" spans="1:18" ht="12.2" customHeight="1">
      <c r="A476" s="505" t="s">
        <v>605</v>
      </c>
      <c r="B476" s="503" t="s">
        <v>605</v>
      </c>
      <c r="C476" s="503" t="s">
        <v>605</v>
      </c>
      <c r="D476" s="503" t="s">
        <v>605</v>
      </c>
      <c r="E476" s="518" t="s">
        <v>605</v>
      </c>
      <c r="F476" s="518" t="s">
        <v>605</v>
      </c>
      <c r="G476" s="501"/>
      <c r="H476" s="501"/>
      <c r="I476" s="501"/>
      <c r="J476" s="501"/>
      <c r="K476" s="501"/>
      <c r="L476" s="501"/>
      <c r="M476" s="501"/>
      <c r="N476" s="501"/>
      <c r="O476" s="501"/>
      <c r="P476" s="501"/>
      <c r="Q476" s="501"/>
      <c r="R476" s="501"/>
    </row>
    <row r="477" spans="1:18" ht="12.2" customHeight="1">
      <c r="A477" s="499" t="s">
        <v>49</v>
      </c>
      <c r="B477" s="501">
        <f>SUM(B464:B476)</f>
        <v>0</v>
      </c>
      <c r="C477" s="501">
        <f>SUM(C464:C476)</f>
        <v>0</v>
      </c>
      <c r="D477" s="501">
        <f>SUM(D464:D476)</f>
        <v>0</v>
      </c>
      <c r="E477" s="520">
        <f>SUM(E464:E476)</f>
        <v>0</v>
      </c>
      <c r="F477" s="520">
        <f>SUM(F464:F476)</f>
        <v>0</v>
      </c>
      <c r="G477" s="501"/>
      <c r="H477" s="501"/>
      <c r="I477" s="501"/>
      <c r="J477" s="501"/>
      <c r="K477" s="501"/>
      <c r="L477" s="501"/>
      <c r="M477" s="501"/>
      <c r="N477" s="501"/>
      <c r="O477" s="501"/>
      <c r="P477" s="501"/>
      <c r="Q477" s="501"/>
      <c r="R477" s="501"/>
    </row>
    <row r="478" spans="1:18" ht="12.2" customHeight="1">
      <c r="A478" s="505" t="s">
        <v>605</v>
      </c>
      <c r="B478" s="503" t="s">
        <v>605</v>
      </c>
      <c r="C478" s="503" t="s">
        <v>605</v>
      </c>
      <c r="D478" s="503" t="s">
        <v>605</v>
      </c>
      <c r="E478" s="518" t="s">
        <v>605</v>
      </c>
      <c r="F478" s="518" t="s">
        <v>605</v>
      </c>
      <c r="G478" s="501"/>
      <c r="H478" s="501"/>
      <c r="I478" s="501"/>
      <c r="J478" s="501"/>
      <c r="K478" s="501"/>
      <c r="L478" s="501"/>
      <c r="M478" s="501"/>
      <c r="N478" s="501"/>
      <c r="O478" s="501"/>
      <c r="P478" s="501"/>
      <c r="Q478" s="501"/>
      <c r="R478" s="501"/>
    </row>
    <row r="479" spans="1:18" ht="12.2" customHeight="1">
      <c r="B479" s="501"/>
      <c r="C479" s="501"/>
      <c r="D479" s="501"/>
      <c r="E479" s="520"/>
      <c r="F479" s="520"/>
      <c r="G479" s="501"/>
      <c r="H479" s="501"/>
      <c r="I479" s="501"/>
      <c r="J479" s="501"/>
      <c r="K479" s="501"/>
      <c r="L479" s="501"/>
      <c r="M479" s="501"/>
      <c r="N479" s="501"/>
      <c r="O479" s="501"/>
      <c r="P479" s="501"/>
      <c r="Q479" s="501"/>
      <c r="R479" s="501"/>
    </row>
    <row r="480" spans="1:18" ht="12.2" customHeight="1">
      <c r="B480" s="501"/>
      <c r="C480" s="501"/>
      <c r="D480" s="501"/>
      <c r="E480" s="501"/>
      <c r="F480" s="501"/>
      <c r="G480" s="501"/>
      <c r="H480" s="501"/>
      <c r="I480" s="501"/>
      <c r="J480" s="501"/>
      <c r="K480" s="501"/>
      <c r="L480" s="501"/>
      <c r="M480" s="501"/>
      <c r="N480" s="501"/>
      <c r="O480" s="501"/>
      <c r="P480" s="501"/>
      <c r="Q480" s="501"/>
      <c r="R480" s="501"/>
    </row>
    <row r="481" spans="1:18" ht="12.2" customHeight="1">
      <c r="A481" s="499" t="s">
        <v>246</v>
      </c>
      <c r="B481" s="501"/>
      <c r="C481" s="501"/>
      <c r="D481" s="501"/>
      <c r="E481" s="501"/>
      <c r="F481" s="501"/>
      <c r="G481" s="501"/>
      <c r="H481" s="501"/>
      <c r="I481" s="501"/>
      <c r="J481" s="501"/>
      <c r="K481" s="501"/>
      <c r="L481" s="501"/>
      <c r="M481" s="501"/>
      <c r="N481" s="501"/>
      <c r="O481" s="501"/>
      <c r="P481" s="501"/>
      <c r="Q481" s="501"/>
      <c r="R481" s="501"/>
    </row>
    <row r="482" spans="1:18" ht="12.2" customHeight="1">
      <c r="A482" s="505" t="s">
        <v>605</v>
      </c>
      <c r="B482" s="503" t="s">
        <v>605</v>
      </c>
      <c r="C482" s="501"/>
      <c r="D482" s="501"/>
      <c r="E482" s="501"/>
      <c r="F482" s="501"/>
      <c r="G482" s="501"/>
      <c r="H482" s="501"/>
      <c r="I482" s="501"/>
      <c r="J482" s="501"/>
      <c r="K482" s="501"/>
      <c r="L482" s="501"/>
      <c r="M482" s="501"/>
      <c r="N482" s="501"/>
      <c r="O482" s="501"/>
      <c r="P482" s="501"/>
      <c r="Q482" s="501"/>
      <c r="R482" s="501"/>
    </row>
    <row r="483" spans="1:18" ht="12.2" customHeight="1">
      <c r="A483" s="499" t="s">
        <v>671</v>
      </c>
      <c r="B483" s="501"/>
      <c r="C483" s="501"/>
      <c r="D483" s="501"/>
      <c r="E483" s="501"/>
      <c r="F483" s="501"/>
      <c r="G483" s="501"/>
      <c r="H483" s="501"/>
      <c r="I483" s="501"/>
      <c r="J483" s="501"/>
      <c r="K483" s="501"/>
      <c r="L483" s="501"/>
      <c r="M483" s="501"/>
      <c r="N483" s="501"/>
      <c r="O483" s="501"/>
      <c r="P483" s="501"/>
      <c r="Q483" s="501"/>
      <c r="R483" s="501"/>
    </row>
    <row r="484" spans="1:18" ht="12.2" customHeight="1">
      <c r="A484" s="505" t="s">
        <v>605</v>
      </c>
      <c r="B484" s="503" t="s">
        <v>605</v>
      </c>
      <c r="C484" s="501"/>
      <c r="D484" s="501"/>
      <c r="E484" s="501"/>
      <c r="F484" s="501"/>
      <c r="G484" s="501"/>
      <c r="H484" s="501"/>
      <c r="I484" s="501"/>
      <c r="J484" s="501"/>
      <c r="K484" s="501"/>
      <c r="L484" s="501"/>
      <c r="M484" s="501"/>
      <c r="N484" s="501"/>
      <c r="O484" s="501"/>
      <c r="P484" s="501"/>
      <c r="Q484" s="501"/>
      <c r="R484" s="501"/>
    </row>
    <row r="485" spans="1:18" ht="12.2" customHeight="1">
      <c r="A485" s="500" t="str">
        <f t="shared" ref="A485:A496" si="99">A15</f>
        <v>CAMISETAS</v>
      </c>
      <c r="B485" s="501">
        <f>+'datos de entrada'!B311</f>
        <v>0</v>
      </c>
      <c r="C485" s="501"/>
      <c r="D485" s="501"/>
      <c r="E485" s="501"/>
      <c r="F485" s="501"/>
      <c r="G485" s="501"/>
      <c r="H485" s="501"/>
      <c r="I485" s="501"/>
      <c r="J485" s="501"/>
      <c r="K485" s="501"/>
      <c r="L485" s="501"/>
      <c r="M485" s="501"/>
      <c r="N485" s="501"/>
      <c r="O485" s="501"/>
      <c r="P485" s="501"/>
      <c r="Q485" s="501"/>
      <c r="R485" s="501"/>
    </row>
    <row r="486" spans="1:18" ht="12.2" customHeight="1">
      <c r="A486" s="500" t="str">
        <f t="shared" si="99"/>
        <v/>
      </c>
      <c r="B486" s="501">
        <f>+'datos de entrada'!B312</f>
        <v>0</v>
      </c>
      <c r="C486" s="501"/>
      <c r="D486" s="501"/>
      <c r="E486" s="501"/>
      <c r="F486" s="501"/>
      <c r="G486" s="501"/>
      <c r="H486" s="501"/>
      <c r="I486" s="501"/>
      <c r="J486" s="501"/>
      <c r="K486" s="501"/>
      <c r="L486" s="501"/>
      <c r="M486" s="501"/>
      <c r="N486" s="501"/>
      <c r="O486" s="501"/>
      <c r="P486" s="501"/>
      <c r="Q486" s="501"/>
      <c r="R486" s="501"/>
    </row>
    <row r="487" spans="1:18" ht="12.2" customHeight="1">
      <c r="A487" s="500" t="str">
        <f t="shared" si="99"/>
        <v/>
      </c>
      <c r="B487" s="501">
        <f>+'datos de entrada'!B313</f>
        <v>0</v>
      </c>
      <c r="C487" s="501"/>
      <c r="D487" s="501"/>
      <c r="E487" s="501"/>
      <c r="F487" s="501"/>
      <c r="G487" s="501"/>
      <c r="H487" s="501"/>
      <c r="I487" s="501"/>
      <c r="J487" s="501"/>
      <c r="K487" s="501"/>
      <c r="L487" s="501"/>
      <c r="M487" s="501"/>
      <c r="N487" s="501"/>
      <c r="O487" s="501"/>
      <c r="P487" s="501"/>
      <c r="Q487" s="501"/>
      <c r="R487" s="501"/>
    </row>
    <row r="488" spans="1:18" ht="12.2" customHeight="1">
      <c r="A488" s="500" t="str">
        <f t="shared" si="99"/>
        <v/>
      </c>
      <c r="B488" s="501">
        <f>+'datos de entrada'!B314</f>
        <v>0</v>
      </c>
      <c r="C488" s="501"/>
      <c r="D488" s="501"/>
      <c r="E488" s="501"/>
      <c r="F488" s="501"/>
      <c r="G488" s="501"/>
      <c r="H488" s="501"/>
      <c r="I488" s="501"/>
      <c r="J488" s="501"/>
      <c r="K488" s="501"/>
      <c r="L488" s="501"/>
      <c r="M488" s="501"/>
      <c r="N488" s="501"/>
      <c r="O488" s="501"/>
      <c r="P488" s="501"/>
      <c r="Q488" s="501"/>
      <c r="R488" s="501"/>
    </row>
    <row r="489" spans="1:18" ht="12.2" customHeight="1">
      <c r="A489" s="500" t="str">
        <f t="shared" si="99"/>
        <v/>
      </c>
      <c r="B489" s="501">
        <f>+'datos de entrada'!B315</f>
        <v>0</v>
      </c>
      <c r="C489" s="501"/>
      <c r="D489" s="501"/>
      <c r="E489" s="501"/>
      <c r="F489" s="501"/>
      <c r="G489" s="501"/>
      <c r="H489" s="501"/>
      <c r="I489" s="501"/>
      <c r="J489" s="501"/>
      <c r="K489" s="501"/>
      <c r="L489" s="501"/>
      <c r="M489" s="501"/>
      <c r="N489" s="501"/>
      <c r="O489" s="501"/>
      <c r="P489" s="501"/>
      <c r="Q489" s="501"/>
      <c r="R489" s="501"/>
    </row>
    <row r="490" spans="1:18" ht="12.2" customHeight="1">
      <c r="A490" s="500" t="str">
        <f t="shared" si="99"/>
        <v/>
      </c>
      <c r="B490" s="501">
        <f>+'datos de entrada'!B316</f>
        <v>0</v>
      </c>
      <c r="C490" s="501"/>
      <c r="D490" s="501"/>
      <c r="E490" s="501"/>
      <c r="F490" s="501"/>
      <c r="G490" s="501"/>
      <c r="H490" s="501"/>
      <c r="I490" s="501"/>
      <c r="J490" s="501"/>
      <c r="K490" s="501"/>
      <c r="L490" s="501"/>
      <c r="M490" s="501"/>
      <c r="N490" s="501"/>
      <c r="O490" s="501"/>
      <c r="P490" s="501"/>
      <c r="Q490" s="501"/>
      <c r="R490" s="501"/>
    </row>
    <row r="491" spans="1:18" ht="12.2" customHeight="1">
      <c r="A491" s="500" t="str">
        <f t="shared" si="99"/>
        <v/>
      </c>
      <c r="B491" s="501">
        <f>+'datos de entrada'!B317</f>
        <v>0</v>
      </c>
      <c r="C491" s="501"/>
      <c r="D491" s="501"/>
      <c r="E491" s="501"/>
      <c r="F491" s="501"/>
      <c r="G491" s="501"/>
      <c r="H491" s="501"/>
      <c r="I491" s="501"/>
      <c r="J491" s="501"/>
      <c r="K491" s="501"/>
      <c r="L491" s="501"/>
      <c r="M491" s="501"/>
      <c r="N491" s="501"/>
      <c r="O491" s="501"/>
      <c r="P491" s="501"/>
      <c r="Q491" s="501"/>
      <c r="R491" s="501"/>
    </row>
    <row r="492" spans="1:18" ht="12.2" customHeight="1">
      <c r="A492" s="500" t="str">
        <f t="shared" si="99"/>
        <v/>
      </c>
      <c r="B492" s="501">
        <f>+'datos de entrada'!B318</f>
        <v>0</v>
      </c>
      <c r="C492" s="501"/>
      <c r="D492" s="501"/>
      <c r="E492" s="501"/>
      <c r="F492" s="501"/>
      <c r="G492" s="501"/>
      <c r="H492" s="501"/>
      <c r="I492" s="501"/>
      <c r="J492" s="501"/>
      <c r="K492" s="501"/>
      <c r="L492" s="501"/>
      <c r="M492" s="501"/>
      <c r="N492" s="501"/>
      <c r="O492" s="501"/>
      <c r="P492" s="501"/>
      <c r="Q492" s="501"/>
      <c r="R492" s="501"/>
    </row>
    <row r="493" spans="1:18" ht="12.2" customHeight="1">
      <c r="A493" s="500" t="str">
        <f t="shared" si="99"/>
        <v/>
      </c>
      <c r="B493" s="501">
        <f>+'datos de entrada'!B319</f>
        <v>0</v>
      </c>
      <c r="C493" s="501"/>
      <c r="D493" s="501"/>
      <c r="E493" s="501"/>
      <c r="F493" s="501"/>
      <c r="G493" s="501"/>
      <c r="H493" s="501"/>
      <c r="I493" s="501"/>
      <c r="J493" s="501"/>
      <c r="K493" s="501"/>
      <c r="L493" s="501"/>
      <c r="M493" s="501"/>
      <c r="N493" s="501"/>
      <c r="O493" s="501"/>
      <c r="P493" s="501"/>
      <c r="Q493" s="501"/>
      <c r="R493" s="501"/>
    </row>
    <row r="494" spans="1:18" ht="12.2" customHeight="1">
      <c r="A494" s="500" t="str">
        <f t="shared" si="99"/>
        <v/>
      </c>
      <c r="B494" s="501">
        <f>+'datos de entrada'!B320</f>
        <v>0</v>
      </c>
      <c r="C494" s="501"/>
      <c r="D494" s="501"/>
      <c r="E494" s="501"/>
      <c r="F494" s="501"/>
      <c r="G494" s="501"/>
      <c r="H494" s="501"/>
      <c r="I494" s="501"/>
      <c r="J494" s="501"/>
      <c r="K494" s="501"/>
      <c r="L494" s="501"/>
      <c r="M494" s="501"/>
      <c r="N494" s="501"/>
      <c r="O494" s="501"/>
      <c r="P494" s="501"/>
      <c r="Q494" s="501"/>
      <c r="R494" s="501"/>
    </row>
    <row r="495" spans="1:18" ht="12.2" customHeight="1">
      <c r="A495" s="500" t="str">
        <f t="shared" si="99"/>
        <v/>
      </c>
      <c r="B495" s="501">
        <f>+'datos de entrada'!B321</f>
        <v>0</v>
      </c>
      <c r="C495" s="501"/>
      <c r="D495" s="501"/>
      <c r="E495" s="501"/>
      <c r="F495" s="501"/>
      <c r="G495" s="501"/>
      <c r="H495" s="501"/>
      <c r="I495" s="501"/>
      <c r="J495" s="501"/>
      <c r="K495" s="501"/>
      <c r="L495" s="501"/>
      <c r="M495" s="501"/>
      <c r="N495" s="501"/>
      <c r="O495" s="501"/>
      <c r="P495" s="501"/>
      <c r="Q495" s="501"/>
      <c r="R495" s="501"/>
    </row>
    <row r="496" spans="1:18" ht="12.2" customHeight="1">
      <c r="A496" s="500" t="str">
        <f t="shared" si="99"/>
        <v/>
      </c>
      <c r="B496" s="501">
        <f>+'datos de entrada'!B322</f>
        <v>0</v>
      </c>
      <c r="C496" s="501"/>
      <c r="D496" s="501"/>
      <c r="E496" s="501"/>
      <c r="F496" s="501"/>
      <c r="G496" s="501"/>
      <c r="H496" s="501"/>
      <c r="I496" s="501"/>
      <c r="J496" s="501"/>
      <c r="K496" s="501"/>
      <c r="L496" s="501"/>
      <c r="M496" s="501"/>
      <c r="N496" s="501"/>
      <c r="O496" s="501"/>
      <c r="P496" s="501"/>
      <c r="Q496" s="501"/>
      <c r="R496" s="501"/>
    </row>
    <row r="497" spans="1:18" ht="12.2" customHeight="1">
      <c r="A497" s="505" t="s">
        <v>605</v>
      </c>
      <c r="B497" s="503" t="s">
        <v>605</v>
      </c>
      <c r="C497" s="501"/>
      <c r="D497" s="501"/>
      <c r="E497" s="501"/>
      <c r="F497" s="501"/>
      <c r="G497" s="501"/>
      <c r="H497" s="501"/>
      <c r="I497" s="501"/>
      <c r="J497" s="501"/>
      <c r="K497" s="501"/>
      <c r="L497" s="501"/>
      <c r="M497" s="501"/>
      <c r="N497" s="501"/>
      <c r="O497" s="501"/>
      <c r="P497" s="501"/>
      <c r="Q497" s="501"/>
      <c r="R497" s="501"/>
    </row>
    <row r="498" spans="1:18" ht="12.2" customHeight="1">
      <c r="B498" s="501"/>
      <c r="C498" s="501"/>
      <c r="D498" s="501"/>
      <c r="E498" s="501"/>
      <c r="F498" s="501"/>
      <c r="G498" s="501"/>
      <c r="H498" s="501"/>
      <c r="I498" s="501"/>
      <c r="J498" s="501"/>
      <c r="K498" s="501"/>
      <c r="L498" s="501"/>
      <c r="M498" s="501"/>
      <c r="N498" s="501"/>
      <c r="O498" s="501"/>
      <c r="P498" s="501"/>
      <c r="Q498" s="501"/>
      <c r="R498" s="501"/>
    </row>
    <row r="499" spans="1:18" ht="12.2" customHeight="1">
      <c r="A499" s="499" t="s">
        <v>247</v>
      </c>
      <c r="B499" s="501"/>
      <c r="C499" s="501"/>
      <c r="D499" s="501"/>
      <c r="E499" s="501"/>
      <c r="F499" s="501"/>
      <c r="G499" s="501"/>
      <c r="H499" s="501"/>
      <c r="I499" s="501"/>
      <c r="J499" s="501"/>
      <c r="K499" s="501"/>
      <c r="L499" s="501"/>
      <c r="M499" s="501"/>
      <c r="N499" s="501"/>
      <c r="O499" s="501"/>
      <c r="P499" s="501"/>
      <c r="Q499" s="501"/>
      <c r="R499" s="501"/>
    </row>
    <row r="500" spans="1:18" ht="12.2" customHeight="1">
      <c r="A500" s="503" t="s">
        <v>605</v>
      </c>
      <c r="B500" s="503" t="s">
        <v>605</v>
      </c>
      <c r="C500" s="503" t="s">
        <v>605</v>
      </c>
      <c r="D500" s="503" t="s">
        <v>605</v>
      </c>
      <c r="E500" s="503" t="s">
        <v>605</v>
      </c>
      <c r="F500" s="503" t="s">
        <v>605</v>
      </c>
      <c r="G500" s="503" t="s">
        <v>605</v>
      </c>
      <c r="H500" s="503" t="s">
        <v>605</v>
      </c>
      <c r="I500" s="503" t="s">
        <v>605</v>
      </c>
      <c r="J500" s="503" t="s">
        <v>605</v>
      </c>
      <c r="K500" s="503" t="s">
        <v>605</v>
      </c>
      <c r="L500" s="503" t="s">
        <v>605</v>
      </c>
      <c r="M500" s="503" t="s">
        <v>605</v>
      </c>
      <c r="N500" s="503" t="s">
        <v>605</v>
      </c>
      <c r="O500" s="503" t="s">
        <v>605</v>
      </c>
      <c r="P500" s="503" t="s">
        <v>605</v>
      </c>
      <c r="Q500" s="518" t="s">
        <v>605</v>
      </c>
      <c r="R500" s="518" t="s">
        <v>605</v>
      </c>
    </row>
    <row r="501" spans="1:18" ht="12.2" customHeight="1">
      <c r="A501" s="504" t="s">
        <v>575</v>
      </c>
      <c r="B501" s="504" t="s">
        <v>606</v>
      </c>
      <c r="C501" s="504" t="s">
        <v>607</v>
      </c>
      <c r="D501" s="504" t="s">
        <v>608</v>
      </c>
      <c r="E501" s="504" t="s">
        <v>609</v>
      </c>
      <c r="F501" s="504" t="s">
        <v>610</v>
      </c>
      <c r="G501" s="504" t="s">
        <v>611</v>
      </c>
      <c r="H501" s="504" t="s">
        <v>612</v>
      </c>
      <c r="I501" s="504" t="s">
        <v>613</v>
      </c>
      <c r="J501" s="504" t="s">
        <v>614</v>
      </c>
      <c r="K501" s="504" t="s">
        <v>615</v>
      </c>
      <c r="L501" s="504" t="s">
        <v>616</v>
      </c>
      <c r="M501" s="504" t="s">
        <v>617</v>
      </c>
      <c r="N501" s="504" t="s">
        <v>692</v>
      </c>
      <c r="O501" s="504" t="s">
        <v>693</v>
      </c>
      <c r="P501" s="504" t="s">
        <v>694</v>
      </c>
      <c r="Q501" s="519" t="s">
        <v>186</v>
      </c>
      <c r="R501" s="519" t="s">
        <v>187</v>
      </c>
    </row>
    <row r="502" spans="1:18" ht="12.2" customHeight="1">
      <c r="A502" s="503" t="s">
        <v>605</v>
      </c>
      <c r="B502" s="503" t="s">
        <v>605</v>
      </c>
      <c r="C502" s="503" t="s">
        <v>605</v>
      </c>
      <c r="D502" s="503" t="s">
        <v>605</v>
      </c>
      <c r="E502" s="503" t="s">
        <v>605</v>
      </c>
      <c r="F502" s="503" t="s">
        <v>605</v>
      </c>
      <c r="G502" s="503" t="s">
        <v>605</v>
      </c>
      <c r="H502" s="503" t="s">
        <v>605</v>
      </c>
      <c r="I502" s="503" t="s">
        <v>605</v>
      </c>
      <c r="J502" s="503" t="s">
        <v>605</v>
      </c>
      <c r="K502" s="503" t="s">
        <v>605</v>
      </c>
      <c r="L502" s="503" t="s">
        <v>605</v>
      </c>
      <c r="M502" s="503" t="s">
        <v>605</v>
      </c>
      <c r="N502" s="503" t="s">
        <v>605</v>
      </c>
      <c r="O502" s="503" t="s">
        <v>605</v>
      </c>
      <c r="P502" s="503" t="s">
        <v>605</v>
      </c>
      <c r="Q502" s="518" t="s">
        <v>605</v>
      </c>
      <c r="R502" s="518" t="s">
        <v>605</v>
      </c>
    </row>
    <row r="503" spans="1:18" ht="12.2" customHeight="1">
      <c r="A503" s="500" t="str">
        <f t="shared" ref="A503:A514" si="100">A15</f>
        <v>CAMISETAS</v>
      </c>
      <c r="B503" s="501">
        <f t="shared" ref="B503:M514" si="101">B15*$B485</f>
        <v>0</v>
      </c>
      <c r="C503" s="501">
        <f t="shared" si="101"/>
        <v>0</v>
      </c>
      <c r="D503" s="501">
        <f t="shared" si="101"/>
        <v>0</v>
      </c>
      <c r="E503" s="501">
        <f t="shared" si="101"/>
        <v>0</v>
      </c>
      <c r="F503" s="501">
        <f t="shared" si="101"/>
        <v>0</v>
      </c>
      <c r="G503" s="501">
        <f t="shared" si="101"/>
        <v>0</v>
      </c>
      <c r="H503" s="501">
        <f t="shared" si="101"/>
        <v>0</v>
      </c>
      <c r="I503" s="501">
        <f t="shared" si="101"/>
        <v>0</v>
      </c>
      <c r="J503" s="501">
        <f t="shared" si="101"/>
        <v>0</v>
      </c>
      <c r="K503" s="501">
        <f t="shared" si="101"/>
        <v>0</v>
      </c>
      <c r="L503" s="501">
        <f t="shared" si="101"/>
        <v>0</v>
      </c>
      <c r="M503" s="501">
        <f t="shared" si="101"/>
        <v>0</v>
      </c>
      <c r="N503" s="501">
        <f t="shared" ref="N503:N514" si="102">SUM(B503:M503)</f>
        <v>0</v>
      </c>
      <c r="O503" s="501">
        <f t="shared" ref="O503:O514" si="103">C33*$B485*(1+$D$7)</f>
        <v>0</v>
      </c>
      <c r="P503" s="501">
        <f t="shared" ref="P503:P514" si="104">D33*$B485*(1+$D$7)^2</f>
        <v>0</v>
      </c>
      <c r="Q503" s="520">
        <f t="shared" ref="Q503:Q514" si="105">E33*$B485*(1+$D$7)^3</f>
        <v>0</v>
      </c>
      <c r="R503" s="520">
        <f t="shared" ref="R503:R508" si="106">F33*$B485*(1+$D$7)^4</f>
        <v>0</v>
      </c>
    </row>
    <row r="504" spans="1:18" ht="12.2" customHeight="1">
      <c r="A504" s="500" t="str">
        <f t="shared" si="100"/>
        <v/>
      </c>
      <c r="B504" s="501">
        <f t="shared" si="101"/>
        <v>0</v>
      </c>
      <c r="C504" s="501">
        <f t="shared" si="101"/>
        <v>0</v>
      </c>
      <c r="D504" s="501">
        <f t="shared" si="101"/>
        <v>0</v>
      </c>
      <c r="E504" s="501">
        <f t="shared" si="101"/>
        <v>0</v>
      </c>
      <c r="F504" s="501">
        <f t="shared" si="101"/>
        <v>0</v>
      </c>
      <c r="G504" s="501">
        <f t="shared" si="101"/>
        <v>0</v>
      </c>
      <c r="H504" s="501">
        <f t="shared" si="101"/>
        <v>0</v>
      </c>
      <c r="I504" s="501">
        <f t="shared" si="101"/>
        <v>0</v>
      </c>
      <c r="J504" s="501">
        <f t="shared" si="101"/>
        <v>0</v>
      </c>
      <c r="K504" s="501">
        <f t="shared" si="101"/>
        <v>0</v>
      </c>
      <c r="L504" s="501">
        <f t="shared" si="101"/>
        <v>0</v>
      </c>
      <c r="M504" s="501">
        <f t="shared" si="101"/>
        <v>0</v>
      </c>
      <c r="N504" s="501">
        <f t="shared" si="102"/>
        <v>0</v>
      </c>
      <c r="O504" s="501">
        <f t="shared" si="103"/>
        <v>0</v>
      </c>
      <c r="P504" s="501">
        <f t="shared" si="104"/>
        <v>0</v>
      </c>
      <c r="Q504" s="520">
        <f t="shared" si="105"/>
        <v>0</v>
      </c>
      <c r="R504" s="520">
        <f t="shared" si="106"/>
        <v>0</v>
      </c>
    </row>
    <row r="505" spans="1:18" ht="12.2" customHeight="1">
      <c r="A505" s="500" t="str">
        <f t="shared" si="100"/>
        <v/>
      </c>
      <c r="B505" s="501">
        <f t="shared" si="101"/>
        <v>0</v>
      </c>
      <c r="C505" s="501">
        <f t="shared" si="101"/>
        <v>0</v>
      </c>
      <c r="D505" s="501">
        <f t="shared" si="101"/>
        <v>0</v>
      </c>
      <c r="E505" s="501">
        <f t="shared" si="101"/>
        <v>0</v>
      </c>
      <c r="F505" s="501">
        <f t="shared" si="101"/>
        <v>0</v>
      </c>
      <c r="G505" s="501">
        <f t="shared" si="101"/>
        <v>0</v>
      </c>
      <c r="H505" s="501">
        <f t="shared" si="101"/>
        <v>0</v>
      </c>
      <c r="I505" s="501">
        <f t="shared" si="101"/>
        <v>0</v>
      </c>
      <c r="J505" s="501">
        <f t="shared" si="101"/>
        <v>0</v>
      </c>
      <c r="K505" s="501">
        <f t="shared" si="101"/>
        <v>0</v>
      </c>
      <c r="L505" s="501">
        <f t="shared" si="101"/>
        <v>0</v>
      </c>
      <c r="M505" s="501">
        <f t="shared" si="101"/>
        <v>0</v>
      </c>
      <c r="N505" s="501">
        <f t="shared" si="102"/>
        <v>0</v>
      </c>
      <c r="O505" s="501">
        <f t="shared" si="103"/>
        <v>0</v>
      </c>
      <c r="P505" s="501">
        <f t="shared" si="104"/>
        <v>0</v>
      </c>
      <c r="Q505" s="520">
        <f t="shared" si="105"/>
        <v>0</v>
      </c>
      <c r="R505" s="520">
        <f t="shared" si="106"/>
        <v>0</v>
      </c>
    </row>
    <row r="506" spans="1:18" ht="12.2" customHeight="1">
      <c r="A506" s="500" t="str">
        <f t="shared" si="100"/>
        <v/>
      </c>
      <c r="B506" s="501">
        <f t="shared" si="101"/>
        <v>0</v>
      </c>
      <c r="C506" s="501">
        <f t="shared" si="101"/>
        <v>0</v>
      </c>
      <c r="D506" s="501">
        <f t="shared" si="101"/>
        <v>0</v>
      </c>
      <c r="E506" s="501">
        <f t="shared" si="101"/>
        <v>0</v>
      </c>
      <c r="F506" s="501">
        <f t="shared" si="101"/>
        <v>0</v>
      </c>
      <c r="G506" s="501">
        <f t="shared" si="101"/>
        <v>0</v>
      </c>
      <c r="H506" s="501">
        <f t="shared" si="101"/>
        <v>0</v>
      </c>
      <c r="I506" s="501">
        <f t="shared" si="101"/>
        <v>0</v>
      </c>
      <c r="J506" s="501">
        <f t="shared" si="101"/>
        <v>0</v>
      </c>
      <c r="K506" s="501">
        <f t="shared" si="101"/>
        <v>0</v>
      </c>
      <c r="L506" s="501">
        <f t="shared" si="101"/>
        <v>0</v>
      </c>
      <c r="M506" s="501">
        <f t="shared" si="101"/>
        <v>0</v>
      </c>
      <c r="N506" s="501">
        <f t="shared" si="102"/>
        <v>0</v>
      </c>
      <c r="O506" s="501">
        <f t="shared" si="103"/>
        <v>0</v>
      </c>
      <c r="P506" s="501">
        <f t="shared" si="104"/>
        <v>0</v>
      </c>
      <c r="Q506" s="520">
        <f t="shared" si="105"/>
        <v>0</v>
      </c>
      <c r="R506" s="520">
        <f t="shared" si="106"/>
        <v>0</v>
      </c>
    </row>
    <row r="507" spans="1:18" ht="12.2" customHeight="1">
      <c r="A507" s="500" t="str">
        <f t="shared" si="100"/>
        <v/>
      </c>
      <c r="B507" s="501">
        <f t="shared" si="101"/>
        <v>0</v>
      </c>
      <c r="C507" s="501">
        <f t="shared" si="101"/>
        <v>0</v>
      </c>
      <c r="D507" s="501">
        <f t="shared" si="101"/>
        <v>0</v>
      </c>
      <c r="E507" s="501">
        <f t="shared" si="101"/>
        <v>0</v>
      </c>
      <c r="F507" s="501">
        <f t="shared" si="101"/>
        <v>0</v>
      </c>
      <c r="G507" s="501">
        <f t="shared" si="101"/>
        <v>0</v>
      </c>
      <c r="H507" s="501">
        <f t="shared" si="101"/>
        <v>0</v>
      </c>
      <c r="I507" s="501">
        <f t="shared" si="101"/>
        <v>0</v>
      </c>
      <c r="J507" s="501">
        <f t="shared" si="101"/>
        <v>0</v>
      </c>
      <c r="K507" s="501">
        <f t="shared" si="101"/>
        <v>0</v>
      </c>
      <c r="L507" s="501">
        <f t="shared" si="101"/>
        <v>0</v>
      </c>
      <c r="M507" s="501">
        <f t="shared" si="101"/>
        <v>0</v>
      </c>
      <c r="N507" s="501">
        <f t="shared" si="102"/>
        <v>0</v>
      </c>
      <c r="O507" s="501">
        <f t="shared" si="103"/>
        <v>0</v>
      </c>
      <c r="P507" s="501">
        <f t="shared" si="104"/>
        <v>0</v>
      </c>
      <c r="Q507" s="520">
        <f t="shared" si="105"/>
        <v>0</v>
      </c>
      <c r="R507" s="520">
        <f t="shared" si="106"/>
        <v>0</v>
      </c>
    </row>
    <row r="508" spans="1:18" ht="12.2" customHeight="1">
      <c r="A508" s="500" t="str">
        <f t="shared" si="100"/>
        <v/>
      </c>
      <c r="B508" s="501">
        <f t="shared" si="101"/>
        <v>0</v>
      </c>
      <c r="C508" s="501">
        <f t="shared" si="101"/>
        <v>0</v>
      </c>
      <c r="D508" s="501">
        <f t="shared" si="101"/>
        <v>0</v>
      </c>
      <c r="E508" s="501">
        <f t="shared" si="101"/>
        <v>0</v>
      </c>
      <c r="F508" s="501">
        <f t="shared" si="101"/>
        <v>0</v>
      </c>
      <c r="G508" s="501">
        <f t="shared" si="101"/>
        <v>0</v>
      </c>
      <c r="H508" s="501">
        <f t="shared" si="101"/>
        <v>0</v>
      </c>
      <c r="I508" s="501">
        <f t="shared" si="101"/>
        <v>0</v>
      </c>
      <c r="J508" s="501">
        <f t="shared" si="101"/>
        <v>0</v>
      </c>
      <c r="K508" s="501">
        <f t="shared" si="101"/>
        <v>0</v>
      </c>
      <c r="L508" s="501">
        <f t="shared" si="101"/>
        <v>0</v>
      </c>
      <c r="M508" s="501">
        <f t="shared" si="101"/>
        <v>0</v>
      </c>
      <c r="N508" s="501">
        <f t="shared" si="102"/>
        <v>0</v>
      </c>
      <c r="O508" s="501">
        <f t="shared" si="103"/>
        <v>0</v>
      </c>
      <c r="P508" s="501">
        <f t="shared" si="104"/>
        <v>0</v>
      </c>
      <c r="Q508" s="520">
        <f t="shared" si="105"/>
        <v>0</v>
      </c>
      <c r="R508" s="520">
        <f t="shared" si="106"/>
        <v>0</v>
      </c>
    </row>
    <row r="509" spans="1:18" ht="12.2" customHeight="1">
      <c r="A509" s="500" t="str">
        <f t="shared" si="100"/>
        <v/>
      </c>
      <c r="B509" s="501">
        <f t="shared" si="101"/>
        <v>0</v>
      </c>
      <c r="C509" s="501">
        <f t="shared" si="101"/>
        <v>0</v>
      </c>
      <c r="D509" s="501">
        <f t="shared" si="101"/>
        <v>0</v>
      </c>
      <c r="E509" s="501">
        <f t="shared" si="101"/>
        <v>0</v>
      </c>
      <c r="F509" s="501">
        <f t="shared" si="101"/>
        <v>0</v>
      </c>
      <c r="G509" s="501">
        <f t="shared" si="101"/>
        <v>0</v>
      </c>
      <c r="H509" s="501">
        <f t="shared" si="101"/>
        <v>0</v>
      </c>
      <c r="I509" s="501">
        <f t="shared" si="101"/>
        <v>0</v>
      </c>
      <c r="J509" s="501">
        <f t="shared" si="101"/>
        <v>0</v>
      </c>
      <c r="K509" s="501">
        <f t="shared" si="101"/>
        <v>0</v>
      </c>
      <c r="L509" s="501">
        <f t="shared" si="101"/>
        <v>0</v>
      </c>
      <c r="M509" s="501">
        <f t="shared" si="101"/>
        <v>0</v>
      </c>
      <c r="N509" s="501">
        <f t="shared" si="102"/>
        <v>0</v>
      </c>
      <c r="O509" s="501">
        <f t="shared" si="103"/>
        <v>0</v>
      </c>
      <c r="P509" s="501">
        <f t="shared" si="104"/>
        <v>0</v>
      </c>
      <c r="Q509" s="520">
        <f t="shared" si="105"/>
        <v>0</v>
      </c>
      <c r="R509" s="520"/>
    </row>
    <row r="510" spans="1:18" ht="12.2" customHeight="1">
      <c r="A510" s="500" t="str">
        <f t="shared" si="100"/>
        <v/>
      </c>
      <c r="B510" s="501">
        <f t="shared" si="101"/>
        <v>0</v>
      </c>
      <c r="C510" s="501">
        <f t="shared" si="101"/>
        <v>0</v>
      </c>
      <c r="D510" s="501">
        <f t="shared" si="101"/>
        <v>0</v>
      </c>
      <c r="E510" s="501">
        <f t="shared" si="101"/>
        <v>0</v>
      </c>
      <c r="F510" s="501">
        <f t="shared" si="101"/>
        <v>0</v>
      </c>
      <c r="G510" s="501">
        <f t="shared" si="101"/>
        <v>0</v>
      </c>
      <c r="H510" s="501">
        <f t="shared" si="101"/>
        <v>0</v>
      </c>
      <c r="I510" s="501">
        <f t="shared" si="101"/>
        <v>0</v>
      </c>
      <c r="J510" s="501">
        <f t="shared" si="101"/>
        <v>0</v>
      </c>
      <c r="K510" s="501">
        <f t="shared" si="101"/>
        <v>0</v>
      </c>
      <c r="L510" s="501">
        <f t="shared" si="101"/>
        <v>0</v>
      </c>
      <c r="M510" s="501">
        <f t="shared" si="101"/>
        <v>0</v>
      </c>
      <c r="N510" s="501">
        <f t="shared" si="102"/>
        <v>0</v>
      </c>
      <c r="O510" s="501">
        <f t="shared" si="103"/>
        <v>0</v>
      </c>
      <c r="P510" s="501">
        <f t="shared" si="104"/>
        <v>0</v>
      </c>
      <c r="Q510" s="520">
        <f t="shared" si="105"/>
        <v>0</v>
      </c>
      <c r="R510" s="520"/>
    </row>
    <row r="511" spans="1:18" ht="12.2" customHeight="1">
      <c r="A511" s="500" t="str">
        <f t="shared" si="100"/>
        <v/>
      </c>
      <c r="B511" s="501">
        <f t="shared" si="101"/>
        <v>0</v>
      </c>
      <c r="C511" s="501">
        <f t="shared" si="101"/>
        <v>0</v>
      </c>
      <c r="D511" s="501">
        <f t="shared" si="101"/>
        <v>0</v>
      </c>
      <c r="E511" s="501">
        <f t="shared" si="101"/>
        <v>0</v>
      </c>
      <c r="F511" s="501">
        <f t="shared" si="101"/>
        <v>0</v>
      </c>
      <c r="G511" s="501">
        <f t="shared" si="101"/>
        <v>0</v>
      </c>
      <c r="H511" s="501">
        <f t="shared" si="101"/>
        <v>0</v>
      </c>
      <c r="I511" s="501">
        <f t="shared" si="101"/>
        <v>0</v>
      </c>
      <c r="J511" s="501">
        <f t="shared" si="101"/>
        <v>0</v>
      </c>
      <c r="K511" s="501">
        <f t="shared" si="101"/>
        <v>0</v>
      </c>
      <c r="L511" s="501">
        <f t="shared" si="101"/>
        <v>0</v>
      </c>
      <c r="M511" s="501">
        <f t="shared" si="101"/>
        <v>0</v>
      </c>
      <c r="N511" s="501">
        <f t="shared" si="102"/>
        <v>0</v>
      </c>
      <c r="O511" s="501">
        <f t="shared" si="103"/>
        <v>0</v>
      </c>
      <c r="P511" s="501">
        <f t="shared" si="104"/>
        <v>0</v>
      </c>
      <c r="Q511" s="520">
        <f t="shared" si="105"/>
        <v>0</v>
      </c>
      <c r="R511" s="520"/>
    </row>
    <row r="512" spans="1:18" ht="12.2" customHeight="1">
      <c r="A512" s="500" t="str">
        <f t="shared" si="100"/>
        <v/>
      </c>
      <c r="B512" s="501">
        <f t="shared" si="101"/>
        <v>0</v>
      </c>
      <c r="C512" s="501">
        <f t="shared" si="101"/>
        <v>0</v>
      </c>
      <c r="D512" s="501">
        <f t="shared" si="101"/>
        <v>0</v>
      </c>
      <c r="E512" s="501">
        <f t="shared" si="101"/>
        <v>0</v>
      </c>
      <c r="F512" s="501">
        <f t="shared" si="101"/>
        <v>0</v>
      </c>
      <c r="G512" s="501">
        <f t="shared" si="101"/>
        <v>0</v>
      </c>
      <c r="H512" s="501">
        <f t="shared" si="101"/>
        <v>0</v>
      </c>
      <c r="I512" s="501">
        <f t="shared" si="101"/>
        <v>0</v>
      </c>
      <c r="J512" s="501">
        <f t="shared" si="101"/>
        <v>0</v>
      </c>
      <c r="K512" s="501">
        <f t="shared" si="101"/>
        <v>0</v>
      </c>
      <c r="L512" s="501">
        <f t="shared" si="101"/>
        <v>0</v>
      </c>
      <c r="M512" s="501">
        <f t="shared" si="101"/>
        <v>0</v>
      </c>
      <c r="N512" s="501">
        <f t="shared" si="102"/>
        <v>0</v>
      </c>
      <c r="O512" s="501">
        <f t="shared" si="103"/>
        <v>0</v>
      </c>
      <c r="P512" s="501">
        <f t="shared" si="104"/>
        <v>0</v>
      </c>
      <c r="Q512" s="520">
        <f t="shared" si="105"/>
        <v>0</v>
      </c>
      <c r="R512" s="520"/>
    </row>
    <row r="513" spans="1:18" ht="12.2" customHeight="1">
      <c r="A513" s="500" t="str">
        <f t="shared" si="100"/>
        <v/>
      </c>
      <c r="B513" s="501">
        <f t="shared" si="101"/>
        <v>0</v>
      </c>
      <c r="C513" s="501">
        <f t="shared" si="101"/>
        <v>0</v>
      </c>
      <c r="D513" s="501">
        <f t="shared" si="101"/>
        <v>0</v>
      </c>
      <c r="E513" s="501">
        <f t="shared" si="101"/>
        <v>0</v>
      </c>
      <c r="F513" s="501">
        <f t="shared" si="101"/>
        <v>0</v>
      </c>
      <c r="G513" s="501">
        <f t="shared" si="101"/>
        <v>0</v>
      </c>
      <c r="H513" s="501">
        <f t="shared" si="101"/>
        <v>0</v>
      </c>
      <c r="I513" s="501">
        <f t="shared" si="101"/>
        <v>0</v>
      </c>
      <c r="J513" s="501">
        <f t="shared" si="101"/>
        <v>0</v>
      </c>
      <c r="K513" s="501">
        <f t="shared" si="101"/>
        <v>0</v>
      </c>
      <c r="L513" s="501">
        <f t="shared" si="101"/>
        <v>0</v>
      </c>
      <c r="M513" s="501">
        <f t="shared" si="101"/>
        <v>0</v>
      </c>
      <c r="N513" s="501">
        <f t="shared" si="102"/>
        <v>0</v>
      </c>
      <c r="O513" s="501">
        <f t="shared" si="103"/>
        <v>0</v>
      </c>
      <c r="P513" s="501">
        <f t="shared" si="104"/>
        <v>0</v>
      </c>
      <c r="Q513" s="520">
        <f t="shared" si="105"/>
        <v>0</v>
      </c>
      <c r="R513" s="520"/>
    </row>
    <row r="514" spans="1:18" ht="12.2" customHeight="1">
      <c r="A514" s="500" t="str">
        <f t="shared" si="100"/>
        <v/>
      </c>
      <c r="B514" s="501">
        <f t="shared" si="101"/>
        <v>0</v>
      </c>
      <c r="C514" s="501">
        <f t="shared" si="101"/>
        <v>0</v>
      </c>
      <c r="D514" s="501">
        <f t="shared" si="101"/>
        <v>0</v>
      </c>
      <c r="E514" s="501">
        <f t="shared" si="101"/>
        <v>0</v>
      </c>
      <c r="F514" s="501">
        <f t="shared" si="101"/>
        <v>0</v>
      </c>
      <c r="G514" s="501">
        <f t="shared" si="101"/>
        <v>0</v>
      </c>
      <c r="H514" s="501">
        <f t="shared" si="101"/>
        <v>0</v>
      </c>
      <c r="I514" s="501">
        <f t="shared" si="101"/>
        <v>0</v>
      </c>
      <c r="J514" s="501">
        <f t="shared" si="101"/>
        <v>0</v>
      </c>
      <c r="K514" s="501">
        <f t="shared" si="101"/>
        <v>0</v>
      </c>
      <c r="L514" s="501">
        <f t="shared" si="101"/>
        <v>0</v>
      </c>
      <c r="M514" s="501">
        <f t="shared" si="101"/>
        <v>0</v>
      </c>
      <c r="N514" s="501">
        <f t="shared" si="102"/>
        <v>0</v>
      </c>
      <c r="O514" s="501">
        <f t="shared" si="103"/>
        <v>0</v>
      </c>
      <c r="P514" s="501">
        <f t="shared" si="104"/>
        <v>0</v>
      </c>
      <c r="Q514" s="520">
        <f t="shared" si="105"/>
        <v>0</v>
      </c>
      <c r="R514" s="520"/>
    </row>
    <row r="515" spans="1:18" ht="12.2" customHeight="1">
      <c r="A515" s="503" t="s">
        <v>605</v>
      </c>
      <c r="B515" s="503" t="s">
        <v>605</v>
      </c>
      <c r="C515" s="503" t="s">
        <v>605</v>
      </c>
      <c r="D515" s="503" t="s">
        <v>605</v>
      </c>
      <c r="E515" s="503" t="s">
        <v>605</v>
      </c>
      <c r="F515" s="503" t="s">
        <v>605</v>
      </c>
      <c r="G515" s="503" t="s">
        <v>605</v>
      </c>
      <c r="H515" s="503" t="s">
        <v>605</v>
      </c>
      <c r="I515" s="503" t="s">
        <v>605</v>
      </c>
      <c r="J515" s="503" t="s">
        <v>605</v>
      </c>
      <c r="K515" s="503" t="s">
        <v>605</v>
      </c>
      <c r="L515" s="503" t="s">
        <v>605</v>
      </c>
      <c r="M515" s="503" t="s">
        <v>605</v>
      </c>
      <c r="N515" s="503" t="s">
        <v>605</v>
      </c>
      <c r="O515" s="503" t="s">
        <v>605</v>
      </c>
      <c r="P515" s="503" t="s">
        <v>605</v>
      </c>
      <c r="Q515" s="518" t="s">
        <v>605</v>
      </c>
      <c r="R515" s="518" t="s">
        <v>605</v>
      </c>
    </row>
    <row r="516" spans="1:18" ht="12.2" customHeight="1">
      <c r="A516" s="499" t="s">
        <v>49</v>
      </c>
      <c r="B516" s="501">
        <f>SUM(B503:B515)</f>
        <v>0</v>
      </c>
      <c r="C516" s="501">
        <f t="shared" ref="C516:P516" si="107">SUM(C503:C515)</f>
        <v>0</v>
      </c>
      <c r="D516" s="501">
        <f t="shared" si="107"/>
        <v>0</v>
      </c>
      <c r="E516" s="501">
        <f t="shared" si="107"/>
        <v>0</v>
      </c>
      <c r="F516" s="501">
        <f t="shared" si="107"/>
        <v>0</v>
      </c>
      <c r="G516" s="501">
        <f t="shared" si="107"/>
        <v>0</v>
      </c>
      <c r="H516" s="501">
        <f t="shared" si="107"/>
        <v>0</v>
      </c>
      <c r="I516" s="501">
        <f t="shared" si="107"/>
        <v>0</v>
      </c>
      <c r="J516" s="501">
        <f t="shared" si="107"/>
        <v>0</v>
      </c>
      <c r="K516" s="501">
        <f t="shared" si="107"/>
        <v>0</v>
      </c>
      <c r="L516" s="501">
        <f t="shared" si="107"/>
        <v>0</v>
      </c>
      <c r="M516" s="501">
        <f t="shared" si="107"/>
        <v>0</v>
      </c>
      <c r="N516" s="501">
        <f t="shared" si="107"/>
        <v>0</v>
      </c>
      <c r="O516" s="501">
        <f t="shared" si="107"/>
        <v>0</v>
      </c>
      <c r="P516" s="501">
        <f t="shared" si="107"/>
        <v>0</v>
      </c>
      <c r="Q516" s="520">
        <f>SUM(Q503:Q508)</f>
        <v>0</v>
      </c>
      <c r="R516" s="520">
        <f>SUM(R503:R508)</f>
        <v>0</v>
      </c>
    </row>
    <row r="517" spans="1:18" ht="12.2" customHeight="1">
      <c r="A517" s="503" t="s">
        <v>605</v>
      </c>
      <c r="B517" s="503" t="s">
        <v>605</v>
      </c>
      <c r="C517" s="503" t="s">
        <v>605</v>
      </c>
      <c r="D517" s="503" t="s">
        <v>605</v>
      </c>
      <c r="E517" s="503" t="s">
        <v>605</v>
      </c>
      <c r="F517" s="503" t="s">
        <v>605</v>
      </c>
      <c r="G517" s="503" t="s">
        <v>605</v>
      </c>
      <c r="H517" s="503" t="s">
        <v>605</v>
      </c>
      <c r="I517" s="503" t="s">
        <v>605</v>
      </c>
      <c r="J517" s="503" t="s">
        <v>605</v>
      </c>
      <c r="K517" s="503" t="s">
        <v>605</v>
      </c>
      <c r="L517" s="503" t="s">
        <v>605</v>
      </c>
      <c r="M517" s="503" t="s">
        <v>605</v>
      </c>
      <c r="N517" s="503" t="s">
        <v>605</v>
      </c>
      <c r="O517" s="503" t="s">
        <v>605</v>
      </c>
      <c r="P517" s="503" t="s">
        <v>605</v>
      </c>
      <c r="Q517" s="518" t="s">
        <v>605</v>
      </c>
      <c r="R517" s="518" t="s">
        <v>605</v>
      </c>
    </row>
    <row r="520" spans="1:18" ht="12.2" customHeight="1">
      <c r="A520" s="499" t="s">
        <v>248</v>
      </c>
    </row>
    <row r="521" spans="1:18" ht="12.2" customHeight="1">
      <c r="A521" s="505" t="s">
        <v>605</v>
      </c>
      <c r="B521" s="505" t="s">
        <v>605</v>
      </c>
      <c r="C521" s="505" t="s">
        <v>605</v>
      </c>
      <c r="D521" s="505" t="s">
        <v>605</v>
      </c>
      <c r="E521" s="505" t="s">
        <v>605</v>
      </c>
      <c r="F521" s="505" t="s">
        <v>605</v>
      </c>
    </row>
    <row r="522" spans="1:18" ht="12.2" customHeight="1">
      <c r="A522" s="499" t="s">
        <v>575</v>
      </c>
      <c r="B522" s="499" t="s">
        <v>580</v>
      </c>
      <c r="C522" s="499" t="s">
        <v>249</v>
      </c>
      <c r="D522" s="499" t="s">
        <v>250</v>
      </c>
      <c r="E522" s="499" t="s">
        <v>251</v>
      </c>
      <c r="F522" s="521" t="s">
        <v>252</v>
      </c>
    </row>
    <row r="523" spans="1:18" ht="12.2" customHeight="1">
      <c r="A523" s="505" t="s">
        <v>605</v>
      </c>
      <c r="B523" s="505" t="s">
        <v>605</v>
      </c>
      <c r="C523" s="505" t="s">
        <v>605</v>
      </c>
      <c r="D523" s="505" t="s">
        <v>605</v>
      </c>
      <c r="E523" s="505" t="s">
        <v>605</v>
      </c>
      <c r="F523" s="505" t="s">
        <v>605</v>
      </c>
    </row>
    <row r="524" spans="1:18" ht="12.2" customHeight="1">
      <c r="A524" s="500" t="str">
        <f t="shared" ref="A524:A535" si="108">A15</f>
        <v>CAMISETAS</v>
      </c>
      <c r="B524" s="502">
        <f>IF($F524=0,0,J61*$F524)</f>
        <v>1</v>
      </c>
      <c r="C524" s="502">
        <f>IF($F524=0,0,K61*$F524)</f>
        <v>0</v>
      </c>
      <c r="D524" s="502">
        <f>IF($F524=0,0,L61*$F524)</f>
        <v>0</v>
      </c>
      <c r="E524" s="502">
        <f>IF($F524=0,0,M61*$F524)</f>
        <v>0</v>
      </c>
      <c r="F524" s="502">
        <f t="shared" ref="F524:F535" si="109">IF($N$238=0,0,N224/$N$238)</f>
        <v>1</v>
      </c>
    </row>
    <row r="525" spans="1:18" ht="12.2" customHeight="1">
      <c r="A525" s="500" t="str">
        <f t="shared" si="108"/>
        <v/>
      </c>
      <c r="B525" s="502">
        <f>IF($F525=0,0,J69*$F525)</f>
        <v>0</v>
      </c>
      <c r="C525" s="502">
        <f>IF($F525=0,0,K69*$F525)</f>
        <v>0</v>
      </c>
      <c r="D525" s="502">
        <f>IF($F525=0,0,L69*$F525)</f>
        <v>0</v>
      </c>
      <c r="E525" s="502">
        <f>IF($F525=0,0,M69*$F525)</f>
        <v>0</v>
      </c>
      <c r="F525" s="502">
        <f t="shared" si="109"/>
        <v>0</v>
      </c>
    </row>
    <row r="526" spans="1:18" ht="12.2" customHeight="1">
      <c r="A526" s="500" t="str">
        <f t="shared" si="108"/>
        <v/>
      </c>
      <c r="B526" s="502">
        <f>IF($F526=0,0,J77*$F526)</f>
        <v>0</v>
      </c>
      <c r="C526" s="502">
        <f>IF($F526=0,0,K77*$F526)</f>
        <v>0</v>
      </c>
      <c r="D526" s="502">
        <f>IF($F526=0,0,L77*$F526)</f>
        <v>0</v>
      </c>
      <c r="E526" s="502">
        <f>IF($F526=0,0,M77*$F526)</f>
        <v>0</v>
      </c>
      <c r="F526" s="502">
        <f t="shared" si="109"/>
        <v>0</v>
      </c>
    </row>
    <row r="527" spans="1:18" ht="12.2" customHeight="1">
      <c r="A527" s="500" t="str">
        <f t="shared" si="108"/>
        <v/>
      </c>
      <c r="B527" s="502">
        <f>IF($F527=0,0,J85*$F527)</f>
        <v>0</v>
      </c>
      <c r="C527" s="502">
        <f>IF($F527=0,0,K85*$F527)</f>
        <v>0</v>
      </c>
      <c r="D527" s="502">
        <f>IF($F527=0,0,L85*$F527)</f>
        <v>0</v>
      </c>
      <c r="E527" s="502">
        <f>IF($F527=0,0,M85*$F527)</f>
        <v>0</v>
      </c>
      <c r="F527" s="502">
        <f t="shared" si="109"/>
        <v>0</v>
      </c>
    </row>
    <row r="528" spans="1:18" ht="12.2" customHeight="1">
      <c r="A528" s="500" t="str">
        <f t="shared" si="108"/>
        <v/>
      </c>
      <c r="B528" s="502">
        <f>IF($F528=0,0,J93*$F528)</f>
        <v>0</v>
      </c>
      <c r="C528" s="502">
        <f>IF($F528=0,0,K93*$F528)</f>
        <v>0</v>
      </c>
      <c r="D528" s="502">
        <f>IF($F528=0,0,L93*$F528)</f>
        <v>0</v>
      </c>
      <c r="E528" s="502">
        <f>IF($F528=0,0,M93*$F528)</f>
        <v>0</v>
      </c>
      <c r="F528" s="502">
        <f t="shared" si="109"/>
        <v>0</v>
      </c>
    </row>
    <row r="529" spans="1:6" ht="12.2" customHeight="1">
      <c r="A529" s="500" t="str">
        <f t="shared" si="108"/>
        <v/>
      </c>
      <c r="B529" s="502">
        <f>IF($F529=0,0,J101*$F529)</f>
        <v>0</v>
      </c>
      <c r="C529" s="502">
        <f>IF($F529=0,0,K101*$F529)</f>
        <v>0</v>
      </c>
      <c r="D529" s="502">
        <f>IF($F529=0,0,L101*$F529)</f>
        <v>0</v>
      </c>
      <c r="E529" s="502">
        <f>IF($F529=0,0,M101*$F529)</f>
        <v>0</v>
      </c>
      <c r="F529" s="502">
        <f t="shared" si="109"/>
        <v>0</v>
      </c>
    </row>
    <row r="530" spans="1:6" ht="12.2" customHeight="1">
      <c r="A530" s="500" t="str">
        <f t="shared" si="108"/>
        <v/>
      </c>
      <c r="B530" s="502">
        <f>IF($F530=0,0,W61*$F530)</f>
        <v>0</v>
      </c>
      <c r="C530" s="502">
        <f>IF($F530=0,0,X61*$F530)</f>
        <v>0</v>
      </c>
      <c r="D530" s="502">
        <f>IF($F530=0,0,Y61*$F530)</f>
        <v>0</v>
      </c>
      <c r="E530" s="502">
        <f>IF($F530=0,0,Z61*$F530)</f>
        <v>0</v>
      </c>
      <c r="F530" s="502">
        <f t="shared" si="109"/>
        <v>0</v>
      </c>
    </row>
    <row r="531" spans="1:6" ht="12.2" customHeight="1">
      <c r="A531" s="500" t="str">
        <f t="shared" si="108"/>
        <v/>
      </c>
      <c r="B531" s="502">
        <f>IF($F531=0,0,W69*$F531)</f>
        <v>0</v>
      </c>
      <c r="C531" s="502">
        <f>IF($F531=0,0,X69*$F531)</f>
        <v>0</v>
      </c>
      <c r="D531" s="502">
        <f>IF($F531=0,0,Y69*$F531)</f>
        <v>0</v>
      </c>
      <c r="E531" s="502">
        <f>IF($F531=0,0,Z69*$F531)</f>
        <v>0</v>
      </c>
      <c r="F531" s="502">
        <f t="shared" si="109"/>
        <v>0</v>
      </c>
    </row>
    <row r="532" spans="1:6" ht="12.2" customHeight="1">
      <c r="A532" s="500" t="str">
        <f t="shared" si="108"/>
        <v/>
      </c>
      <c r="B532" s="502">
        <f>IF($F532=0,0,W77*$F532)</f>
        <v>0</v>
      </c>
      <c r="C532" s="502">
        <f>IF($F532=0,0,X77*$F532)</f>
        <v>0</v>
      </c>
      <c r="D532" s="502">
        <f>IF($F532=0,0,Y77*$F532)</f>
        <v>0</v>
      </c>
      <c r="E532" s="502">
        <f>IF($F532=0,0,Z77*$F532)</f>
        <v>0</v>
      </c>
      <c r="F532" s="502">
        <f t="shared" si="109"/>
        <v>0</v>
      </c>
    </row>
    <row r="533" spans="1:6" ht="12.2" customHeight="1">
      <c r="A533" s="500" t="str">
        <f t="shared" si="108"/>
        <v/>
      </c>
      <c r="B533" s="502">
        <f>IF($F533=0,0,W85*$F533)</f>
        <v>0</v>
      </c>
      <c r="C533" s="502">
        <f>IF($F533=0,0,X85*$F533)</f>
        <v>0</v>
      </c>
      <c r="D533" s="502">
        <f>IF($F533=0,0,Y85*$F533)</f>
        <v>0</v>
      </c>
      <c r="E533" s="502">
        <f>IF($F533=0,0,Z85*$F533)</f>
        <v>0</v>
      </c>
      <c r="F533" s="502">
        <f t="shared" si="109"/>
        <v>0</v>
      </c>
    </row>
    <row r="534" spans="1:6" ht="12.2" customHeight="1">
      <c r="A534" s="500" t="str">
        <f t="shared" si="108"/>
        <v/>
      </c>
      <c r="B534" s="502">
        <f>IF($F534=0,0,W93*$F534)</f>
        <v>0</v>
      </c>
      <c r="C534" s="502">
        <f>IF($F534=0,0,X93*$F534)</f>
        <v>0</v>
      </c>
      <c r="D534" s="502">
        <f>IF($F534=0,0,Y93*$F534)</f>
        <v>0</v>
      </c>
      <c r="E534" s="502">
        <f>IF($F534=0,0,Z93*$F534)</f>
        <v>0</v>
      </c>
      <c r="F534" s="502">
        <f t="shared" si="109"/>
        <v>0</v>
      </c>
    </row>
    <row r="535" spans="1:6" ht="12.2" customHeight="1">
      <c r="A535" s="500" t="str">
        <f t="shared" si="108"/>
        <v/>
      </c>
      <c r="B535" s="502">
        <f>IF($F535=0,0,W101*$F535)</f>
        <v>0</v>
      </c>
      <c r="C535" s="502">
        <f>IF($F535=0,0,X101*$F535)</f>
        <v>0</v>
      </c>
      <c r="D535" s="502">
        <f>IF($F535=0,0,Y101*$F535)</f>
        <v>0</v>
      </c>
      <c r="E535" s="502">
        <f>IF($F535=0,0,Z101*$F535)</f>
        <v>0</v>
      </c>
      <c r="F535" s="502">
        <f t="shared" si="109"/>
        <v>0</v>
      </c>
    </row>
    <row r="536" spans="1:6" ht="12.2" customHeight="1">
      <c r="A536" s="505" t="s">
        <v>605</v>
      </c>
      <c r="B536" s="510" t="s">
        <v>605</v>
      </c>
      <c r="C536" s="510" t="s">
        <v>605</v>
      </c>
      <c r="D536" s="510" t="s">
        <v>605</v>
      </c>
      <c r="E536" s="510" t="s">
        <v>605</v>
      </c>
      <c r="F536" s="510" t="s">
        <v>605</v>
      </c>
    </row>
    <row r="537" spans="1:6" ht="12.2" customHeight="1">
      <c r="A537" s="499" t="s">
        <v>49</v>
      </c>
      <c r="B537" s="502">
        <f>SUM(B524:B536)</f>
        <v>1</v>
      </c>
      <c r="C537" s="502">
        <f>SUM(C524:C536)</f>
        <v>0</v>
      </c>
      <c r="D537" s="502">
        <f>SUM(D524:D536)</f>
        <v>0</v>
      </c>
      <c r="E537" s="502">
        <f>SUM(E524:E536)</f>
        <v>0</v>
      </c>
      <c r="F537" s="502">
        <f>SUM(F524:F535)</f>
        <v>1</v>
      </c>
    </row>
    <row r="538" spans="1:6" ht="12.2" customHeight="1">
      <c r="A538" s="505" t="s">
        <v>605</v>
      </c>
      <c r="B538" s="510" t="s">
        <v>605</v>
      </c>
      <c r="C538" s="510" t="s">
        <v>605</v>
      </c>
      <c r="D538" s="510" t="s">
        <v>605</v>
      </c>
      <c r="E538" s="510" t="s">
        <v>605</v>
      </c>
      <c r="F538" s="510" t="s">
        <v>605</v>
      </c>
    </row>
  </sheetData>
  <sheetProtection password="902B" sheet="1" objects="1" scenarios="1"/>
  <phoneticPr fontId="62" type="noConversion"/>
  <pageMargins left="0.75" right="0.75" top="1" bottom="1" header="0" footer="0"/>
  <pageSetup paperSize="9" orientation="portrait" horizontalDpi="0"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S372"/>
  <sheetViews>
    <sheetView topLeftCell="A15" workbookViewId="0">
      <selection activeCell="A39" sqref="A39"/>
    </sheetView>
  </sheetViews>
  <sheetFormatPr baseColWidth="10" defaultColWidth="11" defaultRowHeight="15" customHeight="1"/>
  <cols>
    <col min="1" max="1" width="25.85546875" style="149" customWidth="1"/>
    <col min="2" max="3" width="15.5703125" style="149" customWidth="1"/>
    <col min="4" max="4" width="28.42578125" style="149" customWidth="1"/>
    <col min="5" max="8" width="14.42578125" style="149" customWidth="1"/>
    <col min="9" max="42" width="11" style="149"/>
    <col min="43" max="43" width="12.7109375" style="149" customWidth="1"/>
    <col min="44" max="16384" width="11" style="149"/>
  </cols>
  <sheetData>
    <row r="1" spans="1:45" ht="15" customHeight="1">
      <c r="A1" s="148"/>
      <c r="D1" s="150"/>
      <c r="E1" s="150"/>
      <c r="F1" s="150"/>
      <c r="G1" s="150"/>
      <c r="H1" s="150"/>
    </row>
    <row r="2" spans="1:45" ht="15" customHeight="1">
      <c r="A2" s="148" t="s">
        <v>270</v>
      </c>
      <c r="D2" s="150"/>
      <c r="E2" s="150"/>
      <c r="F2" s="150"/>
      <c r="G2" s="150"/>
      <c r="H2" s="150"/>
    </row>
    <row r="3" spans="1:45" ht="15" customHeight="1">
      <c r="D3" s="150"/>
      <c r="E3" s="150"/>
      <c r="F3" s="150"/>
      <c r="G3" s="150"/>
      <c r="H3" s="150"/>
    </row>
    <row r="4" spans="1:45" ht="15" customHeight="1">
      <c r="A4" s="148" t="s">
        <v>45</v>
      </c>
      <c r="B4" s="150" t="str">
        <f>+'datos de entrada'!B4</f>
        <v>TUBE TEES</v>
      </c>
      <c r="D4" s="150"/>
      <c r="E4" s="150"/>
      <c r="F4" s="150"/>
      <c r="G4" s="150"/>
      <c r="H4" s="150"/>
    </row>
    <row r="5" spans="1:45" ht="15" customHeight="1">
      <c r="D5" s="150"/>
      <c r="E5" s="150"/>
      <c r="F5" s="150"/>
      <c r="G5" s="150"/>
      <c r="H5" s="150"/>
    </row>
    <row r="6" spans="1:45" ht="15" customHeight="1">
      <c r="D6" s="150"/>
      <c r="E6" s="150"/>
      <c r="F6" s="150"/>
      <c r="G6" s="150"/>
      <c r="H6" s="150"/>
    </row>
    <row r="7" spans="1:45" ht="15" customHeight="1">
      <c r="A7" s="148" t="s">
        <v>253</v>
      </c>
      <c r="C7" s="151">
        <f>+'datos de entrada'!C410</f>
        <v>0.03</v>
      </c>
      <c r="D7" s="150"/>
      <c r="E7" s="150"/>
      <c r="F7" s="150"/>
      <c r="G7" s="150"/>
      <c r="H7" s="150"/>
    </row>
    <row r="8" spans="1:45" ht="15" customHeight="1">
      <c r="D8" s="150"/>
      <c r="E8" s="150"/>
      <c r="F8" s="150"/>
      <c r="G8" s="150"/>
      <c r="H8" s="150"/>
    </row>
    <row r="9" spans="1:45" ht="15" customHeight="1">
      <c r="A9" s="148" t="s">
        <v>143</v>
      </c>
      <c r="D9" s="150"/>
      <c r="E9" s="150"/>
      <c r="F9" s="150"/>
      <c r="G9" s="150"/>
      <c r="H9" s="150"/>
    </row>
    <row r="10" spans="1:45" ht="15" customHeight="1">
      <c r="D10" s="150"/>
      <c r="E10" s="150"/>
      <c r="F10" s="150"/>
      <c r="G10" s="150"/>
      <c r="H10" s="150"/>
    </row>
    <row r="11" spans="1:45" ht="15" customHeight="1">
      <c r="A11" s="152" t="s">
        <v>605</v>
      </c>
      <c r="B11" s="152" t="s">
        <v>605</v>
      </c>
      <c r="C11" s="152" t="s">
        <v>605</v>
      </c>
      <c r="D11" s="153" t="s">
        <v>605</v>
      </c>
      <c r="E11" s="153" t="s">
        <v>605</v>
      </c>
      <c r="F11" s="153" t="s">
        <v>605</v>
      </c>
      <c r="G11" s="154" t="s">
        <v>605</v>
      </c>
      <c r="H11" s="154" t="s">
        <v>605</v>
      </c>
    </row>
    <row r="12" spans="1:45" ht="15" customHeight="1">
      <c r="A12" s="148" t="s">
        <v>635</v>
      </c>
      <c r="B12" s="148" t="s">
        <v>144</v>
      </c>
      <c r="C12" s="155" t="s">
        <v>64</v>
      </c>
      <c r="D12" s="156" t="s">
        <v>692</v>
      </c>
      <c r="E12" s="156" t="s">
        <v>693</v>
      </c>
      <c r="F12" s="156" t="s">
        <v>694</v>
      </c>
      <c r="G12" s="157" t="s">
        <v>186</v>
      </c>
      <c r="H12" s="157" t="s">
        <v>187</v>
      </c>
    </row>
    <row r="13" spans="1:45" ht="15" customHeight="1">
      <c r="A13" s="152" t="s">
        <v>605</v>
      </c>
      <c r="B13" s="152" t="s">
        <v>605</v>
      </c>
      <c r="C13" s="152" t="s">
        <v>605</v>
      </c>
      <c r="D13" s="153" t="s">
        <v>605</v>
      </c>
      <c r="E13" s="153" t="s">
        <v>605</v>
      </c>
      <c r="F13" s="153" t="s">
        <v>605</v>
      </c>
      <c r="G13" s="154" t="s">
        <v>605</v>
      </c>
      <c r="H13" s="154" t="s">
        <v>605</v>
      </c>
      <c r="I13" s="149" t="s">
        <v>507</v>
      </c>
      <c r="J13" s="149" t="s">
        <v>508</v>
      </c>
      <c r="K13" s="149" t="s">
        <v>509</v>
      </c>
      <c r="L13" s="149" t="s">
        <v>510</v>
      </c>
      <c r="M13" s="149" t="s">
        <v>511</v>
      </c>
      <c r="N13" s="149" t="s">
        <v>512</v>
      </c>
      <c r="O13" s="149" t="s">
        <v>513</v>
      </c>
      <c r="P13" s="149" t="s">
        <v>514</v>
      </c>
      <c r="Q13" s="149" t="s">
        <v>515</v>
      </c>
      <c r="R13" s="149" t="s">
        <v>516</v>
      </c>
      <c r="S13" s="149" t="s">
        <v>517</v>
      </c>
      <c r="T13" s="149" t="s">
        <v>518</v>
      </c>
    </row>
    <row r="14" spans="1:45" ht="15" customHeight="1">
      <c r="A14" s="158" t="str">
        <f>+'datos de entrada'!A368</f>
        <v>GERENTE</v>
      </c>
      <c r="B14" s="150">
        <f>+'datos de entrada'!B368</f>
        <v>2800000</v>
      </c>
      <c r="C14" s="151">
        <f t="shared" ref="C14:C22" si="0">B14/$B$42</f>
        <v>1</v>
      </c>
      <c r="D14" s="150">
        <f>SUM(I14:T14)</f>
        <v>33600000</v>
      </c>
      <c r="E14" s="150">
        <f t="shared" ref="E14:E20" si="1">SUM(U14:AF14)</f>
        <v>33600000</v>
      </c>
      <c r="F14" s="150">
        <f t="shared" ref="F14:F20" si="2">SUM(AG14:AR14)</f>
        <v>33600000</v>
      </c>
      <c r="G14" s="159">
        <f t="shared" ref="G14:H22" si="3">F14*(1+$C$7)</f>
        <v>34608000</v>
      </c>
      <c r="H14" s="159">
        <f t="shared" si="3"/>
        <v>35646240</v>
      </c>
      <c r="I14" s="162">
        <f>+'datos de entrada'!C368</f>
        <v>2800000</v>
      </c>
      <c r="J14" s="162">
        <f>+'datos de entrada'!D368</f>
        <v>2800000</v>
      </c>
      <c r="K14" s="162">
        <f>+'datos de entrada'!E368</f>
        <v>2800000</v>
      </c>
      <c r="L14" s="162">
        <f>+'datos de entrada'!F368</f>
        <v>2800000</v>
      </c>
      <c r="M14" s="162">
        <f>+'datos de entrada'!G368</f>
        <v>2800000</v>
      </c>
      <c r="N14" s="162">
        <f>+'datos de entrada'!H368</f>
        <v>2800000</v>
      </c>
      <c r="O14" s="162">
        <f>+'datos de entrada'!I368</f>
        <v>2800000</v>
      </c>
      <c r="P14" s="162">
        <f>+'datos de entrada'!J368</f>
        <v>2800000</v>
      </c>
      <c r="Q14" s="162">
        <f>+'datos de entrada'!K368</f>
        <v>2800000</v>
      </c>
      <c r="R14" s="162">
        <f>+'datos de entrada'!L368</f>
        <v>2800000</v>
      </c>
      <c r="S14" s="162">
        <f>+'datos de entrada'!M368</f>
        <v>2800000</v>
      </c>
      <c r="T14" s="162">
        <f>+'datos de entrada'!N368</f>
        <v>2800000</v>
      </c>
      <c r="U14" s="162">
        <f>+'datos de entrada'!O368</f>
        <v>2800000</v>
      </c>
      <c r="V14" s="162">
        <f>+'datos de entrada'!P368</f>
        <v>2800000</v>
      </c>
      <c r="W14" s="162">
        <f>+'datos de entrada'!Q368</f>
        <v>2800000</v>
      </c>
      <c r="X14" s="162">
        <f>+'datos de entrada'!R368</f>
        <v>2800000</v>
      </c>
      <c r="Y14" s="162">
        <f>+'datos de entrada'!S368</f>
        <v>2800000</v>
      </c>
      <c r="Z14" s="162">
        <f>+'datos de entrada'!T368</f>
        <v>2800000</v>
      </c>
      <c r="AA14" s="162">
        <f>+'datos de entrada'!U368</f>
        <v>2800000</v>
      </c>
      <c r="AB14" s="162">
        <f>+'datos de entrada'!V368</f>
        <v>2800000</v>
      </c>
      <c r="AC14" s="162">
        <f>+'datos de entrada'!W368</f>
        <v>2800000</v>
      </c>
      <c r="AD14" s="162">
        <f>+'datos de entrada'!X368</f>
        <v>2800000</v>
      </c>
      <c r="AE14" s="162">
        <f>+'datos de entrada'!Y368</f>
        <v>2800000</v>
      </c>
      <c r="AF14" s="162">
        <f>+'datos de entrada'!Z368</f>
        <v>2800000</v>
      </c>
      <c r="AG14" s="162">
        <f>+'datos de entrada'!AA368</f>
        <v>2800000</v>
      </c>
      <c r="AH14" s="162">
        <f>+'datos de entrada'!AB368</f>
        <v>2800000</v>
      </c>
      <c r="AI14" s="162">
        <f>+'datos de entrada'!AC368</f>
        <v>2800000</v>
      </c>
      <c r="AJ14" s="162">
        <f>+'datos de entrada'!AD368</f>
        <v>2800000</v>
      </c>
      <c r="AK14" s="162">
        <f>+'datos de entrada'!AE368</f>
        <v>2800000</v>
      </c>
      <c r="AL14" s="162">
        <f>+'datos de entrada'!AF368</f>
        <v>2800000</v>
      </c>
      <c r="AM14" s="162">
        <f>+'datos de entrada'!AG368</f>
        <v>2800000</v>
      </c>
      <c r="AN14" s="162">
        <f>+'datos de entrada'!AH368</f>
        <v>2800000</v>
      </c>
      <c r="AO14" s="162">
        <f>+'datos de entrada'!AI368</f>
        <v>2800000</v>
      </c>
      <c r="AP14" s="162">
        <f>+'datos de entrada'!AJ368</f>
        <v>2800000</v>
      </c>
      <c r="AQ14" s="162">
        <f>+'datos de entrada'!AK368</f>
        <v>2800000</v>
      </c>
      <c r="AR14" s="162">
        <f>+'datos de entrada'!AL368</f>
        <v>2800000</v>
      </c>
      <c r="AS14" s="162"/>
    </row>
    <row r="15" spans="1:45" ht="15" customHeight="1">
      <c r="A15" s="150" t="str">
        <f>+'datos de entrada'!A369</f>
        <v/>
      </c>
      <c r="B15" s="150">
        <f>+'datos de entrada'!B369</f>
        <v>0</v>
      </c>
      <c r="C15" s="151">
        <f t="shared" si="0"/>
        <v>0</v>
      </c>
      <c r="D15" s="150">
        <f t="shared" ref="D15:D20" si="4">SUM(I15:T15)</f>
        <v>0</v>
      </c>
      <c r="E15" s="150">
        <f t="shared" si="1"/>
        <v>0</v>
      </c>
      <c r="F15" s="150">
        <f t="shared" si="2"/>
        <v>0</v>
      </c>
      <c r="G15" s="159">
        <f t="shared" si="3"/>
        <v>0</v>
      </c>
      <c r="H15" s="159">
        <f t="shared" si="3"/>
        <v>0</v>
      </c>
      <c r="I15" s="162">
        <f>+'datos de entrada'!C369</f>
        <v>0</v>
      </c>
      <c r="J15" s="162">
        <f>+'datos de entrada'!D369</f>
        <v>0</v>
      </c>
      <c r="K15" s="162">
        <f>+'datos de entrada'!E369</f>
        <v>0</v>
      </c>
      <c r="L15" s="162">
        <f>+'datos de entrada'!F369</f>
        <v>0</v>
      </c>
      <c r="M15" s="162">
        <f>+'datos de entrada'!G369</f>
        <v>0</v>
      </c>
      <c r="N15" s="162">
        <f>+'datos de entrada'!H369</f>
        <v>0</v>
      </c>
      <c r="O15" s="162">
        <f>+'datos de entrada'!I369</f>
        <v>0</v>
      </c>
      <c r="P15" s="162">
        <f>+'datos de entrada'!J369</f>
        <v>0</v>
      </c>
      <c r="Q15" s="162">
        <f>+'datos de entrada'!K369</f>
        <v>0</v>
      </c>
      <c r="R15" s="162">
        <f>+'datos de entrada'!L369</f>
        <v>0</v>
      </c>
      <c r="S15" s="162">
        <f>+'datos de entrada'!M369</f>
        <v>0</v>
      </c>
      <c r="T15" s="162">
        <f>+'datos de entrada'!N369</f>
        <v>0</v>
      </c>
      <c r="U15" s="162">
        <f>+'datos de entrada'!O369</f>
        <v>0</v>
      </c>
      <c r="V15" s="162">
        <f>+'datos de entrada'!P369</f>
        <v>0</v>
      </c>
      <c r="W15" s="162">
        <f>+'datos de entrada'!Q369</f>
        <v>0</v>
      </c>
      <c r="X15" s="162">
        <f>+'datos de entrada'!R369</f>
        <v>0</v>
      </c>
      <c r="Y15" s="162">
        <f>+'datos de entrada'!S369</f>
        <v>0</v>
      </c>
      <c r="Z15" s="162">
        <f>+'datos de entrada'!T369</f>
        <v>0</v>
      </c>
      <c r="AA15" s="162">
        <f>+'datos de entrada'!U369</f>
        <v>0</v>
      </c>
      <c r="AB15" s="162">
        <f>+'datos de entrada'!V369</f>
        <v>0</v>
      </c>
      <c r="AC15" s="162">
        <f>+'datos de entrada'!W369</f>
        <v>0</v>
      </c>
      <c r="AD15" s="162">
        <f>+'datos de entrada'!X369</f>
        <v>0</v>
      </c>
      <c r="AE15" s="162">
        <f>+'datos de entrada'!Y369</f>
        <v>0</v>
      </c>
      <c r="AF15" s="162">
        <f>+'datos de entrada'!Z369</f>
        <v>0</v>
      </c>
      <c r="AG15" s="162">
        <f>+'datos de entrada'!AA369</f>
        <v>0</v>
      </c>
      <c r="AH15" s="162">
        <f>+'datos de entrada'!AB369</f>
        <v>0</v>
      </c>
      <c r="AI15" s="162">
        <f>+'datos de entrada'!AC369</f>
        <v>0</v>
      </c>
      <c r="AJ15" s="162">
        <f>+'datos de entrada'!AD369</f>
        <v>0</v>
      </c>
      <c r="AK15" s="162">
        <f>+'datos de entrada'!AE369</f>
        <v>0</v>
      </c>
      <c r="AL15" s="162">
        <f>+'datos de entrada'!AF369</f>
        <v>0</v>
      </c>
      <c r="AM15" s="162">
        <f>+'datos de entrada'!AG369</f>
        <v>0</v>
      </c>
      <c r="AN15" s="162">
        <f>+'datos de entrada'!AH369</f>
        <v>0</v>
      </c>
      <c r="AO15" s="162">
        <f>+'datos de entrada'!AI369</f>
        <v>0</v>
      </c>
      <c r="AP15" s="162">
        <f>+'datos de entrada'!AJ369</f>
        <v>0</v>
      </c>
      <c r="AQ15" s="162">
        <f>+'datos de entrada'!AK369</f>
        <v>0</v>
      </c>
      <c r="AR15" s="162">
        <f>+'datos de entrada'!AL369</f>
        <v>0</v>
      </c>
    </row>
    <row r="16" spans="1:45" ht="15" customHeight="1">
      <c r="A16" s="150" t="str">
        <f>+'datos de entrada'!A370</f>
        <v/>
      </c>
      <c r="B16" s="150">
        <f>+'datos de entrada'!B370</f>
        <v>0</v>
      </c>
      <c r="C16" s="151">
        <f t="shared" si="0"/>
        <v>0</v>
      </c>
      <c r="D16" s="150">
        <f t="shared" si="4"/>
        <v>0</v>
      </c>
      <c r="E16" s="150">
        <f t="shared" si="1"/>
        <v>0</v>
      </c>
      <c r="F16" s="150">
        <f t="shared" si="2"/>
        <v>0</v>
      </c>
      <c r="G16" s="159">
        <f t="shared" si="3"/>
        <v>0</v>
      </c>
      <c r="H16" s="159">
        <f t="shared" si="3"/>
        <v>0</v>
      </c>
      <c r="I16" s="162">
        <f>+'datos de entrada'!C370</f>
        <v>0</v>
      </c>
      <c r="J16" s="162">
        <f>+'datos de entrada'!D370</f>
        <v>0</v>
      </c>
      <c r="K16" s="162">
        <f>+'datos de entrada'!E370</f>
        <v>0</v>
      </c>
      <c r="L16" s="162">
        <f>+'datos de entrada'!F370</f>
        <v>0</v>
      </c>
      <c r="M16" s="162">
        <f>+'datos de entrada'!G370</f>
        <v>0</v>
      </c>
      <c r="N16" s="162">
        <f>+'datos de entrada'!H370</f>
        <v>0</v>
      </c>
      <c r="O16" s="162">
        <f>+'datos de entrada'!I370</f>
        <v>0</v>
      </c>
      <c r="P16" s="162">
        <f>+'datos de entrada'!J370</f>
        <v>0</v>
      </c>
      <c r="Q16" s="162">
        <f>+'datos de entrada'!K370</f>
        <v>0</v>
      </c>
      <c r="R16" s="162">
        <f>+'datos de entrada'!L370</f>
        <v>0</v>
      </c>
      <c r="S16" s="162">
        <f>+'datos de entrada'!M370</f>
        <v>0</v>
      </c>
      <c r="T16" s="162">
        <f>+'datos de entrada'!N370</f>
        <v>0</v>
      </c>
      <c r="U16" s="162">
        <f>+'datos de entrada'!O370</f>
        <v>0</v>
      </c>
      <c r="V16" s="162">
        <f>+'datos de entrada'!P370</f>
        <v>0</v>
      </c>
      <c r="W16" s="162">
        <f>+'datos de entrada'!Q370</f>
        <v>0</v>
      </c>
      <c r="X16" s="162">
        <f>+'datos de entrada'!R370</f>
        <v>0</v>
      </c>
      <c r="Y16" s="162">
        <f>+'datos de entrada'!S370</f>
        <v>0</v>
      </c>
      <c r="Z16" s="162">
        <f>+'datos de entrada'!T370</f>
        <v>0</v>
      </c>
      <c r="AA16" s="162">
        <f>+'datos de entrada'!U370</f>
        <v>0</v>
      </c>
      <c r="AB16" s="162">
        <f>+'datos de entrada'!V370</f>
        <v>0</v>
      </c>
      <c r="AC16" s="162">
        <f>+'datos de entrada'!W370</f>
        <v>0</v>
      </c>
      <c r="AD16" s="162">
        <f>+'datos de entrada'!X370</f>
        <v>0</v>
      </c>
      <c r="AE16" s="162">
        <f>+'datos de entrada'!Y370</f>
        <v>0</v>
      </c>
      <c r="AF16" s="162">
        <f>+'datos de entrada'!Z370</f>
        <v>0</v>
      </c>
      <c r="AG16" s="162">
        <f>+'datos de entrada'!AA370</f>
        <v>0</v>
      </c>
      <c r="AH16" s="162">
        <f>+'datos de entrada'!AB370</f>
        <v>0</v>
      </c>
      <c r="AI16" s="162">
        <f>+'datos de entrada'!AC370</f>
        <v>0</v>
      </c>
      <c r="AJ16" s="162">
        <f>+'datos de entrada'!AD370</f>
        <v>0</v>
      </c>
      <c r="AK16" s="162">
        <f>+'datos de entrada'!AE370</f>
        <v>0</v>
      </c>
      <c r="AL16" s="162">
        <f>+'datos de entrada'!AF370</f>
        <v>0</v>
      </c>
      <c r="AM16" s="162">
        <f>+'datos de entrada'!AG370</f>
        <v>0</v>
      </c>
      <c r="AN16" s="162">
        <f>+'datos de entrada'!AH370</f>
        <v>0</v>
      </c>
      <c r="AO16" s="162">
        <f>+'datos de entrada'!AI370</f>
        <v>0</v>
      </c>
      <c r="AP16" s="162">
        <f>+'datos de entrada'!AJ370</f>
        <v>0</v>
      </c>
      <c r="AQ16" s="162">
        <f>+'datos de entrada'!AK370</f>
        <v>0</v>
      </c>
      <c r="AR16" s="162">
        <f>+'datos de entrada'!AL370</f>
        <v>0</v>
      </c>
    </row>
    <row r="17" spans="1:44" ht="15" customHeight="1">
      <c r="A17" s="150" t="str">
        <f>+'datos de entrada'!A371</f>
        <v/>
      </c>
      <c r="B17" s="150">
        <f>+'datos de entrada'!B371</f>
        <v>0</v>
      </c>
      <c r="C17" s="151">
        <f t="shared" si="0"/>
        <v>0</v>
      </c>
      <c r="D17" s="150">
        <f t="shared" si="4"/>
        <v>0</v>
      </c>
      <c r="E17" s="150">
        <f t="shared" si="1"/>
        <v>0</v>
      </c>
      <c r="F17" s="150">
        <f t="shared" si="2"/>
        <v>0</v>
      </c>
      <c r="G17" s="159">
        <f t="shared" si="3"/>
        <v>0</v>
      </c>
      <c r="H17" s="159">
        <f t="shared" si="3"/>
        <v>0</v>
      </c>
      <c r="I17" s="162">
        <f>+'datos de entrada'!C371</f>
        <v>0</v>
      </c>
      <c r="J17" s="162">
        <f>+'datos de entrada'!D371</f>
        <v>0</v>
      </c>
      <c r="K17" s="162">
        <f>+'datos de entrada'!E371</f>
        <v>0</v>
      </c>
      <c r="L17" s="162">
        <f>+'datos de entrada'!F371</f>
        <v>0</v>
      </c>
      <c r="M17" s="162">
        <f>+'datos de entrada'!G371</f>
        <v>0</v>
      </c>
      <c r="N17" s="162">
        <f>+'datos de entrada'!H371</f>
        <v>0</v>
      </c>
      <c r="O17" s="162">
        <f>+'datos de entrada'!I371</f>
        <v>0</v>
      </c>
      <c r="P17" s="162">
        <f>+'datos de entrada'!J371</f>
        <v>0</v>
      </c>
      <c r="Q17" s="162">
        <f>+'datos de entrada'!K371</f>
        <v>0</v>
      </c>
      <c r="R17" s="162">
        <f>+'datos de entrada'!L371</f>
        <v>0</v>
      </c>
      <c r="S17" s="162">
        <f>+'datos de entrada'!M371</f>
        <v>0</v>
      </c>
      <c r="T17" s="162">
        <f>+'datos de entrada'!N371</f>
        <v>0</v>
      </c>
      <c r="U17" s="162">
        <f>+'datos de entrada'!O371</f>
        <v>0</v>
      </c>
      <c r="V17" s="162">
        <f>+'datos de entrada'!P371</f>
        <v>0</v>
      </c>
      <c r="W17" s="162">
        <f>+'datos de entrada'!Q371</f>
        <v>0</v>
      </c>
      <c r="X17" s="162">
        <f>+'datos de entrada'!R371</f>
        <v>0</v>
      </c>
      <c r="Y17" s="162">
        <f>+'datos de entrada'!S371</f>
        <v>0</v>
      </c>
      <c r="Z17" s="162">
        <f>+'datos de entrada'!T371</f>
        <v>0</v>
      </c>
      <c r="AA17" s="162">
        <f>+'datos de entrada'!U371</f>
        <v>0</v>
      </c>
      <c r="AB17" s="162">
        <f>+'datos de entrada'!V371</f>
        <v>0</v>
      </c>
      <c r="AC17" s="162">
        <f>+'datos de entrada'!W371</f>
        <v>0</v>
      </c>
      <c r="AD17" s="162">
        <f>+'datos de entrada'!X371</f>
        <v>0</v>
      </c>
      <c r="AE17" s="162">
        <f>+'datos de entrada'!Y371</f>
        <v>0</v>
      </c>
      <c r="AF17" s="162">
        <f>+'datos de entrada'!Z371</f>
        <v>0</v>
      </c>
      <c r="AG17" s="162">
        <f>+'datos de entrada'!AA371</f>
        <v>0</v>
      </c>
      <c r="AH17" s="162">
        <f>+'datos de entrada'!AB371</f>
        <v>0</v>
      </c>
      <c r="AI17" s="162">
        <f>+'datos de entrada'!AC371</f>
        <v>0</v>
      </c>
      <c r="AJ17" s="162">
        <f>+'datos de entrada'!AD371</f>
        <v>0</v>
      </c>
      <c r="AK17" s="162">
        <f>+'datos de entrada'!AE371</f>
        <v>0</v>
      </c>
      <c r="AL17" s="162">
        <f>+'datos de entrada'!AF371</f>
        <v>0</v>
      </c>
      <c r="AM17" s="162">
        <f>+'datos de entrada'!AG371</f>
        <v>0</v>
      </c>
      <c r="AN17" s="162">
        <f>+'datos de entrada'!AH371</f>
        <v>0</v>
      </c>
      <c r="AO17" s="162">
        <f>+'datos de entrada'!AI371</f>
        <v>0</v>
      </c>
      <c r="AP17" s="162">
        <f>+'datos de entrada'!AJ371</f>
        <v>0</v>
      </c>
      <c r="AQ17" s="162">
        <f>+'datos de entrada'!AK371</f>
        <v>0</v>
      </c>
      <c r="AR17" s="162">
        <f>+'datos de entrada'!AL371</f>
        <v>0</v>
      </c>
    </row>
    <row r="18" spans="1:44" ht="15" customHeight="1">
      <c r="A18" s="150" t="str">
        <f>+'datos de entrada'!A372</f>
        <v/>
      </c>
      <c r="B18" s="150">
        <f>+'datos de entrada'!B372</f>
        <v>0</v>
      </c>
      <c r="C18" s="151">
        <f t="shared" si="0"/>
        <v>0</v>
      </c>
      <c r="D18" s="150">
        <f t="shared" si="4"/>
        <v>0</v>
      </c>
      <c r="E18" s="150">
        <f t="shared" si="1"/>
        <v>0</v>
      </c>
      <c r="F18" s="150">
        <f t="shared" si="2"/>
        <v>0</v>
      </c>
      <c r="G18" s="159">
        <f t="shared" si="3"/>
        <v>0</v>
      </c>
      <c r="H18" s="159">
        <f t="shared" si="3"/>
        <v>0</v>
      </c>
      <c r="I18" s="162">
        <f>+'datos de entrada'!C372</f>
        <v>0</v>
      </c>
      <c r="J18" s="162">
        <f>+'datos de entrada'!D372</f>
        <v>0</v>
      </c>
      <c r="K18" s="162">
        <f>+'datos de entrada'!E372</f>
        <v>0</v>
      </c>
      <c r="L18" s="162">
        <f>+'datos de entrada'!F372</f>
        <v>0</v>
      </c>
      <c r="M18" s="162">
        <f>+'datos de entrada'!G372</f>
        <v>0</v>
      </c>
      <c r="N18" s="162">
        <f>+'datos de entrada'!H372</f>
        <v>0</v>
      </c>
      <c r="O18" s="162">
        <f>+'datos de entrada'!I372</f>
        <v>0</v>
      </c>
      <c r="P18" s="162">
        <f>+'datos de entrada'!J372</f>
        <v>0</v>
      </c>
      <c r="Q18" s="162">
        <f>+'datos de entrada'!K372</f>
        <v>0</v>
      </c>
      <c r="R18" s="162">
        <f>+'datos de entrada'!L372</f>
        <v>0</v>
      </c>
      <c r="S18" s="162">
        <f>+'datos de entrada'!M372</f>
        <v>0</v>
      </c>
      <c r="T18" s="162">
        <f>+'datos de entrada'!N372</f>
        <v>0</v>
      </c>
      <c r="U18" s="162">
        <f>+'datos de entrada'!O372</f>
        <v>0</v>
      </c>
      <c r="V18" s="162">
        <f>+'datos de entrada'!P372</f>
        <v>0</v>
      </c>
      <c r="W18" s="162">
        <f>+'datos de entrada'!Q372</f>
        <v>0</v>
      </c>
      <c r="X18" s="162">
        <f>+'datos de entrada'!R372</f>
        <v>0</v>
      </c>
      <c r="Y18" s="162">
        <f>+'datos de entrada'!S372</f>
        <v>0</v>
      </c>
      <c r="Z18" s="162">
        <f>+'datos de entrada'!T372</f>
        <v>0</v>
      </c>
      <c r="AA18" s="162">
        <f>+'datos de entrada'!U372</f>
        <v>0</v>
      </c>
      <c r="AB18" s="162">
        <f>+'datos de entrada'!V372</f>
        <v>0</v>
      </c>
      <c r="AC18" s="162">
        <f>+'datos de entrada'!W372</f>
        <v>0</v>
      </c>
      <c r="AD18" s="162">
        <f>+'datos de entrada'!X372</f>
        <v>0</v>
      </c>
      <c r="AE18" s="162">
        <f>+'datos de entrada'!Y372</f>
        <v>0</v>
      </c>
      <c r="AF18" s="162">
        <f>+'datos de entrada'!Z372</f>
        <v>0</v>
      </c>
      <c r="AG18" s="162">
        <f>+'datos de entrada'!AA372</f>
        <v>0</v>
      </c>
      <c r="AH18" s="162">
        <f>+'datos de entrada'!AB372</f>
        <v>0</v>
      </c>
      <c r="AI18" s="162">
        <f>+'datos de entrada'!AC372</f>
        <v>0</v>
      </c>
      <c r="AJ18" s="162">
        <f>+'datos de entrada'!AD372</f>
        <v>0</v>
      </c>
      <c r="AK18" s="162">
        <f>+'datos de entrada'!AE372</f>
        <v>0</v>
      </c>
      <c r="AL18" s="162">
        <f>+'datos de entrada'!AF372</f>
        <v>0</v>
      </c>
      <c r="AM18" s="162">
        <f>+'datos de entrada'!AG372</f>
        <v>0</v>
      </c>
      <c r="AN18" s="162">
        <f>+'datos de entrada'!AH372</f>
        <v>0</v>
      </c>
      <c r="AO18" s="162">
        <f>+'datos de entrada'!AI372</f>
        <v>0</v>
      </c>
      <c r="AP18" s="162">
        <f>+'datos de entrada'!AJ372</f>
        <v>0</v>
      </c>
      <c r="AQ18" s="162">
        <f>+'datos de entrada'!AK372</f>
        <v>0</v>
      </c>
      <c r="AR18" s="162">
        <f>+'datos de entrada'!AL372</f>
        <v>0</v>
      </c>
    </row>
    <row r="19" spans="1:44" ht="15" customHeight="1">
      <c r="A19" s="150" t="str">
        <f>+'datos de entrada'!A373</f>
        <v/>
      </c>
      <c r="B19" s="150">
        <f>+'datos de entrada'!B373</f>
        <v>0</v>
      </c>
      <c r="C19" s="151">
        <f t="shared" si="0"/>
        <v>0</v>
      </c>
      <c r="D19" s="150">
        <f t="shared" si="4"/>
        <v>0</v>
      </c>
      <c r="E19" s="150">
        <f t="shared" si="1"/>
        <v>0</v>
      </c>
      <c r="F19" s="150">
        <f t="shared" si="2"/>
        <v>0</v>
      </c>
      <c r="G19" s="159">
        <f t="shared" si="3"/>
        <v>0</v>
      </c>
      <c r="H19" s="159">
        <f t="shared" si="3"/>
        <v>0</v>
      </c>
      <c r="I19" s="162">
        <f>+'datos de entrada'!C373</f>
        <v>0</v>
      </c>
      <c r="J19" s="162">
        <f>+'datos de entrada'!D373</f>
        <v>0</v>
      </c>
      <c r="K19" s="162">
        <f>+'datos de entrada'!E373</f>
        <v>0</v>
      </c>
      <c r="L19" s="162">
        <f>+'datos de entrada'!F373</f>
        <v>0</v>
      </c>
      <c r="M19" s="162">
        <f>+'datos de entrada'!G373</f>
        <v>0</v>
      </c>
      <c r="N19" s="162">
        <f>+'datos de entrada'!H373</f>
        <v>0</v>
      </c>
      <c r="O19" s="162">
        <f>+'datos de entrada'!I373</f>
        <v>0</v>
      </c>
      <c r="P19" s="162">
        <f>+'datos de entrada'!J373</f>
        <v>0</v>
      </c>
      <c r="Q19" s="162">
        <f>+'datos de entrada'!K373</f>
        <v>0</v>
      </c>
      <c r="R19" s="162">
        <f>+'datos de entrada'!L373</f>
        <v>0</v>
      </c>
      <c r="S19" s="162">
        <f>+'datos de entrada'!M373</f>
        <v>0</v>
      </c>
      <c r="T19" s="162">
        <f>+'datos de entrada'!N373</f>
        <v>0</v>
      </c>
      <c r="U19" s="162">
        <f>+'datos de entrada'!O373</f>
        <v>0</v>
      </c>
      <c r="V19" s="162">
        <f>+'datos de entrada'!P373</f>
        <v>0</v>
      </c>
      <c r="W19" s="162">
        <f>+'datos de entrada'!Q373</f>
        <v>0</v>
      </c>
      <c r="X19" s="162">
        <f>+'datos de entrada'!R373</f>
        <v>0</v>
      </c>
      <c r="Y19" s="162">
        <f>+'datos de entrada'!S373</f>
        <v>0</v>
      </c>
      <c r="Z19" s="162">
        <f>+'datos de entrada'!T373</f>
        <v>0</v>
      </c>
      <c r="AA19" s="162">
        <f>+'datos de entrada'!U373</f>
        <v>0</v>
      </c>
      <c r="AB19" s="162">
        <f>+'datos de entrada'!V373</f>
        <v>0</v>
      </c>
      <c r="AC19" s="162">
        <f>+'datos de entrada'!W373</f>
        <v>0</v>
      </c>
      <c r="AD19" s="162">
        <f>+'datos de entrada'!X373</f>
        <v>0</v>
      </c>
      <c r="AE19" s="162">
        <f>+'datos de entrada'!Y373</f>
        <v>0</v>
      </c>
      <c r="AF19" s="162">
        <f>+'datos de entrada'!Z373</f>
        <v>0</v>
      </c>
      <c r="AG19" s="162">
        <f>+'datos de entrada'!AA373</f>
        <v>0</v>
      </c>
      <c r="AH19" s="162">
        <f>+'datos de entrada'!AB373</f>
        <v>0</v>
      </c>
      <c r="AI19" s="162">
        <f>+'datos de entrada'!AC373</f>
        <v>0</v>
      </c>
      <c r="AJ19" s="162">
        <f>+'datos de entrada'!AD373</f>
        <v>0</v>
      </c>
      <c r="AK19" s="162">
        <f>+'datos de entrada'!AE373</f>
        <v>0</v>
      </c>
      <c r="AL19" s="162">
        <f>+'datos de entrada'!AF373</f>
        <v>0</v>
      </c>
      <c r="AM19" s="162">
        <f>+'datos de entrada'!AG373</f>
        <v>0</v>
      </c>
      <c r="AN19" s="162">
        <f>+'datos de entrada'!AH373</f>
        <v>0</v>
      </c>
      <c r="AO19" s="162">
        <f>+'datos de entrada'!AI373</f>
        <v>0</v>
      </c>
      <c r="AP19" s="162">
        <f>+'datos de entrada'!AJ373</f>
        <v>0</v>
      </c>
      <c r="AQ19" s="162">
        <f>+'datos de entrada'!AK373</f>
        <v>0</v>
      </c>
      <c r="AR19" s="162">
        <f>+'datos de entrada'!AL373</f>
        <v>0</v>
      </c>
    </row>
    <row r="20" spans="1:44" ht="15" customHeight="1">
      <c r="A20" s="148" t="s">
        <v>254</v>
      </c>
      <c r="B20" s="150">
        <f>SUM(B14:B19)</f>
        <v>2800000</v>
      </c>
      <c r="C20" s="151">
        <f t="shared" si="0"/>
        <v>1</v>
      </c>
      <c r="D20" s="150">
        <f t="shared" si="4"/>
        <v>33600000</v>
      </c>
      <c r="E20" s="150">
        <f t="shared" si="1"/>
        <v>33600000</v>
      </c>
      <c r="F20" s="150">
        <f t="shared" si="2"/>
        <v>33600000</v>
      </c>
      <c r="G20" s="159">
        <f t="shared" si="3"/>
        <v>34608000</v>
      </c>
      <c r="H20" s="159">
        <f t="shared" si="3"/>
        <v>35646240</v>
      </c>
      <c r="I20" s="162">
        <f>SUM(I14:I19)</f>
        <v>2800000</v>
      </c>
      <c r="J20" s="162">
        <f t="shared" ref="J20:T20" si="5">SUM(J14:J19)</f>
        <v>2800000</v>
      </c>
      <c r="K20" s="162">
        <f t="shared" si="5"/>
        <v>2800000</v>
      </c>
      <c r="L20" s="162">
        <f t="shared" si="5"/>
        <v>2800000</v>
      </c>
      <c r="M20" s="162">
        <f t="shared" si="5"/>
        <v>2800000</v>
      </c>
      <c r="N20" s="162">
        <f t="shared" si="5"/>
        <v>2800000</v>
      </c>
      <c r="O20" s="162">
        <f t="shared" si="5"/>
        <v>2800000</v>
      </c>
      <c r="P20" s="162">
        <f t="shared" si="5"/>
        <v>2800000</v>
      </c>
      <c r="Q20" s="162">
        <f t="shared" si="5"/>
        <v>2800000</v>
      </c>
      <c r="R20" s="162">
        <f t="shared" si="5"/>
        <v>2800000</v>
      </c>
      <c r="S20" s="162">
        <f t="shared" si="5"/>
        <v>2800000</v>
      </c>
      <c r="T20" s="162">
        <f t="shared" si="5"/>
        <v>2800000</v>
      </c>
      <c r="U20" s="162">
        <f t="shared" ref="U20:AR20" si="6">SUM(U14:U19)</f>
        <v>2800000</v>
      </c>
      <c r="V20" s="162">
        <f t="shared" si="6"/>
        <v>2800000</v>
      </c>
      <c r="W20" s="162">
        <f t="shared" si="6"/>
        <v>2800000</v>
      </c>
      <c r="X20" s="162">
        <f t="shared" si="6"/>
        <v>2800000</v>
      </c>
      <c r="Y20" s="162">
        <f t="shared" si="6"/>
        <v>2800000</v>
      </c>
      <c r="Z20" s="162">
        <f t="shared" si="6"/>
        <v>2800000</v>
      </c>
      <c r="AA20" s="162">
        <f t="shared" si="6"/>
        <v>2800000</v>
      </c>
      <c r="AB20" s="162">
        <f t="shared" si="6"/>
        <v>2800000</v>
      </c>
      <c r="AC20" s="162">
        <f t="shared" si="6"/>
        <v>2800000</v>
      </c>
      <c r="AD20" s="162">
        <f t="shared" si="6"/>
        <v>2800000</v>
      </c>
      <c r="AE20" s="162">
        <f t="shared" si="6"/>
        <v>2800000</v>
      </c>
      <c r="AF20" s="162">
        <f t="shared" si="6"/>
        <v>2800000</v>
      </c>
      <c r="AG20" s="162">
        <f t="shared" si="6"/>
        <v>2800000</v>
      </c>
      <c r="AH20" s="162">
        <f t="shared" si="6"/>
        <v>2800000</v>
      </c>
      <c r="AI20" s="162">
        <f t="shared" si="6"/>
        <v>2800000</v>
      </c>
      <c r="AJ20" s="162">
        <f t="shared" si="6"/>
        <v>2800000</v>
      </c>
      <c r="AK20" s="162">
        <f t="shared" si="6"/>
        <v>2800000</v>
      </c>
      <c r="AL20" s="162">
        <f t="shared" si="6"/>
        <v>2800000</v>
      </c>
      <c r="AM20" s="162">
        <f t="shared" si="6"/>
        <v>2800000</v>
      </c>
      <c r="AN20" s="162">
        <f t="shared" si="6"/>
        <v>2800000</v>
      </c>
      <c r="AO20" s="162">
        <f t="shared" si="6"/>
        <v>2800000</v>
      </c>
      <c r="AP20" s="162">
        <f t="shared" si="6"/>
        <v>2800000</v>
      </c>
      <c r="AQ20" s="162">
        <f t="shared" si="6"/>
        <v>2800000</v>
      </c>
      <c r="AR20" s="162">
        <f t="shared" si="6"/>
        <v>2800000</v>
      </c>
    </row>
    <row r="21" spans="1:44" ht="15" customHeight="1">
      <c r="A21" s="148"/>
      <c r="B21" s="150"/>
      <c r="C21" s="151">
        <f t="shared" si="0"/>
        <v>0</v>
      </c>
      <c r="D21" s="150"/>
      <c r="E21" s="150"/>
      <c r="F21" s="150"/>
      <c r="G21" s="159">
        <f t="shared" si="3"/>
        <v>0</v>
      </c>
      <c r="H21" s="159">
        <f t="shared" si="3"/>
        <v>0</v>
      </c>
      <c r="I21" s="162"/>
      <c r="J21" s="162"/>
      <c r="K21" s="162"/>
      <c r="L21" s="162"/>
      <c r="M21" s="162"/>
      <c r="N21" s="162"/>
      <c r="O21" s="162"/>
      <c r="P21" s="162"/>
      <c r="Q21" s="162"/>
      <c r="R21" s="162"/>
      <c r="S21" s="162"/>
      <c r="T21" s="162"/>
    </row>
    <row r="22" spans="1:44" ht="15" customHeight="1">
      <c r="A22" s="148" t="s">
        <v>255</v>
      </c>
      <c r="B22" s="150">
        <f>B21+B20</f>
        <v>2800000</v>
      </c>
      <c r="C22" s="151">
        <f t="shared" si="0"/>
        <v>1</v>
      </c>
      <c r="D22" s="150">
        <f>SUM(I22:T22)</f>
        <v>33600000</v>
      </c>
      <c r="E22" s="150">
        <f>+E20+E21</f>
        <v>33600000</v>
      </c>
      <c r="F22" s="150">
        <f>+F20+F21</f>
        <v>33600000</v>
      </c>
      <c r="G22" s="159">
        <f t="shared" si="3"/>
        <v>34608000</v>
      </c>
      <c r="H22" s="159">
        <f t="shared" si="3"/>
        <v>35646240</v>
      </c>
      <c r="I22" s="162">
        <f>SUM(I14:I19)</f>
        <v>2800000</v>
      </c>
      <c r="J22" s="162">
        <f t="shared" ref="J22:T22" si="7">SUM(J14:J19)</f>
        <v>2800000</v>
      </c>
      <c r="K22" s="162">
        <f t="shared" si="7"/>
        <v>2800000</v>
      </c>
      <c r="L22" s="162">
        <f t="shared" si="7"/>
        <v>2800000</v>
      </c>
      <c r="M22" s="162">
        <f t="shared" si="7"/>
        <v>2800000</v>
      </c>
      <c r="N22" s="162">
        <f t="shared" si="7"/>
        <v>2800000</v>
      </c>
      <c r="O22" s="162">
        <f t="shared" si="7"/>
        <v>2800000</v>
      </c>
      <c r="P22" s="162">
        <f t="shared" si="7"/>
        <v>2800000</v>
      </c>
      <c r="Q22" s="162">
        <f t="shared" si="7"/>
        <v>2800000</v>
      </c>
      <c r="R22" s="162">
        <f t="shared" si="7"/>
        <v>2800000</v>
      </c>
      <c r="S22" s="162">
        <f t="shared" si="7"/>
        <v>2800000</v>
      </c>
      <c r="T22" s="162">
        <f t="shared" si="7"/>
        <v>2800000</v>
      </c>
    </row>
    <row r="23" spans="1:44" ht="15" customHeight="1">
      <c r="A23" s="152" t="s">
        <v>870</v>
      </c>
      <c r="B23" s="153"/>
      <c r="C23" s="152"/>
      <c r="D23" s="152" t="s">
        <v>870</v>
      </c>
      <c r="E23" s="152" t="s">
        <v>870</v>
      </c>
      <c r="F23" s="152" t="s">
        <v>870</v>
      </c>
      <c r="G23" s="154" t="s">
        <v>605</v>
      </c>
      <c r="H23" s="154" t="s">
        <v>605</v>
      </c>
    </row>
    <row r="24" spans="1:44" ht="15" customHeight="1">
      <c r="A24" s="150" t="str">
        <f>+'datos de entrada'!A374</f>
        <v>CAFETERIA Y ASEO</v>
      </c>
      <c r="B24" s="150">
        <f>+'datos de entrada'!B374</f>
        <v>0</v>
      </c>
      <c r="C24" s="151">
        <f t="shared" ref="C24:C40" si="8">B24/$B$42</f>
        <v>0</v>
      </c>
      <c r="D24" s="150">
        <f t="shared" ref="D24:D39" si="9">SUM(I24:T24)</f>
        <v>4800000</v>
      </c>
      <c r="E24" s="150">
        <f>SUM('datos de entrada'!O374:Z374)*(1+$C$7)</f>
        <v>4944000</v>
      </c>
      <c r="F24" s="150">
        <f>SUM('datos de entrada'!AA374:AL374)*(1+$C$7)^2</f>
        <v>5092320</v>
      </c>
      <c r="G24" s="159">
        <f t="shared" ref="G24:H39" si="10">F24*(1+$C$7)</f>
        <v>5245089.6000000006</v>
      </c>
      <c r="H24" s="159">
        <f t="shared" si="10"/>
        <v>5402442.2880000006</v>
      </c>
      <c r="I24" s="150">
        <f>+'datos de entrada'!C374</f>
        <v>400000</v>
      </c>
      <c r="J24" s="150">
        <f>+'datos de entrada'!D374</f>
        <v>400000</v>
      </c>
      <c r="K24" s="150">
        <f>+'datos de entrada'!E374</f>
        <v>400000</v>
      </c>
      <c r="L24" s="150">
        <f>+'datos de entrada'!F374</f>
        <v>400000</v>
      </c>
      <c r="M24" s="150">
        <f>+'datos de entrada'!G374</f>
        <v>400000</v>
      </c>
      <c r="N24" s="150">
        <f>+'datos de entrada'!H374</f>
        <v>400000</v>
      </c>
      <c r="O24" s="150">
        <f>+'datos de entrada'!I374</f>
        <v>400000</v>
      </c>
      <c r="P24" s="150">
        <f>+'datos de entrada'!J374</f>
        <v>400000</v>
      </c>
      <c r="Q24" s="150">
        <f>+'datos de entrada'!K374</f>
        <v>400000</v>
      </c>
      <c r="R24" s="150">
        <f>+'datos de entrada'!L374</f>
        <v>400000</v>
      </c>
      <c r="S24" s="150">
        <f>+'datos de entrada'!M374</f>
        <v>400000</v>
      </c>
      <c r="T24" s="150">
        <f>+'datos de entrada'!N374</f>
        <v>400000</v>
      </c>
    </row>
    <row r="25" spans="1:44" ht="15" customHeight="1">
      <c r="A25" s="150" t="str">
        <f>+'datos de entrada'!A375</f>
        <v>COMUNICACIÓN Y TELEFONO</v>
      </c>
      <c r="B25" s="150">
        <f>+'datos de entrada'!B375</f>
        <v>0</v>
      </c>
      <c r="C25" s="151">
        <f t="shared" si="8"/>
        <v>0</v>
      </c>
      <c r="D25" s="150">
        <f t="shared" si="9"/>
        <v>2400000</v>
      </c>
      <c r="E25" s="150">
        <f>SUM('datos de entrada'!O375:Z375)*(1+$C$7)</f>
        <v>2472000</v>
      </c>
      <c r="F25" s="150">
        <f>SUM('datos de entrada'!AA375:AL375)*(1+$C$7)^2</f>
        <v>2546160</v>
      </c>
      <c r="G25" s="159">
        <f t="shared" si="10"/>
        <v>2622544.8000000003</v>
      </c>
      <c r="H25" s="159">
        <f t="shared" si="10"/>
        <v>2701221.1440000003</v>
      </c>
      <c r="I25" s="150">
        <f>+'datos de entrada'!C375</f>
        <v>200000</v>
      </c>
      <c r="J25" s="150">
        <f>+'datos de entrada'!D375</f>
        <v>200000</v>
      </c>
      <c r="K25" s="150">
        <f>+'datos de entrada'!E375</f>
        <v>200000</v>
      </c>
      <c r="L25" s="150">
        <f>+'datos de entrada'!F375</f>
        <v>200000</v>
      </c>
      <c r="M25" s="150">
        <f>+'datos de entrada'!G375</f>
        <v>200000</v>
      </c>
      <c r="N25" s="150">
        <f>+'datos de entrada'!H375</f>
        <v>200000</v>
      </c>
      <c r="O25" s="150">
        <f>+'datos de entrada'!I375</f>
        <v>200000</v>
      </c>
      <c r="P25" s="150">
        <f>+'datos de entrada'!J375</f>
        <v>200000</v>
      </c>
      <c r="Q25" s="150">
        <f>+'datos de entrada'!K375</f>
        <v>200000</v>
      </c>
      <c r="R25" s="150">
        <f>+'datos de entrada'!L375</f>
        <v>200000</v>
      </c>
      <c r="S25" s="150">
        <f>+'datos de entrada'!M375</f>
        <v>200000</v>
      </c>
      <c r="T25" s="150">
        <f>+'datos de entrada'!N375</f>
        <v>200000</v>
      </c>
    </row>
    <row r="26" spans="1:44" ht="15" customHeight="1">
      <c r="A26" s="150" t="str">
        <f>+'datos de entrada'!A376</f>
        <v>GASTOS BANCARIOS</v>
      </c>
      <c r="B26" s="150">
        <f>+'datos de entrada'!B376</f>
        <v>0</v>
      </c>
      <c r="C26" s="151">
        <f t="shared" si="8"/>
        <v>0</v>
      </c>
      <c r="D26" s="150">
        <f t="shared" si="9"/>
        <v>144000</v>
      </c>
      <c r="E26" s="150">
        <f>SUM('datos de entrada'!O376:Z376)*(1+$C$7)</f>
        <v>148320</v>
      </c>
      <c r="F26" s="150">
        <f>SUM('datos de entrada'!AA376:AL376)*(1+$C$7)^2</f>
        <v>152769.60000000001</v>
      </c>
      <c r="G26" s="159">
        <f t="shared" si="10"/>
        <v>157352.68800000002</v>
      </c>
      <c r="H26" s="159">
        <f t="shared" si="10"/>
        <v>162073.26864000002</v>
      </c>
      <c r="I26" s="150">
        <f>+'datos de entrada'!C376</f>
        <v>12000</v>
      </c>
      <c r="J26" s="150">
        <f>+'datos de entrada'!D376</f>
        <v>12000</v>
      </c>
      <c r="K26" s="150">
        <f>+'datos de entrada'!E376</f>
        <v>12000</v>
      </c>
      <c r="L26" s="150">
        <f>+'datos de entrada'!F376</f>
        <v>12000</v>
      </c>
      <c r="M26" s="150">
        <f>+'datos de entrada'!G376</f>
        <v>12000</v>
      </c>
      <c r="N26" s="150">
        <f>+'datos de entrada'!H376</f>
        <v>12000</v>
      </c>
      <c r="O26" s="150">
        <f>+'datos de entrada'!I376</f>
        <v>12000</v>
      </c>
      <c r="P26" s="150">
        <f>+'datos de entrada'!J376</f>
        <v>12000</v>
      </c>
      <c r="Q26" s="150">
        <f>+'datos de entrada'!K376</f>
        <v>12000</v>
      </c>
      <c r="R26" s="150">
        <f>+'datos de entrada'!L376</f>
        <v>12000</v>
      </c>
      <c r="S26" s="150">
        <f>+'datos de entrada'!M376</f>
        <v>12000</v>
      </c>
      <c r="T26" s="150">
        <f>+'datos de entrada'!N376</f>
        <v>12000</v>
      </c>
    </row>
    <row r="27" spans="1:44" ht="15" customHeight="1">
      <c r="A27" s="150" t="str">
        <f>+'datos de entrada'!A377</f>
        <v>PAPELERIA Y UTILES DE OFICINA</v>
      </c>
      <c r="B27" s="150">
        <f>+'datos de entrada'!B377</f>
        <v>0</v>
      </c>
      <c r="C27" s="151">
        <f t="shared" si="8"/>
        <v>0</v>
      </c>
      <c r="D27" s="150">
        <f t="shared" si="9"/>
        <v>600000</v>
      </c>
      <c r="E27" s="150">
        <f>SUM('datos de entrada'!O377:Z377)*(1+$C$7)</f>
        <v>618000</v>
      </c>
      <c r="F27" s="150">
        <f>SUM('datos de entrada'!AA377:AL377)*(1+$C$7)^2</f>
        <v>636540</v>
      </c>
      <c r="G27" s="159">
        <f t="shared" si="10"/>
        <v>655636.20000000007</v>
      </c>
      <c r="H27" s="159">
        <f t="shared" si="10"/>
        <v>675305.28600000008</v>
      </c>
      <c r="I27" s="150">
        <f>+'datos de entrada'!C377</f>
        <v>50000</v>
      </c>
      <c r="J27" s="150">
        <f>+'datos de entrada'!D377</f>
        <v>50000</v>
      </c>
      <c r="K27" s="150">
        <f>+'datos de entrada'!E377</f>
        <v>50000</v>
      </c>
      <c r="L27" s="150">
        <f>+'datos de entrada'!F377</f>
        <v>50000</v>
      </c>
      <c r="M27" s="150">
        <f>+'datos de entrada'!G377</f>
        <v>50000</v>
      </c>
      <c r="N27" s="150">
        <f>+'datos de entrada'!H377</f>
        <v>50000</v>
      </c>
      <c r="O27" s="150">
        <f>+'datos de entrada'!I377</f>
        <v>50000</v>
      </c>
      <c r="P27" s="150">
        <f>+'datos de entrada'!J377</f>
        <v>50000</v>
      </c>
      <c r="Q27" s="150">
        <f>+'datos de entrada'!K377</f>
        <v>50000</v>
      </c>
      <c r="R27" s="150">
        <f>+'datos de entrada'!L377</f>
        <v>50000</v>
      </c>
      <c r="S27" s="150">
        <f>+'datos de entrada'!M377</f>
        <v>50000</v>
      </c>
      <c r="T27" s="150">
        <f>+'datos de entrada'!N377</f>
        <v>50000</v>
      </c>
    </row>
    <row r="28" spans="1:44" ht="15" customHeight="1">
      <c r="A28" s="150" t="str">
        <f>+'datos de entrada'!A378</f>
        <v/>
      </c>
      <c r="B28" s="150">
        <f>+'datos de entrada'!B378</f>
        <v>0</v>
      </c>
      <c r="C28" s="151">
        <f t="shared" si="8"/>
        <v>0</v>
      </c>
      <c r="D28" s="150">
        <f t="shared" si="9"/>
        <v>0</v>
      </c>
      <c r="E28" s="150">
        <f>SUM('datos de entrada'!O378:Z378)*(1+$C$7)</f>
        <v>0</v>
      </c>
      <c r="F28" s="150">
        <f>SUM('datos de entrada'!AA378:AL378)*(1+$C$7)^2</f>
        <v>0</v>
      </c>
      <c r="G28" s="159">
        <f t="shared" si="10"/>
        <v>0</v>
      </c>
      <c r="H28" s="159">
        <f t="shared" si="10"/>
        <v>0</v>
      </c>
      <c r="I28" s="150">
        <f>+'datos de entrada'!C378</f>
        <v>0</v>
      </c>
      <c r="J28" s="150">
        <f>+'datos de entrada'!D378</f>
        <v>0</v>
      </c>
      <c r="K28" s="150">
        <f>+'datos de entrada'!E378</f>
        <v>0</v>
      </c>
      <c r="L28" s="150">
        <f>+'datos de entrada'!F378</f>
        <v>0</v>
      </c>
      <c r="M28" s="150">
        <f>+'datos de entrada'!G378</f>
        <v>0</v>
      </c>
      <c r="N28" s="150">
        <f>+'datos de entrada'!H378</f>
        <v>0</v>
      </c>
      <c r="O28" s="150">
        <f>+'datos de entrada'!I378</f>
        <v>0</v>
      </c>
      <c r="P28" s="150">
        <f>+'datos de entrada'!J378</f>
        <v>0</v>
      </c>
      <c r="Q28" s="150">
        <f>+'datos de entrada'!K378</f>
        <v>0</v>
      </c>
      <c r="R28" s="150">
        <f>+'datos de entrada'!L378</f>
        <v>0</v>
      </c>
      <c r="S28" s="150">
        <f>+'datos de entrada'!M378</f>
        <v>0</v>
      </c>
      <c r="T28" s="150">
        <f>+'datos de entrada'!N378</f>
        <v>0</v>
      </c>
    </row>
    <row r="29" spans="1:44" ht="15" customHeight="1">
      <c r="A29" s="150" t="str">
        <f>+'datos de entrada'!A379</f>
        <v/>
      </c>
      <c r="B29" s="150">
        <f>+'datos de entrada'!B379</f>
        <v>0</v>
      </c>
      <c r="C29" s="151">
        <f t="shared" si="8"/>
        <v>0</v>
      </c>
      <c r="D29" s="150">
        <f t="shared" si="9"/>
        <v>0</v>
      </c>
      <c r="E29" s="150">
        <f>SUM('datos de entrada'!O379:Z379)*(1+$C$7)</f>
        <v>0</v>
      </c>
      <c r="F29" s="150">
        <f>SUM('datos de entrada'!AA379:AL379)*(1+$C$7)^2</f>
        <v>0</v>
      </c>
      <c r="G29" s="159">
        <f t="shared" si="10"/>
        <v>0</v>
      </c>
      <c r="H29" s="159">
        <f t="shared" si="10"/>
        <v>0</v>
      </c>
      <c r="I29" s="150">
        <f>+'datos de entrada'!C379</f>
        <v>0</v>
      </c>
      <c r="J29" s="150">
        <f>+'datos de entrada'!D379</f>
        <v>0</v>
      </c>
      <c r="K29" s="150">
        <f>+'datos de entrada'!E379</f>
        <v>0</v>
      </c>
      <c r="L29" s="150">
        <f>+'datos de entrada'!F379</f>
        <v>0</v>
      </c>
      <c r="M29" s="150">
        <f>+'datos de entrada'!G379</f>
        <v>0</v>
      </c>
      <c r="N29" s="150">
        <f>+'datos de entrada'!H379</f>
        <v>0</v>
      </c>
      <c r="O29" s="150">
        <f>+'datos de entrada'!I379</f>
        <v>0</v>
      </c>
      <c r="P29" s="150">
        <f>+'datos de entrada'!J379</f>
        <v>0</v>
      </c>
      <c r="Q29" s="150">
        <f>+'datos de entrada'!K379</f>
        <v>0</v>
      </c>
      <c r="R29" s="150">
        <f>+'datos de entrada'!L379</f>
        <v>0</v>
      </c>
      <c r="S29" s="150">
        <f>+'datos de entrada'!M379</f>
        <v>0</v>
      </c>
      <c r="T29" s="150">
        <f>+'datos de entrada'!N379</f>
        <v>0</v>
      </c>
    </row>
    <row r="30" spans="1:44" ht="15" customHeight="1">
      <c r="A30" s="150" t="str">
        <f>+'datos de entrada'!A380</f>
        <v/>
      </c>
      <c r="B30" s="150">
        <f>+'datos de entrada'!B380</f>
        <v>0</v>
      </c>
      <c r="C30" s="151">
        <f t="shared" si="8"/>
        <v>0</v>
      </c>
      <c r="D30" s="150">
        <f t="shared" si="9"/>
        <v>0</v>
      </c>
      <c r="E30" s="150">
        <f>SUM('datos de entrada'!O380:Z380)*(1+$C$7)</f>
        <v>0</v>
      </c>
      <c r="F30" s="150">
        <f>SUM('datos de entrada'!AA380:AL380)*(1+$C$7)^2</f>
        <v>0</v>
      </c>
      <c r="G30" s="159">
        <f t="shared" si="10"/>
        <v>0</v>
      </c>
      <c r="H30" s="159">
        <f t="shared" si="10"/>
        <v>0</v>
      </c>
      <c r="I30" s="150">
        <f>+'datos de entrada'!C380</f>
        <v>0</v>
      </c>
      <c r="J30" s="150">
        <f>+'datos de entrada'!D380</f>
        <v>0</v>
      </c>
      <c r="K30" s="150">
        <f>+'datos de entrada'!E380</f>
        <v>0</v>
      </c>
      <c r="L30" s="150">
        <f>+'datos de entrada'!F380</f>
        <v>0</v>
      </c>
      <c r="M30" s="150">
        <f>+'datos de entrada'!G380</f>
        <v>0</v>
      </c>
      <c r="N30" s="150">
        <f>+'datos de entrada'!H380</f>
        <v>0</v>
      </c>
      <c r="O30" s="150">
        <f>+'datos de entrada'!I380</f>
        <v>0</v>
      </c>
      <c r="P30" s="150">
        <f>+'datos de entrada'!J380</f>
        <v>0</v>
      </c>
      <c r="Q30" s="150">
        <f>+'datos de entrada'!K380</f>
        <v>0</v>
      </c>
      <c r="R30" s="150">
        <f>+'datos de entrada'!L380</f>
        <v>0</v>
      </c>
      <c r="S30" s="150">
        <f>+'datos de entrada'!M380</f>
        <v>0</v>
      </c>
      <c r="T30" s="150">
        <f>+'datos de entrada'!N380</f>
        <v>0</v>
      </c>
    </row>
    <row r="31" spans="1:44" ht="15" customHeight="1">
      <c r="A31" s="150" t="str">
        <f>+'datos de entrada'!A381</f>
        <v/>
      </c>
      <c r="B31" s="150">
        <f>+'datos de entrada'!B381</f>
        <v>0</v>
      </c>
      <c r="C31" s="151">
        <f t="shared" si="8"/>
        <v>0</v>
      </c>
      <c r="D31" s="150">
        <f t="shared" si="9"/>
        <v>0</v>
      </c>
      <c r="E31" s="150">
        <f>SUM('datos de entrada'!O381:Z381)*(1+$C$7)</f>
        <v>0</v>
      </c>
      <c r="F31" s="150">
        <f>SUM('datos de entrada'!AA381:AL381)*(1+$C$7)^2</f>
        <v>0</v>
      </c>
      <c r="G31" s="159">
        <f t="shared" si="10"/>
        <v>0</v>
      </c>
      <c r="H31" s="159">
        <f t="shared" si="10"/>
        <v>0</v>
      </c>
      <c r="I31" s="150">
        <f>+'datos de entrada'!C381</f>
        <v>0</v>
      </c>
      <c r="J31" s="150">
        <f>+'datos de entrada'!D381</f>
        <v>0</v>
      </c>
      <c r="K31" s="150">
        <f>+'datos de entrada'!E381</f>
        <v>0</v>
      </c>
      <c r="L31" s="150">
        <f>+'datos de entrada'!F381</f>
        <v>0</v>
      </c>
      <c r="M31" s="150">
        <f>+'datos de entrada'!G381</f>
        <v>0</v>
      </c>
      <c r="N31" s="150">
        <f>+'datos de entrada'!H381</f>
        <v>0</v>
      </c>
      <c r="O31" s="150">
        <f>+'datos de entrada'!I381</f>
        <v>0</v>
      </c>
      <c r="P31" s="150">
        <f>+'datos de entrada'!J381</f>
        <v>0</v>
      </c>
      <c r="Q31" s="150">
        <f>+'datos de entrada'!K381</f>
        <v>0</v>
      </c>
      <c r="R31" s="150">
        <f>+'datos de entrada'!L381</f>
        <v>0</v>
      </c>
      <c r="S31" s="150">
        <f>+'datos de entrada'!M381</f>
        <v>0</v>
      </c>
      <c r="T31" s="150">
        <f>+'datos de entrada'!N381</f>
        <v>0</v>
      </c>
    </row>
    <row r="32" spans="1:44" ht="15" customHeight="1">
      <c r="A32" s="150" t="str">
        <f>+'datos de entrada'!A382</f>
        <v/>
      </c>
      <c r="B32" s="150">
        <f>+'datos de entrada'!B382</f>
        <v>0</v>
      </c>
      <c r="C32" s="151">
        <f t="shared" si="8"/>
        <v>0</v>
      </c>
      <c r="D32" s="150">
        <f t="shared" si="9"/>
        <v>0</v>
      </c>
      <c r="E32" s="150">
        <f>SUM('datos de entrada'!O382:Z382)*(1+$C$7)</f>
        <v>0</v>
      </c>
      <c r="F32" s="150">
        <f>SUM('datos de entrada'!AA382:AL382)*(1+$C$7)^2</f>
        <v>0</v>
      </c>
      <c r="G32" s="159">
        <f t="shared" si="10"/>
        <v>0</v>
      </c>
      <c r="H32" s="159">
        <f t="shared" si="10"/>
        <v>0</v>
      </c>
      <c r="I32" s="150">
        <f>+'datos de entrada'!C382</f>
        <v>0</v>
      </c>
      <c r="J32" s="150">
        <f>+'datos de entrada'!D382</f>
        <v>0</v>
      </c>
      <c r="K32" s="150">
        <f>+'datos de entrada'!E382</f>
        <v>0</v>
      </c>
      <c r="L32" s="150">
        <f>+'datos de entrada'!F382</f>
        <v>0</v>
      </c>
      <c r="M32" s="150">
        <f>+'datos de entrada'!G382</f>
        <v>0</v>
      </c>
      <c r="N32" s="150">
        <f>+'datos de entrada'!H382</f>
        <v>0</v>
      </c>
      <c r="O32" s="150">
        <f>+'datos de entrada'!I382</f>
        <v>0</v>
      </c>
      <c r="P32" s="150">
        <f>+'datos de entrada'!J382</f>
        <v>0</v>
      </c>
      <c r="Q32" s="150">
        <f>+'datos de entrada'!K382</f>
        <v>0</v>
      </c>
      <c r="R32" s="150">
        <f>+'datos de entrada'!L382</f>
        <v>0</v>
      </c>
      <c r="S32" s="150">
        <f>+'datos de entrada'!M382</f>
        <v>0</v>
      </c>
      <c r="T32" s="150">
        <f>+'datos de entrada'!N382</f>
        <v>0</v>
      </c>
    </row>
    <row r="33" spans="1:20" ht="15" customHeight="1">
      <c r="A33" s="150" t="str">
        <f>+'datos de entrada'!A383</f>
        <v/>
      </c>
      <c r="B33" s="150">
        <f>+'datos de entrada'!B383</f>
        <v>0</v>
      </c>
      <c r="C33" s="151">
        <f t="shared" si="8"/>
        <v>0</v>
      </c>
      <c r="D33" s="150">
        <f t="shared" si="9"/>
        <v>0</v>
      </c>
      <c r="E33" s="150">
        <f>SUM('datos de entrada'!O383:Z383)*(1+$C$7)</f>
        <v>0</v>
      </c>
      <c r="F33" s="150">
        <f>SUM('datos de entrada'!AA383:AL383)*(1+$C$7)^2</f>
        <v>0</v>
      </c>
      <c r="G33" s="159">
        <f t="shared" si="10"/>
        <v>0</v>
      </c>
      <c r="H33" s="159">
        <f t="shared" si="10"/>
        <v>0</v>
      </c>
      <c r="I33" s="150">
        <f>+'datos de entrada'!C383</f>
        <v>0</v>
      </c>
      <c r="J33" s="150">
        <f>+'datos de entrada'!D383</f>
        <v>0</v>
      </c>
      <c r="K33" s="150">
        <f>+'datos de entrada'!E383</f>
        <v>0</v>
      </c>
      <c r="L33" s="150">
        <f>+'datos de entrada'!F383</f>
        <v>0</v>
      </c>
      <c r="M33" s="150">
        <f>+'datos de entrada'!G383</f>
        <v>0</v>
      </c>
      <c r="N33" s="150">
        <f>+'datos de entrada'!H383</f>
        <v>0</v>
      </c>
      <c r="O33" s="150">
        <f>+'datos de entrada'!I383</f>
        <v>0</v>
      </c>
      <c r="P33" s="150">
        <f>+'datos de entrada'!J383</f>
        <v>0</v>
      </c>
      <c r="Q33" s="150">
        <f>+'datos de entrada'!K383</f>
        <v>0</v>
      </c>
      <c r="R33" s="150">
        <f>+'datos de entrada'!L383</f>
        <v>0</v>
      </c>
      <c r="S33" s="150">
        <f>+'datos de entrada'!M383</f>
        <v>0</v>
      </c>
      <c r="T33" s="150">
        <f>+'datos de entrada'!N383</f>
        <v>0</v>
      </c>
    </row>
    <row r="34" spans="1:20" ht="15" customHeight="1">
      <c r="A34" s="150" t="str">
        <f>+'datos de entrada'!A384</f>
        <v/>
      </c>
      <c r="B34" s="150">
        <f>+'datos de entrada'!B384</f>
        <v>0</v>
      </c>
      <c r="C34" s="151">
        <f t="shared" si="8"/>
        <v>0</v>
      </c>
      <c r="D34" s="150">
        <f t="shared" si="9"/>
        <v>0</v>
      </c>
      <c r="E34" s="150">
        <f>SUM('datos de entrada'!O384:Z384)*(1+$C$7)</f>
        <v>0</v>
      </c>
      <c r="F34" s="150">
        <f>SUM('datos de entrada'!AA384:AL384)*(1+$C$7)^2</f>
        <v>0</v>
      </c>
      <c r="G34" s="159">
        <f t="shared" si="10"/>
        <v>0</v>
      </c>
      <c r="H34" s="159">
        <f t="shared" si="10"/>
        <v>0</v>
      </c>
      <c r="I34" s="150">
        <f>+'datos de entrada'!C384</f>
        <v>0</v>
      </c>
      <c r="J34" s="150">
        <f>+'datos de entrada'!D384</f>
        <v>0</v>
      </c>
      <c r="K34" s="150">
        <f>+'datos de entrada'!E384</f>
        <v>0</v>
      </c>
      <c r="L34" s="150">
        <f>+'datos de entrada'!F384</f>
        <v>0</v>
      </c>
      <c r="M34" s="150">
        <f>+'datos de entrada'!G384</f>
        <v>0</v>
      </c>
      <c r="N34" s="150">
        <f>+'datos de entrada'!H384</f>
        <v>0</v>
      </c>
      <c r="O34" s="150">
        <f>+'datos de entrada'!I384</f>
        <v>0</v>
      </c>
      <c r="P34" s="150">
        <f>+'datos de entrada'!J384</f>
        <v>0</v>
      </c>
      <c r="Q34" s="150">
        <f>+'datos de entrada'!K384</f>
        <v>0</v>
      </c>
      <c r="R34" s="150">
        <f>+'datos de entrada'!L384</f>
        <v>0</v>
      </c>
      <c r="S34" s="150">
        <f>+'datos de entrada'!M384</f>
        <v>0</v>
      </c>
      <c r="T34" s="150">
        <f>+'datos de entrada'!N384</f>
        <v>0</v>
      </c>
    </row>
    <row r="35" spans="1:20" ht="15" customHeight="1">
      <c r="A35" s="150" t="str">
        <f>+'datos de entrada'!A385</f>
        <v/>
      </c>
      <c r="B35" s="150">
        <f>+'datos de entrada'!B385</f>
        <v>0</v>
      </c>
      <c r="C35" s="151">
        <f t="shared" si="8"/>
        <v>0</v>
      </c>
      <c r="D35" s="150">
        <f t="shared" si="9"/>
        <v>0</v>
      </c>
      <c r="E35" s="150">
        <f>SUM('datos de entrada'!O385:Z385)*(1+$C$7)</f>
        <v>0</v>
      </c>
      <c r="F35" s="150">
        <f>SUM('datos de entrada'!AA385:AL385)*(1+$C$7)^2</f>
        <v>0</v>
      </c>
      <c r="G35" s="159">
        <f t="shared" si="10"/>
        <v>0</v>
      </c>
      <c r="H35" s="159">
        <f t="shared" si="10"/>
        <v>0</v>
      </c>
      <c r="I35" s="150">
        <f>+'datos de entrada'!C385</f>
        <v>0</v>
      </c>
      <c r="J35" s="150">
        <f>+'datos de entrada'!D385</f>
        <v>0</v>
      </c>
      <c r="K35" s="150">
        <f>+'datos de entrada'!E385</f>
        <v>0</v>
      </c>
      <c r="L35" s="150">
        <f>+'datos de entrada'!F385</f>
        <v>0</v>
      </c>
      <c r="M35" s="150">
        <f>+'datos de entrada'!G385</f>
        <v>0</v>
      </c>
      <c r="N35" s="150">
        <f>+'datos de entrada'!H385</f>
        <v>0</v>
      </c>
      <c r="O35" s="150">
        <f>+'datos de entrada'!I385</f>
        <v>0</v>
      </c>
      <c r="P35" s="150">
        <f>+'datos de entrada'!J385</f>
        <v>0</v>
      </c>
      <c r="Q35" s="150">
        <f>+'datos de entrada'!K385</f>
        <v>0</v>
      </c>
      <c r="R35" s="150">
        <f>+'datos de entrada'!L385</f>
        <v>0</v>
      </c>
      <c r="S35" s="150">
        <f>+'datos de entrada'!M385</f>
        <v>0</v>
      </c>
      <c r="T35" s="150">
        <f>+'datos de entrada'!N385</f>
        <v>0</v>
      </c>
    </row>
    <row r="36" spans="1:20" ht="15" customHeight="1">
      <c r="A36" s="150" t="str">
        <f>+'datos de entrada'!A386</f>
        <v/>
      </c>
      <c r="B36" s="150">
        <f>+'datos de entrada'!B386</f>
        <v>0</v>
      </c>
      <c r="C36" s="151">
        <f t="shared" si="8"/>
        <v>0</v>
      </c>
      <c r="D36" s="150">
        <f t="shared" si="9"/>
        <v>0</v>
      </c>
      <c r="E36" s="150">
        <f>SUM('datos de entrada'!O386:Z386)*(1+$C$7)</f>
        <v>0</v>
      </c>
      <c r="F36" s="150">
        <f>SUM('datos de entrada'!AA386:AL386)*(1+$C$7)^2</f>
        <v>0</v>
      </c>
      <c r="G36" s="159">
        <f t="shared" si="10"/>
        <v>0</v>
      </c>
      <c r="H36" s="159">
        <f t="shared" si="10"/>
        <v>0</v>
      </c>
      <c r="I36" s="150">
        <f>+'datos de entrada'!C386</f>
        <v>0</v>
      </c>
      <c r="J36" s="150">
        <f>+'datos de entrada'!D386</f>
        <v>0</v>
      </c>
      <c r="K36" s="150">
        <f>+'datos de entrada'!E386</f>
        <v>0</v>
      </c>
      <c r="L36" s="150">
        <f>+'datos de entrada'!F386</f>
        <v>0</v>
      </c>
      <c r="M36" s="150">
        <f>+'datos de entrada'!G386</f>
        <v>0</v>
      </c>
      <c r="N36" s="150">
        <f>+'datos de entrada'!H386</f>
        <v>0</v>
      </c>
      <c r="O36" s="150">
        <f>+'datos de entrada'!I386</f>
        <v>0</v>
      </c>
      <c r="P36" s="150">
        <f>+'datos de entrada'!J386</f>
        <v>0</v>
      </c>
      <c r="Q36" s="150">
        <f>+'datos de entrada'!K386</f>
        <v>0</v>
      </c>
      <c r="R36" s="150">
        <f>+'datos de entrada'!L386</f>
        <v>0</v>
      </c>
      <c r="S36" s="150">
        <f>+'datos de entrada'!M386</f>
        <v>0</v>
      </c>
      <c r="T36" s="150">
        <f>+'datos de entrada'!N386</f>
        <v>0</v>
      </c>
    </row>
    <row r="37" spans="1:20" ht="15" customHeight="1">
      <c r="A37" s="150">
        <f>+'datos de entrada'!A387</f>
        <v>0</v>
      </c>
      <c r="B37" s="150">
        <f>+'datos de entrada'!B387</f>
        <v>0</v>
      </c>
      <c r="C37" s="151">
        <f t="shared" si="8"/>
        <v>0</v>
      </c>
      <c r="D37" s="150">
        <f t="shared" si="9"/>
        <v>0</v>
      </c>
      <c r="E37" s="150">
        <f>SUM('datos de entrada'!O387:Z387)*(1+$C$7)</f>
        <v>0</v>
      </c>
      <c r="F37" s="150">
        <f>SUM('datos de entrada'!AA387:AL387)*(1+$C$7)^2</f>
        <v>0</v>
      </c>
      <c r="G37" s="159">
        <f t="shared" si="10"/>
        <v>0</v>
      </c>
      <c r="H37" s="159">
        <f t="shared" si="10"/>
        <v>0</v>
      </c>
      <c r="I37" s="150">
        <f>+'datos de entrada'!C387</f>
        <v>0</v>
      </c>
      <c r="J37" s="150">
        <f>+'datos de entrada'!D387</f>
        <v>0</v>
      </c>
      <c r="K37" s="150">
        <f>+'datos de entrada'!E387</f>
        <v>0</v>
      </c>
      <c r="L37" s="150">
        <f>+'datos de entrada'!F387</f>
        <v>0</v>
      </c>
      <c r="M37" s="150">
        <f>+'datos de entrada'!G387</f>
        <v>0</v>
      </c>
      <c r="N37" s="150">
        <f>+'datos de entrada'!H387</f>
        <v>0</v>
      </c>
      <c r="O37" s="150">
        <f>+'datos de entrada'!I387</f>
        <v>0</v>
      </c>
      <c r="P37" s="150">
        <f>+'datos de entrada'!J387</f>
        <v>0</v>
      </c>
      <c r="Q37" s="150">
        <f>+'datos de entrada'!K387</f>
        <v>0</v>
      </c>
      <c r="R37" s="150">
        <f>+'datos de entrada'!L387</f>
        <v>0</v>
      </c>
      <c r="S37" s="150">
        <f>+'datos de entrada'!M387</f>
        <v>0</v>
      </c>
      <c r="T37" s="150">
        <f>+'datos de entrada'!N387</f>
        <v>0</v>
      </c>
    </row>
    <row r="38" spans="1:20" ht="15" customHeight="1">
      <c r="A38" s="150" t="str">
        <f>+'datos de entrada'!A388</f>
        <v/>
      </c>
      <c r="B38" s="150">
        <f>+'datos de entrada'!B388</f>
        <v>0</v>
      </c>
      <c r="C38" s="151">
        <f t="shared" si="8"/>
        <v>0</v>
      </c>
      <c r="D38" s="150">
        <f t="shared" si="9"/>
        <v>0</v>
      </c>
      <c r="E38" s="150">
        <f>SUM('datos de entrada'!O388:Z388)*(1+$C$7)</f>
        <v>0</v>
      </c>
      <c r="F38" s="150">
        <f>SUM('datos de entrada'!AA388:AL388)*(1+$C$7)^2</f>
        <v>0</v>
      </c>
      <c r="G38" s="159">
        <f t="shared" si="10"/>
        <v>0</v>
      </c>
      <c r="H38" s="159">
        <f t="shared" si="10"/>
        <v>0</v>
      </c>
      <c r="I38" s="150">
        <f>+'datos de entrada'!C388</f>
        <v>0</v>
      </c>
      <c r="J38" s="150">
        <f>+'datos de entrada'!D388</f>
        <v>0</v>
      </c>
      <c r="K38" s="150">
        <f>+'datos de entrada'!E388</f>
        <v>0</v>
      </c>
      <c r="L38" s="150">
        <f>+'datos de entrada'!F388</f>
        <v>0</v>
      </c>
      <c r="M38" s="150">
        <f>+'datos de entrada'!G388</f>
        <v>0</v>
      </c>
      <c r="N38" s="150">
        <f>+'datos de entrada'!H388</f>
        <v>0</v>
      </c>
      <c r="O38" s="150">
        <f>+'datos de entrada'!I388</f>
        <v>0</v>
      </c>
      <c r="P38" s="150">
        <f>+'datos de entrada'!J388</f>
        <v>0</v>
      </c>
      <c r="Q38" s="150">
        <f>+'datos de entrada'!K388</f>
        <v>0</v>
      </c>
      <c r="R38" s="150">
        <f>+'datos de entrada'!L388</f>
        <v>0</v>
      </c>
      <c r="S38" s="150">
        <f>+'datos de entrada'!M388</f>
        <v>0</v>
      </c>
      <c r="T38" s="150">
        <f>+'datos de entrada'!N388</f>
        <v>0</v>
      </c>
    </row>
    <row r="39" spans="1:20" ht="15" customHeight="1">
      <c r="A39" s="150" t="str">
        <f>+'datos de entrada'!A389</f>
        <v/>
      </c>
      <c r="B39" s="150">
        <f>+'datos de entrada'!B389</f>
        <v>0</v>
      </c>
      <c r="C39" s="151">
        <f t="shared" si="8"/>
        <v>0</v>
      </c>
      <c r="D39" s="150">
        <f t="shared" si="9"/>
        <v>0</v>
      </c>
      <c r="E39" s="150">
        <f>SUM('datos de entrada'!O389:Z389)*(1+$C$7)</f>
        <v>0</v>
      </c>
      <c r="F39" s="150">
        <f>SUM('datos de entrada'!AA389:AL389)*(1+$C$7)^2</f>
        <v>0</v>
      </c>
      <c r="G39" s="159">
        <f t="shared" si="10"/>
        <v>0</v>
      </c>
      <c r="H39" s="159">
        <f t="shared" si="10"/>
        <v>0</v>
      </c>
      <c r="I39" s="150">
        <f>+'datos de entrada'!C389</f>
        <v>0</v>
      </c>
      <c r="J39" s="150">
        <f>+'datos de entrada'!D389</f>
        <v>0</v>
      </c>
      <c r="K39" s="150">
        <f>+'datos de entrada'!E389</f>
        <v>0</v>
      </c>
      <c r="L39" s="150">
        <f>+'datos de entrada'!F389</f>
        <v>0</v>
      </c>
      <c r="M39" s="150">
        <f>+'datos de entrada'!G389</f>
        <v>0</v>
      </c>
      <c r="N39" s="150">
        <f>+'datos de entrada'!H389</f>
        <v>0</v>
      </c>
      <c r="O39" s="150">
        <f>+'datos de entrada'!I389</f>
        <v>0</v>
      </c>
      <c r="P39" s="150">
        <f>+'datos de entrada'!J389</f>
        <v>0</v>
      </c>
      <c r="Q39" s="150">
        <f>+'datos de entrada'!K389</f>
        <v>0</v>
      </c>
      <c r="R39" s="150">
        <f>+'datos de entrada'!L389</f>
        <v>0</v>
      </c>
      <c r="S39" s="150">
        <f>+'datos de entrada'!M389</f>
        <v>0</v>
      </c>
      <c r="T39" s="150">
        <f>+'datos de entrada'!N389</f>
        <v>0</v>
      </c>
    </row>
    <row r="40" spans="1:20" ht="15" customHeight="1">
      <c r="A40" s="150" t="s">
        <v>884</v>
      </c>
      <c r="B40" s="150">
        <f>+'datos de entrada'!B390</f>
        <v>0</v>
      </c>
      <c r="C40" s="151">
        <f t="shared" si="8"/>
        <v>0</v>
      </c>
      <c r="D40" s="150">
        <f>+'datos de entrada'!B55</f>
        <v>5000000</v>
      </c>
      <c r="E40" s="150">
        <f>+'datos de entrada'!B56</f>
        <v>10000000</v>
      </c>
      <c r="F40" s="150">
        <f>+'datos de entrada'!B57</f>
        <v>15000000</v>
      </c>
      <c r="G40" s="159">
        <f>F40*(1+$C$7)</f>
        <v>15450000</v>
      </c>
      <c r="H40" s="159">
        <f>G40*(1+$C$7)</f>
        <v>15913500</v>
      </c>
      <c r="I40" s="150">
        <f>+$D$40/12</f>
        <v>416666.66666666669</v>
      </c>
      <c r="J40" s="150">
        <f t="shared" ref="J40:T40" si="11">+$D$40/12</f>
        <v>416666.66666666669</v>
      </c>
      <c r="K40" s="150">
        <f t="shared" si="11"/>
        <v>416666.66666666669</v>
      </c>
      <c r="L40" s="150">
        <f t="shared" si="11"/>
        <v>416666.66666666669</v>
      </c>
      <c r="M40" s="150">
        <f t="shared" si="11"/>
        <v>416666.66666666669</v>
      </c>
      <c r="N40" s="150">
        <f t="shared" si="11"/>
        <v>416666.66666666669</v>
      </c>
      <c r="O40" s="150">
        <f t="shared" si="11"/>
        <v>416666.66666666669</v>
      </c>
      <c r="P40" s="150">
        <f t="shared" si="11"/>
        <v>416666.66666666669</v>
      </c>
      <c r="Q40" s="150">
        <f t="shared" si="11"/>
        <v>416666.66666666669</v>
      </c>
      <c r="R40" s="150">
        <f t="shared" si="11"/>
        <v>416666.66666666669</v>
      </c>
      <c r="S40" s="150">
        <f t="shared" si="11"/>
        <v>416666.66666666669</v>
      </c>
      <c r="T40" s="150">
        <f t="shared" si="11"/>
        <v>416666.66666666669</v>
      </c>
    </row>
    <row r="41" spans="1:20" ht="15" customHeight="1">
      <c r="A41" s="152" t="s">
        <v>605</v>
      </c>
      <c r="B41" s="153" t="s">
        <v>605</v>
      </c>
      <c r="C41" s="152" t="s">
        <v>605</v>
      </c>
      <c r="D41" s="153" t="s">
        <v>605</v>
      </c>
      <c r="E41" s="153" t="s">
        <v>605</v>
      </c>
      <c r="F41" s="153" t="s">
        <v>605</v>
      </c>
      <c r="G41" s="154" t="s">
        <v>605</v>
      </c>
      <c r="H41" s="154" t="s">
        <v>605</v>
      </c>
      <c r="I41" s="150">
        <f>SUM(I24:I40)</f>
        <v>1078666.6666666667</v>
      </c>
      <c r="J41" s="150">
        <f t="shared" ref="J41:T41" si="12">SUM(J24:J40)</f>
        <v>1078666.6666666667</v>
      </c>
      <c r="K41" s="150">
        <f t="shared" si="12"/>
        <v>1078666.6666666667</v>
      </c>
      <c r="L41" s="150">
        <f t="shared" si="12"/>
        <v>1078666.6666666667</v>
      </c>
      <c r="M41" s="150">
        <f t="shared" si="12"/>
        <v>1078666.6666666667</v>
      </c>
      <c r="N41" s="150">
        <f t="shared" si="12"/>
        <v>1078666.6666666667</v>
      </c>
      <c r="O41" s="150">
        <f t="shared" si="12"/>
        <v>1078666.6666666667</v>
      </c>
      <c r="P41" s="150">
        <f t="shared" si="12"/>
        <v>1078666.6666666667</v>
      </c>
      <c r="Q41" s="150">
        <f t="shared" si="12"/>
        <v>1078666.6666666667</v>
      </c>
      <c r="R41" s="150">
        <f t="shared" si="12"/>
        <v>1078666.6666666667</v>
      </c>
      <c r="S41" s="150">
        <f t="shared" si="12"/>
        <v>1078666.6666666667</v>
      </c>
      <c r="T41" s="150">
        <f t="shared" si="12"/>
        <v>1078666.6666666667</v>
      </c>
    </row>
    <row r="42" spans="1:20" ht="15" customHeight="1">
      <c r="A42" s="148" t="s">
        <v>256</v>
      </c>
      <c r="B42" s="150">
        <f>SUM(B24:B41)+B22</f>
        <v>2800000</v>
      </c>
      <c r="C42" s="151">
        <f>B42/$B$42</f>
        <v>1</v>
      </c>
      <c r="D42" s="150">
        <f>SUM(D22:D40)</f>
        <v>46544000</v>
      </c>
      <c r="E42" s="150">
        <f>SUM(E22:E40)</f>
        <v>51782320</v>
      </c>
      <c r="F42" s="150">
        <f>SUM(F22:F40)</f>
        <v>57027789.600000001</v>
      </c>
      <c r="G42" s="159">
        <f>SUM(G22:G40)</f>
        <v>58738623.288000003</v>
      </c>
      <c r="H42" s="159">
        <f>SUM(H22:H40)</f>
        <v>60500781.986639999</v>
      </c>
      <c r="I42" s="150">
        <f>SUM(I24:I40)+I22</f>
        <v>3878666.666666667</v>
      </c>
      <c r="J42" s="150">
        <f t="shared" ref="J42:T42" si="13">SUM(J24:J40)+J22</f>
        <v>3878666.666666667</v>
      </c>
      <c r="K42" s="150">
        <f t="shared" si="13"/>
        <v>3878666.666666667</v>
      </c>
      <c r="L42" s="150">
        <f t="shared" si="13"/>
        <v>3878666.666666667</v>
      </c>
      <c r="M42" s="150">
        <f t="shared" si="13"/>
        <v>3878666.666666667</v>
      </c>
      <c r="N42" s="150">
        <f t="shared" si="13"/>
        <v>3878666.666666667</v>
      </c>
      <c r="O42" s="150">
        <f t="shared" si="13"/>
        <v>3878666.666666667</v>
      </c>
      <c r="P42" s="150">
        <f t="shared" si="13"/>
        <v>3878666.666666667</v>
      </c>
      <c r="Q42" s="150">
        <f t="shared" si="13"/>
        <v>3878666.666666667</v>
      </c>
      <c r="R42" s="150">
        <f t="shared" si="13"/>
        <v>3878666.666666667</v>
      </c>
      <c r="S42" s="150">
        <f t="shared" si="13"/>
        <v>3878666.666666667</v>
      </c>
      <c r="T42" s="150">
        <f t="shared" si="13"/>
        <v>3878666.666666667</v>
      </c>
    </row>
    <row r="43" spans="1:20" ht="15" customHeight="1">
      <c r="A43" s="152" t="s">
        <v>605</v>
      </c>
      <c r="B43" s="152" t="s">
        <v>605</v>
      </c>
      <c r="C43" s="152" t="s">
        <v>605</v>
      </c>
      <c r="D43" s="152" t="s">
        <v>605</v>
      </c>
      <c r="E43" s="152" t="s">
        <v>605</v>
      </c>
      <c r="F43" s="152" t="s">
        <v>605</v>
      </c>
      <c r="G43" s="154" t="s">
        <v>605</v>
      </c>
      <c r="H43" s="154" t="s">
        <v>605</v>
      </c>
    </row>
    <row r="44" spans="1:20" ht="15" customHeight="1">
      <c r="C44" s="151"/>
    </row>
    <row r="46" spans="1:20" ht="15" customHeight="1">
      <c r="A46" s="148" t="s">
        <v>257</v>
      </c>
    </row>
    <row r="48" spans="1:20" ht="15" customHeight="1">
      <c r="A48" s="148" t="s">
        <v>258</v>
      </c>
    </row>
    <row r="49" spans="1:9" ht="15" customHeight="1">
      <c r="A49" s="152" t="s">
        <v>605</v>
      </c>
      <c r="B49" s="153" t="s">
        <v>605</v>
      </c>
      <c r="C49" s="153" t="s">
        <v>605</v>
      </c>
      <c r="D49" s="153" t="s">
        <v>605</v>
      </c>
      <c r="E49" s="153" t="s">
        <v>605</v>
      </c>
      <c r="F49" s="154" t="s">
        <v>605</v>
      </c>
      <c r="G49" s="154" t="s">
        <v>605</v>
      </c>
      <c r="H49" s="150"/>
    </row>
    <row r="50" spans="1:9" ht="15" customHeight="1">
      <c r="A50" s="148" t="s">
        <v>689</v>
      </c>
      <c r="B50" s="160" t="s">
        <v>690</v>
      </c>
      <c r="C50" s="160" t="s">
        <v>691</v>
      </c>
      <c r="D50" s="150"/>
      <c r="E50" s="150"/>
      <c r="F50" s="159"/>
      <c r="G50" s="159"/>
      <c r="H50" s="150"/>
    </row>
    <row r="51" spans="1:9" ht="15" customHeight="1">
      <c r="B51" s="150"/>
      <c r="C51" s="156" t="s">
        <v>692</v>
      </c>
      <c r="D51" s="156" t="s">
        <v>693</v>
      </c>
      <c r="E51" s="156" t="s">
        <v>694</v>
      </c>
      <c r="F51" s="161" t="s">
        <v>186</v>
      </c>
      <c r="G51" s="161" t="s">
        <v>187</v>
      </c>
      <c r="H51" s="150"/>
    </row>
    <row r="52" spans="1:9" ht="15" customHeight="1">
      <c r="A52" s="152" t="s">
        <v>605</v>
      </c>
      <c r="B52" s="153" t="s">
        <v>605</v>
      </c>
      <c r="C52" s="153" t="s">
        <v>605</v>
      </c>
      <c r="D52" s="153" t="s">
        <v>605</v>
      </c>
      <c r="E52" s="153" t="s">
        <v>605</v>
      </c>
      <c r="F52" s="154" t="s">
        <v>605</v>
      </c>
      <c r="G52" s="154" t="s">
        <v>605</v>
      </c>
      <c r="H52" s="150"/>
    </row>
    <row r="53" spans="1:9" ht="15" customHeight="1">
      <c r="A53" s="150" t="str">
        <f>+'datos de entrada'!A353</f>
        <v>VENDEDOR</v>
      </c>
      <c r="B53" s="150">
        <f>+'datos de entrada'!B353</f>
        <v>0</v>
      </c>
      <c r="C53" s="150">
        <f>+'datos de entrada'!C353</f>
        <v>2</v>
      </c>
      <c r="D53" s="150">
        <f>+'datos de entrada'!D353</f>
        <v>2</v>
      </c>
      <c r="E53" s="150">
        <f>+'datos de entrada'!E353</f>
        <v>2</v>
      </c>
      <c r="F53" s="297">
        <f>+'datos de entrada'!F353</f>
        <v>0</v>
      </c>
      <c r="G53" s="296">
        <f>+'datos de entrada'!G353</f>
        <v>0</v>
      </c>
      <c r="H53" s="150">
        <f>IF(G53="SI",1,0)</f>
        <v>0</v>
      </c>
      <c r="I53" s="299">
        <f>(8.33333%+8.3333%+1%+8%+16%/4*3+1%+9%+4.17%)*H53</f>
        <v>0</v>
      </c>
    </row>
    <row r="54" spans="1:9" ht="15" customHeight="1">
      <c r="A54" s="150" t="str">
        <f>+'datos de entrada'!A354</f>
        <v>ASISTENTE DE PRODUCCION</v>
      </c>
      <c r="B54" s="150">
        <f>+'datos de entrada'!B354</f>
        <v>0</v>
      </c>
      <c r="C54" s="150">
        <f>+'datos de entrada'!C354</f>
        <v>0</v>
      </c>
      <c r="D54" s="150">
        <f>+'datos de entrada'!D354</f>
        <v>1</v>
      </c>
      <c r="E54" s="150">
        <f>+'datos de entrada'!E354</f>
        <v>1</v>
      </c>
      <c r="F54" s="297">
        <f>+'datos de entrada'!F354</f>
        <v>0</v>
      </c>
      <c r="G54" s="296">
        <f>+'datos de entrada'!G354</f>
        <v>0</v>
      </c>
      <c r="H54" s="150">
        <f t="shared" ref="H54:H60" si="14">IF(G54="SI",1,0)</f>
        <v>0</v>
      </c>
      <c r="I54" s="299">
        <f t="shared" ref="I54:I60" si="15">(8.33333%+8.3333%+1%+8%+16%/4*3+1%+9%+4.17%)*H54</f>
        <v>0</v>
      </c>
    </row>
    <row r="55" spans="1:9" ht="15" customHeight="1">
      <c r="A55" s="150" t="str">
        <f>+'datos de entrada'!A355</f>
        <v>DISEÑADOR</v>
      </c>
      <c r="B55" s="150">
        <f>+'datos de entrada'!B355</f>
        <v>0</v>
      </c>
      <c r="C55" s="150">
        <f>+'datos de entrada'!C355</f>
        <v>1</v>
      </c>
      <c r="D55" s="150">
        <f>+'datos de entrada'!D355</f>
        <v>1</v>
      </c>
      <c r="E55" s="150">
        <f>+'datos de entrada'!E355</f>
        <v>1</v>
      </c>
      <c r="F55" s="297">
        <f>+'datos de entrada'!F355</f>
        <v>0</v>
      </c>
      <c r="G55" s="296">
        <f>+'datos de entrada'!G355</f>
        <v>0</v>
      </c>
      <c r="H55" s="150">
        <f t="shared" si="14"/>
        <v>0</v>
      </c>
      <c r="I55" s="299">
        <f t="shared" si="15"/>
        <v>0</v>
      </c>
    </row>
    <row r="56" spans="1:9" ht="15" customHeight="1">
      <c r="A56" s="150" t="str">
        <f>+'datos de entrada'!A356</f>
        <v>MENSAJERO</v>
      </c>
      <c r="B56" s="150">
        <f>+'datos de entrada'!B356</f>
        <v>0</v>
      </c>
      <c r="C56" s="150">
        <f>+'datos de entrada'!C356</f>
        <v>1</v>
      </c>
      <c r="D56" s="150">
        <f>+'datos de entrada'!D356</f>
        <v>1</v>
      </c>
      <c r="E56" s="150">
        <f>+'datos de entrada'!E356</f>
        <v>2</v>
      </c>
      <c r="F56" s="297">
        <f>+'datos de entrada'!F356</f>
        <v>0</v>
      </c>
      <c r="G56" s="296">
        <f>+'datos de entrada'!G356</f>
        <v>0</v>
      </c>
      <c r="H56" s="150">
        <f t="shared" si="14"/>
        <v>0</v>
      </c>
      <c r="I56" s="299">
        <f t="shared" si="15"/>
        <v>0</v>
      </c>
    </row>
    <row r="57" spans="1:9" ht="15" customHeight="1">
      <c r="A57" s="150" t="str">
        <f>+'datos de entrada'!A357</f>
        <v>TECNICO EN ESTAMPADO</v>
      </c>
      <c r="B57" s="150">
        <f>+'datos de entrada'!B357</f>
        <v>0</v>
      </c>
      <c r="C57" s="150">
        <f>+'datos de entrada'!C357</f>
        <v>1</v>
      </c>
      <c r="D57" s="150">
        <f>+'datos de entrada'!D357</f>
        <v>1</v>
      </c>
      <c r="E57" s="150">
        <f>+'datos de entrada'!E357</f>
        <v>1</v>
      </c>
      <c r="F57" s="297">
        <f>+'datos de entrada'!F357</f>
        <v>0</v>
      </c>
      <c r="G57" s="296">
        <f>+'datos de entrada'!G357</f>
        <v>0</v>
      </c>
      <c r="H57" s="150">
        <f t="shared" si="14"/>
        <v>0</v>
      </c>
      <c r="I57" s="299">
        <f t="shared" si="15"/>
        <v>0</v>
      </c>
    </row>
    <row r="58" spans="1:9" ht="15" customHeight="1">
      <c r="A58" s="150" t="str">
        <f>+'datos de entrada'!A358</f>
        <v/>
      </c>
      <c r="B58" s="150">
        <f>+'datos de entrada'!B358</f>
        <v>0</v>
      </c>
      <c r="C58" s="150">
        <f>+'datos de entrada'!C358</f>
        <v>0</v>
      </c>
      <c r="D58" s="150">
        <f>+'datos de entrada'!D358</f>
        <v>0</v>
      </c>
      <c r="E58" s="150">
        <f>+'datos de entrada'!E358</f>
        <v>0</v>
      </c>
      <c r="F58" s="297">
        <f>+'datos de entrada'!F358</f>
        <v>0</v>
      </c>
      <c r="G58" s="296">
        <f>+'datos de entrada'!G358</f>
        <v>0</v>
      </c>
      <c r="H58" s="150">
        <f t="shared" si="14"/>
        <v>0</v>
      </c>
      <c r="I58" s="299">
        <f t="shared" si="15"/>
        <v>0</v>
      </c>
    </row>
    <row r="59" spans="1:9" ht="15" customHeight="1">
      <c r="A59" s="150" t="str">
        <f>+'datos de entrada'!A359</f>
        <v/>
      </c>
      <c r="B59" s="150">
        <f>+'datos de entrada'!B359</f>
        <v>0</v>
      </c>
      <c r="C59" s="150">
        <f>+'datos de entrada'!C359</f>
        <v>0</v>
      </c>
      <c r="D59" s="150">
        <f>+'datos de entrada'!D359</f>
        <v>0</v>
      </c>
      <c r="E59" s="150">
        <f>+'datos de entrada'!E359</f>
        <v>0</v>
      </c>
      <c r="F59" s="297">
        <f>+'datos de entrada'!F359</f>
        <v>0</v>
      </c>
      <c r="G59" s="296">
        <f>+'datos de entrada'!G359</f>
        <v>0</v>
      </c>
      <c r="H59" s="150">
        <f t="shared" si="14"/>
        <v>0</v>
      </c>
      <c r="I59" s="299">
        <f t="shared" si="15"/>
        <v>0</v>
      </c>
    </row>
    <row r="60" spans="1:9" ht="15" customHeight="1">
      <c r="A60" s="150" t="str">
        <f>+'datos de entrada'!A360</f>
        <v/>
      </c>
      <c r="B60" s="150">
        <f>+'datos de entrada'!B360</f>
        <v>0</v>
      </c>
      <c r="C60" s="150">
        <f>+'datos de entrada'!C360</f>
        <v>0</v>
      </c>
      <c r="D60" s="150">
        <f>+'datos de entrada'!D360</f>
        <v>0</v>
      </c>
      <c r="E60" s="150">
        <f>+'datos de entrada'!E360</f>
        <v>0</v>
      </c>
      <c r="F60" s="297">
        <f>+'datos de entrada'!F360</f>
        <v>0</v>
      </c>
      <c r="G60" s="296">
        <f>+'datos de entrada'!G360</f>
        <v>0</v>
      </c>
      <c r="H60" s="150">
        <f t="shared" si="14"/>
        <v>0</v>
      </c>
      <c r="I60" s="299">
        <f t="shared" si="15"/>
        <v>0</v>
      </c>
    </row>
    <row r="61" spans="1:9" ht="15" customHeight="1">
      <c r="A61" s="152" t="s">
        <v>605</v>
      </c>
      <c r="B61" s="153" t="s">
        <v>605</v>
      </c>
      <c r="C61" s="153" t="s">
        <v>605</v>
      </c>
      <c r="D61" s="153" t="s">
        <v>605</v>
      </c>
      <c r="E61" s="153" t="s">
        <v>605</v>
      </c>
      <c r="F61" s="154" t="s">
        <v>605</v>
      </c>
      <c r="G61" s="154" t="s">
        <v>605</v>
      </c>
      <c r="H61" s="150"/>
    </row>
    <row r="62" spans="1:9" ht="15" customHeight="1">
      <c r="B62" s="150"/>
      <c r="C62" s="150"/>
      <c r="D62" s="150"/>
      <c r="E62" s="150"/>
      <c r="F62" s="150"/>
      <c r="G62" s="150"/>
      <c r="H62" s="150"/>
    </row>
    <row r="63" spans="1:9" ht="15" customHeight="1">
      <c r="A63" s="148" t="s">
        <v>259</v>
      </c>
      <c r="B63" s="150"/>
      <c r="C63" s="150"/>
      <c r="D63" s="150"/>
      <c r="E63" s="150"/>
      <c r="F63" s="150"/>
      <c r="G63" s="150"/>
      <c r="H63" s="150"/>
    </row>
    <row r="64" spans="1:9" ht="15" customHeight="1">
      <c r="A64" s="152" t="s">
        <v>605</v>
      </c>
      <c r="B64" s="153" t="s">
        <v>605</v>
      </c>
      <c r="C64" s="153" t="s">
        <v>605</v>
      </c>
      <c r="D64" s="153" t="s">
        <v>605</v>
      </c>
      <c r="E64" s="153" t="s">
        <v>605</v>
      </c>
      <c r="F64" s="154" t="s">
        <v>605</v>
      </c>
      <c r="G64" s="154" t="s">
        <v>605</v>
      </c>
      <c r="H64" s="150"/>
    </row>
    <row r="65" spans="1:43" ht="15" customHeight="1">
      <c r="A65" s="155" t="s">
        <v>145</v>
      </c>
      <c r="B65" s="156" t="s">
        <v>146</v>
      </c>
      <c r="C65" s="156" t="s">
        <v>692</v>
      </c>
      <c r="D65" s="156" t="s">
        <v>693</v>
      </c>
      <c r="E65" s="156" t="s">
        <v>694</v>
      </c>
      <c r="F65" s="157" t="s">
        <v>186</v>
      </c>
      <c r="G65" s="157" t="s">
        <v>187</v>
      </c>
      <c r="H65" s="149" t="s">
        <v>507</v>
      </c>
      <c r="I65" s="149" t="s">
        <v>508</v>
      </c>
      <c r="J65" s="149" t="s">
        <v>509</v>
      </c>
      <c r="K65" s="149" t="s">
        <v>510</v>
      </c>
      <c r="L65" s="149" t="s">
        <v>511</v>
      </c>
      <c r="M65" s="149" t="s">
        <v>512</v>
      </c>
      <c r="N65" s="149" t="s">
        <v>513</v>
      </c>
      <c r="O65" s="149" t="s">
        <v>514</v>
      </c>
      <c r="P65" s="149" t="s">
        <v>515</v>
      </c>
      <c r="Q65" s="149" t="s">
        <v>516</v>
      </c>
      <c r="R65" s="149" t="s">
        <v>517</v>
      </c>
      <c r="S65" s="149" t="s">
        <v>518</v>
      </c>
      <c r="T65" s="149" t="s">
        <v>781</v>
      </c>
      <c r="U65" s="149" t="s">
        <v>782</v>
      </c>
      <c r="V65" s="149" t="s">
        <v>783</v>
      </c>
      <c r="W65" s="149" t="s">
        <v>784</v>
      </c>
      <c r="X65" s="149" t="s">
        <v>785</v>
      </c>
      <c r="Y65" s="149" t="s">
        <v>786</v>
      </c>
      <c r="Z65" s="149" t="s">
        <v>787</v>
      </c>
      <c r="AA65" s="149" t="s">
        <v>788</v>
      </c>
      <c r="AB65" s="149" t="s">
        <v>789</v>
      </c>
      <c r="AC65" s="149" t="s">
        <v>790</v>
      </c>
      <c r="AD65" s="149" t="s">
        <v>791</v>
      </c>
      <c r="AE65" s="149" t="s">
        <v>792</v>
      </c>
      <c r="AF65" s="149" t="s">
        <v>793</v>
      </c>
      <c r="AG65" s="149" t="s">
        <v>794</v>
      </c>
      <c r="AH65" s="149" t="s">
        <v>795</v>
      </c>
      <c r="AI65" s="149" t="s">
        <v>796</v>
      </c>
      <c r="AJ65" s="149" t="s">
        <v>797</v>
      </c>
      <c r="AK65" s="149" t="s">
        <v>798</v>
      </c>
      <c r="AL65" s="149" t="s">
        <v>799</v>
      </c>
      <c r="AM65" s="149" t="s">
        <v>800</v>
      </c>
      <c r="AN65" s="149" t="s">
        <v>801</v>
      </c>
      <c r="AO65" s="149" t="s">
        <v>802</v>
      </c>
      <c r="AP65" s="149" t="s">
        <v>803</v>
      </c>
      <c r="AQ65" s="149" t="s">
        <v>804</v>
      </c>
    </row>
    <row r="66" spans="1:43" ht="15" customHeight="1">
      <c r="A66" s="152" t="s">
        <v>605</v>
      </c>
      <c r="B66" s="153" t="s">
        <v>605</v>
      </c>
      <c r="C66" s="153" t="s">
        <v>605</v>
      </c>
      <c r="D66" s="153" t="s">
        <v>605</v>
      </c>
      <c r="E66" s="153" t="s">
        <v>605</v>
      </c>
      <c r="F66" s="154" t="s">
        <v>605</v>
      </c>
      <c r="G66" s="154" t="s">
        <v>605</v>
      </c>
    </row>
    <row r="67" spans="1:43" ht="15" customHeight="1">
      <c r="A67" s="149" t="str">
        <f t="shared" ref="A67:A74" si="16">A53</f>
        <v>VENDEDOR</v>
      </c>
      <c r="B67" s="150">
        <f>SUM(H67:S67)/12</f>
        <v>1400000</v>
      </c>
      <c r="C67" s="150">
        <f>SUM(H67:S67)</f>
        <v>16800000</v>
      </c>
      <c r="D67" s="150">
        <f>SUM(T67:AE67)</f>
        <v>18540000</v>
      </c>
      <c r="E67" s="150">
        <f>SUM(AF67:AQ67)</f>
        <v>20369280</v>
      </c>
      <c r="F67" s="159"/>
      <c r="G67" s="159"/>
      <c r="H67" s="162">
        <f>+'datos de entrada'!C325</f>
        <v>1400000</v>
      </c>
      <c r="I67" s="162">
        <f>+'datos de entrada'!D325</f>
        <v>1400000</v>
      </c>
      <c r="J67" s="162">
        <f>+'datos de entrada'!E325</f>
        <v>1400000</v>
      </c>
      <c r="K67" s="162">
        <f>+'datos de entrada'!F325</f>
        <v>1400000</v>
      </c>
      <c r="L67" s="162">
        <f>+'datos de entrada'!G325</f>
        <v>1400000</v>
      </c>
      <c r="M67" s="162">
        <f>+'datos de entrada'!H325</f>
        <v>1400000</v>
      </c>
      <c r="N67" s="162">
        <f>+'datos de entrada'!I325</f>
        <v>1400000</v>
      </c>
      <c r="O67" s="162">
        <f>+'datos de entrada'!J325</f>
        <v>1400000</v>
      </c>
      <c r="P67" s="162">
        <f>+'datos de entrada'!K325</f>
        <v>1400000</v>
      </c>
      <c r="Q67" s="162">
        <f>+'datos de entrada'!L325</f>
        <v>1400000</v>
      </c>
      <c r="R67" s="162">
        <f>+'datos de entrada'!M325</f>
        <v>1400000</v>
      </c>
      <c r="S67" s="162">
        <f>+'datos de entrada'!N325</f>
        <v>1400000</v>
      </c>
      <c r="T67" s="162">
        <f>(+'datos de entrada'!O325)*(1+$C$7)</f>
        <v>1545000</v>
      </c>
      <c r="U67" s="162">
        <f>(+'datos de entrada'!P325)*(1+$C$7)</f>
        <v>1545000</v>
      </c>
      <c r="V67" s="162">
        <f>(+'datos de entrada'!Q325)*(1+$C$7)</f>
        <v>1545000</v>
      </c>
      <c r="W67" s="162">
        <f>(+'datos de entrada'!R325)*(1+$C$7)</f>
        <v>1545000</v>
      </c>
      <c r="X67" s="162">
        <f>(+'datos de entrada'!S325)*(1+$C$7)</f>
        <v>1545000</v>
      </c>
      <c r="Y67" s="162">
        <f>(+'datos de entrada'!T325)*(1+$C$7)</f>
        <v>1545000</v>
      </c>
      <c r="Z67" s="162">
        <f>(+'datos de entrada'!U325)*(1+$C$7)</f>
        <v>1545000</v>
      </c>
      <c r="AA67" s="162">
        <f>(+'datos de entrada'!V325)*(1+$C$7)</f>
        <v>1545000</v>
      </c>
      <c r="AB67" s="162">
        <f>(+'datos de entrada'!W325)*(1+$C$7)</f>
        <v>1545000</v>
      </c>
      <c r="AC67" s="162">
        <f>(+'datos de entrada'!X325)*(1+$C$7)</f>
        <v>1545000</v>
      </c>
      <c r="AD67" s="162">
        <f>(+'datos de entrada'!Y325)*(1+$C$7)</f>
        <v>1545000</v>
      </c>
      <c r="AE67" s="162">
        <f>(+'datos de entrada'!Z325)*(1+$C$7)</f>
        <v>1545000</v>
      </c>
      <c r="AF67" s="162">
        <f>(+'datos de entrada'!AA325)*(1+$C$7)^2</f>
        <v>1697440</v>
      </c>
      <c r="AG67" s="162">
        <f>(+'datos de entrada'!AB325)*(1+$C$7)^2</f>
        <v>1697440</v>
      </c>
      <c r="AH67" s="162">
        <f>(+'datos de entrada'!AC325)*(1+$C$7)^2</f>
        <v>1697440</v>
      </c>
      <c r="AI67" s="162">
        <f>(+'datos de entrada'!AD325)*(1+$C$7)^2</f>
        <v>1697440</v>
      </c>
      <c r="AJ67" s="162">
        <f>(+'datos de entrada'!AE325)*(1+$C$7)^2</f>
        <v>1697440</v>
      </c>
      <c r="AK67" s="162">
        <f>(+'datos de entrada'!AF325)*(1+$C$7)^2</f>
        <v>1697440</v>
      </c>
      <c r="AL67" s="162">
        <f>(+'datos de entrada'!AG325)*(1+$C$7)^2</f>
        <v>1697440</v>
      </c>
      <c r="AM67" s="162">
        <f>(+'datos de entrada'!AH325)*(1+$C$7)^2</f>
        <v>1697440</v>
      </c>
      <c r="AN67" s="162">
        <f>(+'datos de entrada'!AI325)*(1+$C$7)^2</f>
        <v>1697440</v>
      </c>
      <c r="AO67" s="162">
        <f>(+'datos de entrada'!AJ325)*(1+$C$7)^2</f>
        <v>1697440</v>
      </c>
      <c r="AP67" s="162">
        <f>(+'datos de entrada'!AK325)*(1+$C$7)^2</f>
        <v>1697440</v>
      </c>
      <c r="AQ67" s="162">
        <f>(+'datos de entrada'!AL325)*(1+$C$7)^2</f>
        <v>1697440</v>
      </c>
    </row>
    <row r="68" spans="1:43" ht="15" customHeight="1">
      <c r="A68" s="149" t="str">
        <f t="shared" si="16"/>
        <v>ASISTENTE DE PRODUCCION</v>
      </c>
      <c r="B68" s="150">
        <f t="shared" ref="B68:B74" si="17">SUM(H68:S68)/12</f>
        <v>0</v>
      </c>
      <c r="C68" s="150">
        <f t="shared" ref="C68:C74" si="18">SUM(H68:S68)</f>
        <v>0</v>
      </c>
      <c r="D68" s="150">
        <f t="shared" ref="D68:D74" si="19">SUM(T68:AE68)</f>
        <v>9270000</v>
      </c>
      <c r="E68" s="150">
        <f t="shared" ref="E68:E74" si="20">SUM(AF68:AQ68)</f>
        <v>10184640</v>
      </c>
      <c r="F68" s="159"/>
      <c r="G68" s="159"/>
      <c r="H68" s="162">
        <f>+'datos de entrada'!C326</f>
        <v>0</v>
      </c>
      <c r="I68" s="162">
        <f>+'datos de entrada'!D326</f>
        <v>0</v>
      </c>
      <c r="J68" s="162">
        <f>+'datos de entrada'!E326</f>
        <v>0</v>
      </c>
      <c r="K68" s="162">
        <f>+'datos de entrada'!F326</f>
        <v>0</v>
      </c>
      <c r="L68" s="162">
        <f>+'datos de entrada'!G326</f>
        <v>0</v>
      </c>
      <c r="M68" s="162">
        <f>+'datos de entrada'!H326</f>
        <v>0</v>
      </c>
      <c r="N68" s="162">
        <f>+'datos de entrada'!I326</f>
        <v>0</v>
      </c>
      <c r="O68" s="162">
        <f>+'datos de entrada'!J326</f>
        <v>0</v>
      </c>
      <c r="P68" s="162">
        <f>+'datos de entrada'!K326</f>
        <v>0</v>
      </c>
      <c r="Q68" s="162">
        <f>+'datos de entrada'!L326</f>
        <v>0</v>
      </c>
      <c r="R68" s="162">
        <f>+'datos de entrada'!M326</f>
        <v>0</v>
      </c>
      <c r="S68" s="162">
        <f>+'datos de entrada'!N326</f>
        <v>0</v>
      </c>
      <c r="T68" s="162">
        <f>(+'datos de entrada'!O326)*(1+$C$7)</f>
        <v>772500</v>
      </c>
      <c r="U68" s="162">
        <f>(+'datos de entrada'!P326)*(1+$C$7)</f>
        <v>772500</v>
      </c>
      <c r="V68" s="162">
        <f>(+'datos de entrada'!Q326)*(1+$C$7)</f>
        <v>772500</v>
      </c>
      <c r="W68" s="162">
        <f>(+'datos de entrada'!R326)*(1+$C$7)</f>
        <v>772500</v>
      </c>
      <c r="X68" s="162">
        <f>(+'datos de entrada'!S326)*(1+$C$7)</f>
        <v>772500</v>
      </c>
      <c r="Y68" s="162">
        <f>(+'datos de entrada'!T326)*(1+$C$7)</f>
        <v>772500</v>
      </c>
      <c r="Z68" s="162">
        <f>(+'datos de entrada'!U326)*(1+$C$7)</f>
        <v>772500</v>
      </c>
      <c r="AA68" s="162">
        <f>(+'datos de entrada'!V326)*(1+$C$7)</f>
        <v>772500</v>
      </c>
      <c r="AB68" s="162">
        <f>(+'datos de entrada'!W326)*(1+$C$7)</f>
        <v>772500</v>
      </c>
      <c r="AC68" s="162">
        <f>(+'datos de entrada'!X326)*(1+$C$7)</f>
        <v>772500</v>
      </c>
      <c r="AD68" s="162">
        <f>(+'datos de entrada'!Y326)*(1+$C$7)</f>
        <v>772500</v>
      </c>
      <c r="AE68" s="162">
        <f>(+'datos de entrada'!Z326)*(1+$C$7)</f>
        <v>772500</v>
      </c>
      <c r="AF68" s="162">
        <f>(+'datos de entrada'!AA326)*(1+$C$7)^2</f>
        <v>848720</v>
      </c>
      <c r="AG68" s="162">
        <f>(+'datos de entrada'!AB326)*(1+$C$7)^2</f>
        <v>848720</v>
      </c>
      <c r="AH68" s="162">
        <f>(+'datos de entrada'!AC326)*(1+$C$7)^2</f>
        <v>848720</v>
      </c>
      <c r="AI68" s="162">
        <f>(+'datos de entrada'!AD326)*(1+$C$7)^2</f>
        <v>848720</v>
      </c>
      <c r="AJ68" s="162">
        <f>(+'datos de entrada'!AE326)*(1+$C$7)^2</f>
        <v>848720</v>
      </c>
      <c r="AK68" s="162">
        <f>(+'datos de entrada'!AF326)*(1+$C$7)^2</f>
        <v>848720</v>
      </c>
      <c r="AL68" s="162">
        <f>(+'datos de entrada'!AG326)*(1+$C$7)^2</f>
        <v>848720</v>
      </c>
      <c r="AM68" s="162">
        <f>(+'datos de entrada'!AH326)*(1+$C$7)^2</f>
        <v>848720</v>
      </c>
      <c r="AN68" s="162">
        <f>(+'datos de entrada'!AI326)*(1+$C$7)^2</f>
        <v>848720</v>
      </c>
      <c r="AO68" s="162">
        <f>(+'datos de entrada'!AJ326)*(1+$C$7)^2</f>
        <v>848720</v>
      </c>
      <c r="AP68" s="162">
        <f>(+'datos de entrada'!AK326)*(1+$C$7)^2</f>
        <v>848720</v>
      </c>
      <c r="AQ68" s="162">
        <f>(+'datos de entrada'!AL326)*(1+$C$7)^2</f>
        <v>848720</v>
      </c>
    </row>
    <row r="69" spans="1:43" ht="15" customHeight="1">
      <c r="A69" s="149" t="str">
        <f t="shared" si="16"/>
        <v>DISEÑADOR</v>
      </c>
      <c r="B69" s="150">
        <f t="shared" si="17"/>
        <v>700000</v>
      </c>
      <c r="C69" s="150">
        <f t="shared" si="18"/>
        <v>8400000</v>
      </c>
      <c r="D69" s="150">
        <f t="shared" si="19"/>
        <v>9270000</v>
      </c>
      <c r="E69" s="150">
        <f t="shared" si="20"/>
        <v>10184640</v>
      </c>
      <c r="F69" s="159"/>
      <c r="G69" s="159"/>
      <c r="H69" s="162">
        <f>+'datos de entrada'!C327</f>
        <v>700000</v>
      </c>
      <c r="I69" s="162">
        <f>+'datos de entrada'!D327</f>
        <v>700000</v>
      </c>
      <c r="J69" s="162">
        <f>+'datos de entrada'!E327</f>
        <v>700000</v>
      </c>
      <c r="K69" s="162">
        <f>+'datos de entrada'!F327</f>
        <v>700000</v>
      </c>
      <c r="L69" s="162">
        <f>+'datos de entrada'!G327</f>
        <v>700000</v>
      </c>
      <c r="M69" s="162">
        <f>+'datos de entrada'!H327</f>
        <v>700000</v>
      </c>
      <c r="N69" s="162">
        <f>+'datos de entrada'!I327</f>
        <v>700000</v>
      </c>
      <c r="O69" s="162">
        <f>+'datos de entrada'!J327</f>
        <v>700000</v>
      </c>
      <c r="P69" s="162">
        <f>+'datos de entrada'!K327</f>
        <v>700000</v>
      </c>
      <c r="Q69" s="162">
        <f>+'datos de entrada'!L327</f>
        <v>700000</v>
      </c>
      <c r="R69" s="162">
        <f>+'datos de entrada'!M327</f>
        <v>700000</v>
      </c>
      <c r="S69" s="162">
        <f>+'datos de entrada'!N327</f>
        <v>700000</v>
      </c>
      <c r="T69" s="162">
        <f>(+'datos de entrada'!O327)*(1+$C$7)</f>
        <v>772500</v>
      </c>
      <c r="U69" s="162">
        <f>(+'datos de entrada'!P327)*(1+$C$7)</f>
        <v>772500</v>
      </c>
      <c r="V69" s="162">
        <f>(+'datos de entrada'!Q327)*(1+$C$7)</f>
        <v>772500</v>
      </c>
      <c r="W69" s="162">
        <f>(+'datos de entrada'!R327)*(1+$C$7)</f>
        <v>772500</v>
      </c>
      <c r="X69" s="162">
        <f>(+'datos de entrada'!S327)*(1+$C$7)</f>
        <v>772500</v>
      </c>
      <c r="Y69" s="162">
        <f>(+'datos de entrada'!T327)*(1+$C$7)</f>
        <v>772500</v>
      </c>
      <c r="Z69" s="162">
        <f>(+'datos de entrada'!U327)*(1+$C$7)</f>
        <v>772500</v>
      </c>
      <c r="AA69" s="162">
        <f>(+'datos de entrada'!V327)*(1+$C$7)</f>
        <v>772500</v>
      </c>
      <c r="AB69" s="162">
        <f>(+'datos de entrada'!W327)*(1+$C$7)</f>
        <v>772500</v>
      </c>
      <c r="AC69" s="162">
        <f>(+'datos de entrada'!X327)*(1+$C$7)</f>
        <v>772500</v>
      </c>
      <c r="AD69" s="162">
        <f>(+'datos de entrada'!Y327)*(1+$C$7)</f>
        <v>772500</v>
      </c>
      <c r="AE69" s="162">
        <f>(+'datos de entrada'!Z327)*(1+$C$7)</f>
        <v>772500</v>
      </c>
      <c r="AF69" s="162">
        <f>(+'datos de entrada'!AA327)*(1+$C$7)^2</f>
        <v>848720</v>
      </c>
      <c r="AG69" s="162">
        <f>(+'datos de entrada'!AB327)*(1+$C$7)^2</f>
        <v>848720</v>
      </c>
      <c r="AH69" s="162">
        <f>(+'datos de entrada'!AC327)*(1+$C$7)^2</f>
        <v>848720</v>
      </c>
      <c r="AI69" s="162">
        <f>(+'datos de entrada'!AD327)*(1+$C$7)^2</f>
        <v>848720</v>
      </c>
      <c r="AJ69" s="162">
        <f>(+'datos de entrada'!AE327)*(1+$C$7)^2</f>
        <v>848720</v>
      </c>
      <c r="AK69" s="162">
        <f>(+'datos de entrada'!AF327)*(1+$C$7)^2</f>
        <v>848720</v>
      </c>
      <c r="AL69" s="162">
        <f>(+'datos de entrada'!AG327)*(1+$C$7)^2</f>
        <v>848720</v>
      </c>
      <c r="AM69" s="162">
        <f>(+'datos de entrada'!AH327)*(1+$C$7)^2</f>
        <v>848720</v>
      </c>
      <c r="AN69" s="162">
        <f>(+'datos de entrada'!AI327)*(1+$C$7)^2</f>
        <v>848720</v>
      </c>
      <c r="AO69" s="162">
        <f>(+'datos de entrada'!AJ327)*(1+$C$7)^2</f>
        <v>848720</v>
      </c>
      <c r="AP69" s="162">
        <f>(+'datos de entrada'!AK327)*(1+$C$7)^2</f>
        <v>848720</v>
      </c>
      <c r="AQ69" s="162">
        <f>(+'datos de entrada'!AL327)*(1+$C$7)^2</f>
        <v>848720</v>
      </c>
    </row>
    <row r="70" spans="1:43" ht="15" customHeight="1">
      <c r="A70" s="149" t="str">
        <f t="shared" si="16"/>
        <v>MENSAJERO</v>
      </c>
      <c r="B70" s="150">
        <f t="shared" si="17"/>
        <v>700000</v>
      </c>
      <c r="C70" s="150">
        <f t="shared" si="18"/>
        <v>8400000</v>
      </c>
      <c r="D70" s="150">
        <f t="shared" si="19"/>
        <v>9270000</v>
      </c>
      <c r="E70" s="150">
        <f t="shared" si="20"/>
        <v>20369280</v>
      </c>
      <c r="F70" s="159"/>
      <c r="G70" s="159"/>
      <c r="H70" s="162">
        <f>+'datos de entrada'!C328</f>
        <v>700000</v>
      </c>
      <c r="I70" s="162">
        <f>+'datos de entrada'!D328</f>
        <v>700000</v>
      </c>
      <c r="J70" s="162">
        <f>+'datos de entrada'!E328</f>
        <v>700000</v>
      </c>
      <c r="K70" s="162">
        <f>+'datos de entrada'!F328</f>
        <v>700000</v>
      </c>
      <c r="L70" s="162">
        <f>+'datos de entrada'!G328</f>
        <v>700000</v>
      </c>
      <c r="M70" s="162">
        <f>+'datos de entrada'!H328</f>
        <v>700000</v>
      </c>
      <c r="N70" s="162">
        <f>+'datos de entrada'!I328</f>
        <v>700000</v>
      </c>
      <c r="O70" s="162">
        <f>+'datos de entrada'!J328</f>
        <v>700000</v>
      </c>
      <c r="P70" s="162">
        <f>+'datos de entrada'!K328</f>
        <v>700000</v>
      </c>
      <c r="Q70" s="162">
        <f>+'datos de entrada'!L328</f>
        <v>700000</v>
      </c>
      <c r="R70" s="162">
        <f>+'datos de entrada'!M328</f>
        <v>700000</v>
      </c>
      <c r="S70" s="162">
        <f>+'datos de entrada'!N328</f>
        <v>700000</v>
      </c>
      <c r="T70" s="162">
        <f>(+'datos de entrada'!O328)*(1+$C$7)</f>
        <v>772500</v>
      </c>
      <c r="U70" s="162">
        <f>(+'datos de entrada'!P328)*(1+$C$7)</f>
        <v>772500</v>
      </c>
      <c r="V70" s="162">
        <f>(+'datos de entrada'!Q328)*(1+$C$7)</f>
        <v>772500</v>
      </c>
      <c r="W70" s="162">
        <f>(+'datos de entrada'!R328)*(1+$C$7)</f>
        <v>772500</v>
      </c>
      <c r="X70" s="162">
        <f>(+'datos de entrada'!S328)*(1+$C$7)</f>
        <v>772500</v>
      </c>
      <c r="Y70" s="162">
        <f>(+'datos de entrada'!T328)*(1+$C$7)</f>
        <v>772500</v>
      </c>
      <c r="Z70" s="162">
        <f>(+'datos de entrada'!U328)*(1+$C$7)</f>
        <v>772500</v>
      </c>
      <c r="AA70" s="162">
        <f>(+'datos de entrada'!V328)*(1+$C$7)</f>
        <v>772500</v>
      </c>
      <c r="AB70" s="162">
        <f>(+'datos de entrada'!W328)*(1+$C$7)</f>
        <v>772500</v>
      </c>
      <c r="AC70" s="162">
        <f>(+'datos de entrada'!X328)*(1+$C$7)</f>
        <v>772500</v>
      </c>
      <c r="AD70" s="162">
        <f>(+'datos de entrada'!Y328)*(1+$C$7)</f>
        <v>772500</v>
      </c>
      <c r="AE70" s="162">
        <f>(+'datos de entrada'!Z328)*(1+$C$7)</f>
        <v>772500</v>
      </c>
      <c r="AF70" s="162">
        <f>(+'datos de entrada'!AA328)*(1+$C$7)^2</f>
        <v>1697440</v>
      </c>
      <c r="AG70" s="162">
        <f>(+'datos de entrada'!AB328)*(1+$C$7)^2</f>
        <v>1697440</v>
      </c>
      <c r="AH70" s="162">
        <f>(+'datos de entrada'!AC328)*(1+$C$7)^2</f>
        <v>1697440</v>
      </c>
      <c r="AI70" s="162">
        <f>(+'datos de entrada'!AD328)*(1+$C$7)^2</f>
        <v>1697440</v>
      </c>
      <c r="AJ70" s="162">
        <f>(+'datos de entrada'!AE328)*(1+$C$7)^2</f>
        <v>1697440</v>
      </c>
      <c r="AK70" s="162">
        <f>(+'datos de entrada'!AF328)*(1+$C$7)^2</f>
        <v>1697440</v>
      </c>
      <c r="AL70" s="162">
        <f>(+'datos de entrada'!AG328)*(1+$C$7)^2</f>
        <v>1697440</v>
      </c>
      <c r="AM70" s="162">
        <f>(+'datos de entrada'!AH328)*(1+$C$7)^2</f>
        <v>1697440</v>
      </c>
      <c r="AN70" s="162">
        <f>(+'datos de entrada'!AI328)*(1+$C$7)^2</f>
        <v>1697440</v>
      </c>
      <c r="AO70" s="162">
        <f>(+'datos de entrada'!AJ328)*(1+$C$7)^2</f>
        <v>1697440</v>
      </c>
      <c r="AP70" s="162">
        <f>(+'datos de entrada'!AK328)*(1+$C$7)^2</f>
        <v>1697440</v>
      </c>
      <c r="AQ70" s="162">
        <f>(+'datos de entrada'!AL328)*(1+$C$7)^2</f>
        <v>1697440</v>
      </c>
    </row>
    <row r="71" spans="1:43" ht="15" customHeight="1">
      <c r="A71" s="149" t="str">
        <f t="shared" si="16"/>
        <v>TECNICO EN ESTAMPADO</v>
      </c>
      <c r="B71" s="150">
        <f t="shared" si="17"/>
        <v>700000</v>
      </c>
      <c r="C71" s="150">
        <f t="shared" si="18"/>
        <v>8400000</v>
      </c>
      <c r="D71" s="150">
        <f t="shared" si="19"/>
        <v>9270000</v>
      </c>
      <c r="E71" s="150">
        <f t="shared" si="20"/>
        <v>10184640</v>
      </c>
      <c r="F71" s="159"/>
      <c r="G71" s="159"/>
      <c r="H71" s="162">
        <f>+'datos de entrada'!C329</f>
        <v>700000</v>
      </c>
      <c r="I71" s="162">
        <f>+'datos de entrada'!D329</f>
        <v>700000</v>
      </c>
      <c r="J71" s="162">
        <f>+'datos de entrada'!E329</f>
        <v>700000</v>
      </c>
      <c r="K71" s="162">
        <f>+'datos de entrada'!F329</f>
        <v>700000</v>
      </c>
      <c r="L71" s="162">
        <f>+'datos de entrada'!G329</f>
        <v>700000</v>
      </c>
      <c r="M71" s="162">
        <f>+'datos de entrada'!H329</f>
        <v>700000</v>
      </c>
      <c r="N71" s="162">
        <f>+'datos de entrada'!I329</f>
        <v>700000</v>
      </c>
      <c r="O71" s="162">
        <f>+'datos de entrada'!J329</f>
        <v>700000</v>
      </c>
      <c r="P71" s="162">
        <f>+'datos de entrada'!K329</f>
        <v>700000</v>
      </c>
      <c r="Q71" s="162">
        <f>+'datos de entrada'!L329</f>
        <v>700000</v>
      </c>
      <c r="R71" s="162">
        <f>+'datos de entrada'!M329</f>
        <v>700000</v>
      </c>
      <c r="S71" s="162">
        <f>+'datos de entrada'!N329</f>
        <v>700000</v>
      </c>
      <c r="T71" s="162">
        <f>(+'datos de entrada'!O329)*(1+$C$7)</f>
        <v>772500</v>
      </c>
      <c r="U71" s="162">
        <f>(+'datos de entrada'!P329)*(1+$C$7)</f>
        <v>772500</v>
      </c>
      <c r="V71" s="162">
        <f>(+'datos de entrada'!Q329)*(1+$C$7)</f>
        <v>772500</v>
      </c>
      <c r="W71" s="162">
        <f>(+'datos de entrada'!R329)*(1+$C$7)</f>
        <v>772500</v>
      </c>
      <c r="X71" s="162">
        <f>(+'datos de entrada'!S329)*(1+$C$7)</f>
        <v>772500</v>
      </c>
      <c r="Y71" s="162">
        <f>(+'datos de entrada'!T329)*(1+$C$7)</f>
        <v>772500</v>
      </c>
      <c r="Z71" s="162">
        <f>(+'datos de entrada'!U329)*(1+$C$7)</f>
        <v>772500</v>
      </c>
      <c r="AA71" s="162">
        <f>(+'datos de entrada'!V329)*(1+$C$7)</f>
        <v>772500</v>
      </c>
      <c r="AB71" s="162">
        <f>(+'datos de entrada'!W329)*(1+$C$7)</f>
        <v>772500</v>
      </c>
      <c r="AC71" s="162">
        <f>(+'datos de entrada'!X329)*(1+$C$7)</f>
        <v>772500</v>
      </c>
      <c r="AD71" s="162">
        <f>(+'datos de entrada'!Y329)*(1+$C$7)</f>
        <v>772500</v>
      </c>
      <c r="AE71" s="162">
        <f>(+'datos de entrada'!Z329)*(1+$C$7)</f>
        <v>772500</v>
      </c>
      <c r="AF71" s="162">
        <f>(+'datos de entrada'!AA329)*(1+$C$7)^2</f>
        <v>848720</v>
      </c>
      <c r="AG71" s="162">
        <f>(+'datos de entrada'!AB329)*(1+$C$7)^2</f>
        <v>848720</v>
      </c>
      <c r="AH71" s="162">
        <f>(+'datos de entrada'!AC329)*(1+$C$7)^2</f>
        <v>848720</v>
      </c>
      <c r="AI71" s="162">
        <f>(+'datos de entrada'!AD329)*(1+$C$7)^2</f>
        <v>848720</v>
      </c>
      <c r="AJ71" s="162">
        <f>(+'datos de entrada'!AE329)*(1+$C$7)^2</f>
        <v>848720</v>
      </c>
      <c r="AK71" s="162">
        <f>(+'datos de entrada'!AF329)*(1+$C$7)^2</f>
        <v>848720</v>
      </c>
      <c r="AL71" s="162">
        <f>(+'datos de entrada'!AG329)*(1+$C$7)^2</f>
        <v>848720</v>
      </c>
      <c r="AM71" s="162">
        <f>(+'datos de entrada'!AH329)*(1+$C$7)^2</f>
        <v>848720</v>
      </c>
      <c r="AN71" s="162">
        <f>(+'datos de entrada'!AI329)*(1+$C$7)^2</f>
        <v>848720</v>
      </c>
      <c r="AO71" s="162">
        <f>(+'datos de entrada'!AJ329)*(1+$C$7)^2</f>
        <v>848720</v>
      </c>
      <c r="AP71" s="162">
        <f>(+'datos de entrada'!AK329)*(1+$C$7)^2</f>
        <v>848720</v>
      </c>
      <c r="AQ71" s="162">
        <f>(+'datos de entrada'!AL329)*(1+$C$7)^2</f>
        <v>848720</v>
      </c>
    </row>
    <row r="72" spans="1:43" ht="15" customHeight="1">
      <c r="A72" s="149" t="str">
        <f t="shared" si="16"/>
        <v/>
      </c>
      <c r="B72" s="150">
        <f t="shared" si="17"/>
        <v>0</v>
      </c>
      <c r="C72" s="150">
        <f t="shared" si="18"/>
        <v>0</v>
      </c>
      <c r="D72" s="150">
        <f t="shared" si="19"/>
        <v>0</v>
      </c>
      <c r="E72" s="150">
        <f t="shared" si="20"/>
        <v>0</v>
      </c>
      <c r="F72" s="159"/>
      <c r="G72" s="159"/>
      <c r="H72" s="162">
        <f>+'datos de entrada'!C330</f>
        <v>0</v>
      </c>
      <c r="I72" s="162">
        <f>+'datos de entrada'!D330</f>
        <v>0</v>
      </c>
      <c r="J72" s="162">
        <f>+'datos de entrada'!E330</f>
        <v>0</v>
      </c>
      <c r="K72" s="162">
        <f>+'datos de entrada'!F330</f>
        <v>0</v>
      </c>
      <c r="L72" s="162">
        <f>+'datos de entrada'!G330</f>
        <v>0</v>
      </c>
      <c r="M72" s="162">
        <f>+'datos de entrada'!H330</f>
        <v>0</v>
      </c>
      <c r="N72" s="162">
        <f>+'datos de entrada'!I330</f>
        <v>0</v>
      </c>
      <c r="O72" s="162">
        <f>+'datos de entrada'!J330</f>
        <v>0</v>
      </c>
      <c r="P72" s="162">
        <f>+'datos de entrada'!K330</f>
        <v>0</v>
      </c>
      <c r="Q72" s="162">
        <f>+'datos de entrada'!L330</f>
        <v>0</v>
      </c>
      <c r="R72" s="162">
        <f>+'datos de entrada'!M330</f>
        <v>0</v>
      </c>
      <c r="S72" s="162">
        <f>+'datos de entrada'!N330</f>
        <v>0</v>
      </c>
      <c r="T72" s="162">
        <f>(+'datos de entrada'!O330)*(1+$C$7)</f>
        <v>0</v>
      </c>
      <c r="U72" s="162">
        <f>(+'datos de entrada'!P330)*(1+$C$7)</f>
        <v>0</v>
      </c>
      <c r="V72" s="162">
        <f>(+'datos de entrada'!Q330)*(1+$C$7)</f>
        <v>0</v>
      </c>
      <c r="W72" s="162">
        <f>(+'datos de entrada'!R330)*(1+$C$7)</f>
        <v>0</v>
      </c>
      <c r="X72" s="162">
        <f>(+'datos de entrada'!S330)*(1+$C$7)</f>
        <v>0</v>
      </c>
      <c r="Y72" s="162">
        <f>(+'datos de entrada'!T330)*(1+$C$7)</f>
        <v>0</v>
      </c>
      <c r="Z72" s="162">
        <f>(+'datos de entrada'!U330)*(1+$C$7)</f>
        <v>0</v>
      </c>
      <c r="AA72" s="162">
        <f>(+'datos de entrada'!V330)*(1+$C$7)</f>
        <v>0</v>
      </c>
      <c r="AB72" s="162">
        <f>(+'datos de entrada'!W330)*(1+$C$7)</f>
        <v>0</v>
      </c>
      <c r="AC72" s="162">
        <f>(+'datos de entrada'!X330)*(1+$C$7)</f>
        <v>0</v>
      </c>
      <c r="AD72" s="162">
        <f>(+'datos de entrada'!Y330)*(1+$C$7)</f>
        <v>0</v>
      </c>
      <c r="AE72" s="162">
        <f>(+'datos de entrada'!Z330)*(1+$C$7)</f>
        <v>0</v>
      </c>
      <c r="AF72" s="162">
        <f>(+'datos de entrada'!AA330)*(1+$C$7)^2</f>
        <v>0</v>
      </c>
      <c r="AG72" s="162">
        <f>(+'datos de entrada'!AB330)*(1+$C$7)^2</f>
        <v>0</v>
      </c>
      <c r="AH72" s="162">
        <f>(+'datos de entrada'!AC330)*(1+$C$7)^2</f>
        <v>0</v>
      </c>
      <c r="AI72" s="162">
        <f>(+'datos de entrada'!AD330)*(1+$C$7)^2</f>
        <v>0</v>
      </c>
      <c r="AJ72" s="162">
        <f>(+'datos de entrada'!AE330)*(1+$C$7)^2</f>
        <v>0</v>
      </c>
      <c r="AK72" s="162">
        <f>(+'datos de entrada'!AF330)*(1+$C$7)^2</f>
        <v>0</v>
      </c>
      <c r="AL72" s="162">
        <f>(+'datos de entrada'!AG330)*(1+$C$7)^2</f>
        <v>0</v>
      </c>
      <c r="AM72" s="162">
        <f>(+'datos de entrada'!AH330)*(1+$C$7)^2</f>
        <v>0</v>
      </c>
      <c r="AN72" s="162">
        <f>(+'datos de entrada'!AI330)*(1+$C$7)^2</f>
        <v>0</v>
      </c>
      <c r="AO72" s="162">
        <f>(+'datos de entrada'!AJ330)*(1+$C$7)^2</f>
        <v>0</v>
      </c>
      <c r="AP72" s="162">
        <f>(+'datos de entrada'!AK330)*(1+$C$7)^2</f>
        <v>0</v>
      </c>
      <c r="AQ72" s="162">
        <f>(+'datos de entrada'!AL330)*(1+$C$7)^2</f>
        <v>0</v>
      </c>
    </row>
    <row r="73" spans="1:43" ht="15" customHeight="1">
      <c r="A73" s="149" t="str">
        <f t="shared" si="16"/>
        <v/>
      </c>
      <c r="B73" s="150">
        <f t="shared" si="17"/>
        <v>0</v>
      </c>
      <c r="C73" s="150">
        <f t="shared" si="18"/>
        <v>0</v>
      </c>
      <c r="D73" s="150">
        <f t="shared" si="19"/>
        <v>0</v>
      </c>
      <c r="E73" s="150">
        <f t="shared" si="20"/>
        <v>0</v>
      </c>
      <c r="F73" s="159"/>
      <c r="G73" s="159"/>
      <c r="H73" s="162">
        <f>+'datos de entrada'!C331</f>
        <v>0</v>
      </c>
      <c r="I73" s="162">
        <f>+'datos de entrada'!D331</f>
        <v>0</v>
      </c>
      <c r="J73" s="162">
        <f>+'datos de entrada'!E331</f>
        <v>0</v>
      </c>
      <c r="K73" s="162">
        <f>+'datos de entrada'!F331</f>
        <v>0</v>
      </c>
      <c r="L73" s="162">
        <f>+'datos de entrada'!G331</f>
        <v>0</v>
      </c>
      <c r="M73" s="162">
        <f>+'datos de entrada'!H331</f>
        <v>0</v>
      </c>
      <c r="N73" s="162">
        <f>+'datos de entrada'!I331</f>
        <v>0</v>
      </c>
      <c r="O73" s="162">
        <f>+'datos de entrada'!J331</f>
        <v>0</v>
      </c>
      <c r="P73" s="162">
        <f>+'datos de entrada'!K331</f>
        <v>0</v>
      </c>
      <c r="Q73" s="162">
        <f>+'datos de entrada'!L331</f>
        <v>0</v>
      </c>
      <c r="R73" s="162">
        <f>+'datos de entrada'!M331</f>
        <v>0</v>
      </c>
      <c r="S73" s="162">
        <f>+'datos de entrada'!N331</f>
        <v>0</v>
      </c>
      <c r="T73" s="162">
        <f>(+'datos de entrada'!O331)*(1+$C$7)</f>
        <v>0</v>
      </c>
      <c r="U73" s="162">
        <f>(+'datos de entrada'!P331)*(1+$C$7)</f>
        <v>0</v>
      </c>
      <c r="V73" s="162">
        <f>(+'datos de entrada'!Q331)*(1+$C$7)</f>
        <v>0</v>
      </c>
      <c r="W73" s="162">
        <f>(+'datos de entrada'!R331)*(1+$C$7)</f>
        <v>0</v>
      </c>
      <c r="X73" s="162">
        <f>(+'datos de entrada'!S331)*(1+$C$7)</f>
        <v>0</v>
      </c>
      <c r="Y73" s="162">
        <f>(+'datos de entrada'!T331)*(1+$C$7)</f>
        <v>0</v>
      </c>
      <c r="Z73" s="162">
        <f>(+'datos de entrada'!U331)*(1+$C$7)</f>
        <v>0</v>
      </c>
      <c r="AA73" s="162">
        <f>(+'datos de entrada'!V331)*(1+$C$7)</f>
        <v>0</v>
      </c>
      <c r="AB73" s="162">
        <f>(+'datos de entrada'!W331)*(1+$C$7)</f>
        <v>0</v>
      </c>
      <c r="AC73" s="162">
        <f>(+'datos de entrada'!X331)*(1+$C$7)</f>
        <v>0</v>
      </c>
      <c r="AD73" s="162">
        <f>(+'datos de entrada'!Y331)*(1+$C$7)</f>
        <v>0</v>
      </c>
      <c r="AE73" s="162">
        <f>(+'datos de entrada'!Z331)*(1+$C$7)</f>
        <v>0</v>
      </c>
      <c r="AF73" s="162">
        <f>(+'datos de entrada'!AA331)*(1+$C$7)^2</f>
        <v>0</v>
      </c>
      <c r="AG73" s="162">
        <f>(+'datos de entrada'!AB331)*(1+$C$7)^2</f>
        <v>0</v>
      </c>
      <c r="AH73" s="162">
        <f>(+'datos de entrada'!AC331)*(1+$C$7)^2</f>
        <v>0</v>
      </c>
      <c r="AI73" s="162">
        <f>(+'datos de entrada'!AD331)*(1+$C$7)^2</f>
        <v>0</v>
      </c>
      <c r="AJ73" s="162">
        <f>(+'datos de entrada'!AE331)*(1+$C$7)^2</f>
        <v>0</v>
      </c>
      <c r="AK73" s="162">
        <f>(+'datos de entrada'!AF331)*(1+$C$7)^2</f>
        <v>0</v>
      </c>
      <c r="AL73" s="162">
        <f>(+'datos de entrada'!AG331)*(1+$C$7)^2</f>
        <v>0</v>
      </c>
      <c r="AM73" s="162">
        <f>(+'datos de entrada'!AH331)*(1+$C$7)^2</f>
        <v>0</v>
      </c>
      <c r="AN73" s="162">
        <f>(+'datos de entrada'!AI331)*(1+$C$7)^2</f>
        <v>0</v>
      </c>
      <c r="AO73" s="162">
        <f>(+'datos de entrada'!AJ331)*(1+$C$7)^2</f>
        <v>0</v>
      </c>
      <c r="AP73" s="162">
        <f>(+'datos de entrada'!AK331)*(1+$C$7)^2</f>
        <v>0</v>
      </c>
      <c r="AQ73" s="162">
        <f>(+'datos de entrada'!AL331)*(1+$C$7)^2</f>
        <v>0</v>
      </c>
    </row>
    <row r="74" spans="1:43" ht="15" customHeight="1">
      <c r="A74" s="149" t="str">
        <f t="shared" si="16"/>
        <v/>
      </c>
      <c r="B74" s="150">
        <f t="shared" si="17"/>
        <v>0</v>
      </c>
      <c r="C74" s="150">
        <f t="shared" si="18"/>
        <v>0</v>
      </c>
      <c r="D74" s="150">
        <f t="shared" si="19"/>
        <v>0</v>
      </c>
      <c r="E74" s="150">
        <f t="shared" si="20"/>
        <v>0</v>
      </c>
      <c r="F74" s="159"/>
      <c r="G74" s="159"/>
      <c r="H74" s="162">
        <f>+'datos de entrada'!C332</f>
        <v>0</v>
      </c>
      <c r="I74" s="162">
        <f>+'datos de entrada'!D332</f>
        <v>0</v>
      </c>
      <c r="J74" s="162">
        <f>+'datos de entrada'!E332</f>
        <v>0</v>
      </c>
      <c r="K74" s="162">
        <f>+'datos de entrada'!F332</f>
        <v>0</v>
      </c>
      <c r="L74" s="162">
        <f>+'datos de entrada'!G332</f>
        <v>0</v>
      </c>
      <c r="M74" s="162">
        <f>+'datos de entrada'!H332</f>
        <v>0</v>
      </c>
      <c r="N74" s="162">
        <f>+'datos de entrada'!I332</f>
        <v>0</v>
      </c>
      <c r="O74" s="162">
        <f>+'datos de entrada'!J332</f>
        <v>0</v>
      </c>
      <c r="P74" s="162">
        <f>+'datos de entrada'!K332</f>
        <v>0</v>
      </c>
      <c r="Q74" s="162">
        <f>+'datos de entrada'!L332</f>
        <v>0</v>
      </c>
      <c r="R74" s="162">
        <f>+'datos de entrada'!M332</f>
        <v>0</v>
      </c>
      <c r="S74" s="162">
        <f>+'datos de entrada'!N332</f>
        <v>0</v>
      </c>
      <c r="T74" s="162">
        <f>(+'datos de entrada'!O332)*(1+$C$7)</f>
        <v>0</v>
      </c>
      <c r="U74" s="162">
        <f>(+'datos de entrada'!P332)*(1+$C$7)</f>
        <v>0</v>
      </c>
      <c r="V74" s="162">
        <f>(+'datos de entrada'!Q332)*(1+$C$7)</f>
        <v>0</v>
      </c>
      <c r="W74" s="162">
        <f>(+'datos de entrada'!R332)*(1+$C$7)</f>
        <v>0</v>
      </c>
      <c r="X74" s="162">
        <f>(+'datos de entrada'!S332)*(1+$C$7)</f>
        <v>0</v>
      </c>
      <c r="Y74" s="162">
        <f>(+'datos de entrada'!T332)*(1+$C$7)</f>
        <v>0</v>
      </c>
      <c r="Z74" s="162">
        <f>(+'datos de entrada'!U332)*(1+$C$7)</f>
        <v>0</v>
      </c>
      <c r="AA74" s="162">
        <f>(+'datos de entrada'!V332)*(1+$C$7)</f>
        <v>0</v>
      </c>
      <c r="AB74" s="162">
        <f>(+'datos de entrada'!W332)*(1+$C$7)</f>
        <v>0</v>
      </c>
      <c r="AC74" s="162">
        <f>(+'datos de entrada'!X332)*(1+$C$7)</f>
        <v>0</v>
      </c>
      <c r="AD74" s="162">
        <f>(+'datos de entrada'!Y332)*(1+$C$7)</f>
        <v>0</v>
      </c>
      <c r="AE74" s="162">
        <f>(+'datos de entrada'!Z332)*(1+$C$7)</f>
        <v>0</v>
      </c>
      <c r="AF74" s="162">
        <f>(+'datos de entrada'!AA332)*(1+$C$7)^2</f>
        <v>0</v>
      </c>
      <c r="AG74" s="162">
        <f>(+'datos de entrada'!AB332)*(1+$C$7)^2</f>
        <v>0</v>
      </c>
      <c r="AH74" s="162">
        <f>(+'datos de entrada'!AC332)*(1+$C$7)^2</f>
        <v>0</v>
      </c>
      <c r="AI74" s="162">
        <f>(+'datos de entrada'!AD332)*(1+$C$7)^2</f>
        <v>0</v>
      </c>
      <c r="AJ74" s="162">
        <f>(+'datos de entrada'!AE332)*(1+$C$7)^2</f>
        <v>0</v>
      </c>
      <c r="AK74" s="162">
        <f>(+'datos de entrada'!AF332)*(1+$C$7)^2</f>
        <v>0</v>
      </c>
      <c r="AL74" s="162">
        <f>(+'datos de entrada'!AG332)*(1+$C$7)^2</f>
        <v>0</v>
      </c>
      <c r="AM74" s="162">
        <f>(+'datos de entrada'!AH332)*(1+$C$7)^2</f>
        <v>0</v>
      </c>
      <c r="AN74" s="162">
        <f>(+'datos de entrada'!AI332)*(1+$C$7)^2</f>
        <v>0</v>
      </c>
      <c r="AO74" s="162">
        <f>(+'datos de entrada'!AJ332)*(1+$C$7)^2</f>
        <v>0</v>
      </c>
      <c r="AP74" s="162">
        <f>(+'datos de entrada'!AK332)*(1+$C$7)^2</f>
        <v>0</v>
      </c>
      <c r="AQ74" s="162">
        <f>(+'datos de entrada'!AL332)*(1+$C$7)^2</f>
        <v>0</v>
      </c>
    </row>
    <row r="75" spans="1:43" ht="15" customHeight="1">
      <c r="A75" s="152" t="s">
        <v>605</v>
      </c>
      <c r="B75" s="153" t="s">
        <v>605</v>
      </c>
      <c r="C75" s="153" t="s">
        <v>605</v>
      </c>
      <c r="D75" s="153" t="s">
        <v>605</v>
      </c>
      <c r="E75" s="153" t="s">
        <v>605</v>
      </c>
      <c r="F75" s="154"/>
      <c r="G75" s="154"/>
      <c r="H75" s="162"/>
      <c r="I75" s="162"/>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row>
    <row r="76" spans="1:43" ht="15" customHeight="1">
      <c r="A76" s="148" t="s">
        <v>147</v>
      </c>
      <c r="B76" s="150"/>
      <c r="C76" s="150"/>
      <c r="D76" s="150"/>
      <c r="E76" s="150"/>
      <c r="F76" s="159"/>
      <c r="G76" s="159"/>
      <c r="H76" s="162">
        <f>SUM('datos de entrada'!B439:B446)</f>
        <v>2800000</v>
      </c>
      <c r="I76" s="162">
        <f>SUM('datos de entrada'!C439:C446)</f>
        <v>2800000</v>
      </c>
      <c r="J76" s="162">
        <f>SUM('datos de entrada'!D439:D446)</f>
        <v>2800000</v>
      </c>
      <c r="K76" s="162">
        <f>SUM('datos de entrada'!E439:E446)</f>
        <v>2800000</v>
      </c>
      <c r="L76" s="162">
        <f>SUM('datos de entrada'!F439:F446)</f>
        <v>2800000</v>
      </c>
      <c r="M76" s="162">
        <f>SUM('datos de entrada'!G439:G446)</f>
        <v>2800000</v>
      </c>
      <c r="N76" s="162">
        <f>SUM('datos de entrada'!H439:H446)</f>
        <v>2800000</v>
      </c>
      <c r="O76" s="162">
        <f>SUM('datos de entrada'!I439:I446)</f>
        <v>2800000</v>
      </c>
      <c r="P76" s="162">
        <f>SUM('datos de entrada'!J439:J446)</f>
        <v>2800000</v>
      </c>
      <c r="Q76" s="162">
        <f>SUM('datos de entrada'!K439:K446)</f>
        <v>2800000</v>
      </c>
      <c r="R76" s="162">
        <f>SUM('datos de entrada'!L439:L446)</f>
        <v>2800000</v>
      </c>
      <c r="S76" s="162">
        <f>SUM('datos de entrada'!M439:M446)</f>
        <v>2800000</v>
      </c>
      <c r="T76" s="162">
        <f>SUM('datos de entrada'!N439:N446)</f>
        <v>3750000</v>
      </c>
      <c r="U76" s="162">
        <f>SUM('datos de entrada'!O439:O446)</f>
        <v>3750000</v>
      </c>
      <c r="V76" s="162">
        <f>SUM('datos de entrada'!P439:P446)</f>
        <v>3750000</v>
      </c>
      <c r="W76" s="162">
        <f>SUM('datos de entrada'!Q439:Q446)</f>
        <v>3750000</v>
      </c>
      <c r="X76" s="162">
        <f>SUM('datos de entrada'!R439:R446)</f>
        <v>3750000</v>
      </c>
      <c r="Y76" s="162">
        <f>SUM('datos de entrada'!S439:S446)</f>
        <v>3750000</v>
      </c>
      <c r="Z76" s="162">
        <f>SUM('datos de entrada'!T439:T446)</f>
        <v>3750000</v>
      </c>
      <c r="AA76" s="162">
        <f>SUM('datos de entrada'!U439:U446)</f>
        <v>3750000</v>
      </c>
      <c r="AB76" s="162">
        <f>SUM('datos de entrada'!V439:V446)</f>
        <v>3750000</v>
      </c>
      <c r="AC76" s="162">
        <f>SUM('datos de entrada'!W439:W446)</f>
        <v>3750000</v>
      </c>
      <c r="AD76" s="162">
        <f>SUM('datos de entrada'!X439:X446)</f>
        <v>3750000</v>
      </c>
      <c r="AE76" s="162">
        <f>SUM('datos de entrada'!Y439:Y446)</f>
        <v>3750000</v>
      </c>
      <c r="AF76" s="162">
        <f>SUM('datos de entrada'!Z439:Z446)</f>
        <v>4000000</v>
      </c>
      <c r="AG76" s="162">
        <f>SUM('datos de entrada'!AA439:AA446)</f>
        <v>4000000</v>
      </c>
      <c r="AH76" s="162">
        <f>SUM('datos de entrada'!AB439:AB446)</f>
        <v>4000000</v>
      </c>
      <c r="AI76" s="162">
        <f>SUM('datos de entrada'!AC439:AC446)</f>
        <v>4000000</v>
      </c>
      <c r="AJ76" s="162">
        <f>SUM('datos de entrada'!AD439:AD446)</f>
        <v>4000000</v>
      </c>
      <c r="AK76" s="162">
        <f>SUM('datos de entrada'!AE439:AE446)</f>
        <v>4000000</v>
      </c>
      <c r="AL76" s="162">
        <f>SUM('datos de entrada'!AF439:AF446)</f>
        <v>4000000</v>
      </c>
      <c r="AM76" s="162">
        <f>SUM('datos de entrada'!AG439:AG446)</f>
        <v>4000000</v>
      </c>
      <c r="AN76" s="162">
        <f>SUM('datos de entrada'!AH439:AH446)</f>
        <v>4000000</v>
      </c>
      <c r="AO76" s="162">
        <f>SUM('datos de entrada'!AI439:AI446)</f>
        <v>4000000</v>
      </c>
      <c r="AP76" s="162">
        <f>SUM('datos de entrada'!AJ439:AJ446)</f>
        <v>4000000</v>
      </c>
      <c r="AQ76" s="162">
        <f>SUM('datos de entrada'!AK439:AK446)</f>
        <v>4000000</v>
      </c>
    </row>
    <row r="77" spans="1:43" ht="15" customHeight="1">
      <c r="A77" s="148" t="s">
        <v>829</v>
      </c>
      <c r="B77" s="150"/>
      <c r="C77" s="150"/>
      <c r="D77" s="150"/>
      <c r="E77" s="150"/>
      <c r="F77" s="159"/>
      <c r="G77" s="159"/>
      <c r="H77" s="162">
        <f t="shared" ref="H77:AE77" si="21">+SUM(H67:H74)-H76</f>
        <v>700000</v>
      </c>
      <c r="I77" s="162">
        <f t="shared" si="21"/>
        <v>700000</v>
      </c>
      <c r="J77" s="162">
        <f t="shared" si="21"/>
        <v>700000</v>
      </c>
      <c r="K77" s="162">
        <f t="shared" si="21"/>
        <v>700000</v>
      </c>
      <c r="L77" s="162">
        <f t="shared" si="21"/>
        <v>700000</v>
      </c>
      <c r="M77" s="162">
        <f t="shared" si="21"/>
        <v>700000</v>
      </c>
      <c r="N77" s="162">
        <f t="shared" si="21"/>
        <v>700000</v>
      </c>
      <c r="O77" s="162">
        <f t="shared" si="21"/>
        <v>700000</v>
      </c>
      <c r="P77" s="162">
        <f t="shared" si="21"/>
        <v>700000</v>
      </c>
      <c r="Q77" s="162">
        <f t="shared" si="21"/>
        <v>700000</v>
      </c>
      <c r="R77" s="162">
        <f t="shared" si="21"/>
        <v>700000</v>
      </c>
      <c r="S77" s="162">
        <f t="shared" si="21"/>
        <v>700000</v>
      </c>
      <c r="T77" s="162">
        <f t="shared" si="21"/>
        <v>885000</v>
      </c>
      <c r="U77" s="162">
        <f t="shared" si="21"/>
        <v>885000</v>
      </c>
      <c r="V77" s="162">
        <f t="shared" si="21"/>
        <v>885000</v>
      </c>
      <c r="W77" s="162">
        <f t="shared" si="21"/>
        <v>885000</v>
      </c>
      <c r="X77" s="162">
        <f t="shared" si="21"/>
        <v>885000</v>
      </c>
      <c r="Y77" s="162">
        <f t="shared" si="21"/>
        <v>885000</v>
      </c>
      <c r="Z77" s="162">
        <f t="shared" si="21"/>
        <v>885000</v>
      </c>
      <c r="AA77" s="162">
        <f t="shared" si="21"/>
        <v>885000</v>
      </c>
      <c r="AB77" s="162">
        <f t="shared" si="21"/>
        <v>885000</v>
      </c>
      <c r="AC77" s="162">
        <f t="shared" si="21"/>
        <v>885000</v>
      </c>
      <c r="AD77" s="162">
        <f t="shared" si="21"/>
        <v>885000</v>
      </c>
      <c r="AE77" s="162">
        <f t="shared" si="21"/>
        <v>885000</v>
      </c>
      <c r="AF77" s="162">
        <f t="shared" ref="AF77:AQ77" si="22">+SUM(AF67:AF74)-AF76</f>
        <v>1941040</v>
      </c>
      <c r="AG77" s="162">
        <f t="shared" si="22"/>
        <v>1941040</v>
      </c>
      <c r="AH77" s="162">
        <f t="shared" si="22"/>
        <v>1941040</v>
      </c>
      <c r="AI77" s="162">
        <f t="shared" si="22"/>
        <v>1941040</v>
      </c>
      <c r="AJ77" s="162">
        <f t="shared" si="22"/>
        <v>1941040</v>
      </c>
      <c r="AK77" s="162">
        <f t="shared" si="22"/>
        <v>1941040</v>
      </c>
      <c r="AL77" s="162">
        <f t="shared" si="22"/>
        <v>1941040</v>
      </c>
      <c r="AM77" s="162">
        <f t="shared" si="22"/>
        <v>1941040</v>
      </c>
      <c r="AN77" s="162">
        <f t="shared" si="22"/>
        <v>1941040</v>
      </c>
      <c r="AO77" s="162">
        <f t="shared" si="22"/>
        <v>1941040</v>
      </c>
      <c r="AP77" s="162">
        <f t="shared" si="22"/>
        <v>1941040</v>
      </c>
      <c r="AQ77" s="162">
        <f t="shared" si="22"/>
        <v>1941040</v>
      </c>
    </row>
    <row r="78" spans="1:43" ht="15" customHeight="1">
      <c r="A78" s="148" t="s">
        <v>49</v>
      </c>
      <c r="B78" s="150">
        <f>SUM(B67:B74)</f>
        <v>3500000</v>
      </c>
      <c r="C78" s="150">
        <f>SUM(C67:C74)</f>
        <v>42000000</v>
      </c>
      <c r="D78" s="150">
        <f>SUM(D67:D74)</f>
        <v>55620000</v>
      </c>
      <c r="E78" s="150">
        <f>SUM(E67:E74)</f>
        <v>71292480</v>
      </c>
      <c r="F78" s="159"/>
      <c r="G78" s="159"/>
      <c r="H78" s="162">
        <f>+H76+H77</f>
        <v>3500000</v>
      </c>
      <c r="I78" s="162">
        <f t="shared" ref="I78:S78" si="23">+I76+I77</f>
        <v>3500000</v>
      </c>
      <c r="J78" s="162">
        <f t="shared" si="23"/>
        <v>3500000</v>
      </c>
      <c r="K78" s="162">
        <f t="shared" si="23"/>
        <v>3500000</v>
      </c>
      <c r="L78" s="162">
        <f t="shared" si="23"/>
        <v>3500000</v>
      </c>
      <c r="M78" s="162">
        <f t="shared" si="23"/>
        <v>3500000</v>
      </c>
      <c r="N78" s="162">
        <f t="shared" si="23"/>
        <v>3500000</v>
      </c>
      <c r="O78" s="162">
        <f t="shared" si="23"/>
        <v>3500000</v>
      </c>
      <c r="P78" s="162">
        <f t="shared" si="23"/>
        <v>3500000</v>
      </c>
      <c r="Q78" s="162">
        <f t="shared" si="23"/>
        <v>3500000</v>
      </c>
      <c r="R78" s="162">
        <f t="shared" si="23"/>
        <v>3500000</v>
      </c>
      <c r="S78" s="162">
        <f t="shared" si="23"/>
        <v>3500000</v>
      </c>
      <c r="T78" s="162">
        <f t="shared" ref="T78:AQ78" si="24">+T76+T77</f>
        <v>4635000</v>
      </c>
      <c r="U78" s="162">
        <f t="shared" si="24"/>
        <v>4635000</v>
      </c>
      <c r="V78" s="162">
        <f t="shared" si="24"/>
        <v>4635000</v>
      </c>
      <c r="W78" s="162">
        <f t="shared" si="24"/>
        <v>4635000</v>
      </c>
      <c r="X78" s="162">
        <f t="shared" si="24"/>
        <v>4635000</v>
      </c>
      <c r="Y78" s="162">
        <f t="shared" si="24"/>
        <v>4635000</v>
      </c>
      <c r="Z78" s="162">
        <f t="shared" si="24"/>
        <v>4635000</v>
      </c>
      <c r="AA78" s="162">
        <f t="shared" si="24"/>
        <v>4635000</v>
      </c>
      <c r="AB78" s="162">
        <f t="shared" si="24"/>
        <v>4635000</v>
      </c>
      <c r="AC78" s="162">
        <f t="shared" si="24"/>
        <v>4635000</v>
      </c>
      <c r="AD78" s="162">
        <f t="shared" si="24"/>
        <v>4635000</v>
      </c>
      <c r="AE78" s="162">
        <f t="shared" si="24"/>
        <v>4635000</v>
      </c>
      <c r="AF78" s="162">
        <f t="shared" si="24"/>
        <v>5941040</v>
      </c>
      <c r="AG78" s="162">
        <f t="shared" si="24"/>
        <v>5941040</v>
      </c>
      <c r="AH78" s="162">
        <f t="shared" si="24"/>
        <v>5941040</v>
      </c>
      <c r="AI78" s="162">
        <f t="shared" si="24"/>
        <v>5941040</v>
      </c>
      <c r="AJ78" s="162">
        <f t="shared" si="24"/>
        <v>5941040</v>
      </c>
      <c r="AK78" s="162">
        <f t="shared" si="24"/>
        <v>5941040</v>
      </c>
      <c r="AL78" s="162">
        <f t="shared" si="24"/>
        <v>5941040</v>
      </c>
      <c r="AM78" s="162">
        <f t="shared" si="24"/>
        <v>5941040</v>
      </c>
      <c r="AN78" s="162">
        <f t="shared" si="24"/>
        <v>5941040</v>
      </c>
      <c r="AO78" s="162">
        <f t="shared" si="24"/>
        <v>5941040</v>
      </c>
      <c r="AP78" s="162">
        <f t="shared" si="24"/>
        <v>5941040</v>
      </c>
      <c r="AQ78" s="162">
        <f t="shared" si="24"/>
        <v>5941040</v>
      </c>
    </row>
    <row r="79" spans="1:43" ht="15" customHeight="1">
      <c r="A79" s="152" t="s">
        <v>605</v>
      </c>
      <c r="B79" s="153" t="s">
        <v>605</v>
      </c>
      <c r="C79" s="153" t="s">
        <v>605</v>
      </c>
      <c r="D79" s="153" t="s">
        <v>605</v>
      </c>
      <c r="E79" s="153" t="s">
        <v>605</v>
      </c>
      <c r="F79" s="154" t="s">
        <v>605</v>
      </c>
      <c r="G79" s="154" t="s">
        <v>605</v>
      </c>
    </row>
    <row r="80" spans="1:43" ht="15" customHeight="1">
      <c r="B80" s="150"/>
      <c r="C80" s="150"/>
      <c r="D80" s="150"/>
      <c r="E80" s="150"/>
      <c r="F80" s="159"/>
      <c r="G80" s="159"/>
    </row>
    <row r="81" spans="1:19" ht="15" customHeight="1">
      <c r="B81" s="150"/>
      <c r="C81" s="150"/>
      <c r="D81" s="150"/>
      <c r="E81" s="150"/>
      <c r="F81" s="150"/>
      <c r="G81" s="150"/>
    </row>
    <row r="82" spans="1:19" ht="15" customHeight="1">
      <c r="A82" s="148" t="s">
        <v>148</v>
      </c>
      <c r="B82" s="150"/>
      <c r="C82" s="150"/>
      <c r="D82" s="150"/>
      <c r="E82" s="150"/>
      <c r="F82" s="150"/>
      <c r="G82" s="150"/>
    </row>
    <row r="83" spans="1:19" ht="15" customHeight="1">
      <c r="A83" s="152" t="s">
        <v>605</v>
      </c>
      <c r="B83" s="153" t="s">
        <v>605</v>
      </c>
      <c r="C83" s="153" t="s">
        <v>605</v>
      </c>
      <c r="D83" s="153" t="s">
        <v>605</v>
      </c>
      <c r="E83" s="153" t="s">
        <v>605</v>
      </c>
      <c r="F83" s="154" t="s">
        <v>605</v>
      </c>
      <c r="G83" s="154" t="s">
        <v>605</v>
      </c>
    </row>
    <row r="84" spans="1:19" ht="15" customHeight="1">
      <c r="A84" s="148" t="s">
        <v>635</v>
      </c>
      <c r="B84" s="160" t="s">
        <v>149</v>
      </c>
      <c r="C84" s="156" t="s">
        <v>692</v>
      </c>
      <c r="D84" s="156" t="s">
        <v>693</v>
      </c>
      <c r="E84" s="156" t="s">
        <v>694</v>
      </c>
      <c r="F84" s="157" t="s">
        <v>186</v>
      </c>
      <c r="G84" s="157" t="s">
        <v>187</v>
      </c>
      <c r="H84" s="149" t="s">
        <v>507</v>
      </c>
      <c r="I84" s="149" t="s">
        <v>508</v>
      </c>
      <c r="J84" s="149" t="s">
        <v>509</v>
      </c>
      <c r="K84" s="149" t="s">
        <v>510</v>
      </c>
      <c r="L84" s="149" t="s">
        <v>511</v>
      </c>
      <c r="M84" s="149" t="s">
        <v>512</v>
      </c>
      <c r="N84" s="149" t="s">
        <v>513</v>
      </c>
      <c r="O84" s="149" t="s">
        <v>514</v>
      </c>
      <c r="P84" s="149" t="s">
        <v>515</v>
      </c>
      <c r="Q84" s="149" t="s">
        <v>516</v>
      </c>
      <c r="R84" s="149" t="s">
        <v>517</v>
      </c>
      <c r="S84" s="149" t="s">
        <v>518</v>
      </c>
    </row>
    <row r="85" spans="1:19" ht="15" customHeight="1">
      <c r="A85" s="152" t="s">
        <v>605</v>
      </c>
      <c r="B85" s="153" t="s">
        <v>605</v>
      </c>
      <c r="C85" s="153" t="s">
        <v>605</v>
      </c>
      <c r="D85" s="153" t="s">
        <v>605</v>
      </c>
      <c r="E85" s="153" t="s">
        <v>605</v>
      </c>
      <c r="F85" s="154" t="s">
        <v>605</v>
      </c>
      <c r="G85" s="154" t="s">
        <v>605</v>
      </c>
    </row>
    <row r="86" spans="1:19" ht="15" customHeight="1">
      <c r="A86" s="150" t="str">
        <f>+'datos de entrada'!A337</f>
        <v>DOTACION</v>
      </c>
      <c r="B86" s="164">
        <f>+'datos de entrada'!B337/12</f>
        <v>15000</v>
      </c>
      <c r="C86" s="150">
        <f t="shared" ref="C86:C93" si="25">12*B86</f>
        <v>180000</v>
      </c>
      <c r="D86" s="164">
        <f>(SUM('datos de entrada'!O337:Z337)*(1+$C$7))</f>
        <v>185400</v>
      </c>
      <c r="E86" s="164">
        <f>(SUM('datos de entrada'!AA337:AL337))*(1+$C$7)</f>
        <v>185400</v>
      </c>
      <c r="F86" s="159">
        <f t="shared" ref="F86:G93" si="26">E86*(1+$C$7)</f>
        <v>190962</v>
      </c>
      <c r="G86" s="159">
        <f t="shared" si="26"/>
        <v>196690.86000000002</v>
      </c>
      <c r="H86" s="162">
        <f>+'datos de entrada'!C337</f>
        <v>15000</v>
      </c>
      <c r="I86" s="162">
        <f>+'datos de entrada'!D337</f>
        <v>15000</v>
      </c>
      <c r="J86" s="162">
        <f>+'datos de entrada'!E337</f>
        <v>15000</v>
      </c>
      <c r="K86" s="162">
        <f>+'datos de entrada'!F337</f>
        <v>15000</v>
      </c>
      <c r="L86" s="162">
        <f>+'datos de entrada'!G337</f>
        <v>15000</v>
      </c>
      <c r="M86" s="162">
        <f>+'datos de entrada'!H337</f>
        <v>15000</v>
      </c>
      <c r="N86" s="162">
        <f>+'datos de entrada'!I337</f>
        <v>15000</v>
      </c>
      <c r="O86" s="162">
        <f>+'datos de entrada'!J337</f>
        <v>15000</v>
      </c>
      <c r="P86" s="162">
        <f>+'datos de entrada'!K337</f>
        <v>15000</v>
      </c>
      <c r="Q86" s="162">
        <f>+'datos de entrada'!L337</f>
        <v>15000</v>
      </c>
      <c r="R86" s="162">
        <f>+'datos de entrada'!M337</f>
        <v>15000</v>
      </c>
      <c r="S86" s="162">
        <f>+'datos de entrada'!N337</f>
        <v>15000</v>
      </c>
    </row>
    <row r="87" spans="1:19" ht="15" customHeight="1">
      <c r="A87" s="150" t="str">
        <f>+'datos de entrada'!A338</f>
        <v>ARRIENDO</v>
      </c>
      <c r="B87" s="150">
        <f>+'datos de entrada'!B338/12</f>
        <v>1400000</v>
      </c>
      <c r="C87" s="150">
        <f t="shared" si="25"/>
        <v>16800000</v>
      </c>
      <c r="D87" s="164">
        <f>(SUM('datos de entrada'!O338:Z338)*(1+$C$7))</f>
        <v>17304000</v>
      </c>
      <c r="E87" s="164">
        <f>(SUM('datos de entrada'!AA338:AL338))*(1+$C$7)</f>
        <v>17304000</v>
      </c>
      <c r="F87" s="159">
        <f t="shared" si="26"/>
        <v>17823120</v>
      </c>
      <c r="G87" s="159">
        <f t="shared" si="26"/>
        <v>18357813.600000001</v>
      </c>
      <c r="H87" s="162">
        <f>+'datos de entrada'!C338</f>
        <v>1400000</v>
      </c>
      <c r="I87" s="162">
        <f>+'datos de entrada'!D338</f>
        <v>1400000</v>
      </c>
      <c r="J87" s="162">
        <f>+'datos de entrada'!E338</f>
        <v>1400000</v>
      </c>
      <c r="K87" s="162">
        <f>+'datos de entrada'!F338</f>
        <v>1400000</v>
      </c>
      <c r="L87" s="162">
        <f>+'datos de entrada'!G338</f>
        <v>1400000</v>
      </c>
      <c r="M87" s="162">
        <f>+'datos de entrada'!H338</f>
        <v>1400000</v>
      </c>
      <c r="N87" s="162">
        <f>+'datos de entrada'!I338</f>
        <v>1400000</v>
      </c>
      <c r="O87" s="162">
        <f>+'datos de entrada'!J338</f>
        <v>1400000</v>
      </c>
      <c r="P87" s="162">
        <f>+'datos de entrada'!K338</f>
        <v>1400000</v>
      </c>
      <c r="Q87" s="162">
        <f>+'datos de entrada'!L338</f>
        <v>1400000</v>
      </c>
      <c r="R87" s="162">
        <f>+'datos de entrada'!M338</f>
        <v>1400000</v>
      </c>
      <c r="S87" s="162">
        <f>+'datos de entrada'!N338</f>
        <v>1400000</v>
      </c>
    </row>
    <row r="88" spans="1:19" ht="15" customHeight="1">
      <c r="A88" s="150" t="str">
        <f>+'datos de entrada'!A339</f>
        <v>NOMINA PRODUCCION AUXILIO  DE TRANSPORTE</v>
      </c>
      <c r="B88" s="150">
        <f>+'datos de entrada'!B339/12</f>
        <v>0</v>
      </c>
      <c r="C88" s="150">
        <f t="shared" si="25"/>
        <v>0</v>
      </c>
      <c r="D88" s="164">
        <f>(SUM('datos de entrada'!O339:Z339)*(1+$C$7))</f>
        <v>0</v>
      </c>
      <c r="E88" s="164">
        <f>(SUM('datos de entrada'!AA339:AL339))*(1+$C$7)</f>
        <v>0</v>
      </c>
      <c r="F88" s="159">
        <f t="shared" si="26"/>
        <v>0</v>
      </c>
      <c r="G88" s="159">
        <f t="shared" si="26"/>
        <v>0</v>
      </c>
      <c r="H88" s="162">
        <f>+'datos de entrada'!C339</f>
        <v>0</v>
      </c>
      <c r="I88" s="162">
        <f>+'datos de entrada'!D339</f>
        <v>0</v>
      </c>
      <c r="J88" s="162">
        <f>+'datos de entrada'!E339</f>
        <v>0</v>
      </c>
      <c r="K88" s="162">
        <f>+'datos de entrada'!F339</f>
        <v>0</v>
      </c>
      <c r="L88" s="162">
        <f>+'datos de entrada'!G339</f>
        <v>0</v>
      </c>
      <c r="M88" s="162">
        <f>+'datos de entrada'!H339</f>
        <v>0</v>
      </c>
      <c r="N88" s="162">
        <f>+'datos de entrada'!I339</f>
        <v>0</v>
      </c>
      <c r="O88" s="162">
        <f>+'datos de entrada'!J339</f>
        <v>0</v>
      </c>
      <c r="P88" s="162">
        <f>+'datos de entrada'!K339</f>
        <v>0</v>
      </c>
      <c r="Q88" s="162">
        <f>+'datos de entrada'!L339</f>
        <v>0</v>
      </c>
      <c r="R88" s="162">
        <f>+'datos de entrada'!M339</f>
        <v>0</v>
      </c>
      <c r="S88" s="162">
        <f>+'datos de entrada'!N339</f>
        <v>0</v>
      </c>
    </row>
    <row r="89" spans="1:19" ht="15" customHeight="1">
      <c r="A89" s="150" t="str">
        <f>+'datos de entrada'!A340</f>
        <v>MANTENIMIENTO EQUIPOS</v>
      </c>
      <c r="B89" s="150">
        <f>+'datos de entrada'!B340/12</f>
        <v>50000</v>
      </c>
      <c r="C89" s="150">
        <f t="shared" si="25"/>
        <v>600000</v>
      </c>
      <c r="D89" s="164">
        <f>(SUM('datos de entrada'!O340:Z340)*(1+$C$7))</f>
        <v>618000</v>
      </c>
      <c r="E89" s="164">
        <f>(SUM('datos de entrada'!AA340:AL340))*(1+$C$7)</f>
        <v>618000</v>
      </c>
      <c r="F89" s="159">
        <f t="shared" si="26"/>
        <v>636540</v>
      </c>
      <c r="G89" s="159">
        <f t="shared" si="26"/>
        <v>655636.20000000007</v>
      </c>
      <c r="H89" s="162">
        <f>+'datos de entrada'!C340</f>
        <v>50000</v>
      </c>
      <c r="I89" s="162">
        <f>+'datos de entrada'!D340</f>
        <v>50000</v>
      </c>
      <c r="J89" s="162">
        <f>+'datos de entrada'!E340</f>
        <v>50000</v>
      </c>
      <c r="K89" s="162">
        <f>+'datos de entrada'!F340</f>
        <v>50000</v>
      </c>
      <c r="L89" s="162">
        <f>+'datos de entrada'!G340</f>
        <v>50000</v>
      </c>
      <c r="M89" s="162">
        <f>+'datos de entrada'!H340</f>
        <v>50000</v>
      </c>
      <c r="N89" s="162">
        <f>+'datos de entrada'!I340</f>
        <v>50000</v>
      </c>
      <c r="O89" s="162">
        <f>+'datos de entrada'!J340</f>
        <v>50000</v>
      </c>
      <c r="P89" s="162">
        <f>+'datos de entrada'!K340</f>
        <v>50000</v>
      </c>
      <c r="Q89" s="162">
        <f>+'datos de entrada'!L340</f>
        <v>50000</v>
      </c>
      <c r="R89" s="162">
        <f>+'datos de entrada'!M340</f>
        <v>50000</v>
      </c>
      <c r="S89" s="162">
        <f>+'datos de entrada'!N340</f>
        <v>50000</v>
      </c>
    </row>
    <row r="90" spans="1:19" ht="15" customHeight="1">
      <c r="A90" s="150" t="str">
        <f>+'datos de entrada'!A341</f>
        <v>FLETES Y/O TRANSPORTE OPERATIVO</v>
      </c>
      <c r="B90" s="150">
        <f>+'datos de entrada'!B341/12</f>
        <v>200000</v>
      </c>
      <c r="C90" s="150">
        <f t="shared" si="25"/>
        <v>2400000</v>
      </c>
      <c r="D90" s="164">
        <f>(SUM('datos de entrada'!O341:Z341)*(1+$C$7))</f>
        <v>2472000</v>
      </c>
      <c r="E90" s="164">
        <f>(SUM('datos de entrada'!AA341:AL341))*(1+$C$7)</f>
        <v>2472000</v>
      </c>
      <c r="F90" s="159">
        <f t="shared" si="26"/>
        <v>2546160</v>
      </c>
      <c r="G90" s="159">
        <f t="shared" si="26"/>
        <v>2622544.8000000003</v>
      </c>
      <c r="H90" s="162">
        <f>+'datos de entrada'!C341</f>
        <v>200000</v>
      </c>
      <c r="I90" s="162">
        <f>+'datos de entrada'!D341</f>
        <v>200000</v>
      </c>
      <c r="J90" s="162">
        <f>+'datos de entrada'!E341</f>
        <v>200000</v>
      </c>
      <c r="K90" s="162">
        <f>+'datos de entrada'!F341</f>
        <v>200000</v>
      </c>
      <c r="L90" s="162">
        <f>+'datos de entrada'!G341</f>
        <v>200000</v>
      </c>
      <c r="M90" s="162">
        <f>+'datos de entrada'!H341</f>
        <v>200000</v>
      </c>
      <c r="N90" s="162">
        <f>+'datos de entrada'!I341</f>
        <v>200000</v>
      </c>
      <c r="O90" s="162">
        <f>+'datos de entrada'!J341</f>
        <v>200000</v>
      </c>
      <c r="P90" s="162">
        <f>+'datos de entrada'!K341</f>
        <v>200000</v>
      </c>
      <c r="Q90" s="162">
        <f>+'datos de entrada'!L341</f>
        <v>200000</v>
      </c>
      <c r="R90" s="162">
        <f>+'datos de entrada'!M341</f>
        <v>200000</v>
      </c>
      <c r="S90" s="162">
        <f>+'datos de entrada'!N341</f>
        <v>200000</v>
      </c>
    </row>
    <row r="91" spans="1:19" ht="15" customHeight="1">
      <c r="A91" s="150" t="str">
        <f>+'datos de entrada'!A342</f>
        <v>SERVICIOS PUBLICOS</v>
      </c>
      <c r="B91" s="150">
        <f>+'datos de entrada'!B342/12</f>
        <v>760000</v>
      </c>
      <c r="C91" s="150">
        <f t="shared" si="25"/>
        <v>9120000</v>
      </c>
      <c r="D91" s="164">
        <f>(SUM('datos de entrada'!O342:Z342)*(1+$C$7))</f>
        <v>9393600</v>
      </c>
      <c r="E91" s="164">
        <f>(SUM('datos de entrada'!AA342:AL342))*(1+$C$7)</f>
        <v>9393600</v>
      </c>
      <c r="F91" s="159">
        <f t="shared" si="26"/>
        <v>9675408</v>
      </c>
      <c r="G91" s="159">
        <f t="shared" si="26"/>
        <v>9965670.2400000002</v>
      </c>
      <c r="H91" s="162">
        <f>+'datos de entrada'!C342</f>
        <v>760000</v>
      </c>
      <c r="I91" s="162">
        <f>+'datos de entrada'!D342</f>
        <v>760000</v>
      </c>
      <c r="J91" s="162">
        <f>+'datos de entrada'!E342</f>
        <v>760000</v>
      </c>
      <c r="K91" s="162">
        <f>+'datos de entrada'!F342</f>
        <v>760000</v>
      </c>
      <c r="L91" s="162">
        <f>+'datos de entrada'!G342</f>
        <v>760000</v>
      </c>
      <c r="M91" s="162">
        <f>+'datos de entrada'!H342</f>
        <v>760000</v>
      </c>
      <c r="N91" s="162">
        <f>+'datos de entrada'!I342</f>
        <v>760000</v>
      </c>
      <c r="O91" s="162">
        <f>+'datos de entrada'!J342</f>
        <v>760000</v>
      </c>
      <c r="P91" s="162">
        <f>+'datos de entrada'!K342</f>
        <v>760000</v>
      </c>
      <c r="Q91" s="162">
        <f>+'datos de entrada'!L342</f>
        <v>760000</v>
      </c>
      <c r="R91" s="162">
        <f>+'datos de entrada'!M342</f>
        <v>760000</v>
      </c>
      <c r="S91" s="162">
        <f>+'datos de entrada'!N342</f>
        <v>760000</v>
      </c>
    </row>
    <row r="92" spans="1:19" ht="15" customHeight="1">
      <c r="A92" s="150">
        <f>+'datos de entrada'!A343</f>
        <v>0</v>
      </c>
      <c r="B92" s="150">
        <f>+'datos de entrada'!B343/12</f>
        <v>0</v>
      </c>
      <c r="C92" s="150">
        <f t="shared" si="25"/>
        <v>0</v>
      </c>
      <c r="D92" s="164">
        <f>(SUM('datos de entrada'!O343:Z343)*(1+$C$7))</f>
        <v>0</v>
      </c>
      <c r="E92" s="164">
        <f>(SUM('datos de entrada'!AA343:AL343))*(1+$C$7)</f>
        <v>0</v>
      </c>
      <c r="F92" s="159">
        <f t="shared" si="26"/>
        <v>0</v>
      </c>
      <c r="G92" s="159">
        <f t="shared" si="26"/>
        <v>0</v>
      </c>
      <c r="H92" s="162">
        <f>+'datos de entrada'!C343</f>
        <v>0</v>
      </c>
      <c r="I92" s="162">
        <f>+'datos de entrada'!D343</f>
        <v>0</v>
      </c>
      <c r="J92" s="162">
        <f>+'datos de entrada'!E343</f>
        <v>0</v>
      </c>
      <c r="K92" s="162">
        <f>+'datos de entrada'!F343</f>
        <v>0</v>
      </c>
      <c r="L92" s="162">
        <f>+'datos de entrada'!G343</f>
        <v>0</v>
      </c>
      <c r="M92" s="162">
        <f>+'datos de entrada'!H343</f>
        <v>0</v>
      </c>
      <c r="N92" s="162">
        <f>+'datos de entrada'!I343</f>
        <v>0</v>
      </c>
      <c r="O92" s="162">
        <f>+'datos de entrada'!J343</f>
        <v>0</v>
      </c>
      <c r="P92" s="162">
        <f>+'datos de entrada'!K343</f>
        <v>0</v>
      </c>
      <c r="Q92" s="162">
        <f>+'datos de entrada'!L343</f>
        <v>0</v>
      </c>
      <c r="R92" s="162">
        <f>+'datos de entrada'!M343</f>
        <v>0</v>
      </c>
      <c r="S92" s="162">
        <f>+'datos de entrada'!N343</f>
        <v>0</v>
      </c>
    </row>
    <row r="93" spans="1:19" ht="15" customHeight="1">
      <c r="A93" s="150">
        <f>+'datos de entrada'!A344</f>
        <v>0</v>
      </c>
      <c r="B93" s="150">
        <f>+'datos de entrada'!B344/12</f>
        <v>0</v>
      </c>
      <c r="C93" s="150">
        <f t="shared" si="25"/>
        <v>0</v>
      </c>
      <c r="D93" s="164">
        <f>(SUM('datos de entrada'!O344:Z344)*(1+$C$7))</f>
        <v>0</v>
      </c>
      <c r="E93" s="164">
        <f>(SUM('datos de entrada'!AA344:AL344))*(1+$C$7)</f>
        <v>0</v>
      </c>
      <c r="F93" s="159">
        <f t="shared" si="26"/>
        <v>0</v>
      </c>
      <c r="G93" s="159">
        <f t="shared" si="26"/>
        <v>0</v>
      </c>
      <c r="H93" s="162">
        <f>+'datos de entrada'!C344</f>
        <v>0</v>
      </c>
      <c r="I93" s="162">
        <f>+'datos de entrada'!D344</f>
        <v>0</v>
      </c>
      <c r="J93" s="162">
        <f>+'datos de entrada'!E344</f>
        <v>0</v>
      </c>
      <c r="K93" s="162">
        <f>+'datos de entrada'!F344</f>
        <v>0</v>
      </c>
      <c r="L93" s="162">
        <f>+'datos de entrada'!G344</f>
        <v>0</v>
      </c>
      <c r="M93" s="162">
        <f>+'datos de entrada'!H344</f>
        <v>0</v>
      </c>
      <c r="N93" s="162">
        <f>+'datos de entrada'!I344</f>
        <v>0</v>
      </c>
      <c r="O93" s="162">
        <f>+'datos de entrada'!J344</f>
        <v>0</v>
      </c>
      <c r="P93" s="162">
        <f>+'datos de entrada'!K344</f>
        <v>0</v>
      </c>
      <c r="Q93" s="162">
        <f>+'datos de entrada'!L344</f>
        <v>0</v>
      </c>
      <c r="R93" s="162">
        <f>+'datos de entrada'!M344</f>
        <v>0</v>
      </c>
      <c r="S93" s="162">
        <f>+'datos de entrada'!N344</f>
        <v>0</v>
      </c>
    </row>
    <row r="94" spans="1:19" ht="15" customHeight="1">
      <c r="A94" s="152" t="s">
        <v>605</v>
      </c>
      <c r="B94" s="153" t="s">
        <v>605</v>
      </c>
      <c r="C94" s="153" t="s">
        <v>605</v>
      </c>
      <c r="D94" s="153" t="s">
        <v>605</v>
      </c>
      <c r="E94" s="153" t="s">
        <v>605</v>
      </c>
      <c r="F94" s="154" t="s">
        <v>605</v>
      </c>
      <c r="G94" s="154" t="s">
        <v>605</v>
      </c>
    </row>
    <row r="95" spans="1:19" ht="15" customHeight="1">
      <c r="A95" s="148" t="s">
        <v>49</v>
      </c>
      <c r="B95" s="150">
        <f t="shared" ref="B95:G95" si="27">SUM(B83:B93)</f>
        <v>2425000</v>
      </c>
      <c r="C95" s="150">
        <f t="shared" si="27"/>
        <v>29100000</v>
      </c>
      <c r="D95" s="150">
        <f t="shared" si="27"/>
        <v>29973000</v>
      </c>
      <c r="E95" s="150">
        <f t="shared" si="27"/>
        <v>29973000</v>
      </c>
      <c r="F95" s="159">
        <f t="shared" si="27"/>
        <v>30872190</v>
      </c>
      <c r="G95" s="159">
        <f t="shared" si="27"/>
        <v>31798355.700000003</v>
      </c>
      <c r="H95" s="162">
        <f>SUM(H86:H93)</f>
        <v>2425000</v>
      </c>
      <c r="I95" s="162">
        <f t="shared" ref="I95:S95" si="28">SUM(I86:I93)</f>
        <v>2425000</v>
      </c>
      <c r="J95" s="162">
        <f t="shared" si="28"/>
        <v>2425000</v>
      </c>
      <c r="K95" s="162">
        <f t="shared" si="28"/>
        <v>2425000</v>
      </c>
      <c r="L95" s="162">
        <f t="shared" si="28"/>
        <v>2425000</v>
      </c>
      <c r="M95" s="162">
        <f t="shared" si="28"/>
        <v>2425000</v>
      </c>
      <c r="N95" s="162">
        <f t="shared" si="28"/>
        <v>2425000</v>
      </c>
      <c r="O95" s="162">
        <f t="shared" si="28"/>
        <v>2425000</v>
      </c>
      <c r="P95" s="162">
        <f t="shared" si="28"/>
        <v>2425000</v>
      </c>
      <c r="Q95" s="162">
        <f t="shared" si="28"/>
        <v>2425000</v>
      </c>
      <c r="R95" s="162">
        <f t="shared" si="28"/>
        <v>2425000</v>
      </c>
      <c r="S95" s="162">
        <f t="shared" si="28"/>
        <v>2425000</v>
      </c>
    </row>
    <row r="96" spans="1:19" ht="15" customHeight="1">
      <c r="A96" s="152" t="s">
        <v>605</v>
      </c>
      <c r="B96" s="153" t="s">
        <v>605</v>
      </c>
      <c r="C96" s="153" t="s">
        <v>605</v>
      </c>
      <c r="D96" s="153" t="s">
        <v>605</v>
      </c>
      <c r="E96" s="153" t="s">
        <v>605</v>
      </c>
      <c r="F96" s="154" t="s">
        <v>605</v>
      </c>
      <c r="G96" s="154" t="s">
        <v>605</v>
      </c>
    </row>
    <row r="97" spans="1:19" ht="15" customHeight="1">
      <c r="B97" s="150"/>
      <c r="C97" s="150"/>
      <c r="D97" s="150"/>
      <c r="E97" s="150"/>
      <c r="F97" s="150"/>
      <c r="G97" s="150"/>
    </row>
    <row r="98" spans="1:19" ht="15" customHeight="1">
      <c r="B98" s="150"/>
      <c r="C98" s="150"/>
      <c r="D98" s="150"/>
      <c r="E98" s="150"/>
      <c r="F98" s="150"/>
      <c r="G98" s="150"/>
    </row>
    <row r="99" spans="1:19" ht="15" customHeight="1">
      <c r="A99" s="148" t="s">
        <v>260</v>
      </c>
      <c r="B99" s="150"/>
      <c r="C99" s="150"/>
      <c r="D99" s="150"/>
      <c r="E99" s="150"/>
      <c r="F99" s="150"/>
      <c r="G99" s="150"/>
    </row>
    <row r="100" spans="1:19" ht="15" customHeight="1">
      <c r="A100" s="152" t="s">
        <v>605</v>
      </c>
      <c r="B100" s="153" t="s">
        <v>605</v>
      </c>
      <c r="C100" s="153" t="s">
        <v>605</v>
      </c>
      <c r="D100" s="153" t="s">
        <v>605</v>
      </c>
      <c r="E100" s="153" t="s">
        <v>605</v>
      </c>
      <c r="F100" s="154" t="s">
        <v>605</v>
      </c>
      <c r="G100" s="154" t="s">
        <v>605</v>
      </c>
    </row>
    <row r="101" spans="1:19" ht="15" customHeight="1">
      <c r="A101" s="148" t="s">
        <v>59</v>
      </c>
      <c r="B101" s="160" t="s">
        <v>149</v>
      </c>
      <c r="C101" s="156" t="s">
        <v>692</v>
      </c>
      <c r="D101" s="156" t="s">
        <v>693</v>
      </c>
      <c r="E101" s="156" t="s">
        <v>694</v>
      </c>
      <c r="F101" s="157" t="s">
        <v>186</v>
      </c>
      <c r="G101" s="157" t="s">
        <v>187</v>
      </c>
      <c r="H101" s="149" t="s">
        <v>507</v>
      </c>
      <c r="I101" s="149" t="s">
        <v>508</v>
      </c>
      <c r="J101" s="149" t="s">
        <v>509</v>
      </c>
      <c r="K101" s="149" t="s">
        <v>510</v>
      </c>
      <c r="L101" s="149" t="s">
        <v>511</v>
      </c>
      <c r="M101" s="149" t="s">
        <v>512</v>
      </c>
      <c r="N101" s="149" t="s">
        <v>513</v>
      </c>
      <c r="O101" s="149" t="s">
        <v>514</v>
      </c>
      <c r="P101" s="149" t="s">
        <v>515</v>
      </c>
      <c r="Q101" s="149" t="s">
        <v>516</v>
      </c>
      <c r="R101" s="149" t="s">
        <v>517</v>
      </c>
      <c r="S101" s="149" t="s">
        <v>518</v>
      </c>
    </row>
    <row r="102" spans="1:19" ht="15" customHeight="1">
      <c r="A102" s="152" t="s">
        <v>605</v>
      </c>
      <c r="B102" s="153" t="s">
        <v>605</v>
      </c>
      <c r="C102" s="153" t="s">
        <v>605</v>
      </c>
      <c r="D102" s="153" t="s">
        <v>605</v>
      </c>
      <c r="E102" s="153" t="s">
        <v>605</v>
      </c>
      <c r="F102" s="154" t="s">
        <v>605</v>
      </c>
      <c r="G102" s="154" t="s">
        <v>605</v>
      </c>
    </row>
    <row r="103" spans="1:19" ht="15" customHeight="1">
      <c r="A103" s="148" t="s">
        <v>261</v>
      </c>
      <c r="B103" s="150">
        <f>SUM(H103:S103)/12</f>
        <v>3500000</v>
      </c>
      <c r="C103" s="150">
        <f>C78</f>
        <v>42000000</v>
      </c>
      <c r="D103" s="150">
        <f>D78</f>
        <v>55620000</v>
      </c>
      <c r="E103" s="150">
        <f>E78</f>
        <v>71292480</v>
      </c>
      <c r="F103" s="159">
        <f>F78</f>
        <v>0</v>
      </c>
      <c r="G103" s="159">
        <f>G78</f>
        <v>0</v>
      </c>
      <c r="H103" s="149">
        <f>+H78</f>
        <v>3500000</v>
      </c>
      <c r="I103" s="149">
        <f t="shared" ref="I103:S103" si="29">+I78</f>
        <v>3500000</v>
      </c>
      <c r="J103" s="149">
        <f t="shared" si="29"/>
        <v>3500000</v>
      </c>
      <c r="K103" s="149">
        <f t="shared" si="29"/>
        <v>3500000</v>
      </c>
      <c r="L103" s="149">
        <f t="shared" si="29"/>
        <v>3500000</v>
      </c>
      <c r="M103" s="149">
        <f t="shared" si="29"/>
        <v>3500000</v>
      </c>
      <c r="N103" s="149">
        <f t="shared" si="29"/>
        <v>3500000</v>
      </c>
      <c r="O103" s="149">
        <f t="shared" si="29"/>
        <v>3500000</v>
      </c>
      <c r="P103" s="149">
        <f t="shared" si="29"/>
        <v>3500000</v>
      </c>
      <c r="Q103" s="149">
        <f t="shared" si="29"/>
        <v>3500000</v>
      </c>
      <c r="R103" s="149">
        <f t="shared" si="29"/>
        <v>3500000</v>
      </c>
      <c r="S103" s="149">
        <f t="shared" si="29"/>
        <v>3500000</v>
      </c>
    </row>
    <row r="104" spans="1:19" ht="15" customHeight="1">
      <c r="A104" s="148" t="s">
        <v>148</v>
      </c>
      <c r="B104" s="150">
        <f>SUM(H104:S104)/12</f>
        <v>2425000</v>
      </c>
      <c r="C104" s="150">
        <f>C95</f>
        <v>29100000</v>
      </c>
      <c r="D104" s="150">
        <f>D95</f>
        <v>29973000</v>
      </c>
      <c r="E104" s="150">
        <f>E95</f>
        <v>29973000</v>
      </c>
      <c r="F104" s="159">
        <f>F95</f>
        <v>30872190</v>
      </c>
      <c r="G104" s="159">
        <f>G95</f>
        <v>31798355.700000003</v>
      </c>
      <c r="H104" s="149">
        <f>+H95</f>
        <v>2425000</v>
      </c>
      <c r="I104" s="149">
        <f t="shared" ref="I104:S104" si="30">+I95</f>
        <v>2425000</v>
      </c>
      <c r="J104" s="149">
        <f t="shared" si="30"/>
        <v>2425000</v>
      </c>
      <c r="K104" s="149">
        <f t="shared" si="30"/>
        <v>2425000</v>
      </c>
      <c r="L104" s="149">
        <f t="shared" si="30"/>
        <v>2425000</v>
      </c>
      <c r="M104" s="149">
        <f t="shared" si="30"/>
        <v>2425000</v>
      </c>
      <c r="N104" s="149">
        <f t="shared" si="30"/>
        <v>2425000</v>
      </c>
      <c r="O104" s="149">
        <f t="shared" si="30"/>
        <v>2425000</v>
      </c>
      <c r="P104" s="149">
        <f t="shared" si="30"/>
        <v>2425000</v>
      </c>
      <c r="Q104" s="149">
        <f t="shared" si="30"/>
        <v>2425000</v>
      </c>
      <c r="R104" s="149">
        <f t="shared" si="30"/>
        <v>2425000</v>
      </c>
      <c r="S104" s="149">
        <f t="shared" si="30"/>
        <v>2425000</v>
      </c>
    </row>
    <row r="105" spans="1:19" ht="15" customHeight="1">
      <c r="A105" s="148" t="s">
        <v>157</v>
      </c>
      <c r="B105" s="150">
        <f>SUM(H105:S105)/12</f>
        <v>3878666.6666666665</v>
      </c>
      <c r="C105" s="150">
        <f>D42</f>
        <v>46544000</v>
      </c>
      <c r="D105" s="150">
        <f>E42</f>
        <v>51782320</v>
      </c>
      <c r="E105" s="150">
        <f>F42</f>
        <v>57027789.600000001</v>
      </c>
      <c r="F105" s="159">
        <f>G42</f>
        <v>58738623.288000003</v>
      </c>
      <c r="G105" s="159">
        <f>H42</f>
        <v>60500781.986639999</v>
      </c>
      <c r="H105" s="150">
        <f>+I42</f>
        <v>3878666.666666667</v>
      </c>
      <c r="I105" s="150">
        <f t="shared" ref="I105:S105" si="31">+J42</f>
        <v>3878666.666666667</v>
      </c>
      <c r="J105" s="150">
        <f t="shared" si="31"/>
        <v>3878666.666666667</v>
      </c>
      <c r="K105" s="150">
        <f t="shared" si="31"/>
        <v>3878666.666666667</v>
      </c>
      <c r="L105" s="150">
        <f t="shared" si="31"/>
        <v>3878666.666666667</v>
      </c>
      <c r="M105" s="150">
        <f t="shared" si="31"/>
        <v>3878666.666666667</v>
      </c>
      <c r="N105" s="150">
        <f t="shared" si="31"/>
        <v>3878666.666666667</v>
      </c>
      <c r="O105" s="150">
        <f t="shared" si="31"/>
        <v>3878666.666666667</v>
      </c>
      <c r="P105" s="150">
        <f t="shared" si="31"/>
        <v>3878666.666666667</v>
      </c>
      <c r="Q105" s="150">
        <f t="shared" si="31"/>
        <v>3878666.666666667</v>
      </c>
      <c r="R105" s="150">
        <f t="shared" si="31"/>
        <v>3878666.666666667</v>
      </c>
      <c r="S105" s="150">
        <f t="shared" si="31"/>
        <v>3878666.666666667</v>
      </c>
    </row>
    <row r="106" spans="1:19" ht="15" customHeight="1">
      <c r="A106" s="152" t="s">
        <v>212</v>
      </c>
      <c r="B106" s="150">
        <f ca="1">SUM(H106:S106)/12</f>
        <v>461250</v>
      </c>
      <c r="C106" s="150">
        <f ca="1">SUM(H106:S106)</f>
        <v>5535000</v>
      </c>
      <c r="D106" s="163">
        <f ca="1">+'inversion af'!D174</f>
        <v>5535000</v>
      </c>
      <c r="E106" s="163">
        <f ca="1">+'inversion af'!E174</f>
        <v>5535000</v>
      </c>
      <c r="F106" s="154" t="s">
        <v>605</v>
      </c>
      <c r="G106" s="154" t="s">
        <v>605</v>
      </c>
      <c r="H106" s="162">
        <f ca="1">+'inversion af'!C184</f>
        <v>461250</v>
      </c>
      <c r="I106" s="162">
        <f ca="1">+'inversion af'!D184</f>
        <v>461250</v>
      </c>
      <c r="J106" s="162">
        <f ca="1">+'inversion af'!E184</f>
        <v>461250</v>
      </c>
      <c r="K106" s="162">
        <f ca="1">+'inversion af'!F184</f>
        <v>461250</v>
      </c>
      <c r="L106" s="162">
        <f ca="1">+'inversion af'!G184</f>
        <v>461250</v>
      </c>
      <c r="M106" s="162">
        <f ca="1">+'inversion af'!H184</f>
        <v>461250</v>
      </c>
      <c r="N106" s="162">
        <f ca="1">+'inversion af'!I184</f>
        <v>461250</v>
      </c>
      <c r="O106" s="162">
        <f ca="1">+'inversion af'!J184</f>
        <v>461250</v>
      </c>
      <c r="P106" s="162">
        <f ca="1">+'inversion af'!K184</f>
        <v>461250</v>
      </c>
      <c r="Q106" s="162">
        <f ca="1">+'inversion af'!L184</f>
        <v>461250</v>
      </c>
      <c r="R106" s="162">
        <f ca="1">+'inversion af'!M184</f>
        <v>461250</v>
      </c>
      <c r="S106" s="162">
        <f ca="1">+'inversion af'!N184</f>
        <v>461250</v>
      </c>
    </row>
    <row r="107" spans="1:19" ht="15" customHeight="1">
      <c r="A107" s="148" t="s">
        <v>49</v>
      </c>
      <c r="B107" s="150">
        <f t="shared" ref="B107:G107" ca="1" si="32">SUM(B102:B106)</f>
        <v>10264916.666666666</v>
      </c>
      <c r="C107" s="150">
        <f ca="1">SUM(C102:C106)</f>
        <v>123179000</v>
      </c>
      <c r="D107" s="150">
        <f ca="1">SUM(D102:D106)</f>
        <v>142910320</v>
      </c>
      <c r="E107" s="150">
        <f ca="1">SUM(E102:E106)</f>
        <v>163828269.59999999</v>
      </c>
      <c r="F107" s="159">
        <f t="shared" si="32"/>
        <v>89610813.288000003</v>
      </c>
      <c r="G107" s="159">
        <f t="shared" si="32"/>
        <v>92299137.686639994</v>
      </c>
      <c r="H107" s="149">
        <f ca="1">SUM(H103:H106)</f>
        <v>10264916.666666668</v>
      </c>
      <c r="I107" s="149">
        <f t="shared" ref="I107:S107" ca="1" si="33">SUM(I103:I106)</f>
        <v>10264916.666666668</v>
      </c>
      <c r="J107" s="149">
        <f t="shared" ca="1" si="33"/>
        <v>10264916.666666668</v>
      </c>
      <c r="K107" s="149">
        <f t="shared" ca="1" si="33"/>
        <v>10264916.666666668</v>
      </c>
      <c r="L107" s="149">
        <f t="shared" ca="1" si="33"/>
        <v>10264916.666666668</v>
      </c>
      <c r="M107" s="149">
        <f t="shared" ca="1" si="33"/>
        <v>10264916.666666668</v>
      </c>
      <c r="N107" s="149">
        <f t="shared" ca="1" si="33"/>
        <v>10264916.666666668</v>
      </c>
      <c r="O107" s="149">
        <f t="shared" ca="1" si="33"/>
        <v>10264916.666666668</v>
      </c>
      <c r="P107" s="149">
        <f t="shared" ca="1" si="33"/>
        <v>10264916.666666668</v>
      </c>
      <c r="Q107" s="149">
        <f t="shared" ca="1" si="33"/>
        <v>10264916.666666668</v>
      </c>
      <c r="R107" s="149">
        <f t="shared" ca="1" si="33"/>
        <v>10264916.666666668</v>
      </c>
      <c r="S107" s="149">
        <f t="shared" ca="1" si="33"/>
        <v>10264916.666666668</v>
      </c>
    </row>
    <row r="108" spans="1:19" ht="15" customHeight="1">
      <c r="A108" s="152" t="s">
        <v>605</v>
      </c>
      <c r="B108" s="153" t="s">
        <v>605</v>
      </c>
      <c r="C108" s="153" t="s">
        <v>605</v>
      </c>
      <c r="D108" s="153" t="s">
        <v>605</v>
      </c>
      <c r="E108" s="153" t="s">
        <v>605</v>
      </c>
      <c r="F108" s="154" t="s">
        <v>605</v>
      </c>
      <c r="G108" s="154" t="s">
        <v>605</v>
      </c>
    </row>
    <row r="109" spans="1:19" ht="15" customHeight="1">
      <c r="B109" s="150"/>
      <c r="C109" s="150"/>
      <c r="D109" s="150"/>
      <c r="E109" s="150"/>
      <c r="F109" s="150"/>
      <c r="G109" s="150"/>
    </row>
    <row r="110" spans="1:19" ht="15" customHeight="1">
      <c r="B110" s="150"/>
      <c r="C110" s="150"/>
      <c r="D110" s="937" t="s">
        <v>907</v>
      </c>
      <c r="E110" s="150"/>
      <c r="F110" s="150"/>
      <c r="G110" s="150"/>
    </row>
    <row r="111" spans="1:19" ht="15" customHeight="1">
      <c r="A111" s="148" t="s">
        <v>150</v>
      </c>
      <c r="B111" s="150"/>
      <c r="C111" s="150"/>
      <c r="D111" s="937" t="s">
        <v>869</v>
      </c>
      <c r="E111" s="938">
        <v>12</v>
      </c>
      <c r="F111" s="938">
        <v>15</v>
      </c>
      <c r="G111" s="938">
        <v>218</v>
      </c>
      <c r="H111" s="935"/>
    </row>
    <row r="112" spans="1:19" ht="15" customHeight="1">
      <c r="B112" s="150"/>
      <c r="C112" s="150"/>
      <c r="D112" s="150"/>
      <c r="E112" s="164">
        <f>1+E111/100</f>
        <v>1.1200000000000001</v>
      </c>
      <c r="F112" s="164">
        <f>1+F111/100</f>
        <v>1.1499999999999999</v>
      </c>
      <c r="G112" s="164">
        <f>1+G111/100</f>
        <v>3.18</v>
      </c>
    </row>
    <row r="113" spans="1:8" ht="15" customHeight="1">
      <c r="A113" s="152" t="s">
        <v>605</v>
      </c>
      <c r="B113" s="153" t="s">
        <v>605</v>
      </c>
      <c r="C113" s="150"/>
      <c r="D113" s="150"/>
      <c r="E113" s="150"/>
      <c r="F113" s="150"/>
      <c r="G113" s="150"/>
    </row>
    <row r="114" spans="1:8" ht="15" customHeight="1">
      <c r="A114" s="148" t="s">
        <v>635</v>
      </c>
      <c r="B114" s="160" t="s">
        <v>151</v>
      </c>
      <c r="C114" s="150"/>
      <c r="D114" s="150"/>
      <c r="E114" s="150"/>
      <c r="F114" s="150"/>
      <c r="G114" s="150"/>
    </row>
    <row r="115" spans="1:8" ht="15" customHeight="1">
      <c r="A115" s="152" t="s">
        <v>605</v>
      </c>
      <c r="B115" s="153" t="s">
        <v>605</v>
      </c>
      <c r="C115" s="150"/>
      <c r="D115" s="150"/>
      <c r="E115" s="150"/>
      <c r="F115" s="150"/>
      <c r="G115" s="150"/>
    </row>
    <row r="116" spans="1:8" ht="15" customHeight="1">
      <c r="A116" s="150" t="str">
        <f>+'datos de entrada'!A398</f>
        <v>INVESTIGACION PROYECTO</v>
      </c>
      <c r="B116" s="150">
        <f>+'datos de entrada'!B398</f>
        <v>500000</v>
      </c>
      <c r="C116" s="150"/>
      <c r="D116" s="150" t="str">
        <f>+VISUAL!A160</f>
        <v>VENTAS</v>
      </c>
      <c r="E116" s="165">
        <f>IF($D$110=" año 1",+VISUAL!C160,IF($D$110=" año 2",+VISUAL!D160,IF($D$110=" año 3",+VISUAL!E160,0)))</f>
        <v>484461045.89999998</v>
      </c>
      <c r="F116" s="165">
        <f>IF($D$111="I",+$E$116*$E$112,E116)</f>
        <v>484461045.89999998</v>
      </c>
      <c r="G116" s="165">
        <f>IF($D$111="I",+$E$116*$F$112,F116)</f>
        <v>484461045.89999998</v>
      </c>
      <c r="H116" s="165">
        <f>IF($D$111="I",+$E$116*$G$112,G116)</f>
        <v>484461045.89999998</v>
      </c>
    </row>
    <row r="117" spans="1:8" ht="15" customHeight="1">
      <c r="A117" s="150" t="str">
        <f>+'datos de entrada'!A399</f>
        <v/>
      </c>
      <c r="B117" s="150">
        <f>+'datos de entrada'!B399</f>
        <v>0</v>
      </c>
      <c r="C117" s="150"/>
      <c r="D117" s="150" t="str">
        <f>+VISUAL!A162&amp;VISUAL!A166</f>
        <v xml:space="preserve">  + COMPRAS  + MANO DE OBRA VARIABLE</v>
      </c>
      <c r="E117" s="165">
        <f>IF($D$110=" año 1",+VISUAL!C162+VISUAL!C166,IF($D$110=" año 2",+VISUAL!D162+VISUAL!D166,IF($D$110=" año 3",+VISUAL!E162+VISUAL!E166,0)))</f>
        <v>215316020.40000001</v>
      </c>
      <c r="F117" s="165">
        <f>IF($D$111="i",+$E117*E$112,IF($D$111="CV",$E117*E112,$E117))</f>
        <v>241153942.84800002</v>
      </c>
      <c r="G117" s="165">
        <f>IF($D$111="i",+$E$117*F$112,IF($D$111="CV",$E$117*F112,$E$117))</f>
        <v>247613423.45999998</v>
      </c>
      <c r="H117" s="165">
        <f>IF($D$111="i",+$E$117*G$112,IF($D$111="CV",$E$117*G112,$E$117))</f>
        <v>684704944.8720001</v>
      </c>
    </row>
    <row r="118" spans="1:8" ht="15" customHeight="1">
      <c r="A118" s="150" t="str">
        <f>+'datos de entrada'!A400</f>
        <v/>
      </c>
      <c r="B118" s="150">
        <f>+'datos de entrada'!B400</f>
        <v>0</v>
      </c>
      <c r="C118" s="150"/>
      <c r="D118" s="150" t="str">
        <f>+VISUAL!A165</f>
        <v xml:space="preserve">  + MANO DE OBRA FIJA</v>
      </c>
      <c r="E118" s="165">
        <f>IF($D$110=" año 1",+VISUAL!C165,IF($D$110=" año 2",+VISUAL!D165,IF($D$110=" año 3",+VISUAL!E165,0)))</f>
        <v>71292480</v>
      </c>
      <c r="F118" s="165">
        <f>IF($D$111="CF",$E118*E112,$E118)</f>
        <v>71292480</v>
      </c>
      <c r="G118" s="165">
        <f>IF($D$111="CF",$E$118*F112,$E$118)</f>
        <v>71292480</v>
      </c>
      <c r="H118" s="165">
        <f>IF($D$111="CF",$E$118*G112,$E$118)</f>
        <v>71292480</v>
      </c>
    </row>
    <row r="119" spans="1:8" ht="15" customHeight="1">
      <c r="A119" s="150" t="str">
        <f>+'datos de entrada'!A401</f>
        <v/>
      </c>
      <c r="B119" s="150">
        <f>+'datos de entrada'!B401</f>
        <v>0</v>
      </c>
      <c r="C119" s="150"/>
      <c r="D119" s="150" t="str">
        <f>+VISUAL!A167</f>
        <v xml:space="preserve">  + COSTOS FIJOS DE PRODUCCION</v>
      </c>
      <c r="E119" s="165">
        <f>IF($D$110=" año 1",+VISUAL!C167,IF($D$110=" año 2",+VISUAL!D167,IF($D$110=" año 3",+VISUAL!E167,0)))</f>
        <v>29973000</v>
      </c>
      <c r="F119" s="165">
        <f>IF($D$111="CF",$E119*E$112,$E119)</f>
        <v>29973000</v>
      </c>
      <c r="G119" s="165">
        <f>IF($D$111="CF",$E119*F112,$E119)</f>
        <v>29973000</v>
      </c>
      <c r="H119" s="165">
        <f>IF($D$111="CF",$E119*G112,$E119)</f>
        <v>29973000</v>
      </c>
    </row>
    <row r="120" spans="1:8" ht="15" customHeight="1">
      <c r="A120" s="150" t="str">
        <f>+'datos de entrada'!A402</f>
        <v/>
      </c>
      <c r="B120" s="150">
        <f>+'datos de entrada'!B402</f>
        <v>0</v>
      </c>
      <c r="C120" s="150"/>
      <c r="D120" s="150" t="str">
        <f>+VISUAL!A168</f>
        <v xml:space="preserve">  + DEPRECIACION Y DIFERIDOS</v>
      </c>
      <c r="E120" s="165">
        <f ca="1">IF($D$110=" año 1",+VISUAL!C168,IF($D$110=" año 2",+VISUAL!D168,IF($D$110=" año 3",+VISUAL!E168,0)))</f>
        <v>5535000</v>
      </c>
      <c r="F120" s="165">
        <f ca="1">+$E$120</f>
        <v>5535000</v>
      </c>
      <c r="G120" s="165">
        <f ca="1">+$E$120</f>
        <v>5535000</v>
      </c>
      <c r="H120" s="165">
        <f ca="1">+$E$120</f>
        <v>5535000</v>
      </c>
    </row>
    <row r="121" spans="1:8" ht="15" customHeight="1">
      <c r="A121" s="150" t="str">
        <f>+'datos de entrada'!A403</f>
        <v/>
      </c>
      <c r="B121" s="150">
        <f>+'datos de entrada'!B403</f>
        <v>0</v>
      </c>
      <c r="C121" s="150"/>
      <c r="D121" s="149" t="str">
        <f>+VISUAL!A169</f>
        <v>TOTAL COSTO DE VENTAS</v>
      </c>
      <c r="E121" s="150">
        <f ca="1">+E117+E118+E119+E120</f>
        <v>322116500.39999998</v>
      </c>
      <c r="F121" s="150">
        <f ca="1">+F117+F118+F119+F120</f>
        <v>347954422.84800005</v>
      </c>
      <c r="G121" s="150">
        <f ca="1">+G117+G118+G119+G120</f>
        <v>354413903.45999998</v>
      </c>
      <c r="H121" s="150">
        <f ca="1">+H117+H118+H119+H120</f>
        <v>791505424.8720001</v>
      </c>
    </row>
    <row r="122" spans="1:8" ht="15" customHeight="1">
      <c r="A122" s="150" t="str">
        <f>+'datos de entrada'!A404</f>
        <v/>
      </c>
      <c r="B122" s="150">
        <f>+'datos de entrada'!B404</f>
        <v>0</v>
      </c>
      <c r="D122" s="150" t="str">
        <f>+VISUAL!A170</f>
        <v>UTILIDAD BRUTA (Ventas - costo de ventas)</v>
      </c>
      <c r="E122" s="150">
        <f ca="1">+E116-E121</f>
        <v>162344545.5</v>
      </c>
      <c r="F122" s="150">
        <f ca="1">+F116-F121</f>
        <v>136506623.05199993</v>
      </c>
      <c r="G122" s="150">
        <f ca="1">+G116-G121</f>
        <v>130047142.44</v>
      </c>
      <c r="H122" s="150">
        <f ca="1">+H116-H121</f>
        <v>-307044378.97200012</v>
      </c>
    </row>
    <row r="123" spans="1:8" ht="15" customHeight="1">
      <c r="A123" s="150" t="str">
        <f>+'datos de entrada'!A405</f>
        <v/>
      </c>
      <c r="B123" s="150">
        <f>+'datos de entrada'!B405</f>
        <v>0</v>
      </c>
      <c r="D123" s="150" t="str">
        <f>+VISUAL!A171</f>
        <v>GASTOS ADMINISTRATIVOS</v>
      </c>
      <c r="E123" s="165">
        <f>IF($D$110=" año 1",+VISUAL!C171,IF($D$110=" año 2",+VISUAL!D171,IF($D$110=" año 3",+VISUAL!E171,0)))</f>
        <v>57027789.600000001</v>
      </c>
      <c r="F123" s="165">
        <f>IF($D$111="CF",$E123*E$112,$E123)</f>
        <v>57027789.600000001</v>
      </c>
      <c r="G123" s="165">
        <f>IF($D$111="CF",$E123*F$112,$E123)</f>
        <v>57027789.600000001</v>
      </c>
      <c r="H123" s="165">
        <f>IF($D$111="CF",$E123*G$112,$E123)</f>
        <v>57027789.600000001</v>
      </c>
    </row>
    <row r="124" spans="1:8" ht="15" customHeight="1">
      <c r="A124" s="150" t="str">
        <f>+'datos de entrada'!A406</f>
        <v/>
      </c>
      <c r="B124" s="150">
        <f>+'datos de entrada'!B406</f>
        <v>0</v>
      </c>
      <c r="D124" s="150" t="str">
        <f>+VISUAL!A172</f>
        <v>GASTOS DE VENTAS</v>
      </c>
      <c r="E124" s="165">
        <f>IF($D$110=" año 1",+VISUAL!C172,IF($D$110=" año 2",+VISUAL!D172,IF($D$110=" año 3",+VISUAL!E172,0)))</f>
        <v>6317372.0385359991</v>
      </c>
      <c r="F124" s="165">
        <f>IF($D$111="i",+$E124*E$112,IF($D$111="CV",$E124*E112,$E124))</f>
        <v>7075456.6831603199</v>
      </c>
      <c r="G124" s="165">
        <f>IF($D$111="i",+$E124*F$112,IF($D$111="CV",$E124*F112,$E124))</f>
        <v>7264977.8443163987</v>
      </c>
      <c r="H124" s="165">
        <f>IF($D$111="i",+$E124*G$112,IF($D$111="CV",$E124*G112,$E124))</f>
        <v>20089243.08254448</v>
      </c>
    </row>
    <row r="125" spans="1:8" ht="15" customHeight="1">
      <c r="A125" s="935" t="s">
        <v>605</v>
      </c>
      <c r="B125" s="936">
        <f>SUM(B116:B124)</f>
        <v>500000</v>
      </c>
      <c r="D125" s="150" t="str">
        <f>+VISUAL!A173</f>
        <v>UTILIDAD OPERACIONAL (utilidad bruta- G.F.)</v>
      </c>
      <c r="E125" s="150">
        <f ca="1">+E122-E123-E124</f>
        <v>98999383.861464009</v>
      </c>
      <c r="F125" s="150">
        <f ca="1">+F122-F123-F124</f>
        <v>72403376.768839613</v>
      </c>
      <c r="G125" s="150">
        <f ca="1">+G122-G123-G124</f>
        <v>65754374.995683603</v>
      </c>
      <c r="H125" s="150">
        <f ca="1">+H122-H123-H124</f>
        <v>-384161411.65454465</v>
      </c>
    </row>
    <row r="126" spans="1:8" ht="15" customHeight="1">
      <c r="A126" s="148" t="s">
        <v>152</v>
      </c>
      <c r="B126" s="150">
        <f>IF(A127=0,SUM(B116:B124)/1,SUM(B116:B124)/A127)</f>
        <v>500000</v>
      </c>
      <c r="D126" s="150" t="str">
        <f>+VISUAL!A175</f>
        <v xml:space="preserve">    - GASTOS FINANCIEROS</v>
      </c>
      <c r="E126" s="150">
        <f>IF($D$110=" año 1",+VISUAL!C175,IF($D$110=" año 2",+VISUAL!D175,IF($D$110=" año 3",+VISUAL!E175,0)))</f>
        <v>0</v>
      </c>
      <c r="F126" s="150">
        <f>+$E$126</f>
        <v>0</v>
      </c>
      <c r="G126" s="150">
        <f>+$E$126</f>
        <v>0</v>
      </c>
      <c r="H126" s="150">
        <f>+$E$126</f>
        <v>0</v>
      </c>
    </row>
    <row r="127" spans="1:8" ht="15" customHeight="1">
      <c r="A127" s="150">
        <f>+'datos de entrada'!C406</f>
        <v>0</v>
      </c>
      <c r="B127" s="149">
        <f>+B126/(12)</f>
        <v>41666.666666666664</v>
      </c>
      <c r="D127" s="150" t="str">
        <f>+VISUAL!A176</f>
        <v xml:space="preserve">    - GASTOS PREOPERATIVOS</v>
      </c>
      <c r="E127" s="150">
        <f>IF($D$110=" año 1",+VISUAL!C176,IF($D$110=" año 2",+VISUAL!D176,IF($D$110=" año 3",+VISUAL!E176,0)))</f>
        <v>0</v>
      </c>
      <c r="F127" s="150">
        <f>+$E$127</f>
        <v>0</v>
      </c>
      <c r="G127" s="150">
        <f>+$E$127</f>
        <v>0</v>
      </c>
      <c r="H127" s="150">
        <f>+$E$127</f>
        <v>0</v>
      </c>
    </row>
    <row r="128" spans="1:8" ht="15" customHeight="1">
      <c r="A128" s="149">
        <f>IF(A127&gt;1,A127-1,0)</f>
        <v>0</v>
      </c>
      <c r="B128" s="149">
        <f>+$B$126*A128</f>
        <v>0</v>
      </c>
      <c r="D128" s="150" t="str">
        <f>+VISUAL!A177</f>
        <v>UTILIDAD ANTES DE IMPUESTOS (U.O. - Otr G.)</v>
      </c>
      <c r="E128" s="150">
        <f ca="1">+E125-E126-E127</f>
        <v>98999383.861464009</v>
      </c>
      <c r="F128" s="150">
        <f ca="1">+F125-F126-F127</f>
        <v>72403376.768839613</v>
      </c>
      <c r="G128" s="150">
        <f ca="1">+G125-G126-G127</f>
        <v>65754374.995683603</v>
      </c>
      <c r="H128" s="150">
        <f ca="1">+H125-H126-H127</f>
        <v>-384161411.65454465</v>
      </c>
    </row>
    <row r="129" spans="1:8" ht="15" customHeight="1">
      <c r="A129" s="149">
        <f>IF(A128&gt;1,A128-1,0)</f>
        <v>0</v>
      </c>
      <c r="B129" s="149">
        <f>+$B$126*A129</f>
        <v>0</v>
      </c>
      <c r="D129" s="150" t="str">
        <f>+VISUAL!A178</f>
        <v>IMPUESTOS</v>
      </c>
      <c r="E129" s="162">
        <f ca="1">IF(E128&lt;0,0,E128*0.35)</f>
        <v>34649784.351512402</v>
      </c>
      <c r="F129" s="162">
        <f ca="1">IF(F128&lt;0,0,F128*0.35)</f>
        <v>25341181.869093861</v>
      </c>
      <c r="G129" s="162">
        <f ca="1">IF(G128&lt;0,0,G128*0.35)</f>
        <v>23014031.248489261</v>
      </c>
      <c r="H129" s="162">
        <f ca="1">IF(H128&lt;0,0,H128*0.35)</f>
        <v>0</v>
      </c>
    </row>
    <row r="130" spans="1:8" ht="15" customHeight="1">
      <c r="A130" s="149">
        <f>IF(A129&gt;1,A129-1,0)</f>
        <v>0</v>
      </c>
      <c r="B130" s="149">
        <f>+$B$126*A130</f>
        <v>0</v>
      </c>
      <c r="D130" s="150" t="str">
        <f>+VISUAL!A179</f>
        <v>UTILIDAD NETA</v>
      </c>
      <c r="E130" s="150">
        <f ca="1">+E128-E129</f>
        <v>64349599.509951606</v>
      </c>
      <c r="F130" s="150">
        <f ca="1">+F128-F129</f>
        <v>47062194.899745747</v>
      </c>
      <c r="G130" s="150">
        <f ca="1">+G128-G129</f>
        <v>42740343.747194342</v>
      </c>
      <c r="H130" s="150">
        <f ca="1">+H128-H129</f>
        <v>-384161411.65454465</v>
      </c>
    </row>
    <row r="131" spans="1:8" ht="15" customHeight="1">
      <c r="A131" s="149">
        <f>IF(A130&gt;1,A130-1,0)</f>
        <v>0</v>
      </c>
      <c r="B131" s="149">
        <f>+$B$126*A131</f>
        <v>0</v>
      </c>
      <c r="D131" s="149" t="s">
        <v>765</v>
      </c>
      <c r="E131" s="166">
        <f ca="1">IF(E130=0,0,E130/E116)</f>
        <v>0.13282719024479489</v>
      </c>
      <c r="F131" s="166">
        <f ca="1">IF(F130=0,0,F130/F116)</f>
        <v>9.7143403578128118E-2</v>
      </c>
      <c r="G131" s="166">
        <f ca="1">IF(G130=0,0,G130/G116)</f>
        <v>8.822245691146155E-2</v>
      </c>
      <c r="H131" s="166">
        <f ca="1">IF(H130=0,0,H130/H116)</f>
        <v>-0.79296656543535871</v>
      </c>
    </row>
    <row r="132" spans="1:8" ht="15" customHeight="1">
      <c r="D132" s="149" t="s">
        <v>766</v>
      </c>
      <c r="E132" s="166">
        <f ca="1">IF(E130=0,0,IF($D$110=" AÑO 1",E130/VISUAL!$C$324,IF($D$110=" AÑO 2",E130/VISUAL!$D$324,IF($D$110=" AÑO 3",E130/VISUAL!$E$324,0))))</f>
        <v>0.17265651042963814</v>
      </c>
      <c r="F132" s="166">
        <f ca="1">IF(F130=0,0,IF($D$110=" AÑO 1",F130/VISUAL!$C$324,IF($D$110=" AÑO 2",F130/VISUAL!$D$324,IF($D$110=" AÑO 3",F130/VISUAL!$E$324,0))))</f>
        <v>0.12627264825934151</v>
      </c>
      <c r="G132" s="166">
        <f ca="1">IF(G130=0,0,IF($D$110=" AÑO 1",G130/VISUAL!$C$324,IF($D$110=" AÑO 2",G130/VISUAL!$D$324,IF($D$110=" AÑO 3",G130/VISUAL!$E$324,0))))</f>
        <v>0.11467668271676752</v>
      </c>
      <c r="H132" s="166">
        <f ca="1">IF(H130=0,0,IF($D$110=" AÑO 1",H130/VISUAL!$C$324,IF($D$110=" AÑO 2",H130/VISUAL!$D$324,IF($D$110=" AÑO 3",H130/VISUAL!$E$324,0))))</f>
        <v>-1.0307440805088437</v>
      </c>
    </row>
    <row r="133" spans="1:8" ht="15" customHeight="1">
      <c r="E133" s="150"/>
    </row>
    <row r="134" spans="1:8" ht="15" customHeight="1">
      <c r="E134" s="150"/>
    </row>
    <row r="135" spans="1:8" ht="15" customHeight="1">
      <c r="E135" s="150"/>
    </row>
    <row r="136" spans="1:8" ht="15" customHeight="1">
      <c r="D136" s="150"/>
    </row>
    <row r="353" spans="20:20" ht="15" customHeight="1">
      <c r="T353" s="149">
        <v>450000</v>
      </c>
    </row>
    <row r="354" spans="20:20" ht="15" customHeight="1">
      <c r="T354" s="149">
        <v>450000</v>
      </c>
    </row>
    <row r="355" spans="20:20" ht="15" customHeight="1">
      <c r="T355" s="149">
        <v>450000</v>
      </c>
    </row>
    <row r="372" spans="15:15" ht="15" customHeight="1">
      <c r="O372" s="149">
        <v>700000</v>
      </c>
    </row>
  </sheetData>
  <sheetProtection password="902B" sheet="1" objects="1" scenarios="1"/>
  <phoneticPr fontId="62"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18</vt:i4>
      </vt:variant>
    </vt:vector>
  </HeadingPairs>
  <TitlesOfParts>
    <vt:vector size="31" baseType="lpstr">
      <vt:lpstr>leame</vt:lpstr>
      <vt:lpstr>VER datos de entrada</vt:lpstr>
      <vt:lpstr>datos de entrada</vt:lpstr>
      <vt:lpstr>GRAFIC VTAS</vt:lpstr>
      <vt:lpstr>ventas</vt:lpstr>
      <vt:lpstr>inver y financ</vt:lpstr>
      <vt:lpstr>inversion af</vt:lpstr>
      <vt:lpstr>cost var</vt:lpstr>
      <vt:lpstr>cost fijos</vt:lpstr>
      <vt:lpstr>TEXTOS IMP</vt:lpstr>
      <vt:lpstr>VISUAL</vt:lpstr>
      <vt:lpstr>textos</vt:lpstr>
      <vt:lpstr>ayuda</vt:lpstr>
      <vt:lpstr>'TEXTOS IMP'!Área_de_impresión</vt:lpstr>
      <vt:lpstr>VISUAL!Área_de_impresión</vt:lpstr>
      <vt:lpstr>'VER datos de entrada'!COSTO1</vt:lpstr>
      <vt:lpstr>COSTO1</vt:lpstr>
      <vt:lpstr>'VER datos de entrada'!COSTO2</vt:lpstr>
      <vt:lpstr>COSTO2</vt:lpstr>
      <vt:lpstr>'VER datos de entrada'!COSTO3</vt:lpstr>
      <vt:lpstr>COSTO3</vt:lpstr>
      <vt:lpstr>'VER datos de entrada'!COSTO4</vt:lpstr>
      <vt:lpstr>COSTO4</vt:lpstr>
      <vt:lpstr>'VER datos de entrada'!COSTO5</vt:lpstr>
      <vt:lpstr>COSTO5</vt:lpstr>
      <vt:lpstr>'VER datos de entrada'!COSTO6</vt:lpstr>
      <vt:lpstr>COSTO6</vt:lpstr>
      <vt:lpstr>'VER datos de entrada'!COSTO7</vt:lpstr>
      <vt:lpstr>COSTO7</vt:lpstr>
      <vt:lpstr>'VER datos de entrada'!COSTO8</vt:lpstr>
      <vt:lpstr>COSTO8</vt:lpstr>
    </vt:vector>
  </TitlesOfParts>
  <Manager>Julio Cesar Barragan R</Manager>
  <Company>Camara de Comercio de Bogota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FINANCIERO</dc:title>
  <dc:subject>PLAN FINANCIERO BOGOTA EMPRENDE</dc:subject>
  <dc:creator>Julio Cesar Barragan R</dc:creator>
  <cp:lastModifiedBy>ASUS</cp:lastModifiedBy>
  <cp:lastPrinted>2009-08-15T23:37:59Z</cp:lastPrinted>
  <dcterms:created xsi:type="dcterms:W3CDTF">2008-03-28T13:11:55Z</dcterms:created>
  <dcterms:modified xsi:type="dcterms:W3CDTF">2019-10-17T20:51:35Z</dcterms:modified>
  <cp:category>Simuladores financieros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