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sito\"/>
    </mc:Choice>
  </mc:AlternateContent>
  <bookViews>
    <workbookView xWindow="0" yWindow="0" windowWidth="22056" windowHeight="8940" activeTab="2"/>
  </bookViews>
  <sheets>
    <sheet name="Monitor" sheetId="1" r:id="rId1"/>
    <sheet name="Panel Pc" sheetId="2" r:id="rId2"/>
    <sheet name="Box Pc" sheetId="3" r:id="rId3"/>
    <sheet name="drop-down menù" sheetId="4" state="hidden" r:id="rId4"/>
  </sheets>
  <definedNames>
    <definedName name="Ducati">#REF!</definedName>
    <definedName name="Hond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B12" i="3" s="1"/>
  <c r="B20" i="3" l="1"/>
  <c r="B8" i="3"/>
  <c r="B17" i="3"/>
  <c r="B22" i="3"/>
  <c r="B11" i="3"/>
  <c r="B19" i="3"/>
  <c r="B16" i="3"/>
  <c r="B10" i="3"/>
  <c r="B18" i="3"/>
  <c r="B27" i="2"/>
  <c r="B16" i="2" s="1"/>
  <c r="B11" i="1"/>
  <c r="B9" i="1" s="1"/>
  <c r="B28" i="2" l="1"/>
  <c r="B18" i="2"/>
  <c r="B22" i="2"/>
  <c r="B19" i="2"/>
  <c r="B24" i="2"/>
  <c r="B25" i="2"/>
  <c r="B20" i="2"/>
  <c r="B17" i="2"/>
  <c r="B21" i="2"/>
  <c r="B26" i="2"/>
  <c r="B12" i="1"/>
  <c r="B9" i="2"/>
  <c r="B13" i="2"/>
  <c r="B10" i="2"/>
  <c r="B14" i="2"/>
  <c r="B11" i="2"/>
  <c r="B15" i="2"/>
  <c r="B8" i="2"/>
  <c r="B12" i="2"/>
  <c r="B6" i="1"/>
  <c r="B7" i="1"/>
  <c r="B8" i="1"/>
  <c r="B7" i="3"/>
  <c r="B6" i="3"/>
  <c r="B5" i="3"/>
  <c r="B4" i="3"/>
  <c r="B7" i="2" l="1"/>
  <c r="B6" i="2"/>
  <c r="B4" i="2" l="1"/>
  <c r="B4" i="1" l="1"/>
</calcChain>
</file>

<file path=xl/comments1.xml><?xml version="1.0" encoding="utf-8"?>
<comments xmlns="http://schemas.openxmlformats.org/spreadsheetml/2006/main">
  <authors>
    <author>Francesco Amato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Francesco Amato:
Insert all the green highlighted features.</t>
        </r>
      </text>
    </comment>
  </commentList>
</comments>
</file>

<file path=xl/sharedStrings.xml><?xml version="1.0" encoding="utf-8"?>
<sst xmlns="http://schemas.openxmlformats.org/spreadsheetml/2006/main" count="152" uniqueCount="96">
  <si>
    <t>Features</t>
  </si>
  <si>
    <t>Operating Temperature</t>
  </si>
  <si>
    <t>MONITOR</t>
  </si>
  <si>
    <t>Resolution</t>
  </si>
  <si>
    <t>Touch Type</t>
  </si>
  <si>
    <t>Video Interface</t>
  </si>
  <si>
    <t>Touch Interface</t>
  </si>
  <si>
    <t xml:space="preserve">Power Input </t>
  </si>
  <si>
    <t>Brightness</t>
  </si>
  <si>
    <t>NAME OF THE MONITOR</t>
  </si>
  <si>
    <t>Display size (")</t>
  </si>
  <si>
    <t>Display_size</t>
  </si>
  <si>
    <t>DATA SHEET</t>
  </si>
  <si>
    <t>PANEL PC</t>
  </si>
  <si>
    <t>CPU</t>
  </si>
  <si>
    <t># of cores</t>
  </si>
  <si>
    <t>Frequency</t>
  </si>
  <si>
    <t>L2 Cache</t>
  </si>
  <si>
    <t>Memory</t>
  </si>
  <si>
    <t>HDMI Ports</t>
  </si>
  <si>
    <t>Dual Display</t>
  </si>
  <si>
    <t>VGA</t>
  </si>
  <si>
    <t>USB 3.0 Ports</t>
  </si>
  <si>
    <t>USB 2.0 Ports</t>
  </si>
  <si>
    <t>Serial Ports RS232/422/485</t>
  </si>
  <si>
    <t>Serial Ports RS232</t>
  </si>
  <si>
    <t>Digital I/O</t>
  </si>
  <si>
    <t>Mini PCIe Full size slot</t>
  </si>
  <si>
    <t>Mini PCIe Half size slot</t>
  </si>
  <si>
    <t>mSATA</t>
  </si>
  <si>
    <t>Power Supply Voltage</t>
  </si>
  <si>
    <t>Ethernet</t>
  </si>
  <si>
    <t>NAME OF THE PANEL PC</t>
  </si>
  <si>
    <t>Operating temperature (°)</t>
  </si>
  <si>
    <t>Monitor</t>
  </si>
  <si>
    <t>Panel pc</t>
  </si>
  <si>
    <t>J1900</t>
  </si>
  <si>
    <t>N2930</t>
  </si>
  <si>
    <t>N3700</t>
  </si>
  <si>
    <t>Celeron-G3900</t>
  </si>
  <si>
    <t>Celeron-G3900TE</t>
  </si>
  <si>
    <t>Celeron-G1820TE</t>
  </si>
  <si>
    <t>Pentium-G3320TE</t>
  </si>
  <si>
    <t>Pentium-G4400TE</t>
  </si>
  <si>
    <t>Xeon E3-1275</t>
  </si>
  <si>
    <t>i3-4100E</t>
  </si>
  <si>
    <t>i3-4350</t>
  </si>
  <si>
    <t>i3-6100</t>
  </si>
  <si>
    <t>i5-4300U</t>
  </si>
  <si>
    <t>i5-4400E</t>
  </si>
  <si>
    <t>i5-4590T</t>
  </si>
  <si>
    <t>i5-6500T</t>
  </si>
  <si>
    <t>i5-6500TE</t>
  </si>
  <si>
    <t>i7-4700EQ</t>
  </si>
  <si>
    <t>i7-4785T</t>
  </si>
  <si>
    <t>i7-6700T</t>
  </si>
  <si>
    <t>i7-6700TE</t>
  </si>
  <si>
    <t>CPU type</t>
  </si>
  <si>
    <t>DVI</t>
  </si>
  <si>
    <t>PCI /PCIe</t>
  </si>
  <si>
    <t>SATA</t>
  </si>
  <si>
    <t>Box pc</t>
  </si>
  <si>
    <t>Operating Temperature (°)</t>
  </si>
  <si>
    <t>i3-6100TE</t>
  </si>
  <si>
    <t>Resistive</t>
  </si>
  <si>
    <t>Capacitive</t>
  </si>
  <si>
    <t>Touch type</t>
  </si>
  <si>
    <t>Display size(")</t>
  </si>
  <si>
    <t>i7-3610QE</t>
  </si>
  <si>
    <t>i5-3610ME</t>
  </si>
  <si>
    <t>i3-3120ME</t>
  </si>
  <si>
    <t>Celeron 1020E</t>
  </si>
  <si>
    <t>#of cores</t>
  </si>
  <si>
    <t>2.0</t>
  </si>
  <si>
    <t>Frequency (GHz)</t>
  </si>
  <si>
    <t>1.9</t>
  </si>
  <si>
    <t>2.9</t>
  </si>
  <si>
    <t>2.3</t>
  </si>
  <si>
    <t>2.7</t>
  </si>
  <si>
    <t>2.4</t>
  </si>
  <si>
    <t>2.2</t>
  </si>
  <si>
    <t xml:space="preserve">operating temperature </t>
  </si>
  <si>
    <t>-20/60</t>
  </si>
  <si>
    <t>0/50</t>
  </si>
  <si>
    <t>Dual display</t>
  </si>
  <si>
    <t>Yes</t>
  </si>
  <si>
    <t>DVI-I</t>
  </si>
  <si>
    <t>Triple</t>
  </si>
  <si>
    <t>No</t>
  </si>
  <si>
    <t>BOX PC</t>
  </si>
  <si>
    <t>-20/50</t>
  </si>
  <si>
    <t>-25/70</t>
  </si>
  <si>
    <t>-20/45</t>
  </si>
  <si>
    <t>-20/55</t>
  </si>
  <si>
    <t>USB 2.0</t>
  </si>
  <si>
    <t>Pentium-G440TE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</si>
</sst>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0" xfId="0" applyFill="1"/>
    <xf numFmtId="0" fontId="5" fillId="4" borderId="1" xfId="0" applyFont="1" applyFill="1" applyBorder="1" applyAlignment="1" applyProtection="1">
      <alignment horizontal="left"/>
      <protection hidden="1"/>
    </xf>
    <xf numFmtId="0" fontId="5" fillId="4" borderId="1" xfId="0" applyFont="1" applyFill="1" applyBorder="1" applyAlignment="1" applyProtection="1">
      <alignment horizontal="center"/>
      <protection hidden="1"/>
    </xf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5" fillId="4" borderId="2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protection hidden="1"/>
    </xf>
    <xf numFmtId="0" fontId="0" fillId="2" borderId="0" xfId="0" applyFill="1"/>
    <xf numFmtId="0" fontId="6" fillId="5" borderId="5" xfId="0" applyFont="1" applyFill="1" applyBorder="1" applyAlignment="1">
      <alignment horizontal="center"/>
    </xf>
    <xf numFmtId="0" fontId="6" fillId="0" borderId="0" xfId="0" applyFont="1"/>
    <xf numFmtId="0" fontId="7" fillId="5" borderId="11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4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7" fillId="5" borderId="12" xfId="0" applyFont="1" applyFill="1" applyBorder="1" applyAlignment="1">
      <alignment horizontal="center"/>
    </xf>
    <xf numFmtId="0" fontId="0" fillId="5" borderId="12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5" borderId="8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Protection="1">
      <protection hidden="1"/>
    </xf>
    <xf numFmtId="0" fontId="5" fillId="4" borderId="2" xfId="0" applyFont="1" applyFill="1" applyBorder="1" applyAlignment="1" applyProtection="1">
      <alignment horizontal="left"/>
      <protection hidden="1"/>
    </xf>
    <xf numFmtId="0" fontId="2" fillId="5" borderId="2" xfId="0" applyFont="1" applyFill="1" applyBorder="1" applyAlignment="1" applyProtection="1">
      <alignment horizontal="left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protection hidden="1"/>
    </xf>
    <xf numFmtId="0" fontId="2" fillId="5" borderId="1" xfId="0" applyFont="1" applyFill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protection hidden="1"/>
    </xf>
    <xf numFmtId="0" fontId="5" fillId="0" borderId="0" xfId="0" applyFont="1" applyFill="1" applyBorder="1" applyAlignment="1" applyProtection="1">
      <protection hidden="1"/>
    </xf>
    <xf numFmtId="49" fontId="0" fillId="5" borderId="7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 applyProtection="1">
      <alignment horizontal="center"/>
      <protection locked="0"/>
    </xf>
    <xf numFmtId="0" fontId="7" fillId="5" borderId="12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" fillId="7" borderId="1" xfId="0" applyFont="1" applyFill="1" applyBorder="1" applyAlignment="1" applyProtection="1">
      <alignment horizontal="left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1" fillId="6" borderId="1" xfId="0" applyFont="1" applyFill="1" applyBorder="1" applyAlignment="1" applyProtection="1">
      <alignment horizontal="center"/>
      <protection locked="0" hidden="1"/>
    </xf>
    <xf numFmtId="0" fontId="4" fillId="7" borderId="7" xfId="0" applyFont="1" applyFill="1" applyBorder="1" applyAlignment="1" applyProtection="1">
      <alignment horizontal="center"/>
      <protection hidden="1"/>
    </xf>
    <xf numFmtId="0" fontId="4" fillId="7" borderId="1" xfId="0" applyFont="1" applyFill="1" applyBorder="1" applyAlignment="1" applyProtection="1">
      <alignment horizontal="center"/>
      <protection hidden="1"/>
    </xf>
    <xf numFmtId="0" fontId="4" fillId="7" borderId="8" xfId="0" applyFont="1" applyFill="1" applyBorder="1" applyAlignment="1" applyProtection="1">
      <alignment horizontal="center"/>
      <protection hidden="1"/>
    </xf>
    <xf numFmtId="0" fontId="2" fillId="7" borderId="2" xfId="0" applyFont="1" applyFill="1" applyBorder="1" applyAlignment="1" applyProtection="1">
      <alignment horizontal="left"/>
      <protection hidden="1"/>
    </xf>
    <xf numFmtId="0" fontId="1" fillId="7" borderId="2" xfId="0" applyFont="1" applyFill="1" applyBorder="1" applyAlignment="1" applyProtection="1">
      <alignment horizontal="left"/>
      <protection hidden="1"/>
    </xf>
    <xf numFmtId="0" fontId="2" fillId="7" borderId="9" xfId="0" applyFont="1" applyFill="1" applyBorder="1" applyAlignment="1" applyProtection="1">
      <alignment horizontal="left"/>
      <protection hidden="1"/>
    </xf>
    <xf numFmtId="0" fontId="2" fillId="7" borderId="10" xfId="0" applyFont="1" applyFill="1" applyBorder="1" applyAlignment="1" applyProtection="1">
      <alignment horizontal="left"/>
      <protection hidden="1"/>
    </xf>
    <xf numFmtId="0" fontId="3" fillId="7" borderId="1" xfId="0" applyFont="1" applyFill="1" applyBorder="1" applyAlignment="1" applyProtection="1">
      <alignment horizontal="left"/>
      <protection hidden="1"/>
    </xf>
    <xf numFmtId="0" fontId="0" fillId="7" borderId="2" xfId="0" applyFill="1" applyBorder="1" applyAlignment="1" applyProtection="1">
      <protection hidden="1"/>
    </xf>
    <xf numFmtId="0" fontId="3" fillId="7" borderId="9" xfId="0" applyFont="1" applyFill="1" applyBorder="1" applyAlignment="1" applyProtection="1">
      <protection hidden="1"/>
    </xf>
    <xf numFmtId="0" fontId="3" fillId="7" borderId="2" xfId="0" applyFont="1" applyFill="1" applyBorder="1" applyAlignment="1" applyProtection="1"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12" xfId="0" applyFill="1" applyBorder="1" applyAlignment="1" applyProtection="1">
      <alignment horizontal="center"/>
      <protection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9" fillId="3" borderId="2" xfId="0" applyFont="1" applyFill="1" applyBorder="1" applyAlignment="1" applyProtection="1">
      <alignment horizontal="center"/>
      <protection hidden="1"/>
    </xf>
    <xf numFmtId="0" fontId="9" fillId="3" borderId="3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</cellXfs>
  <cellStyles count="1">
    <cellStyle name="Normale" xfId="0" builtinId="0"/>
  </cellStyles>
  <dxfs count="24"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la3" displayName="Tabella3" ref="A1:A7" totalsRowShown="0" headerRowDxfId="17" dataDxfId="15" headerRowBorderDxfId="16" tableBorderDxfId="14" totalsRowBorderDxfId="13">
  <autoFilter ref="A1:A7"/>
  <sortState ref="A2:A7">
    <sortCondition ref="A1"/>
  </sortState>
  <tableColumns count="1">
    <tableColumn id="1" name="Display_siz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33" displayName="Tabella33" ref="C1:C8" totalsRowShown="0" headerRowDxfId="11" dataDxfId="9" headerRowBorderDxfId="10" tableBorderDxfId="8" totalsRowBorderDxfId="7">
  <autoFilter ref="C1:C8"/>
  <sortState ref="C2:C8">
    <sortCondition ref="C2"/>
  </sortState>
  <tableColumns count="1">
    <tableColumn id="1" name="Display_siz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a332" displayName="Tabella332" ref="E1:E24" totalsRowShown="0" headerRowDxfId="5" dataDxfId="3" headerRowBorderDxfId="4" tableBorderDxfId="2" totalsRowBorderDxfId="1">
  <autoFilter ref="E1:E24"/>
  <tableColumns count="1">
    <tableColumn id="1" name="CPU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A1:E25"/>
  <sheetViews>
    <sheetView workbookViewId="0">
      <selection activeCell="B8" sqref="B8"/>
    </sheetView>
  </sheetViews>
  <sheetFormatPr defaultRowHeight="14.4" x14ac:dyDescent="0.3"/>
  <cols>
    <col min="1" max="1" width="24.33203125" style="34" bestFit="1" customWidth="1"/>
    <col min="2" max="2" width="18.5546875" style="42" bestFit="1" customWidth="1"/>
    <col min="3" max="4" width="8.88671875" style="34" customWidth="1"/>
    <col min="5" max="16384" width="8.88671875" style="34"/>
  </cols>
  <sheetData>
    <row r="1" spans="1:5" ht="18.600000000000001" thickBot="1" x14ac:dyDescent="0.4">
      <c r="A1" s="74" t="s">
        <v>2</v>
      </c>
      <c r="B1" s="75"/>
      <c r="E1" s="39"/>
    </row>
    <row r="2" spans="1:5" ht="15" thickBot="1" x14ac:dyDescent="0.35">
      <c r="A2" s="76" t="s">
        <v>0</v>
      </c>
      <c r="B2" s="77"/>
    </row>
    <row r="3" spans="1:5" ht="15" thickBot="1" x14ac:dyDescent="0.35">
      <c r="A3" s="57" t="s">
        <v>10</v>
      </c>
      <c r="B3" s="59">
        <v>18.5</v>
      </c>
    </row>
    <row r="4" spans="1:5" ht="15" thickBot="1" x14ac:dyDescent="0.35">
      <c r="A4" s="57" t="s">
        <v>3</v>
      </c>
      <c r="B4" s="58" t="str">
        <f>IF(B3=21.5,"1920*1080",IF(B3=18.5,"1366*768",IF(B3=17,"1280*1024",IF(B3=15,"1024*768",IF(B3=12.1,"1024*768",IF(B3=10.4,"800*600",""))))))</f>
        <v>1366*768</v>
      </c>
    </row>
    <row r="5" spans="1:5" ht="15" thickBot="1" x14ac:dyDescent="0.35">
      <c r="A5" s="57" t="s">
        <v>4</v>
      </c>
      <c r="B5" s="59" t="s">
        <v>65</v>
      </c>
    </row>
    <row r="6" spans="1:5" ht="15" thickBot="1" x14ac:dyDescent="0.35">
      <c r="A6" s="57" t="s">
        <v>5</v>
      </c>
      <c r="B6" s="58" t="str">
        <f>IF(B11="VID-3218","VGA",IF(B11="VID-3221","VGA,DVI-D,HDMI",IF(B11="VID-3312P","VGA",IF(B11="VID-3312R","VGA",IF(B11="VID-3210P","VGA",IF(B11="VID-3210R","VGA",IF(B11="VID-3217P","VGA",IF(B11="VID-3217R","VGA",IF(B11="VID-3215R","VGA",IF(B11="VID-3215P","VGA",IF(B11="VID-3015","VGA","")))))))))))</f>
        <v/>
      </c>
    </row>
    <row r="7" spans="1:5" ht="15" thickBot="1" x14ac:dyDescent="0.35">
      <c r="A7" s="57" t="s">
        <v>6</v>
      </c>
      <c r="B7" s="58" t="str">
        <f>IF(B11="VID-3218","USB",IF(B11="VID-3221","USB",IF(B11="VID-3312P","USB",IF(B11="VID-3312R","USB",IF(B11="VID-3210P","USB,RS-232",IF(B11="VID-3210R","USB,RS-232",IF(B11="VID-3217P","USB",IF(B11="VID-3217R","USB,RS-232",IF(B11="VID-3215R","USB,RS-232",IF(B11="VID-3215P","USB,RS-232",IF(B11="VID-3015","USB,RS-232(optional)","")))))))))))</f>
        <v/>
      </c>
    </row>
    <row r="8" spans="1:5" ht="15" thickBot="1" x14ac:dyDescent="0.35">
      <c r="A8" s="57" t="s">
        <v>7</v>
      </c>
      <c r="B8" s="58" t="str">
        <f>IF(B11="VID-3218","12 V",IF(B11="VID-3221","12 V",IF(B11="VID-3312P","12-24 V",IF(B11="VID-3312R","12-24 V",IF(B11="VID-3210P","12-24 V",IF(B11="VID-3210R","12-24 V",IF(B11="VID-3217P","12-24 V",IF(B11="VID-3217R","12-24 V",IF(B11="VID-3215R","12-24 V",IF(B11="VID-3215P","12-24 V",IF(B11="VID-3015","12-24 V","")))))))))))</f>
        <v/>
      </c>
    </row>
    <row r="9" spans="1:5" ht="15" thickBot="1" x14ac:dyDescent="0.35">
      <c r="A9" s="57" t="s">
        <v>8</v>
      </c>
      <c r="B9" s="58" t="str">
        <f>IF(B11="VID-3218","250",IF(B11="VID-3221","250",IF(B11="VID-3312P","450",IF(B11="VID-3312R","450",IF(B11="VID-3210P","230",IF(B11="VID-3210R","230",IF(B11="VID-3217P","350",IF(B11="VID-3217R","350",IF(B11="VID-3215R","250",IF(B11="VID-3215P","250",IF(B11="VID-3015","300","")))))))))))</f>
        <v/>
      </c>
    </row>
    <row r="10" spans="1:5" ht="15" thickBot="1" x14ac:dyDescent="0.35">
      <c r="A10" s="57" t="s">
        <v>1</v>
      </c>
      <c r="B10" s="59" t="s">
        <v>82</v>
      </c>
    </row>
    <row r="11" spans="1:5" ht="16.2" thickBot="1" x14ac:dyDescent="0.35">
      <c r="A11" s="6" t="s">
        <v>9</v>
      </c>
      <c r="B11" s="7" t="str">
        <f>IF(AND(B3=18.5,B5="Capacitive",B10="0/50"),"VID-3218",IF(AND(B3=21.5,B5="Capacitive",B10="0/50"),"VID-3221",IF(AND(B3=12.1,B5="Capacitive",B10="-20/60"),"VID-3312P",IF(AND(B3=12.1,B5="Resistive",B10="-20/60"),"VID-3312R",IF(AND(B3=10.4,B5="Capacitive",B10="-20/60"),"VID-3210P",IF(AND(B3=10.4,B5="Resistive",B10="-20/60"),"VID-3210R",IF(AND(B3=17,B5="Capacitive",B10="-20/60"),"VID-3217P",IF(AND(B3=17,B5="Resistive",B10="-20/60"),"VID-3217R",IF(AND(B3=15,B5="Resistive",B10="0/50"),"VID-3215R",IF(AND(B3=15,B5="Capacitive",B10="0/50"),"VID-3215P",IF(AND(B3=15,B5="Capacitive",B10="-20/60"),"VID-3015","Contact Sales")))))))))))</f>
        <v>Contact Sales</v>
      </c>
    </row>
    <row r="12" spans="1:5" ht="15" thickBot="1" x14ac:dyDescent="0.35">
      <c r="A12" s="40" t="s">
        <v>12</v>
      </c>
      <c r="B12" s="37" t="str">
        <f>IF(B11="VID-3015",HYPERLINK("C:\Users\Francesco\Documents\Alternanza scuola lavoro\Datasheet\Monitor\VIA_VID_3015.pdf","VID-3015"),IF(B11="VID-3215P",HYPERLINK("C:\Users\Francesco\Documents\Alternanza scuola lavoro\Datasheet\Monitor\VIA_VID_3215.pdf","VID-3215"),IF(B11="VID-3215R",HYPERLINK("C:\Users\Francesco\Documents\Alternanza scuola lavoro\Datasheet\Monitor\VIA_VID_3215.pdf","VID-3215"),"Contact Sales")))</f>
        <v>Contact Sales</v>
      </c>
    </row>
    <row r="13" spans="1:5" x14ac:dyDescent="0.3">
      <c r="A13" s="41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  <row r="18" spans="1:1" x14ac:dyDescent="0.3">
      <c r="A18" s="41"/>
    </row>
    <row r="19" spans="1:1" x14ac:dyDescent="0.3">
      <c r="A19" s="43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3"/>
    </row>
    <row r="24" spans="1:1" x14ac:dyDescent="0.3">
      <c r="A24" s="43"/>
    </row>
    <row r="25" spans="1:1" x14ac:dyDescent="0.3">
      <c r="A25" s="44"/>
    </row>
  </sheetData>
  <sheetProtection algorithmName="SHA-512" hashValue="XrNjGzMP7qZlZ0qAn2++/dMbUJiE1/qbGvhmTV33M8P74bpwCzAtNJqFlRVXUdUJmAgjL9sjI6ykNMUZLvXdlQ==" saltValue="zvbZjC1qIXKdkfbpnlFwEA==" spinCount="100000" sheet="1" objects="1" scenarios="1"/>
  <sortState ref="D2:D7">
    <sortCondition ref="D2"/>
  </sortState>
  <mergeCells count="2">
    <mergeCell ref="A1:B1"/>
    <mergeCell ref="A2:B2"/>
  </mergeCells>
  <conditionalFormatting sqref="B3 B5 B10">
    <cfRule type="containsBlanks" dxfId="23" priority="2">
      <formula>LEN(TRIM(B3))=0</formula>
    </cfRule>
  </conditionalFormatting>
  <conditionalFormatting sqref="B3 B5 B10">
    <cfRule type="notContainsBlanks" dxfId="22" priority="1">
      <formula>LEN(TRIM(B3))&gt;0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17" yWindow="351" count="3">
        <x14:dataValidation type="list" allowBlank="1" showInputMessage="1" showErrorMessage="1" error="Display size inserted it's wrong" prompt="Insert Display size">
          <x14:formula1>
            <xm:f>'drop-down menù'!$A$2:$A$7</xm:f>
          </x14:formula1>
          <xm:sqref>B3</xm:sqref>
        </x14:dataValidation>
        <x14:dataValidation type="list" allowBlank="1" showInputMessage="1" showErrorMessage="1" error="Wrong touch type inserted" prompt="Insert touch type">
          <x14:formula1>
            <xm:f>'drop-down menù'!$G$2:$G$3</xm:f>
          </x14:formula1>
          <xm:sqref>B5</xm:sqref>
        </x14:dataValidation>
        <x14:dataValidation type="list" allowBlank="1" showInputMessage="1" showErrorMessage="1" error="Wrong operating temperature inserted" prompt="Insert operating temperature">
          <x14:formula1>
            <xm:f>'drop-down menù'!$G$15:$G$16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8"/>
  <sheetViews>
    <sheetView zoomScale="91" zoomScaleNormal="91" workbookViewId="0">
      <selection activeCell="G21" sqref="G21"/>
    </sheetView>
  </sheetViews>
  <sheetFormatPr defaultRowHeight="14.4" x14ac:dyDescent="0.3"/>
  <cols>
    <col min="1" max="1" width="26.21875" style="34" bestFit="1" customWidth="1"/>
    <col min="2" max="2" width="44.5546875" style="34" bestFit="1" customWidth="1"/>
    <col min="3" max="4" width="8.88671875" style="34" customWidth="1"/>
    <col min="5" max="10" width="8.88671875" style="34"/>
    <col min="11" max="11" width="9.21875" style="34" customWidth="1"/>
    <col min="12" max="12" width="9" style="34" customWidth="1"/>
    <col min="13" max="13" width="8.88671875" style="34"/>
    <col min="14" max="14" width="8.88671875" style="34" customWidth="1"/>
    <col min="15" max="16384" width="8.88671875" style="34"/>
  </cols>
  <sheetData>
    <row r="1" spans="1:3" ht="18.600000000000001" thickBot="1" x14ac:dyDescent="0.4">
      <c r="A1" s="74" t="s">
        <v>13</v>
      </c>
      <c r="B1" s="75"/>
      <c r="C1" s="11"/>
    </row>
    <row r="2" spans="1:3" ht="15" thickBot="1" x14ac:dyDescent="0.35">
      <c r="A2" s="76" t="s">
        <v>0</v>
      </c>
      <c r="B2" s="77"/>
      <c r="C2" s="12"/>
    </row>
    <row r="3" spans="1:3" ht="15" thickBot="1" x14ac:dyDescent="0.35">
      <c r="A3" s="63" t="s">
        <v>67</v>
      </c>
      <c r="B3" s="59">
        <v>6.5</v>
      </c>
    </row>
    <row r="4" spans="1:3" ht="15" thickBot="1" x14ac:dyDescent="0.35">
      <c r="A4" s="63" t="s">
        <v>3</v>
      </c>
      <c r="B4" s="61" t="str">
        <f>IF(B3=6.5,"640*480",IF(B3=10.4,"800*600",IF(B3=12.1,"800*600",IF(B3=15,"1024*768",IF(B3=17,"1280*1024",IF(B3=18.5,"1366*768",IF(B3=21.5,"1920*1080","")))))))</f>
        <v>640*480</v>
      </c>
      <c r="C4" s="19"/>
    </row>
    <row r="5" spans="1:3" ht="15" thickBot="1" x14ac:dyDescent="0.35">
      <c r="A5" s="63" t="s">
        <v>14</v>
      </c>
      <c r="B5" s="59" t="s">
        <v>36</v>
      </c>
      <c r="C5" s="20"/>
    </row>
    <row r="6" spans="1:3" ht="15" thickBot="1" x14ac:dyDescent="0.35">
      <c r="A6" s="64" t="s">
        <v>15</v>
      </c>
      <c r="B6" s="58" t="str">
        <f>IF(B5="J1900","4",IF(B5="i5-4300U","2",IF(B5="i7-3610QE","4",IF(B5="i5-3610ME","2",IF(B5="i3-3120ME","2",IF(B5="Celeron 1020E","2",""))))))</f>
        <v>4</v>
      </c>
      <c r="C6" s="20"/>
    </row>
    <row r="7" spans="1:3" ht="15" thickBot="1" x14ac:dyDescent="0.35">
      <c r="A7" s="63" t="s">
        <v>74</v>
      </c>
      <c r="B7" s="58" t="str">
        <f>IF(B5="J1900","2.0",IF(B27="PPC-156P","1.9",IF(B27="PPC-156R","1.9",IF(B27="PPC-186P","2.9",IF(B5="i7-3610QE","2.3",IF(B5="i5-3610ME","2.7",IF(B5="i3-3120ME","2.4",IF(B5="Celeron 1020E","2.2",""))))))))</f>
        <v>2.0</v>
      </c>
    </row>
    <row r="8" spans="1:3" ht="15" thickBot="1" x14ac:dyDescent="0.35">
      <c r="A8" s="65" t="s">
        <v>17</v>
      </c>
      <c r="B8" s="60" t="str">
        <f>IF(B27="VP-S172PF","2 MB",IF(B27="VP-62R","2 MB",IF(B27="VP-186P","3 MB",IF(B27="VP-102P","2 MB",IF(B27="VP-102R","2 MB",IF(B27="VP-S122P","2 MB",IF(B27="VP-S122R","2 MB",IF(B27="VP-156P","3 MB",IF(B27="VP-156R","3 MB",IF(B5="i7-3610QE","6 MB (L3)",IF(B5="i5-3610ME","3 MB (L3)",IF(B5="i3-3120ME","3 MB (L3)",IF(B5="Celeron 1020E","2 MB (L3)","")))))))))))))</f>
        <v/>
      </c>
      <c r="C8" s="20"/>
    </row>
    <row r="9" spans="1:3" ht="15" thickBot="1" x14ac:dyDescent="0.35">
      <c r="A9" s="63" t="s">
        <v>18</v>
      </c>
      <c r="B9" s="61" t="str">
        <f>IF(B27="VP-S172PF","8 GB",IF(B27="VP-62R","8 GB",IF(B27="VP-186P","8 GB",IF(B27="VP-102P","8 GB",IF(B27="VP-102R","8 GB",IF(B27="VP-S122P","8 GB",IF(B27="VP-S122R","8 GB",IF(B27="VP-156P","8 GB",IF(B27="VP-156R","8 GB",IF(B27="VP-321","16 GB",""))))))))))</f>
        <v/>
      </c>
      <c r="C9" s="20"/>
    </row>
    <row r="10" spans="1:3" ht="15" thickBot="1" x14ac:dyDescent="0.35">
      <c r="A10" s="65" t="s">
        <v>19</v>
      </c>
      <c r="B10" s="61" t="str">
        <f>IF(B27="VP-S172PF","1",IF(B27="VP-S122P","1",IF(B27="VP-S122R","1",IF(B27="VP-62R","1",IF(B27="VP-102P","1",IF(B27="VP-102R","1",IF(B27="VP-156P","2",IF(B27="VP-156R","2",IF(B27="VP-186P","2",IF(B27="VP-321","1",""))))))))))</f>
        <v/>
      </c>
    </row>
    <row r="11" spans="1:3" ht="15" thickBot="1" x14ac:dyDescent="0.35">
      <c r="A11" s="63" t="s">
        <v>20</v>
      </c>
      <c r="B11" s="61" t="str">
        <f>IF(B27="VP-S172PF","Yes",IF(B27="VP-S122P","Yes",IF(B27="VP-S122R","Yes",IF(B27="VP-62R","Yes",IF(B27="VP-102P","Yes",IF(B27="VP-102R","Yes",IF(B27="VP-156P","Triple",IF(B27="VP-156R","Triple",IF(B27="VP-186P","Yes",IF(B27="VP-321","DVI-I",""))))))))))</f>
        <v/>
      </c>
    </row>
    <row r="12" spans="1:3" ht="15" thickBot="1" x14ac:dyDescent="0.35">
      <c r="A12" s="65" t="s">
        <v>21</v>
      </c>
      <c r="B12" s="61" t="str">
        <f>IF(B27="VP-S172PF","1",IF(B27="VP-S122P","1",IF(B27="VP-S122R","1",IF(B27="VP-62R","1",IF(B27="VP-102P","1",IF(B27="VP-102R","1",IF(B27="VP-156P","No",IF(B27="VP-156R","No",IF(B27="VP-186P","No",IF(B27="VP-321","No",""))))))))))</f>
        <v/>
      </c>
    </row>
    <row r="13" spans="1:3" ht="15" thickBot="1" x14ac:dyDescent="0.35">
      <c r="A13" s="63" t="s">
        <v>22</v>
      </c>
      <c r="B13" s="61" t="str">
        <f>IF(B27="VP-S172PF","2",IF(B27="VP-62R","2",IF(B27="VP-186P","4",IF(B27="VP-102P","2",IF(B27="VP-102R","2",IF(B27="VP-S122P","2",IF(B27="VP-S122R","2",IF(B27="VP-156P","4",IF(B27="VP-156R","4",IF(B27="VP-321","4",""))))))))))</f>
        <v/>
      </c>
      <c r="C13" s="20"/>
    </row>
    <row r="14" spans="1:3" ht="15" thickBot="1" x14ac:dyDescent="0.35">
      <c r="A14" s="65" t="s">
        <v>23</v>
      </c>
      <c r="B14" s="60" t="str">
        <f>IF(B27="VP-S172PF","2",IF(B27="VP-62R","0",IF(B27="VP-186P","0",IF(B27="VP-102P","2",IF(B27="VP-102R","2",IF(B27="VP-S122P","2",IF(B27="VP-S122R","2",IF(B27="VP-156P","0",IF(B27="VP-156R","0",IF(B27="VP-321","0",""))))))))))</f>
        <v/>
      </c>
      <c r="C14" s="20"/>
    </row>
    <row r="15" spans="1:3" ht="15" thickBot="1" x14ac:dyDescent="0.35">
      <c r="A15" s="63" t="s">
        <v>24</v>
      </c>
      <c r="B15" s="61" t="str">
        <f>IF(B27="VP-S172PF","1",IF(B27="VP-62R","1",IF(B27="VP-186P","1",IF(B27="VP-102P","1",IF(B27="VP-102R","1",IF(B27="VP-S122P","1",IF(B27="VP-S122R","1",IF(B27="VP-156P","2",IF(B27="VP-156R","2",IF(B27="VP-321","2",""))))))))))</f>
        <v/>
      </c>
      <c r="C15" s="20"/>
    </row>
    <row r="16" spans="1:3" ht="15" thickBot="1" x14ac:dyDescent="0.35">
      <c r="A16" s="65" t="s">
        <v>25</v>
      </c>
      <c r="B16" s="60" t="str">
        <f>IF(B27="VP-S172PF","2",IF(B27="VP-62R","1",IF(B27="VP-186P","3",IF(B27="VP-102P","2",IF(B27="VP-102R","2",IF(B27="VP-S122P","3",IF(B27="VP-S122R","3",IF(B27="VP-156P","2",IF(B27="VP-156R","2",IF(B27="VP-321","2",""))))))))))</f>
        <v/>
      </c>
      <c r="C16" s="20"/>
    </row>
    <row r="17" spans="1:3" ht="15" thickBot="1" x14ac:dyDescent="0.35">
      <c r="A17" s="63" t="s">
        <v>26</v>
      </c>
      <c r="B17" s="61" t="str">
        <f>IF(B27="VP-S172PF","No",IF(B27="VP-62R","No",IF(B27="VP-186P","8 pin",IF(B27="VP-102P","No",IF(B27="VP-102R","No",IF(B27="VP-S122P","8 pin",IF(B27="VP-S122R","8 pin",IF(B27="VP-156P","8 pin",IF(B27="VP-156R","8 pin",IF(B27="VP-321","No",""))))))))))</f>
        <v/>
      </c>
      <c r="C17" s="20"/>
    </row>
    <row r="18" spans="1:3" ht="15" thickBot="1" x14ac:dyDescent="0.35">
      <c r="A18" s="65" t="s">
        <v>27</v>
      </c>
      <c r="B18" s="60" t="str">
        <f>IF(B27="VP-S172PF","No",IF(B27="VP-62R","1",IF(B27="VP-186P","1",IF(B27="VP-102P","1",IF(B27="VP-102R","1",IF(B27="VP-S122P","No",IF(B27="VP-S122R","No",IF(B27="VP-156P","1",IF(B27="VP-156R","1",IF(B27="VP-321","1",""))))))))))</f>
        <v/>
      </c>
      <c r="C18" s="20"/>
    </row>
    <row r="19" spans="1:3" ht="15" thickBot="1" x14ac:dyDescent="0.35">
      <c r="A19" s="63" t="s">
        <v>28</v>
      </c>
      <c r="B19" s="61" t="str">
        <f>IF(B27="VP-S172PF","1",IF(B27="VP-62R","1",IF(B27="VP-186P","1",IF(B27="VP-102P","1",IF(B27="VP-102R","1",IF(B27="VP-S122P","2",IF(B27="VP-S122R","2",IF(B27="VP-156P","1",IF(B27="VP-156R","1",IF(B27="VP-321","No",""))))))))))</f>
        <v/>
      </c>
      <c r="C19" s="20"/>
    </row>
    <row r="20" spans="1:3" ht="15" thickBot="1" x14ac:dyDescent="0.35">
      <c r="A20" s="65" t="s">
        <v>60</v>
      </c>
      <c r="B20" s="60" t="str">
        <f>IF(B27="VP-S172PF","1 (SATA II)",IF(B27="VP-62R","1 (SATA II)",IF(B27="VP-186P","1 (SATA II)",IF(B27="VP-102P","1 (SATA II)",IF(B27="VP-102R","1 (SATA II)",IF(B27="VP-S122P","1 (SATA II)",IF(B27="VP-S122R","1 (SATA II)",IF(B27="VP-156P","1 (SATA II)",IF(B27="VP-156R","1 (SATA II)",IF(B27="VP-321","1 (SATA III)",""))))))))))</f>
        <v/>
      </c>
      <c r="C20" s="20"/>
    </row>
    <row r="21" spans="1:3" ht="15" thickBot="1" x14ac:dyDescent="0.35">
      <c r="A21" s="63" t="s">
        <v>29</v>
      </c>
      <c r="B21" s="61" t="str">
        <f>IF(B27="VP-S172PF","No",IF(B27="VP-62R","Yes",IF(B27="VP-186P","No",IF(B27="VP-102P","Yes",IF(B27="VP-102R","Yes",IF(B27="VP-S122P","No",IF(B27="VP-S122R","No",IF(B27="VP-156P","Yes",IF(B27="VP-156R","Yes",IF(B27="VP-321","Yes",""))))))))))</f>
        <v/>
      </c>
      <c r="C21" s="20"/>
    </row>
    <row r="22" spans="1:3" ht="15" thickBot="1" x14ac:dyDescent="0.35">
      <c r="A22" s="65" t="s">
        <v>30</v>
      </c>
      <c r="B22" s="60" t="str">
        <f>IF(B27="VP-S172PF","9-36 V",IF(B27="VP-62R","9-36 V",IF(B27="VP-186P","9-36 V",IF(B27="VP-102P","9-36 V",IF(B27="VP-102R","9-36 V",IF(B27="VP-S122P","9-36 V",IF(B27="VP-S122R","9-36 V",IF(B27="VP-156P","9-36 V",IF(B27="VP-156R","9-36 V",IF(B27="VP-321","12 V",""))))))))))</f>
        <v/>
      </c>
      <c r="C22" s="20"/>
    </row>
    <row r="23" spans="1:3" ht="15" thickBot="1" x14ac:dyDescent="0.35">
      <c r="A23" s="63" t="s">
        <v>4</v>
      </c>
      <c r="B23" s="59" t="s">
        <v>65</v>
      </c>
      <c r="C23" s="20"/>
    </row>
    <row r="24" spans="1:3" ht="15" thickBot="1" x14ac:dyDescent="0.35">
      <c r="A24" s="65" t="s">
        <v>8</v>
      </c>
      <c r="B24" s="60" t="str">
        <f>IF(B27="VP-S172PF","350",IF(B27="VP-62R","800",IF(B27="VP-186P","250",IF(B27="VP-102P","230",IF(B27="VP-102R","230",IF(B27="VP-S122P","450",IF(B27="VP-S122R","450",IF(B27="VP-156P","250",IF(B27="VP-156R","250",IF(B27="VP-321","250",""))))))))))</f>
        <v/>
      </c>
      <c r="C24" s="20"/>
    </row>
    <row r="25" spans="1:3" ht="15" thickBot="1" x14ac:dyDescent="0.35">
      <c r="A25" s="63" t="s">
        <v>33</v>
      </c>
      <c r="B25" s="61" t="str">
        <f>IF(B27="VP-S172PF","0/50",IF(B27="VP-62R","-20/55",IF(B27="VP-186P","0/50",IF(B27="VP-102P","0/50",IF(B27="VP-102R","0/50",IF(B27="VP-S122P","0/50",IF(B27="VP-S122R","0/50",IF(B27="VP-156P","0/50",IF(B27="VP-156R","0/50",IF(B27="VP-321","0/50",""))))))))))</f>
        <v/>
      </c>
      <c r="C25" s="20"/>
    </row>
    <row r="26" spans="1:3" ht="15" thickBot="1" x14ac:dyDescent="0.35">
      <c r="A26" s="66" t="s">
        <v>31</v>
      </c>
      <c r="B26" s="62" t="str">
        <f>IF(B27="VP-S172PF","2",IF(B27="VP-62R","Resistive",IF(B27="VP-186P","2",IF(B27="VP-102P","2",IF(B27="VP-102R","2",IF(B27="VP-S122P","2",IF(B27="VP-S122R","2",IF(B27="VP-156P","2",IF(B27="VP-156R","2",IF(B27="VP-321","2",""))))))))))</f>
        <v/>
      </c>
      <c r="C26" s="20"/>
    </row>
    <row r="27" spans="1:3" ht="16.2" thickBot="1" x14ac:dyDescent="0.35">
      <c r="A27" s="35" t="s">
        <v>32</v>
      </c>
      <c r="B27" s="7" t="str">
        <f>IF(AND(B3=17,B23="Capacitive",B5="J1900"),"VP-S172PF",IF(AND(B3=6.5,B23="Resistive",B5="J1900"),"VP-62R",IF(AND(B3=18.5,B23="Capacitive",B5="i5-4300U"),"VP-186P",IF(AND(B3=10.4,B23="Capacitive",B5="J1900"),"VP-102P",IF(AND(B3=10.4,B23="Resistive",B5="J1900"),"VP-102R",IF(AND(B3=12.1,B23="Capacitive",B5="J1900"),"VP-S122P",IF(AND(B3=12.1,B23="Resistive",B5="J1900"),"VP-S122R",IF(AND(B3=15,B23="Capacitive",B5="i5-4300U"),"VP-156P",IF(AND(B3=15,B23="Resistive",B5="i5-4300U"),"VP-156R",IF(AND(B3=21.5,B23="Capacitive",B5="i7-3610QE"),"VP-321",IF(AND(B3=21.5,B23="Capacitive",B5="i5-3610ME"),"VP-321",IF(AND(B3=21.5,B23="Capacitive",B5="i3-3120ME"),"VP-321",IF(AND(B3=21.5,B23="Capacitive",B5="Celeron 1020E"),"VP-321","Contact Sales")))))))))))))</f>
        <v>Contact Sales</v>
      </c>
      <c r="C27" s="21"/>
    </row>
    <row r="28" spans="1:3" ht="15" thickBot="1" x14ac:dyDescent="0.35">
      <c r="A28" s="36" t="s">
        <v>12</v>
      </c>
      <c r="B28" s="37" t="str">
        <f>IF(B27="VP-62R",HYPERLINK("C:\Users\Francesco\Documents\Alternanza scuola lavoro\Datasheet\Panel_PC\VIA_VP-2006_Datasheet.pdf","VP-62R"),IF(B27="VP-S122R",HYPERLINK("C:\Users\Francesco\Documents\Alternanza scuola lavoro\Datasheet\Panel_PC\VIA_VP-2112_Datasheet.pdf","VP-S122R"),IF(B27="VP-S122P",HYPERLINK("C:\Users\Francesco\Documents\Alternanza scuola lavoro\Datasheet\Panel_PC\VIA_VP-2112_Datasheet.pdf","VP-S122P"),IF(B27="VP-S172PF",HYPERLINK("C:\Users\Francesco\Documents\Alternanza scuola lavoro\Datasheet\Panel_PC\VIA_VP-2117_Datasheet.pdf","VP-S172PF"),IF(B27="VP-156P",HYPERLINK("C:\Users\Francesco\Documents\Alternanza scuola lavoro\Datasheet\Panel_PC\VIA_VP-6015_Datasheet.pdf","VP-156P"),IF(B27="VP-186P",HYPERLINK("C:\Users\Francesco\Documents\Alternanza scuola lavoro\Datasheet\Panel_PC\VIA_VP-6018_Datasheet.pdf","VP-186P"),IF(B27="VP-321",HYPERLINK("C:\Users\Francesco\Documents\Alternanza scuola lavoro\Datasheet\Panel_PC\VIA_VP-3021_Datasheet.pdf","VP-321"),"Contact Sales")))))))</f>
        <v>Contact Sales</v>
      </c>
      <c r="C28" s="38"/>
    </row>
  </sheetData>
  <sheetProtection algorithmName="SHA-512" hashValue="KKl7hB+Cxznsdd1gi9deZV6tVDBGCoNYbydbtgAeGGiWIVdG+JArNVaVauXUNpShfvgMYhc9u0Q92sXj2xP4NQ==" saltValue="KyiWAxqmZAgu/POiwC03Fw==" spinCount="100000" sheet="1" objects="1" scenarios="1"/>
  <dataConsolidate/>
  <mergeCells count="2">
    <mergeCell ref="A1:B1"/>
    <mergeCell ref="A2:B2"/>
  </mergeCells>
  <conditionalFormatting sqref="B23 B5 B3">
    <cfRule type="notContainsBlanks" dxfId="21" priority="1">
      <formula>LEN(TRIM(B3))&gt;0</formula>
    </cfRule>
    <cfRule type="containsBlanks" dxfId="20" priority="2">
      <formula>LEN(TRIM(B3))=0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Wrong display size inserted" prompt="Choose the display size from the list">
          <x14:formula1>
            <xm:f>'drop-down menù'!$C$2:$C$8</xm:f>
          </x14:formula1>
          <xm:sqref>B3</xm:sqref>
        </x14:dataValidation>
        <x14:dataValidation type="list" allowBlank="1" showInputMessage="1" showErrorMessage="1" error="Wrong touch type inserted" prompt="Insert touch type">
          <x14:formula1>
            <xm:f>'drop-down menù'!$G$2:$G$3</xm:f>
          </x14:formula1>
          <xm:sqref>B23</xm:sqref>
        </x14:dataValidation>
        <x14:dataValidation type="list" allowBlank="1" showInputMessage="1" showErrorMessage="1" error="Wrong cpu inserted" prompt="Insert cpu ">
          <x14:formula1>
            <xm:f>'drop-down menù'!$I$2:$I$7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G25"/>
  <sheetViews>
    <sheetView tabSelected="1" workbookViewId="0">
      <selection activeCell="C25" sqref="C25"/>
    </sheetView>
  </sheetViews>
  <sheetFormatPr defaultRowHeight="14.4" x14ac:dyDescent="0.3"/>
  <cols>
    <col min="1" max="1" width="24" bestFit="1" customWidth="1"/>
    <col min="2" max="2" width="25.109375" style="56" customWidth="1"/>
    <col min="3" max="3" width="23.5546875" customWidth="1"/>
    <col min="4" max="4" width="23.5546875" bestFit="1" customWidth="1"/>
    <col min="5" max="7" width="23.5546875" customWidth="1"/>
  </cols>
  <sheetData>
    <row r="1" spans="1:7" ht="18.600000000000001" thickBot="1" x14ac:dyDescent="0.4">
      <c r="A1" s="74" t="s">
        <v>89</v>
      </c>
      <c r="B1" s="75"/>
    </row>
    <row r="2" spans="1:7" ht="15" thickBot="1" x14ac:dyDescent="0.35">
      <c r="A2" s="76" t="s">
        <v>0</v>
      </c>
      <c r="B2" s="77"/>
    </row>
    <row r="3" spans="1:7" ht="15" thickBot="1" x14ac:dyDescent="0.35">
      <c r="A3" s="67" t="s">
        <v>14</v>
      </c>
      <c r="B3" s="59" t="s">
        <v>53</v>
      </c>
    </row>
    <row r="4" spans="1:7" ht="15" thickBot="1" x14ac:dyDescent="0.35">
      <c r="A4" s="68" t="s">
        <v>15</v>
      </c>
      <c r="B4" s="58" t="str">
        <f>IF(B3="N2930","4",IF(B3="J1900","4",IF(B3="i5-4300U","2",IF(B3="N3700","4",IF(B3="i7-4700EQ","4",IF(B3="i5-4400E","2",IF(B3="i3-4100E","2",IF(B3="i7-6700TE","4",IF(B3="i5-6500TE","4",IF(B3="i3-6100TE","4",IF(B3="Pentium-G4400TE","4",IF(B3="Celeron-G3900TE","4",IF(B3="i7-4785T","4",IF(B3="i5-4590T","4",IF(B3="i3-4350","4",IF(B3="Pentium-G3320TE","2",IF(B3="Celeron-G1820TE","2",IF(B3="i7-6700T","4",IF(B3="i5-6500T","4",IF(B3="i3-6100","4",IF(B3="Pentium-G440TE","2",IF(B3="Celeron-G3900","2",IF(B3="Xeon E3-1275","4","")))))))))))))))))))))))</f>
        <v>4</v>
      </c>
      <c r="C4" s="45"/>
      <c r="D4" s="45"/>
      <c r="E4" s="45"/>
      <c r="F4" s="45"/>
      <c r="G4" s="45"/>
    </row>
    <row r="5" spans="1:7" ht="15" thickBot="1" x14ac:dyDescent="0.35">
      <c r="A5" s="69" t="s">
        <v>16</v>
      </c>
      <c r="B5" s="71" t="str">
        <f>IF(B3="N2930","1.83",IF(B3="J1900","2.0",IF(B3="i5-4300U","1.9",IF(B3="N3700","1.6",IF(B3="i7-4700EQ","2.4",IF(B3="i5-4400E","1.8",IF(B3="i3-4100E","1.8",IF(B3="i7-6700TE","3.4",IF(B3="i5-6500TE","3.4",IF(B3="i3-6100TE","3.4",IF(B3="Pentium-G4400TE","3.4",IF(B3="Celeron-G3900TE","3.4",IF(B3="i7-4785T","3.20",IF(B3="i5-4590T","3.0",IF(B3="i3-4350","3.1",IF(B3="Pentium-G3320TE","2.3",IF(B3="Celeron-G1820TE","2.20",IF(B3="i7-6700T","3.4",IF(B3="i5-6500T","3.3",IF(B3="i3-6100","2.7",IF(B3="Pentium-G440TE","2.40",IF(B3="Celeron-G3900","2.80",IF(B3="Xeon E3-1275","3.4","")))))))))))))))))))))))</f>
        <v>2.4</v>
      </c>
      <c r="C5" s="45"/>
      <c r="D5" s="45"/>
      <c r="E5" s="45"/>
      <c r="F5" s="45"/>
      <c r="G5" s="45"/>
    </row>
    <row r="6" spans="1:7" ht="15" thickBot="1" x14ac:dyDescent="0.35">
      <c r="A6" s="70" t="s">
        <v>17</v>
      </c>
      <c r="B6" s="58" t="str">
        <f>IF(B3="N2930","2 MB",IF(B3="J1900","2 MB",IF(B3="i5-4300U","3 MB",IF(B3="N3700","2 MB",IF(B3="i7-4700EQ","6 MB",IF(B3="i5-4400E","3 MB",IF(B3="i3-4100E","3 MB",IF(B3="i7-6700TE","8 MB",IF(B3="i5-6500TE","8 MB",IF(B3="i3-6100TE","8 MB",IF(B3="Pentium-G4400TE","8 MB",IF(B3="Celeron-G3900TE","8 MB",IF(B3="i7-4785T","8 MB",IF(B3="i5-4590T","6 MB",IF(B3="i3-4350","4 MB",IF(B3="Pentium-G3320TE","3 MB",IF(B3="Celeron-G1820TE","2 MB",IF(B3="i7-6700T","8 MB",IF(B3="i5-6500T","6 MB",IF(B3="i3-6100","4 MB",IF(B3="Pentium-G440TE","3 MB",IF(B3="Celeron-G3900","2 MB",IF(B3="Xeon E3-1275","8 MB","")))))))))))))))))))))))</f>
        <v>6 MB</v>
      </c>
      <c r="C6" s="45"/>
      <c r="D6" s="45"/>
      <c r="E6" s="45"/>
      <c r="F6" s="45"/>
      <c r="G6" s="45"/>
    </row>
    <row r="7" spans="1:7" ht="15" thickBot="1" x14ac:dyDescent="0.35">
      <c r="A7" s="69" t="s">
        <v>18</v>
      </c>
      <c r="B7" s="71" t="str">
        <f>IF(B3="N2930","8 GB",IF(B3="J1900","8 GB",IF(B3="i5-4300U","8 GB",IF(B3="N3700","8 GB",IF(B3="i7-4700EQ","16 GB",IF(B3="i5-4400E","16 GB",IF(B3="i3-4100E","16 GB",IF(B3="i7-6700TE","16 GB",IF(B3="i5-6500TE","16 GB",IF(B3="i3-6100TE","16 GB",IF(B3="Pentium-G4400TE","16 GB",IF(B3="Celeron-G3900TE","16 GB",IF(B3="i7-4785T","16 GB",IF(B3="i5-4590T","16 GB",IF(B3="i3-4350","16 GB",IF(B3="Pentium-G3320TE","16 GB",IF(B3="Celeron-G1820TE","16 GB",IF(B3="i7-6700T","32 GB",IF(B3="i5-6500T","32 GB",IF(B3="i3-6100","32 GB",IF(B3="Pentium-G440TE","32 GB",IF(B3="Celeron-G3900","32 GB",IF(B3="Xeon E3-1275","32 GB","")))))))))))))))))))))))</f>
        <v>16 GB</v>
      </c>
      <c r="C7" s="45"/>
      <c r="D7" s="45"/>
      <c r="E7" s="45"/>
      <c r="F7" s="45"/>
      <c r="G7" s="45"/>
    </row>
    <row r="8" spans="1:7" ht="15" thickBot="1" x14ac:dyDescent="0.35">
      <c r="A8" s="70" t="s">
        <v>19</v>
      </c>
      <c r="B8" s="58" t="str">
        <f>IF(B25="ART-3022","1",IF(B25="ART-3023-1A1","2",IF(B25="ART-3023-2A1","2",IF(B25="ART-3023-3A1","2",IF(B25="ART-3030-A1E","1",IF(B25="ART-3030-1A1","1",IF(B25="ART-3030-2A1","1",IF(B25="ART-3060-1A1","2",IF(B25="ART-3060-2A1","2",IF(B25="ART-7240-1A1","2",IF(B25="ART-7240-2A1","2",IF(B25="ART-7260-1A1","1",IF(B25="ART-6060-1A1","1",IF(B25="ART-7260-2A1","1",IF(B25="ART-6060-2A1","1",IF(B25="ART-7260-3A1","1",IF(B25="ART-6060-3A1","1",IF(B25="ART-5070-1A1","1",IF(B25="ART-5070-2A1","1",IF(B25="ART-7450-D0A1","No",IF(B25="ART-7470-2A1","No","")))))))))))))))))))))</f>
        <v/>
      </c>
      <c r="C8" s="45"/>
      <c r="D8" s="45"/>
      <c r="E8" s="45"/>
      <c r="F8" s="45"/>
      <c r="G8" s="45"/>
    </row>
    <row r="9" spans="1:7" ht="15" thickBot="1" x14ac:dyDescent="0.35">
      <c r="A9" s="69" t="s">
        <v>20</v>
      </c>
      <c r="B9" s="59" t="s">
        <v>87</v>
      </c>
      <c r="C9" s="45"/>
      <c r="D9" s="45"/>
      <c r="E9" s="45"/>
      <c r="F9" s="45"/>
    </row>
    <row r="10" spans="1:7" ht="15" thickBot="1" x14ac:dyDescent="0.35">
      <c r="A10" s="70" t="s">
        <v>21</v>
      </c>
      <c r="B10" s="58" t="str">
        <f>IF(B25="ART-3022","1",IF(B25="ART-3023-1A1","1",IF(B25="ART-3023-2A1","1",IF(B25="ART-3023-3A1","1",IF(B25="ART-3030-A1E","1",IF(B25="ART-3030-1A1","1",IF(B25="ART-3030-2A1","1",IF(B25="ART-3060-1A1","No",IF(B25="ART-3060-2A1","No",IF(B25="ART-7240-1A1","No",IF(B25="ART-7240-2A1","No",IF(B25="ART-7260-1A1","1",IF(B25="ART-6060-1A1","1",IF(B25="ART-7260-2A1","1",IF(B25="ART-6060-2A1","1",IF(B25="ART-7260-3A1","1",IF(B25="ART-6060-3A1","1",IF(B25="ART-5070-1A1","No",IF(B25="ART-5070-2A1","No",IF(B25="ART-7450-D0A1","1",IF(B25="ART-7470-2A1","1","")))))))))))))))))))))</f>
        <v/>
      </c>
      <c r="C10" s="45"/>
      <c r="D10" s="45"/>
      <c r="E10" s="45"/>
      <c r="F10" s="45"/>
      <c r="G10" s="45"/>
    </row>
    <row r="11" spans="1:7" ht="15" thickBot="1" x14ac:dyDescent="0.35">
      <c r="A11" s="69" t="s">
        <v>58</v>
      </c>
      <c r="B11" s="71" t="str">
        <f>IF(B25="ART-3022","DVI-I",IF(B25="ART-3023-1A1","No",IF(B25="ART-3023-2A1","No",IF(B25="ART-3023-3A1","No",IF(B25="ART-3030-A1E","No",IF(B25="ART-3030-1A1","No",IF(B25="ART-3030-2A1","No",IF(B25="ART-3060-1A1","No",IF(B25="ART-3060-2A1","No",IF(B25="ART-7240-1A1","No",IF(B25="ART-7240-2A1","No",IF(B25="ART-7260-1A1","No",IF(B25="ART-6060-1A1","No",IF(B25="ART-7260-2A1","No",IF(B25="ART-6060-2A1","No",IF(B25="ART-7260-3A1","No",IF(B25="ART-6060-3A1","No",IF(B25="ART-5070-1A1","No",IF(B25="ART-5070-2A1","No",IF(B25="ART-7450-D0A1","DVI-D",IF(B25="ART-7470-2A1","DVI-D","")))))))))))))))))))))</f>
        <v/>
      </c>
      <c r="C11" s="45"/>
      <c r="D11" s="45"/>
      <c r="E11" s="45"/>
      <c r="F11" s="45"/>
      <c r="G11" s="45"/>
    </row>
    <row r="12" spans="1:7" ht="15" thickBot="1" x14ac:dyDescent="0.35">
      <c r="A12" s="70" t="s">
        <v>22</v>
      </c>
      <c r="B12" s="72" t="str">
        <f>IF(B25="ART-3022","1",IF(B25="ART-3023-1A1","1",IF(B25="ART-3023-2A1","1",IF(B25="ART-3023-3A1","1",IF(B25="ART-3030-A1E","2",IF(B25="ART-3030-1A1","2",IF(B25="ART-3030-2A1","2",IF(B25="ART-3060-1A1","4",IF(B25="ART-3060-2A1","4",IF(B25="ART-7240-1A1","4",IF(B25="ART-7240-2A1","4",IF(B25="ART-7260-1A1","4",IF(B25="ART-6060-1A1","4",IF(B25="ART-7260-2A1","4",IF(B25="ART-6060-2A1","4",IF(B25="ART-7260-3A1","4",IF(B25="ART-6060-3A1","4",IF(B25="ART-5070-1A1","4",IF(B25="ART-5070-2A1","4",IF(B25="ART-7450-D0A1","2",IF(B25="ART-7470-2A1","3","")))))))))))))))))))))</f>
        <v/>
      </c>
      <c r="C12" s="45"/>
      <c r="D12" s="45"/>
      <c r="E12" s="45"/>
      <c r="F12" s="45"/>
      <c r="G12" s="45"/>
    </row>
    <row r="13" spans="1:7" ht="15" thickBot="1" x14ac:dyDescent="0.35">
      <c r="A13" s="69" t="s">
        <v>23</v>
      </c>
      <c r="B13" s="59">
        <v>4</v>
      </c>
      <c r="C13" s="55"/>
      <c r="D13" s="45"/>
      <c r="E13" s="45"/>
      <c r="F13" s="45"/>
      <c r="G13" s="45"/>
    </row>
    <row r="14" spans="1:7" ht="15" thickBot="1" x14ac:dyDescent="0.35">
      <c r="A14" s="70" t="s">
        <v>24</v>
      </c>
      <c r="B14" s="73">
        <v>2</v>
      </c>
      <c r="C14" s="55"/>
      <c r="D14" s="45"/>
      <c r="E14" s="45"/>
      <c r="F14" s="45"/>
      <c r="G14" s="45"/>
    </row>
    <row r="15" spans="1:7" ht="15" thickBot="1" x14ac:dyDescent="0.35">
      <c r="A15" s="69" t="s">
        <v>25</v>
      </c>
      <c r="B15" s="73" t="s">
        <v>88</v>
      </c>
      <c r="C15" s="45"/>
      <c r="D15" s="45"/>
      <c r="E15" s="45"/>
      <c r="F15" s="45"/>
    </row>
    <row r="16" spans="1:7" ht="15" thickBot="1" x14ac:dyDescent="0.35">
      <c r="A16" s="70" t="s">
        <v>26</v>
      </c>
      <c r="B16" s="58" t="str">
        <f>IF(B25="ART-3022","No",IF(B25="ART-3023-1A1","No",IF(B25="ART-3023-2A1","No",IF(B25="ART-3023-3A1","No",IF(B25="ART-3030-A1E","No",IF(B25="ART-3030-1A1","No",IF(B25="ART-3030-2A1","No",IF(B25="ART-3060-1A1","8 pin",IF(B25="ART-3060-2A1","No",IF(B25="ART-7240-1A1","No",IF(B25="ART-7240-2A1","8 bit",IF(B25="ART-7260-1A1","8 bit",IF(B25="ART-6060-1A1","8 bit",IF(B25="ART-7260-2A1","8 bit",IF(B25="ART-6060-2A1","8 bit",IF(B25="ART-7260-3A1","8 bit",IF(B25="ART-6060-3A1","8 bit",IF(B25="ART-5070-1A1","No",IF(B25="ART-5070-2A1","No",IF(B25="ART-7450-D0A1","8 bit",IF(B25="ART-7470-2A1","No","")))))))))))))))))))))</f>
        <v/>
      </c>
      <c r="D16" s="45"/>
      <c r="E16" s="45"/>
      <c r="F16" s="45"/>
      <c r="G16" s="45"/>
    </row>
    <row r="17" spans="1:7" ht="15" thickBot="1" x14ac:dyDescent="0.35">
      <c r="A17" s="69" t="s">
        <v>27</v>
      </c>
      <c r="B17" s="71" t="str">
        <f>IF(B25="ART-3022","1",IF(B25="ART-3023-1A1","1",IF(B25="ART-3023-2A1","No",IF(B25="ART-3023-3A1","No",IF(B25="ART-3030-A1E","No",IF(B25="ART-3030-1A1","1",IF(B25="ART-3030-2A1","No",IF(B25="ART-3060-1A1","No",IF(B25="ART-3060-2A1","1",IF(B25="ART-7240-1A1","1",IF(B25="ART-7240-2A1","No",IF(B25="ART-7260-1A1","3",IF(B25="ART-6060-1A1","3",IF(B25="ART-7260-2A1","3",IF(B25="ART-6060-2A1","3",IF(B25="ART-7260-3A1","3",IF(B25="ART-6060-3A1","3",IF(B25="ART-5070-1A1","No",IF(B25="ART-5070-2A1","No",IF(B25="ART-7450-D0A1","1",IF(B25="ART-7470-2A1","No","")))))))))))))))))))))</f>
        <v/>
      </c>
      <c r="C17" s="45"/>
      <c r="D17" s="45"/>
      <c r="E17" s="45"/>
      <c r="F17" s="45"/>
      <c r="G17" s="45"/>
    </row>
    <row r="18" spans="1:7" ht="15" thickBot="1" x14ac:dyDescent="0.35">
      <c r="A18" s="70" t="s">
        <v>28</v>
      </c>
      <c r="B18" s="58" t="str">
        <f>IF(B25="ART-3022","1",IF(B25="ART-3023-1A1","1",IF(B25="ART-3023-2A1","1",IF(B25="ART-3023-3A1","1",IF(B25="ART-3030-A1E","1",IF(B25="ART-3030-1A1","1",IF(B25="ART-3030-2A1","1",IF(B25="ART-3060-1A1","1",IF(B25="ART-3060-2A1","1",IF(B25="ART-7240-1A1","1",IF(B25="ART-7240-2A1","No",IF(B25="ART-7260-1A1","No",IF(B25="ART-6060-1A1","No",IF(B25="ART-7260-2A1","No",IF(B25="ART-6060-2A1","No",IF(B25="ART-7260-3A1","No",IF(B25="ART-6060-3A1","No",IF(B25="ART-5070-1A1","No",IF(B25="ART-5070-2A1","No",IF(B25="ART-7450-D0A1","No",IF(B25="ART-7470-2A1","No","")))))))))))))))))))))</f>
        <v/>
      </c>
      <c r="C18" s="45"/>
      <c r="D18" s="45"/>
      <c r="E18" s="45"/>
      <c r="F18" s="45"/>
      <c r="G18" s="45"/>
    </row>
    <row r="19" spans="1:7" ht="15" thickBot="1" x14ac:dyDescent="0.35">
      <c r="A19" s="69" t="s">
        <v>59</v>
      </c>
      <c r="B19" s="58" t="str">
        <f>IF(B25="ART-3022","No",IF(B25="ART-3023-1A1","No",IF(B25="ART-3023-2A1","No",IF(B25="ART-3023-3A1","No",IF(B25="ART-3030-A1E","No",IF(B25="ART-3030-1A1","No",IF(B25="ART-3030-2A1","No",IF(B25="ART-3060-1A1","No",IF(B25="ART-3060-2A1","No",IF(B25="ART-7240-1A1","2PCI",IF(B25="ART-7240-2A1","No",IF(B25="ART-7260-1A1","2PCIe*4",IF(B25="ART-6060-1A1","No",IF(B25="ART-7260-2A1","2PCIe*4",IF(B25="ART-6060-2A1","No",IF(B25="ART-7260-3A1","2PCIe*4",IF(B25="ART-6060-3A1","No",IF(B25="ART-5070-1A1","No",IF(B25="ART-5070-2A1","No",IF(B25="ART-7450-D0A1","1PCIe*1, 1PCIe*16, 2PCI",IF(B25="ART-7470-2A1","1PCIe*16, 1PCIe*1, 2PCI","")))))))))))))))))))))</f>
        <v/>
      </c>
      <c r="C19" s="45"/>
      <c r="D19" s="45"/>
      <c r="E19" s="45"/>
      <c r="F19" s="45"/>
      <c r="G19" s="45"/>
    </row>
    <row r="20" spans="1:7" ht="15" thickBot="1" x14ac:dyDescent="0.35">
      <c r="A20" s="70" t="s">
        <v>60</v>
      </c>
      <c r="B20" s="58" t="str">
        <f>IF(B25="ART-3022","1 (SATA II)",IF(B25="ART-3023-1A1","1 (SATA II)",IF(B25="ART-3023-2A1","1 (SATA II)",IF(B25="ART-3023-3A1","1 (SATA II)",IF(B25="ART-3030-A1E","1 (SATA II)",IF(B25="ART-3030-1A1","1 (SATA II)",IF(B25="ART-3030-2A1","1 (SATA II)",IF(B25="ART-3060-1A1","1 (SATA III)",IF(B25="ART-3060-2A1","1 (SATA III)",IF(B25="ART-7240-1A1","1 (SATA III)",IF(B25="ART-7240-2A1","No",IF(B25="ART-7260-1A1","4 (SATA II)",IF(B25="ART-6060-1A1","3 (SATA II)",IF(B25="ART-7260-2A1","4 (SATA II)",IF(B25="ART-6060-2A1","3 (SATA II)",IF(B25="ART-7260-3A1","4",IF(B25="ART-6060-3A1","3",IF(B25="ART-5070-1A1","2 (SATA III)",IF(B25="ART-5070-2A1","2 (SATA III)",IF(B25="ART-7450-D0A1","2 (SATA III), 2 (SATA II)",IF(B25="ART-7470-2A1","2 (SATA III)","")))))))))))))))))))))</f>
        <v/>
      </c>
      <c r="D20" s="45"/>
      <c r="E20" s="45"/>
      <c r="F20" s="45"/>
      <c r="G20" s="45"/>
    </row>
    <row r="21" spans="1:7" ht="15" thickBot="1" x14ac:dyDescent="0.35">
      <c r="A21" s="69" t="s">
        <v>29</v>
      </c>
      <c r="B21" s="59" t="s">
        <v>88</v>
      </c>
      <c r="C21" s="45"/>
      <c r="D21" s="45"/>
      <c r="E21" s="45"/>
      <c r="F21" s="45"/>
    </row>
    <row r="22" spans="1:7" ht="15" thickBot="1" x14ac:dyDescent="0.35">
      <c r="A22" s="70" t="s">
        <v>30</v>
      </c>
      <c r="B22" s="58" t="str">
        <f>IF(B25="ART-3022","12 V",IF(B25="ART-3023-1A1","12 V",IF(B25="ART-3023-2A1","12 V",IF(B25="ART-3023-3A1","12 V",IF(B25="ART-3030-A1E","9-36 V",IF(B25="ART-3030-1A1","9-36 V",IF(B25="ART-3030-2A1","9-36 V",IF(B25="ART-3060-1A1","9-36 V",IF(B25="ART-3060-2A1","9-36 V",IF(B25="ART-7240-1A1","12 V",IF(B25="ART-7240-2A1","12 V",IF(B25="ART-7260-1A1","9-36 V",IF(B25="ART-6060-1A1","9-36 V",IF(B25="ART-7260-2A1","9-36 V",IF(B25="ART-6060-2A1","9-36 V",IF(B25="ART-7260-3A1","9-36 V",IF(B25="ART-6060-3A1","9-36 V",IF(B25="ART-5070-1A1","12-24 V",IF(B25="ART-5070-2A1","12-24 V",IF(B25="ART-7450-D0A1","6-30 V",IF(B25="ART-7470-2A1","100-240 V","")))))))))))))))))))))</f>
        <v/>
      </c>
      <c r="C22" s="45"/>
      <c r="D22" s="45"/>
      <c r="E22" s="45"/>
      <c r="F22" s="45"/>
      <c r="G22" s="45"/>
    </row>
    <row r="23" spans="1:7" ht="15" thickBot="1" x14ac:dyDescent="0.35">
      <c r="A23" s="69" t="s">
        <v>31</v>
      </c>
      <c r="B23" s="59">
        <v>1</v>
      </c>
      <c r="C23" s="45"/>
      <c r="D23" s="45"/>
      <c r="E23" s="45"/>
      <c r="F23" s="45"/>
    </row>
    <row r="24" spans="1:7" ht="15" thickBot="1" x14ac:dyDescent="0.35">
      <c r="A24" s="70" t="s">
        <v>62</v>
      </c>
      <c r="B24" s="59" t="s">
        <v>91</v>
      </c>
      <c r="C24" s="45"/>
      <c r="D24" s="45"/>
      <c r="E24" s="45"/>
      <c r="F24" s="45"/>
    </row>
    <row r="25" spans="1:7" ht="16.2" thickBot="1" x14ac:dyDescent="0.35">
      <c r="A25" s="10" t="s">
        <v>32</v>
      </c>
      <c r="B25" s="7" t="str">
        <f>IF(AND(B3="N2930",B13=4,B14="No",B23=1,B24="-20/60"),"ART-3022",IF(AND(B3="N2930",B13=1,B14=1,B23=2,B24="-20/50"),"ART-3023-1A1",IF(AND(B3="N2930",B13=1,B14=3,B23=2,B24="-20/50"),"ART-3023-2A1",IF(AND(B3="N2930",B13=1,B14=1,B23=4,B24="-20/50"),"ART-3023-3A1",IF(AND(B3="J1900",B14="No",B15=8,B21="No",B24="0/50"),"ART-3030-A1E",IF(AND(B3="J1900",B14="No",B15=4,B21=1,B24="0/50"),"ART-3030-1A1",IF(AND(B3="J1900",B14=4,B15=4,B21="No",B24="0/50"),"ART-3030-2A1",IF(AND(B3="i5-4300U",B15=2,B21="No",B23=4),"ART-3060-1A1",IF(AND(B3="i5-4300U",B15=3,B21=1,B23=2),"ART-3060-2A1",IF(AND(B3="N3700",B14=1,B15=5),"ART-7240-1A1",IF(AND(B3="N3700",B14=9,B15=5),"ART-7240-2A1",IF(AND(B3="i7-4700EQ",B23=5,B24="-20/60"),"ART-7260-1A1",IF(AND(B3="i7-4700EQ",B23=3,B24="-25/70"),"ART-6060-1A1",IF(AND(B3="i5-4400E",B23=5,B24="-20/60"),"ART-7260-2A1",IF(AND(B3="i5-4400E",B23=3,B24="-25/70"),"ART-6060-2A1",IF(AND(B3="i3-4100E",B23=5,B24="-20/60"),"ART-7260-3A1",IF(AND(B3="i3-4100E",B23=3,B24="-25/70"),"ART-6060-3A1",IF(AND(B3="i7-6700TE",B9="Triple",B13=4),"ART-5070-1A1",IF(AND(B3="i3-4100E",B23=3,B24="-25/70"),"ART-6060-3A1",IF(AND(B3="i7-6700TE",B9="Triple",B13=2),"ART-5070-2A1",IF(AND(B3="i5-6500TE",B9="Yes",B13=4),"ART-5070-1A1",IF(AND(B3="i5-6500TE",B9="Yes",B13=2),"ART-5070-2A1",IF(AND(B3="i3-6100TE",B9="Triple",B13=4),"ART-5070-1A1",IF(AND(B3="i3-6100TE",B9="Yes",B13=2),"ART-5070-2A1",IF(AND(B3="Pentium-G4400TE",B9="Triple",B13=4),"ART-5070-1A1",IF(AND(B3="Pentium-G4400TE",B9="Yes",B13=2),"ART-5070-2A1",IF(AND(B3="Celeron-G3900TE",B9="Triple",B13=4),"ART-5070-1A1",IF(AND(B3="Celeron-G3900TE",B9="Yes",B13=2),"ART-5070-2A1",IF(B3="i7-4785T","ART-7450-D0A1",IF(B3="i5-4590T","ART-7450-D0A1",IF(B3="i3-4350","ART-7450-D0A1",IF(B3="Pentium-G3320TE","ART-7450-D0A1",IF(B3="Celeron-G1820TE","ART-7450-D0A1",IF(B3="i7-6700T","ART-7470-2A1",IF(B3="i5-6500T","ART-7470-2A1",IF(B3="i3-6100","ART-7470-2A1",IF(B3="Pentium-G440TE","ART-7470-2A1",IF(B3="Celeron-G3900","ART-7470-2A1",IF(B3="Xeon E3-1275","ART-7470-2A1","Contact Sales")))))))))))))))))))))))))))))))))))))))</f>
        <v>Contact Sales</v>
      </c>
      <c r="C25" s="46"/>
      <c r="D25" s="46"/>
      <c r="E25" s="46"/>
      <c r="F25" s="46"/>
      <c r="G25" s="46"/>
    </row>
  </sheetData>
  <sheetProtection algorithmName="SHA-512" hashValue="Wrw6rj7GGRDUERvEqGPxf39YfvZ066m7T0clWErVP5/CQvr/N0TJ/nfSUNNKI+RbGajIQavPmQBIfyIlyuIK0Q==" saltValue="nNzbdRm4PQAb2Ku5dwHmjQ==" spinCount="100000" sheet="1" objects="1" scenarios="1"/>
  <mergeCells count="2">
    <mergeCell ref="A1:B1"/>
    <mergeCell ref="A2:B2"/>
  </mergeCells>
  <conditionalFormatting sqref="B3 B9 B13:B15 B21 B23:B24">
    <cfRule type="containsBlanks" dxfId="19" priority="2">
      <formula>LEN(TRIM(B3))=0</formula>
    </cfRule>
  </conditionalFormatting>
  <conditionalFormatting sqref="B3 B9 B13:B15 B21 B23:B24">
    <cfRule type="notContainsBlanks" dxfId="18" priority="1">
      <formula>LEN(TRIM(B3))&gt;0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'drop-down menù'!$A$17:$A$22</xm:f>
          </x14:formula1>
          <xm:sqref>B24</xm:sqref>
        </x14:dataValidation>
        <x14:dataValidation type="list" allowBlank="1" showInputMessage="1" showErrorMessage="1">
          <x14:formula1>
            <xm:f>'drop-down menù'!$C$17:$C$18</xm:f>
          </x14:formula1>
          <xm:sqref>B21</xm:sqref>
        </x14:dataValidation>
        <x14:dataValidation type="list" allowBlank="1" showInputMessage="1" showErrorMessage="1">
          <x14:formula1>
            <xm:f>'drop-down menù'!$O$15:$O$21</xm:f>
          </x14:formula1>
          <xm:sqref>B15</xm:sqref>
        </x14:dataValidation>
        <x14:dataValidation type="list" allowBlank="1" showInputMessage="1" showErrorMessage="1">
          <x14:formula1>
            <xm:f>'drop-down menù'!$O$2:$O$7</xm:f>
          </x14:formula1>
          <xm:sqref>B14</xm:sqref>
        </x14:dataValidation>
        <x14:dataValidation type="list" allowBlank="1" showInputMessage="1" showErrorMessage="1">
          <x14:formula1>
            <xm:f>'drop-down menù'!$Q$2:$Q$6</xm:f>
          </x14:formula1>
          <xm:sqref>B13</xm:sqref>
        </x14:dataValidation>
        <x14:dataValidation type="list" allowBlank="1" showInputMessage="1" showErrorMessage="1">
          <x14:formula1>
            <xm:f>'drop-down menù'!$Q$13:$Q$15</xm:f>
          </x14:formula1>
          <xm:sqref>B9</xm:sqref>
        </x14:dataValidation>
        <x14:dataValidation type="list" allowBlank="1" showInputMessage="1" showErrorMessage="1">
          <x14:formula1>
            <xm:f>'drop-down menù'!$G$24:$G$28</xm:f>
          </x14:formula1>
          <xm:sqref>B23</xm:sqref>
        </x14:dataValidation>
        <x14:dataValidation type="list" allowBlank="1" showInputMessage="1" showErrorMessage="1" error="Wrong CPU inserted" prompt="Insert CPU type">
          <x14:formula1>
            <xm:f>'drop-down menù'!$E$2:$E$24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Q30"/>
  <sheetViews>
    <sheetView topLeftCell="C1" workbookViewId="0">
      <selection activeCell="E26" sqref="E26"/>
    </sheetView>
  </sheetViews>
  <sheetFormatPr defaultRowHeight="14.4" x14ac:dyDescent="0.3"/>
  <cols>
    <col min="1" max="1" width="20.77734375" bestFit="1" customWidth="1"/>
    <col min="3" max="3" width="20.77734375" bestFit="1" customWidth="1"/>
    <col min="5" max="5" width="15.6640625" bestFit="1" customWidth="1"/>
    <col min="6" max="6" width="8.88671875" customWidth="1"/>
    <col min="7" max="7" width="20.77734375" bestFit="1" customWidth="1"/>
    <col min="9" max="9" width="12.77734375" bestFit="1" customWidth="1"/>
    <col min="11" max="11" width="11.109375" bestFit="1" customWidth="1"/>
    <col min="13" max="13" width="10.5546875" bestFit="1" customWidth="1"/>
    <col min="15" max="15" width="24" bestFit="1" customWidth="1"/>
    <col min="17" max="17" width="11.109375" bestFit="1" customWidth="1"/>
  </cols>
  <sheetData>
    <row r="1" spans="1:17" s="15" customFormat="1" ht="15" thickBot="1" x14ac:dyDescent="0.35">
      <c r="A1" s="14" t="s">
        <v>11</v>
      </c>
      <c r="C1" s="14" t="s">
        <v>11</v>
      </c>
      <c r="E1" s="14" t="s">
        <v>57</v>
      </c>
      <c r="G1" s="16" t="s">
        <v>66</v>
      </c>
      <c r="I1" s="22" t="s">
        <v>14</v>
      </c>
      <c r="K1" s="16" t="s">
        <v>72</v>
      </c>
      <c r="M1" s="22" t="s">
        <v>16</v>
      </c>
      <c r="O1" s="54" t="s">
        <v>24</v>
      </c>
      <c r="Q1" s="29" t="s">
        <v>94</v>
      </c>
    </row>
    <row r="2" spans="1:17" x14ac:dyDescent="0.3">
      <c r="A2" s="2">
        <v>10.4</v>
      </c>
      <c r="C2" s="2">
        <v>6.5</v>
      </c>
      <c r="E2" s="9" t="s">
        <v>36</v>
      </c>
      <c r="G2" s="17" t="s">
        <v>65</v>
      </c>
      <c r="I2" s="23" t="s">
        <v>36</v>
      </c>
      <c r="K2" s="24">
        <v>2</v>
      </c>
      <c r="M2" s="28" t="s">
        <v>75</v>
      </c>
      <c r="O2" s="51" t="s">
        <v>88</v>
      </c>
      <c r="Q2" s="33" t="s">
        <v>88</v>
      </c>
    </row>
    <row r="3" spans="1:17" ht="15" thickBot="1" x14ac:dyDescent="0.35">
      <c r="A3" s="1">
        <v>12.1</v>
      </c>
      <c r="C3" s="1">
        <v>10.4</v>
      </c>
      <c r="E3" s="9" t="s">
        <v>37</v>
      </c>
      <c r="G3" s="18" t="s">
        <v>64</v>
      </c>
      <c r="I3" s="17" t="s">
        <v>71</v>
      </c>
      <c r="K3" s="25">
        <v>4</v>
      </c>
      <c r="M3" s="26" t="s">
        <v>73</v>
      </c>
      <c r="O3" s="52">
        <v>1</v>
      </c>
      <c r="Q3" s="24">
        <v>1</v>
      </c>
    </row>
    <row r="4" spans="1:17" x14ac:dyDescent="0.3">
      <c r="A4" s="1">
        <v>15</v>
      </c>
      <c r="C4" s="1">
        <v>12.1</v>
      </c>
      <c r="E4" s="9" t="s">
        <v>38</v>
      </c>
      <c r="I4" s="17" t="s">
        <v>70</v>
      </c>
      <c r="M4" s="26" t="s">
        <v>80</v>
      </c>
      <c r="O4" s="50">
        <v>2</v>
      </c>
      <c r="Q4" s="24">
        <v>2</v>
      </c>
    </row>
    <row r="5" spans="1:17" x14ac:dyDescent="0.3">
      <c r="A5" s="1">
        <v>17</v>
      </c>
      <c r="C5" s="1">
        <v>15</v>
      </c>
      <c r="E5" s="5" t="s">
        <v>39</v>
      </c>
      <c r="G5" s="13"/>
      <c r="I5" s="17" t="s">
        <v>48</v>
      </c>
      <c r="K5" s="13"/>
      <c r="M5" s="26" t="s">
        <v>77</v>
      </c>
      <c r="O5" s="50">
        <v>3</v>
      </c>
      <c r="Q5" s="24">
        <v>4</v>
      </c>
    </row>
    <row r="6" spans="1:17" ht="15" thickBot="1" x14ac:dyDescent="0.35">
      <c r="A6" s="1">
        <v>18.5</v>
      </c>
      <c r="C6" s="1">
        <v>17</v>
      </c>
      <c r="E6" s="5" t="s">
        <v>40</v>
      </c>
      <c r="I6" s="17" t="s">
        <v>69</v>
      </c>
      <c r="M6" s="26" t="s">
        <v>79</v>
      </c>
      <c r="O6" s="50">
        <v>4</v>
      </c>
      <c r="Q6" s="25">
        <v>5</v>
      </c>
    </row>
    <row r="7" spans="1:17" ht="15" thickBot="1" x14ac:dyDescent="0.35">
      <c r="A7" s="3">
        <v>21.5</v>
      </c>
      <c r="C7" s="4">
        <v>18.5</v>
      </c>
      <c r="E7" s="5" t="s">
        <v>41</v>
      </c>
      <c r="I7" s="18" t="s">
        <v>68</v>
      </c>
      <c r="M7" s="26" t="s">
        <v>78</v>
      </c>
      <c r="O7" s="53">
        <v>9</v>
      </c>
    </row>
    <row r="8" spans="1:17" ht="15" thickBot="1" x14ac:dyDescent="0.35">
      <c r="C8" s="3">
        <v>21.5</v>
      </c>
      <c r="E8" s="1" t="s">
        <v>95</v>
      </c>
      <c r="M8" s="27" t="s">
        <v>76</v>
      </c>
      <c r="Q8" s="13"/>
    </row>
    <row r="9" spans="1:17" x14ac:dyDescent="0.3">
      <c r="A9" t="s">
        <v>34</v>
      </c>
      <c r="E9" s="1" t="s">
        <v>42</v>
      </c>
      <c r="I9" s="13"/>
    </row>
    <row r="10" spans="1:17" x14ac:dyDescent="0.3">
      <c r="C10" t="s">
        <v>35</v>
      </c>
      <c r="E10" s="1" t="s">
        <v>43</v>
      </c>
      <c r="M10" s="13"/>
      <c r="O10" s="13"/>
    </row>
    <row r="11" spans="1:17" ht="15" thickBot="1" x14ac:dyDescent="0.35">
      <c r="E11" s="1" t="s">
        <v>44</v>
      </c>
    </row>
    <row r="12" spans="1:17" ht="15" thickBot="1" x14ac:dyDescent="0.35">
      <c r="E12" s="1" t="s">
        <v>45</v>
      </c>
      <c r="Q12" s="22" t="s">
        <v>84</v>
      </c>
    </row>
    <row r="13" spans="1:17" ht="15" thickBot="1" x14ac:dyDescent="0.35">
      <c r="E13" s="1" t="s">
        <v>46</v>
      </c>
      <c r="Q13" s="33" t="s">
        <v>88</v>
      </c>
    </row>
    <row r="14" spans="1:17" ht="15" thickBot="1" x14ac:dyDescent="0.35">
      <c r="E14" s="1" t="s">
        <v>47</v>
      </c>
      <c r="G14" s="29" t="s">
        <v>81</v>
      </c>
      <c r="I14" s="16" t="s">
        <v>19</v>
      </c>
      <c r="K14" s="22" t="s">
        <v>84</v>
      </c>
      <c r="M14" s="16" t="s">
        <v>19</v>
      </c>
      <c r="O14" s="54" t="s">
        <v>25</v>
      </c>
      <c r="Q14" s="24" t="s">
        <v>85</v>
      </c>
    </row>
    <row r="15" spans="1:17" ht="15" thickBot="1" x14ac:dyDescent="0.35">
      <c r="E15" s="1" t="s">
        <v>63</v>
      </c>
      <c r="G15" s="30" t="s">
        <v>82</v>
      </c>
      <c r="I15" s="24">
        <v>1</v>
      </c>
      <c r="K15" s="33" t="s">
        <v>85</v>
      </c>
      <c r="M15" s="24" t="s">
        <v>88</v>
      </c>
      <c r="O15" s="51" t="s">
        <v>88</v>
      </c>
      <c r="Q15" s="25" t="s">
        <v>87</v>
      </c>
    </row>
    <row r="16" spans="1:17" ht="15" thickBot="1" x14ac:dyDescent="0.35">
      <c r="A16" s="22" t="s">
        <v>81</v>
      </c>
      <c r="C16" s="22" t="s">
        <v>29</v>
      </c>
      <c r="E16" s="1" t="s">
        <v>48</v>
      </c>
      <c r="G16" s="32" t="s">
        <v>83</v>
      </c>
      <c r="I16" s="25">
        <v>2</v>
      </c>
      <c r="K16" s="24" t="s">
        <v>86</v>
      </c>
      <c r="M16" s="25">
        <v>1</v>
      </c>
      <c r="O16" s="52">
        <v>1</v>
      </c>
    </row>
    <row r="17" spans="1:17" ht="15" thickBot="1" x14ac:dyDescent="0.35">
      <c r="A17" s="30" t="s">
        <v>91</v>
      </c>
      <c r="C17" s="30" t="s">
        <v>88</v>
      </c>
      <c r="E17" s="1" t="s">
        <v>49</v>
      </c>
      <c r="G17" s="31"/>
      <c r="K17" s="25" t="s">
        <v>87</v>
      </c>
      <c r="O17" s="50">
        <v>2</v>
      </c>
      <c r="Q17" s="13"/>
    </row>
    <row r="18" spans="1:17" ht="15" thickBot="1" x14ac:dyDescent="0.35">
      <c r="A18" s="47" t="s">
        <v>82</v>
      </c>
      <c r="C18" s="49">
        <v>1</v>
      </c>
      <c r="E18" s="1" t="s">
        <v>50</v>
      </c>
      <c r="G18" s="31"/>
      <c r="I18" s="13"/>
      <c r="M18" s="13"/>
      <c r="O18" s="50">
        <v>3</v>
      </c>
    </row>
    <row r="19" spans="1:17" x14ac:dyDescent="0.3">
      <c r="A19" s="47" t="s">
        <v>93</v>
      </c>
      <c r="C19" s="48"/>
      <c r="E19" s="1" t="s">
        <v>51</v>
      </c>
      <c r="G19" s="31"/>
      <c r="O19" s="50">
        <v>4</v>
      </c>
    </row>
    <row r="20" spans="1:17" x14ac:dyDescent="0.3">
      <c r="A20" s="47" t="s">
        <v>90</v>
      </c>
      <c r="E20" s="1" t="s">
        <v>52</v>
      </c>
      <c r="K20" s="13"/>
      <c r="O20" s="50">
        <v>5</v>
      </c>
    </row>
    <row r="21" spans="1:17" ht="15" thickBot="1" x14ac:dyDescent="0.35">
      <c r="A21" s="47" t="s">
        <v>92</v>
      </c>
      <c r="C21" s="13"/>
      <c r="E21" s="1" t="s">
        <v>53</v>
      </c>
      <c r="G21" s="13"/>
      <c r="O21" s="53">
        <v>8</v>
      </c>
    </row>
    <row r="22" spans="1:17" ht="15" thickBot="1" x14ac:dyDescent="0.35">
      <c r="A22" s="32" t="s">
        <v>83</v>
      </c>
      <c r="E22" s="1" t="s">
        <v>54</v>
      </c>
    </row>
    <row r="23" spans="1:17" ht="15" thickBot="1" x14ac:dyDescent="0.35">
      <c r="E23" s="3" t="s">
        <v>55</v>
      </c>
      <c r="G23" s="22" t="s">
        <v>84</v>
      </c>
      <c r="O23" s="13"/>
    </row>
    <row r="24" spans="1:17" x14ac:dyDescent="0.3">
      <c r="E24" s="8" t="s">
        <v>56</v>
      </c>
      <c r="G24" s="33">
        <v>1</v>
      </c>
    </row>
    <row r="25" spans="1:17" x14ac:dyDescent="0.3">
      <c r="A25" s="13"/>
      <c r="G25" s="24">
        <v>2</v>
      </c>
    </row>
    <row r="26" spans="1:17" x14ac:dyDescent="0.3">
      <c r="E26" t="s">
        <v>61</v>
      </c>
      <c r="G26" s="24">
        <v>3</v>
      </c>
    </row>
    <row r="27" spans="1:17" x14ac:dyDescent="0.3">
      <c r="G27" s="24">
        <v>4</v>
      </c>
    </row>
    <row r="28" spans="1:17" ht="15" thickBot="1" x14ac:dyDescent="0.35">
      <c r="G28" s="25">
        <v>5</v>
      </c>
    </row>
    <row r="30" spans="1:17" x14ac:dyDescent="0.3">
      <c r="G30" s="13"/>
    </row>
  </sheetData>
  <sheetProtection algorithmName="SHA-512" hashValue="9Rqq8g9pO/h/gM9fN6vIajscMCSICvoOWGWl5QYyGMAcFErUIRVRsOT0tDyKJ88TLUlXlK56yrUq8DAFNHZ1tQ==" saltValue="DN2bOmZBLMLk3DT/haTTmQ==" spinCount="100000" sheet="1" objects="1" scenarios="1" selectLockedCells="1" selectUnlockedCells="1"/>
  <sortState ref="Q13:Q15">
    <sortCondition ref="Q13"/>
  </sortState>
  <dataValidations count="17">
    <dataValidation type="list" allowBlank="1" showInputMessage="1" showErrorMessage="1" sqref="G5">
      <formula1>$G$2:$G$3</formula1>
    </dataValidation>
    <dataValidation type="list" allowBlank="1" showInputMessage="1" showErrorMessage="1" sqref="I9">
      <formula1>$I$2:$I$7</formula1>
    </dataValidation>
    <dataValidation type="list" allowBlank="1" showInputMessage="1" showErrorMessage="1" sqref="K5">
      <formula1>$K$2:$K$3</formula1>
    </dataValidation>
    <dataValidation type="list" allowBlank="1" showInputMessage="1" showErrorMessage="1" sqref="M10">
      <formula1>$M$2:$M$8</formula1>
    </dataValidation>
    <dataValidation type="list" allowBlank="1" showInputMessage="1" showErrorMessage="1" sqref="G21">
      <formula1>$G$15:$G$16</formula1>
    </dataValidation>
    <dataValidation type="list" allowBlank="1" showInputMessage="1" showErrorMessage="1" sqref="I18">
      <formula1>$I$15:$I$16</formula1>
    </dataValidation>
    <dataValidation type="list" allowBlank="1" showInputMessage="1" showErrorMessage="1" sqref="K20">
      <formula1>$K$15:$K$17</formula1>
    </dataValidation>
    <dataValidation type="list" allowBlank="1" showInputMessage="1" showErrorMessage="1" sqref="M18">
      <formula1>$M$15:$M$16</formula1>
    </dataValidation>
    <dataValidation type="list" allowBlank="1" showInputMessage="1" showErrorMessage="1" sqref="A25">
      <formula1>$A$17:$A$22</formula1>
    </dataValidation>
    <dataValidation type="list" allowBlank="1" showInputMessage="1" showErrorMessage="1" sqref="C21">
      <formula1>$C$17:$C$18</formula1>
    </dataValidation>
    <dataValidation type="list" allowBlank="1" showInputMessage="1" showErrorMessage="1" sqref="O23">
      <formula1>$O$15:$O$21</formula1>
    </dataValidation>
    <dataValidation type="list" allowBlank="1" showInputMessage="1" showErrorMessage="1" sqref="O10">
      <formula1>$O$2:$O$7</formula1>
    </dataValidation>
    <dataValidation type="list" allowBlank="1" showInputMessage="1" showErrorMessage="1" sqref="Q8">
      <formula1>$Q$2:$Q$6</formula1>
    </dataValidation>
    <dataValidation type="list" allowBlank="1" showInputMessage="1" showErrorMessage="1" sqref="Q17">
      <formula1>$Q$13:$Q$15</formula1>
    </dataValidation>
    <dataValidation type="list" allowBlank="1" showInputMessage="1" showErrorMessage="1" sqref="G30">
      <formula1>$G$24:$G$28</formula1>
    </dataValidation>
    <dataValidation type="custom" allowBlank="1" showInputMessage="1" showErrorMessage="1" sqref="G11">
      <formula1>E2+E3+E4+E5+E6+E7+E9+E10+#REF!+E11+E12+E13+E15+E16+E17+E18+E19+E20+E21+E22+E23+E24</formula1>
    </dataValidation>
    <dataValidation type="list" allowBlank="1" showInputMessage="1" showErrorMessage="1" sqref="E26">
      <formula1>$E$2:$E$24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Monitor</vt:lpstr>
      <vt:lpstr>Panel Pc</vt:lpstr>
      <vt:lpstr>Box Pc</vt:lpstr>
      <vt:lpstr>drop-down menù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Amato</dc:creator>
  <cp:lastModifiedBy>Francesco Amato</cp:lastModifiedBy>
  <dcterms:created xsi:type="dcterms:W3CDTF">2016-07-08T10:47:07Z</dcterms:created>
  <dcterms:modified xsi:type="dcterms:W3CDTF">2016-07-26T12:45:33Z</dcterms:modified>
</cp:coreProperties>
</file>