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ealth Factor - Approach 1" sheetId="1" r:id="rId4"/>
    <sheet state="visible" name="Health Factor underwater -Longs" sheetId="2" r:id="rId5"/>
    <sheet state="visible" name="Health Factor positive -Longs)" sheetId="3" r:id="rId6"/>
    <sheet state="visible" name="Long Perp unhealthy" sheetId="4" r:id="rId7"/>
    <sheet state="visible" name="Long perp unhealthy2" sheetId="5" r:id="rId8"/>
    <sheet state="visible" name="Health Factor Underwater- (Shor" sheetId="6" r:id="rId9"/>
    <sheet state="visible" name="Health Factor positive- (Shorts" sheetId="7" r:id="rId10"/>
    <sheet state="visible" name="Health Factor - (Long &amp; Short)" sheetId="8" r:id="rId11"/>
    <sheet state="visible" name="Health Factor - (Long  &amp; Short)" sheetId="9" r:id="rId12"/>
    <sheet state="visible" name="Two Short One Long w Spot Debt" sheetId="10" r:id="rId13"/>
    <sheet state="visible" name="Delta Neutral BTC - short perp" sheetId="11" r:id="rId14"/>
    <sheet state="visible" name="Long perp, funding greater than" sheetId="12" r:id="rId15"/>
    <sheet state="visible" name="Delta Neutral BTC - short spot" sheetId="13" r:id="rId16"/>
    <sheet state="visible" name="Example 1" sheetId="14" r:id="rId17"/>
  </sheets>
  <definedNames/>
  <calcPr/>
</workbook>
</file>

<file path=xl/sharedStrings.xml><?xml version="1.0" encoding="utf-8"?>
<sst xmlns="http://schemas.openxmlformats.org/spreadsheetml/2006/main" count="814" uniqueCount="131">
  <si>
    <t>Credit Account  w/ Perps [Approach 1]</t>
  </si>
  <si>
    <t>1. User takes a new BTC perp (t0)</t>
  </si>
  <si>
    <t>Perp</t>
  </si>
  <si>
    <t>Size (Notional MtkValue)</t>
  </si>
  <si>
    <t>Init Marg</t>
  </si>
  <si>
    <t>MaxLTV</t>
  </si>
  <si>
    <t>Maint Marg</t>
  </si>
  <si>
    <t>LiqLTV</t>
  </si>
  <si>
    <t>BTC/USD</t>
  </si>
  <si>
    <t>Collateral</t>
  </si>
  <si>
    <t>Market Value</t>
  </si>
  <si>
    <t>Coll Power</t>
  </si>
  <si>
    <t>USDC</t>
  </si>
  <si>
    <t>Health Factor (MaxLTV):</t>
  </si>
  <si>
    <t>Health Factor (LiqLTV):</t>
  </si>
  <si>
    <t>Leverage:</t>
  </si>
  <si>
    <t>2. Perp position drops in value (t1)</t>
  </si>
  <si>
    <t>Perp % drop</t>
  </si>
  <si>
    <t>Notional MktVal</t>
  </si>
  <si>
    <t>Unrealized PnL</t>
  </si>
  <si>
    <t>Credit Account  w/ Perps [Approach 2]</t>
  </si>
  <si>
    <t>1. User takes a new LONG BTC perp (t0)</t>
  </si>
  <si>
    <t>Size</t>
  </si>
  <si>
    <t>Spot Debt</t>
  </si>
  <si>
    <t>Formula values</t>
  </si>
  <si>
    <t>Liq</t>
  </si>
  <si>
    <t>Ltv</t>
  </si>
  <si>
    <t>ATOM</t>
  </si>
  <si>
    <t>RWA(t)</t>
  </si>
  <si>
    <t>Perp Price</t>
  </si>
  <si>
    <t>T0</t>
  </si>
  <si>
    <t>T1</t>
  </si>
  <si>
    <t>P(t)</t>
  </si>
  <si>
    <t>LTVp</t>
  </si>
  <si>
    <t>Fee</t>
  </si>
  <si>
    <t>Funding+t val</t>
  </si>
  <si>
    <t>Funding-t val</t>
  </si>
  <si>
    <t>Funding</t>
  </si>
  <si>
    <t>Value</t>
  </si>
  <si>
    <t>Amount</t>
  </si>
  <si>
    <t>Denom</t>
  </si>
  <si>
    <t>Price</t>
  </si>
  <si>
    <t>LiqLtv</t>
  </si>
  <si>
    <t>Funding+t val ltv adj</t>
  </si>
  <si>
    <t>Funding-t val adj</t>
  </si>
  <si>
    <t>D(t)</t>
  </si>
  <si>
    <t>P(t0)</t>
  </si>
  <si>
    <t>Health Factor (Max LTV):</t>
  </si>
  <si>
    <t>numerator</t>
  </si>
  <si>
    <t xml:space="preserve">denominator </t>
  </si>
  <si>
    <t>supply</t>
  </si>
  <si>
    <t>borrow</t>
  </si>
  <si>
    <t>ltv</t>
  </si>
  <si>
    <t>perp numerator</t>
  </si>
  <si>
    <t>perp denom</t>
  </si>
  <si>
    <t>val</t>
  </si>
  <si>
    <t>a</t>
  </si>
  <si>
    <t>b</t>
  </si>
  <si>
    <t>A1</t>
  </si>
  <si>
    <t>withdraw</t>
  </si>
  <si>
    <t>remaining</t>
  </si>
  <si>
    <t>(Perp is Long)</t>
  </si>
  <si>
    <t>Oracle Price</t>
  </si>
  <si>
    <t>t(0)</t>
  </si>
  <si>
    <t>t</t>
  </si>
  <si>
    <t xml:space="preserve">Execution Price </t>
  </si>
  <si>
    <t>Alt - Health Factor (MaxLTV):</t>
  </si>
  <si>
    <t>Alt - Health Factor (LiqLTV):</t>
  </si>
  <si>
    <t>Perp % gain</t>
  </si>
  <si>
    <t>MAXLTV</t>
  </si>
  <si>
    <t>Coll Power LTV</t>
  </si>
  <si>
    <t>HF (ltv)</t>
  </si>
  <si>
    <t>Post LTV</t>
  </si>
  <si>
    <t>1. User takes a new SHORT BTC perp (t0)</t>
  </si>
  <si>
    <t>ETH/USD</t>
  </si>
  <si>
    <t>P(t)(short)</t>
  </si>
  <si>
    <t>P(t)(long)</t>
  </si>
  <si>
    <t>Btc/usd</t>
  </si>
  <si>
    <t>Short funding</t>
  </si>
  <si>
    <t xml:space="preserve">Liq </t>
  </si>
  <si>
    <t>BTC</t>
  </si>
  <si>
    <t>ETH</t>
  </si>
  <si>
    <t>P(t0)LONG</t>
  </si>
  <si>
    <t>P(t0)SHORT</t>
  </si>
  <si>
    <t>liq</t>
  </si>
  <si>
    <t>LTV</t>
  </si>
  <si>
    <t>Long Numerator</t>
  </si>
  <si>
    <t>Short Numerator</t>
  </si>
  <si>
    <t>Short Denominator</t>
  </si>
  <si>
    <t>Long Denominator</t>
  </si>
  <si>
    <t>1. User takes a new LONG ETC/USD and SHORT BTC/USD perp positions (t0)</t>
  </si>
  <si>
    <t>Direction</t>
  </si>
  <si>
    <t>LTV Value</t>
  </si>
  <si>
    <t>Liquidation LTV Value</t>
  </si>
  <si>
    <t>Long</t>
  </si>
  <si>
    <t>Short</t>
  </si>
  <si>
    <t>ATOM/USD</t>
  </si>
  <si>
    <t>Health Factor = (Perp (t) * MaxLTV) / Perp (t0)</t>
  </si>
  <si>
    <t>(Perp is Short)</t>
  </si>
  <si>
    <t>Health Factor = Perp (t0) / (Perp (t) * (2 - MaxLTV))</t>
  </si>
  <si>
    <t>2. Perp position increases in value (t1)</t>
  </si>
  <si>
    <t>ETH/USD % change</t>
  </si>
  <si>
    <t>BTC/USD % change</t>
  </si>
  <si>
    <t>ATOM/USD % change</t>
  </si>
  <si>
    <t>ETHUSD</t>
  </si>
  <si>
    <t>BTCUSD PnL</t>
  </si>
  <si>
    <t>ATOMUSD PnL</t>
  </si>
  <si>
    <t>max ltv</t>
  </si>
  <si>
    <t>coll power max ltv</t>
  </si>
  <si>
    <t>Debt</t>
  </si>
  <si>
    <t>OSMO</t>
  </si>
  <si>
    <t>Max Ltv</t>
  </si>
  <si>
    <t>Amout</t>
  </si>
  <si>
    <t>Example 1:  USDC Collateral, 1 Long Position. (HF_3 is Davide's approach)</t>
  </si>
  <si>
    <t>1. User takes a BTC perp @ Max Leverage</t>
  </si>
  <si>
    <t>Free Collateral:</t>
  </si>
  <si>
    <t>Risk Weighted Free Col:</t>
  </si>
  <si>
    <t>Pos Max Leverage:</t>
  </si>
  <si>
    <t>Max Leverage (MaxLTV):</t>
  </si>
  <si>
    <t>Perp @ Max Lev</t>
  </si>
  <si>
    <t>Not MktValue</t>
  </si>
  <si>
    <t>HF_1 (MaxLTV):</t>
  </si>
  <si>
    <t>HF_2 (MaxLTV):</t>
  </si>
  <si>
    <t>HF_3 (MaxLTV):</t>
  </si>
  <si>
    <t>HF_1 (LiqLTV):</t>
  </si>
  <si>
    <t>HF_2 (LiqLTV):</t>
  </si>
  <si>
    <t>HF_3 (LiqLTV):</t>
  </si>
  <si>
    <t>2. User takes a BTC perp @ 3 Lev (t0)</t>
  </si>
  <si>
    <t>LiqPriceDrop</t>
  </si>
  <si>
    <t>3. Perp position drops in value (t2)</t>
  </si>
  <si>
    <t>Not MktVal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</si>
</sst>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&quot;$&quot;#,##0"/>
    <numFmt numFmtId="165" formatCode="&quot;$&quot;#,##0.00"/>
    <numFmt numFmtId="166" formatCode="0.0%"/>
    <numFmt numFmtId="167" formatCode="#,##0.000000"/>
    <numFmt numFmtId="168" formatCode="0.0000"/>
    <numFmt numFmtId="169" formatCode="#,##0.0000000"/>
    <numFmt numFmtId="170" formatCode="&quot;$&quot;#,##0.0000"/>
    <numFmt numFmtId="171" formatCode="#,##0.0000000000"/>
    <numFmt numFmtId="172" formatCode="&quot;$&quot;#,##0.000000"/>
    <numFmt numFmtId="173" formatCode="&quot;$&quot;#,##0.000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color rgb="FF000000"/>
      <name val="Arial"/>
    </font>
    <font>
      <sz val="11.0"/>
      <color rgb="FF000000"/>
      <name val="&quot;Cambria Math&quot;"/>
    </font>
    <font>
      <sz val="9.0"/>
      <color rgb="FF000000"/>
      <name val="&quot;Google Sans Mono&quot;"/>
    </font>
    <font>
      <sz val="9.0"/>
      <color rgb="FF7E3794"/>
      <name val="&quot;Google Sans Mono&quot;"/>
    </font>
    <font>
      <color rgb="FFFF0000"/>
      <name val="Arial"/>
      <scheme val="minor"/>
    </font>
    <font>
      <sz val="9.0"/>
      <color rgb="FFA61D4C"/>
      <name val="&quot;Google Sans Mono&quot;"/>
    </font>
    <font>
      <sz val="11.0"/>
      <color rgb="FF000000"/>
      <name val="Calibri"/>
    </font>
    <font>
      <sz val="12.0"/>
      <color rgb="FF000000"/>
      <name val="Söhne"/>
    </font>
    <font>
      <sz val="9.0"/>
      <color rgb="FF11A9CC"/>
      <name val="&quot;Google Sans Mono&quot;"/>
    </font>
    <font>
      <sz val="12.0"/>
      <color rgb="FFD1D5DB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444654"/>
        <bgColor rgb="FF444654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right" readingOrder="0"/>
    </xf>
    <xf borderId="0" fillId="2" fontId="3" numFmtId="166" xfId="0" applyAlignment="1" applyFill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3" fontId="2" numFmtId="9" xfId="0" applyAlignment="1" applyFont="1" applyNumberFormat="1">
      <alignment horizontal="center" readingOrder="0"/>
    </xf>
    <xf borderId="0" fillId="4" fontId="4" numFmtId="4" xfId="0" applyAlignment="1" applyFill="1" applyFont="1" applyNumberFormat="1">
      <alignment horizontal="right" readingOrder="0"/>
    </xf>
    <xf borderId="0" fillId="0" fontId="1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/>
    </xf>
    <xf borderId="0" fillId="0" fontId="2" numFmtId="9" xfId="0" applyFont="1" applyNumberFormat="1"/>
    <xf borderId="0" fillId="0" fontId="2" numFmtId="4" xfId="0" applyFont="1" applyNumberFormat="1"/>
    <xf borderId="0" fillId="0" fontId="2" numFmtId="0" xfId="0" applyFont="1"/>
    <xf borderId="0" fillId="0" fontId="2" numFmtId="164" xfId="0" applyFont="1" applyNumberFormat="1"/>
    <xf borderId="0" fillId="0" fontId="5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4" fontId="6" numFmtId="0" xfId="0" applyAlignment="1" applyFont="1">
      <alignment horizontal="left"/>
    </xf>
    <xf borderId="0" fillId="0" fontId="2" numFmtId="165" xfId="0" applyFont="1" applyNumberFormat="1"/>
    <xf borderId="0" fillId="0" fontId="2" numFmtId="167" xfId="0" applyAlignment="1" applyFont="1" applyNumberFormat="1">
      <alignment horizontal="center"/>
    </xf>
    <xf borderId="0" fillId="4" fontId="7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0" fontId="8" numFmtId="10" xfId="0" applyAlignment="1" applyFont="1" applyNumberFormat="1">
      <alignment horizontal="left" readingOrder="0"/>
    </xf>
    <xf borderId="0" fillId="0" fontId="8" numFmtId="0" xfId="0" applyAlignment="1" applyFont="1">
      <alignment horizontal="left" readingOrder="0"/>
    </xf>
    <xf borderId="0" fillId="4" fontId="7" numFmtId="0" xfId="0" applyAlignment="1" applyFont="1">
      <alignment horizontal="left"/>
    </xf>
    <xf borderId="0" fillId="4" fontId="9" numFmtId="0" xfId="0" applyAlignment="1" applyFont="1">
      <alignment horizontal="left"/>
    </xf>
    <xf borderId="0" fillId="0" fontId="2" numFmtId="168" xfId="0" applyFont="1" applyNumberFormat="1"/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10" numFmtId="0" xfId="0" applyAlignment="1" applyFont="1">
      <alignment horizontal="center" readingOrder="0"/>
    </xf>
    <xf borderId="0" fillId="4" fontId="7" numFmtId="164" xfId="0" applyAlignment="1" applyFont="1" applyNumberFormat="1">
      <alignment horizontal="left"/>
    </xf>
    <xf borderId="0" fillId="4" fontId="6" numFmtId="167" xfId="0" applyAlignment="1" applyFont="1" applyNumberFormat="1">
      <alignment horizontal="left"/>
    </xf>
    <xf borderId="0" fillId="4" fontId="6" numFmtId="164" xfId="0" applyAlignment="1" applyFont="1" applyNumberFormat="1">
      <alignment horizontal="left"/>
    </xf>
    <xf borderId="0" fillId="0" fontId="2" numFmtId="169" xfId="0" applyAlignment="1" applyFont="1" applyNumberFormat="1">
      <alignment horizontal="center"/>
    </xf>
    <xf borderId="0" fillId="4" fontId="11" numFmtId="170" xfId="0" applyAlignment="1" applyFont="1" applyNumberFormat="1">
      <alignment readingOrder="0"/>
    </xf>
    <xf borderId="0" fillId="4" fontId="7" numFmtId="165" xfId="0" applyAlignment="1" applyFont="1" applyNumberFormat="1">
      <alignment horizontal="left"/>
    </xf>
    <xf borderId="0" fillId="4" fontId="12" numFmtId="165" xfId="0" applyAlignment="1" applyFont="1" applyNumberFormat="1">
      <alignment horizontal="left" readingOrder="0"/>
    </xf>
    <xf borderId="0" fillId="0" fontId="2" numFmtId="171" xfId="0" applyAlignment="1" applyFont="1" applyNumberFormat="1">
      <alignment horizontal="center"/>
    </xf>
    <xf borderId="0" fillId="4" fontId="6" numFmtId="172" xfId="0" applyAlignment="1" applyFont="1" applyNumberFormat="1">
      <alignment horizontal="left" readingOrder="0"/>
    </xf>
    <xf borderId="0" fillId="4" fontId="6" numFmtId="165" xfId="0" applyAlignment="1" applyFont="1" applyNumberFormat="1">
      <alignment horizontal="left" readingOrder="0"/>
    </xf>
    <xf borderId="0" fillId="0" fontId="2" numFmtId="173" xfId="0" applyAlignment="1" applyFont="1" applyNumberFormat="1">
      <alignment readingOrder="0"/>
    </xf>
    <xf borderId="0" fillId="5" fontId="13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2" numFmtId="170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8" max="8" width="3.25"/>
    <col customWidth="1" min="9" max="9" width="17.5"/>
  </cols>
  <sheetData>
    <row r="1">
      <c r="A1" s="1" t="s">
        <v>0</v>
      </c>
      <c r="B1" s="2"/>
      <c r="C1" s="2"/>
      <c r="E1" s="3"/>
      <c r="F1" s="4"/>
      <c r="I1" s="4"/>
      <c r="J1" s="5"/>
    </row>
    <row r="2">
      <c r="A2" s="6" t="s">
        <v>1</v>
      </c>
      <c r="B2" s="2"/>
      <c r="C2" s="2"/>
      <c r="D2" s="2"/>
      <c r="E2" s="2"/>
      <c r="F2" s="1"/>
    </row>
    <row r="3">
      <c r="A3" s="2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/>
      <c r="H3" s="5"/>
      <c r="I3" s="4"/>
      <c r="J3" s="4"/>
      <c r="K3" s="5"/>
      <c r="L3" s="4"/>
    </row>
    <row r="4">
      <c r="A4" s="4" t="s">
        <v>8</v>
      </c>
      <c r="B4" s="7">
        <v>1000.0</v>
      </c>
      <c r="C4" s="8">
        <v>0.1</v>
      </c>
      <c r="D4" s="8">
        <f>1-C4</f>
        <v>0.9</v>
      </c>
      <c r="E4" s="8">
        <v>0.05</v>
      </c>
      <c r="F4" s="8">
        <f>1-E4</f>
        <v>0.95</v>
      </c>
      <c r="G4" s="4"/>
      <c r="H4" s="5"/>
      <c r="I4" s="7"/>
      <c r="J4" s="7"/>
      <c r="K4" s="5"/>
      <c r="L4" s="5"/>
    </row>
    <row r="5">
      <c r="A5" s="2"/>
      <c r="B5" s="2"/>
      <c r="C5" s="2"/>
      <c r="D5" s="2"/>
      <c r="E5" s="1"/>
      <c r="F5" s="1"/>
    </row>
    <row r="6">
      <c r="A6" s="2" t="s">
        <v>9</v>
      </c>
      <c r="B6" s="2" t="s">
        <v>10</v>
      </c>
      <c r="C6" s="2" t="s">
        <v>5</v>
      </c>
      <c r="D6" s="2" t="s">
        <v>11</v>
      </c>
      <c r="E6" s="1"/>
      <c r="F6" s="1"/>
      <c r="I6" s="4"/>
      <c r="J6" s="9"/>
    </row>
    <row r="7">
      <c r="A7" s="4" t="s">
        <v>12</v>
      </c>
      <c r="B7" s="7">
        <v>112.0</v>
      </c>
      <c r="C7" s="8">
        <v>0.9</v>
      </c>
      <c r="D7" s="10">
        <f>B7*C7</f>
        <v>100.8</v>
      </c>
      <c r="E7" s="8"/>
    </row>
    <row r="8">
      <c r="A8" s="4"/>
      <c r="B8" s="7"/>
      <c r="E8" s="4"/>
      <c r="I8" s="4"/>
      <c r="J8" s="11"/>
    </row>
    <row r="9">
      <c r="A9" s="5"/>
      <c r="B9" s="5"/>
    </row>
    <row r="10">
      <c r="A10" s="2" t="s">
        <v>13</v>
      </c>
      <c r="B10" s="12">
        <f>D7/(B4*C4)</f>
        <v>1.008</v>
      </c>
    </row>
    <row r="11">
      <c r="A11" s="2" t="s">
        <v>14</v>
      </c>
      <c r="B11" s="12">
        <f>D7/(B4*E4)</f>
        <v>2.016</v>
      </c>
      <c r="I11" s="4"/>
      <c r="J11" s="9"/>
    </row>
    <row r="12">
      <c r="A12" s="2" t="s">
        <v>15</v>
      </c>
      <c r="B12" s="12">
        <f>(SUM(B4)+B7)/B7</f>
        <v>9.928571429</v>
      </c>
      <c r="I12" s="4"/>
      <c r="J12" s="9"/>
    </row>
    <row r="13">
      <c r="B13" s="4"/>
      <c r="C13" s="5"/>
      <c r="I13" s="5"/>
    </row>
    <row r="14">
      <c r="A14" s="6" t="s">
        <v>16</v>
      </c>
      <c r="B14" s="8"/>
      <c r="I14" s="4"/>
      <c r="J14" s="13"/>
    </row>
    <row r="15">
      <c r="A15" s="14" t="s">
        <v>17</v>
      </c>
      <c r="B15" s="15">
        <v>0.055</v>
      </c>
      <c r="I15" s="4"/>
      <c r="J15" s="13"/>
    </row>
    <row r="16">
      <c r="I16" s="4"/>
      <c r="J16" s="13"/>
    </row>
    <row r="17">
      <c r="A17" s="2" t="s">
        <v>2</v>
      </c>
      <c r="B17" s="2" t="s">
        <v>18</v>
      </c>
      <c r="C17" s="2" t="s">
        <v>6</v>
      </c>
      <c r="D17" s="2" t="s">
        <v>7</v>
      </c>
      <c r="E17" s="2"/>
    </row>
    <row r="18">
      <c r="A18" s="4" t="s">
        <v>8</v>
      </c>
      <c r="B18" s="7">
        <f>1000*(1-B15)</f>
        <v>945</v>
      </c>
      <c r="C18" s="8">
        <v>0.05</v>
      </c>
      <c r="D18" s="8">
        <f>1-C18</f>
        <v>0.95</v>
      </c>
      <c r="E18" s="4"/>
      <c r="I18" s="4"/>
      <c r="J18" s="5"/>
    </row>
    <row r="19">
      <c r="A19" s="2"/>
      <c r="B19" s="2"/>
      <c r="C19" s="2"/>
      <c r="D19" s="2"/>
      <c r="E19" s="1"/>
    </row>
    <row r="20">
      <c r="A20" s="2" t="s">
        <v>9</v>
      </c>
      <c r="B20" s="2" t="s">
        <v>10</v>
      </c>
      <c r="C20" s="2" t="s">
        <v>7</v>
      </c>
      <c r="D20" s="2" t="s">
        <v>11</v>
      </c>
      <c r="E20" s="1"/>
      <c r="I20" s="5"/>
    </row>
    <row r="21">
      <c r="A21" s="4" t="s">
        <v>12</v>
      </c>
      <c r="B21" s="7">
        <v>112.0</v>
      </c>
      <c r="C21" s="8">
        <v>0.9</v>
      </c>
      <c r="D21" s="10">
        <f>B21*C21</f>
        <v>100.8</v>
      </c>
      <c r="E21" s="8"/>
      <c r="I21" s="5"/>
    </row>
    <row r="22">
      <c r="A22" s="5"/>
      <c r="B22" s="5"/>
      <c r="E22" s="4"/>
      <c r="I22" s="5"/>
    </row>
    <row r="23">
      <c r="A23" s="2" t="s">
        <v>19</v>
      </c>
      <c r="B23" s="2" t="s">
        <v>10</v>
      </c>
      <c r="C23" s="2" t="s">
        <v>6</v>
      </c>
      <c r="D23" s="2" t="s">
        <v>7</v>
      </c>
      <c r="E23" s="4"/>
      <c r="I23" s="5"/>
    </row>
    <row r="24">
      <c r="A24" s="4" t="s">
        <v>8</v>
      </c>
      <c r="B24" s="7">
        <f>B18-B4</f>
        <v>-55</v>
      </c>
      <c r="C24" s="8">
        <v>0.05</v>
      </c>
      <c r="D24" s="8">
        <f>1-C24</f>
        <v>0.95</v>
      </c>
      <c r="E24" s="4"/>
      <c r="I24" s="5"/>
    </row>
    <row r="25">
      <c r="A25" s="5"/>
      <c r="B25" s="5"/>
      <c r="I25" s="5"/>
    </row>
    <row r="26">
      <c r="A26" s="5"/>
      <c r="B26" s="5"/>
      <c r="I26" s="5"/>
    </row>
    <row r="27">
      <c r="A27" s="2" t="s">
        <v>14</v>
      </c>
      <c r="B27" s="12">
        <f>(D21+(B24*D24))/(B4*E4)</f>
        <v>0.971</v>
      </c>
      <c r="I27" s="5"/>
    </row>
    <row r="28">
      <c r="A28" s="2" t="s">
        <v>15</v>
      </c>
      <c r="B28" s="12">
        <f>(B18+B24+B21)/(B21+B24)</f>
        <v>17.57894737</v>
      </c>
    </row>
    <row r="29">
      <c r="A29" s="5"/>
      <c r="B29" s="5"/>
    </row>
    <row r="30">
      <c r="A30" s="2"/>
      <c r="B30" s="2"/>
    </row>
    <row r="31">
      <c r="A31" s="4"/>
      <c r="B31" s="7"/>
    </row>
    <row r="32">
      <c r="A32" s="5"/>
      <c r="B32" s="5"/>
    </row>
    <row r="33">
      <c r="A33" s="2"/>
      <c r="B33" s="5"/>
    </row>
    <row r="34">
      <c r="A34" s="2"/>
      <c r="B34" s="12"/>
    </row>
    <row r="39">
      <c r="A39" s="6"/>
    </row>
    <row r="40">
      <c r="A40" s="6"/>
      <c r="E40" s="3"/>
    </row>
    <row r="41">
      <c r="A41" s="2"/>
      <c r="E41" s="3"/>
    </row>
    <row r="42">
      <c r="A42" s="1"/>
      <c r="B42" s="2"/>
      <c r="C42" s="2"/>
      <c r="E42" s="3"/>
    </row>
    <row r="43">
      <c r="A43" s="2"/>
      <c r="B43" s="2"/>
      <c r="C43" s="2"/>
      <c r="D43" s="2"/>
      <c r="E43" s="3"/>
    </row>
    <row r="44">
      <c r="A44" s="4"/>
      <c r="B44" s="7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 ht="15.0" customHeight="1">
      <c r="A47" s="4"/>
      <c r="B47" s="7"/>
      <c r="C47" s="8"/>
      <c r="D47" s="5"/>
      <c r="E47" s="1"/>
    </row>
    <row r="48">
      <c r="A48" s="4"/>
      <c r="B48" s="7"/>
      <c r="C48" s="8"/>
      <c r="D48" s="5"/>
      <c r="E48" s="4"/>
    </row>
    <row r="49">
      <c r="A49" s="5"/>
      <c r="B49" s="5"/>
      <c r="E49" s="8"/>
    </row>
    <row r="50">
      <c r="A50" s="2"/>
      <c r="B50" s="2"/>
      <c r="E50" s="4"/>
    </row>
    <row r="51">
      <c r="A51" s="4"/>
      <c r="B51" s="7"/>
    </row>
    <row r="52">
      <c r="A52" s="6"/>
      <c r="B52" s="7"/>
    </row>
    <row r="53">
      <c r="A53" s="5"/>
      <c r="B53" s="5"/>
    </row>
    <row r="54">
      <c r="A54" s="2"/>
      <c r="B54" s="12"/>
    </row>
    <row r="55">
      <c r="A55" s="2"/>
      <c r="B55" s="12"/>
    </row>
    <row r="58">
      <c r="A58" s="6"/>
    </row>
    <row r="59">
      <c r="A59" s="6"/>
    </row>
    <row r="60">
      <c r="A60" s="1"/>
      <c r="B60" s="2"/>
      <c r="C60" s="2"/>
      <c r="E60" s="3"/>
    </row>
    <row r="61">
      <c r="A61" s="2"/>
      <c r="B61" s="2"/>
      <c r="E61" s="3"/>
    </row>
    <row r="62">
      <c r="A62" s="4"/>
      <c r="B62" s="7"/>
      <c r="E62" s="3"/>
    </row>
    <row r="63">
      <c r="E63" s="1"/>
    </row>
    <row r="64">
      <c r="A64" s="2"/>
      <c r="B64" s="2"/>
      <c r="C64" s="2"/>
      <c r="D64" s="2"/>
      <c r="E64" s="4"/>
    </row>
    <row r="65">
      <c r="A65" s="4"/>
      <c r="B65" s="7"/>
      <c r="C65" s="8"/>
      <c r="D65" s="5"/>
      <c r="E65" s="8"/>
    </row>
    <row r="66">
      <c r="A66" s="4"/>
      <c r="B66" s="7"/>
      <c r="C66" s="8"/>
      <c r="D66" s="5"/>
    </row>
    <row r="67">
      <c r="A67" s="6"/>
      <c r="B67" s="7"/>
      <c r="C67" s="8"/>
      <c r="D67" s="5"/>
    </row>
    <row r="68">
      <c r="A68" s="5"/>
      <c r="B68" s="5"/>
    </row>
    <row r="69">
      <c r="A69" s="2"/>
      <c r="B69" s="2"/>
    </row>
    <row r="70">
      <c r="A70" s="4"/>
      <c r="B70" s="7"/>
    </row>
    <row r="71">
      <c r="A71" s="5"/>
      <c r="B71" s="5"/>
    </row>
    <row r="72">
      <c r="A72" s="2"/>
      <c r="B72" s="12"/>
    </row>
    <row r="73">
      <c r="A73" s="2"/>
      <c r="B7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21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0.1</v>
      </c>
      <c r="D4" s="8">
        <f>1-C4</f>
        <v>0.9</v>
      </c>
      <c r="E4" s="19">
        <v>0.05</v>
      </c>
      <c r="F4" s="8">
        <f>1-E4</f>
        <v>0.95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5"/>
    </row>
    <row r="7">
      <c r="A7" s="4" t="s">
        <v>12</v>
      </c>
      <c r="B7" s="7">
        <v>152.0</v>
      </c>
      <c r="C7" s="8">
        <v>0.9</v>
      </c>
      <c r="D7" s="8">
        <v>0.95</v>
      </c>
      <c r="E7" s="8"/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27</v>
      </c>
      <c r="B10" s="7">
        <v>0.0</v>
      </c>
      <c r="E10" s="6"/>
      <c r="I10" s="21"/>
      <c r="J10" s="11"/>
    </row>
    <row r="11">
      <c r="A11" s="5"/>
      <c r="B11" s="5"/>
      <c r="I11" s="4" t="s">
        <v>28</v>
      </c>
      <c r="J11" s="11">
        <f>B7*D7</f>
        <v>144.4</v>
      </c>
      <c r="K11" s="22">
        <f>B7*C7</f>
        <v>136.8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920</v>
      </c>
      <c r="K12" s="23">
        <f>J12</f>
        <v>920</v>
      </c>
    </row>
    <row r="13">
      <c r="A13" s="2"/>
      <c r="B13" s="24">
        <v>100.0</v>
      </c>
      <c r="C13" s="17">
        <v>92.0</v>
      </c>
      <c r="I13" s="4" t="s">
        <v>33</v>
      </c>
      <c r="J13" s="25">
        <f>F4</f>
        <v>0.95</v>
      </c>
      <c r="K13" s="26">
        <f>D4</f>
        <v>0.9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0</v>
      </c>
      <c r="K15" s="27">
        <f>max(B18, 0)</f>
        <v>0</v>
      </c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-min(0, B18)</f>
        <v>25.21</v>
      </c>
      <c r="K16" s="27">
        <f>-min(B18, 0)</f>
        <v>25.21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0</v>
      </c>
      <c r="K17" s="28">
        <f>max(B18, 0)*G18</f>
        <v>0</v>
      </c>
    </row>
    <row r="18">
      <c r="A18" s="2"/>
      <c r="B18" s="24">
        <f>C18*E18</f>
        <v>-25.21</v>
      </c>
      <c r="C18" s="17">
        <v>-25.21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-min(0, B18)*F18</f>
        <v>23.9495</v>
      </c>
      <c r="K18" s="28">
        <f>-min(B18, 0)*G18</f>
        <v>22.689</v>
      </c>
    </row>
    <row r="19">
      <c r="B19" s="4"/>
      <c r="C19" s="5"/>
      <c r="I19" s="24" t="s">
        <v>45</v>
      </c>
      <c r="J19" s="11">
        <f>B10</f>
        <v>0</v>
      </c>
      <c r="K19" s="29">
        <f>B10</f>
        <v>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-54.79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(K11+K12*(K13-K14)+K17)/(K19+K20+K16)</f>
        <v>0.9408960115</v>
      </c>
      <c r="E26" s="17" t="s">
        <v>48</v>
      </c>
      <c r="F26" s="33">
        <f>(K11+K12*(K13-K14)+K17)</f>
        <v>964.616</v>
      </c>
      <c r="I26" s="5"/>
    </row>
    <row r="27">
      <c r="A27" s="2" t="s">
        <v>14</v>
      </c>
      <c r="B27" s="34">
        <f>(J11+J12*(J13-J14)+J17)/(J19+J20+J16)</f>
        <v>0.993177983</v>
      </c>
      <c r="E27" s="35" t="s">
        <v>49</v>
      </c>
      <c r="F27" s="33">
        <f>(K19+K20+K16)</f>
        <v>1025.21</v>
      </c>
      <c r="I27" s="5"/>
    </row>
    <row r="28">
      <c r="A28" s="5"/>
      <c r="B28" s="5"/>
    </row>
    <row r="29">
      <c r="A29" s="2"/>
    </row>
    <row r="30">
      <c r="A30" s="2"/>
      <c r="B30" s="2"/>
    </row>
    <row r="31">
      <c r="A31" s="5"/>
      <c r="B31" s="36"/>
    </row>
    <row r="32">
      <c r="A32" s="2"/>
    </row>
    <row r="33">
      <c r="A33" s="2"/>
      <c r="B33" s="2"/>
    </row>
    <row r="36">
      <c r="B36" s="2"/>
    </row>
    <row r="37">
      <c r="B37" s="4"/>
    </row>
    <row r="38">
      <c r="A38" s="6"/>
    </row>
    <row r="39">
      <c r="A39" s="6"/>
      <c r="E39" s="3"/>
    </row>
    <row r="40">
      <c r="A40" s="2"/>
      <c r="E40" s="3"/>
    </row>
    <row r="41">
      <c r="A41" s="1"/>
      <c r="B41" s="2"/>
      <c r="C41" s="2"/>
      <c r="E41" s="3"/>
    </row>
    <row r="42">
      <c r="A42" s="2"/>
      <c r="B42" s="2"/>
      <c r="C42" s="2"/>
      <c r="D42" s="2"/>
      <c r="E42" s="3"/>
    </row>
    <row r="43">
      <c r="A43" s="4"/>
      <c r="B43" s="7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 ht="15.0" customHeight="1">
      <c r="A46" s="4"/>
      <c r="B46" s="7"/>
      <c r="C46" s="8"/>
      <c r="D46" s="5"/>
      <c r="E46" s="1"/>
    </row>
    <row r="47">
      <c r="A47" s="4"/>
      <c r="B47" s="7"/>
      <c r="C47" s="8"/>
      <c r="D47" s="5"/>
      <c r="E47" s="4"/>
    </row>
    <row r="48">
      <c r="A48" s="5"/>
      <c r="B48" s="5"/>
      <c r="E48" s="8"/>
    </row>
    <row r="49">
      <c r="A49" s="2"/>
      <c r="B49" s="2"/>
      <c r="E49" s="4"/>
    </row>
    <row r="50">
      <c r="A50" s="4"/>
      <c r="B50" s="7"/>
    </row>
    <row r="51">
      <c r="A51" s="6"/>
      <c r="B51" s="7"/>
    </row>
    <row r="52">
      <c r="A52" s="5"/>
      <c r="B52" s="5"/>
    </row>
    <row r="53">
      <c r="A53" s="2"/>
      <c r="B53" s="12"/>
    </row>
    <row r="54">
      <c r="A54" s="2"/>
      <c r="B54" s="12"/>
    </row>
    <row r="57">
      <c r="A57" s="6"/>
    </row>
    <row r="58">
      <c r="A58" s="6"/>
    </row>
    <row r="59">
      <c r="A59" s="1"/>
      <c r="B59" s="2"/>
      <c r="C59" s="2"/>
      <c r="E59" s="3"/>
    </row>
    <row r="60">
      <c r="A60" s="2"/>
      <c r="B60" s="2"/>
      <c r="E60" s="3"/>
    </row>
    <row r="61">
      <c r="A61" s="4"/>
      <c r="B61" s="7"/>
      <c r="E61" s="3"/>
    </row>
    <row r="62">
      <c r="E62" s="1"/>
    </row>
    <row r="63">
      <c r="A63" s="2"/>
      <c r="B63" s="2"/>
      <c r="C63" s="2"/>
      <c r="D63" s="2"/>
      <c r="E63" s="4"/>
    </row>
    <row r="64">
      <c r="A64" s="4"/>
      <c r="B64" s="7"/>
      <c r="C64" s="8"/>
      <c r="D64" s="5"/>
      <c r="E64" s="8"/>
    </row>
    <row r="65">
      <c r="A65" s="4"/>
      <c r="B65" s="7"/>
      <c r="C65" s="8"/>
      <c r="D65" s="5"/>
    </row>
    <row r="66">
      <c r="A66" s="6"/>
      <c r="B66" s="7"/>
      <c r="C66" s="8"/>
      <c r="D66" s="5"/>
    </row>
    <row r="67">
      <c r="A67" s="5"/>
      <c r="B67" s="5"/>
    </row>
    <row r="68">
      <c r="A68" s="2"/>
      <c r="B68" s="2"/>
    </row>
    <row r="69">
      <c r="A69" s="4"/>
      <c r="B69" s="7"/>
    </row>
    <row r="70">
      <c r="A70" s="5"/>
      <c r="B70" s="5"/>
    </row>
    <row r="71">
      <c r="A71" s="2"/>
      <c r="B71" s="12"/>
    </row>
    <row r="72">
      <c r="A72" s="2"/>
      <c r="B7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21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0.1</v>
      </c>
      <c r="D4" s="8">
        <f>1-C4</f>
        <v>0.9</v>
      </c>
      <c r="E4" s="19">
        <v>0.05</v>
      </c>
      <c r="F4" s="8">
        <f>1-E4</f>
        <v>0.95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5"/>
    </row>
    <row r="7">
      <c r="A7" s="4" t="s">
        <v>12</v>
      </c>
      <c r="B7" s="7">
        <v>152.0</v>
      </c>
      <c r="C7" s="8">
        <v>0.9</v>
      </c>
      <c r="D7" s="8">
        <v>0.95</v>
      </c>
      <c r="E7" s="8"/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27</v>
      </c>
      <c r="B10" s="7">
        <v>0.0</v>
      </c>
      <c r="E10" s="6"/>
      <c r="I10" s="21"/>
      <c r="J10" s="11"/>
    </row>
    <row r="11">
      <c r="A11" s="5"/>
      <c r="B11" s="5"/>
      <c r="I11" s="4" t="s">
        <v>28</v>
      </c>
      <c r="J11" s="11">
        <f>B7*D7</f>
        <v>144.4</v>
      </c>
      <c r="K11" s="22">
        <f>B7*C7</f>
        <v>136.8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1040</v>
      </c>
      <c r="K12" s="23">
        <f>J12</f>
        <v>1040</v>
      </c>
    </row>
    <row r="13">
      <c r="A13" s="2"/>
      <c r="B13" s="24">
        <v>100.0</v>
      </c>
      <c r="C13" s="17">
        <v>104.0</v>
      </c>
      <c r="I13" s="4" t="s">
        <v>33</v>
      </c>
      <c r="J13" s="25">
        <f>F4</f>
        <v>0.95</v>
      </c>
      <c r="K13" s="26">
        <f>D4</f>
        <v>0.9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15.21</v>
      </c>
      <c r="K15" s="27">
        <f>max(B18, 0)</f>
        <v>15.21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min(0, B18)</f>
        <v>0</v>
      </c>
      <c r="K16" s="27">
        <f>min(B18, 0)</f>
        <v>0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14.4495</v>
      </c>
      <c r="K17" s="28">
        <f>max(B18, 0)*G18</f>
        <v>13.689</v>
      </c>
    </row>
    <row r="18">
      <c r="A18" s="2"/>
      <c r="B18" s="24">
        <f>C18*E18</f>
        <v>15.21</v>
      </c>
      <c r="C18" s="17">
        <v>15.21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min(0, B18)*F18</f>
        <v>0</v>
      </c>
      <c r="K18" s="28">
        <f>min(B18, 0)*G18</f>
        <v>0</v>
      </c>
    </row>
    <row r="19">
      <c r="B19" s="4"/>
      <c r="C19" s="5"/>
      <c r="I19" s="24" t="s">
        <v>45</v>
      </c>
      <c r="J19" s="11">
        <f>B10</f>
        <v>0</v>
      </c>
      <c r="K19" s="29">
        <f>B10</f>
        <v>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24.79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(K11+K12*(K13-K14)+K17)/(K19+K20+K16)</f>
        <v>1.086281</v>
      </c>
      <c r="I26" s="5"/>
    </row>
    <row r="27">
      <c r="A27" s="2" t="s">
        <v>14</v>
      </c>
      <c r="B27" s="34">
        <f>(J11+J12*(J13-J14)+J17)/(J19+J20+J16)</f>
        <v>1.1466415</v>
      </c>
      <c r="E27" s="35"/>
      <c r="I27" s="5"/>
    </row>
    <row r="28">
      <c r="A28" s="5"/>
      <c r="B28" s="5"/>
    </row>
    <row r="29">
      <c r="E29" s="37"/>
      <c r="I29" s="4"/>
      <c r="J29" s="13"/>
    </row>
    <row r="30">
      <c r="E30" s="37"/>
      <c r="I30" s="4"/>
      <c r="J30" s="13"/>
    </row>
    <row r="31">
      <c r="E31" s="37"/>
      <c r="I31" s="4"/>
      <c r="J31" s="13"/>
    </row>
    <row r="32">
      <c r="A32" s="2"/>
      <c r="B32" s="2"/>
      <c r="C32" s="16"/>
      <c r="D32" s="2"/>
    </row>
    <row r="33">
      <c r="A33" s="4"/>
      <c r="B33" s="38"/>
      <c r="C33" s="19"/>
      <c r="D33" s="9"/>
      <c r="E33" s="39"/>
      <c r="I33" s="4"/>
      <c r="J33" s="5"/>
    </row>
    <row r="34">
      <c r="A34" s="2"/>
      <c r="B34" s="2"/>
      <c r="C34" s="2"/>
      <c r="D34" s="2"/>
      <c r="E34" s="40"/>
    </row>
    <row r="35">
      <c r="A35" s="2"/>
      <c r="B35" s="2"/>
      <c r="C35" s="2"/>
      <c r="D35" s="2"/>
      <c r="E35" s="6"/>
      <c r="I35" s="5"/>
    </row>
    <row r="36">
      <c r="A36" s="4"/>
      <c r="B36" s="7"/>
      <c r="C36" s="8"/>
      <c r="D36" s="31"/>
      <c r="E36" s="41"/>
      <c r="I36" s="5"/>
    </row>
    <row r="37">
      <c r="A37" s="5"/>
      <c r="B37" s="5"/>
      <c r="E37" s="6"/>
      <c r="I37" s="5"/>
    </row>
    <row r="38">
      <c r="A38" s="2"/>
      <c r="B38" s="5"/>
      <c r="E38" s="6"/>
      <c r="I38" s="5"/>
    </row>
    <row r="39">
      <c r="A39" s="5"/>
      <c r="B39" s="42"/>
      <c r="I39" s="5"/>
    </row>
    <row r="40">
      <c r="A40" s="2"/>
      <c r="B40" s="34"/>
      <c r="I40" s="5"/>
    </row>
    <row r="41">
      <c r="A41" s="2"/>
      <c r="B41" s="12"/>
    </row>
    <row r="42">
      <c r="A42" s="5"/>
      <c r="B42" s="5"/>
    </row>
    <row r="43">
      <c r="A43" s="2"/>
    </row>
    <row r="44">
      <c r="A44" s="2"/>
      <c r="B44" s="2"/>
    </row>
    <row r="45">
      <c r="A45" s="5"/>
      <c r="B45" s="36"/>
    </row>
    <row r="46">
      <c r="A46" s="2"/>
      <c r="I46" s="43"/>
    </row>
    <row r="47">
      <c r="A47" s="2"/>
      <c r="B47" s="2"/>
    </row>
    <row r="49">
      <c r="E49" s="17" t="s">
        <v>50</v>
      </c>
      <c r="F49" s="17" t="str">
        <f>E36</f>
        <v/>
      </c>
    </row>
    <row r="50">
      <c r="B50" s="2"/>
      <c r="E50" s="17" t="s">
        <v>51</v>
      </c>
      <c r="F50" s="17" t="str">
        <f>B19</f>
        <v/>
      </c>
    </row>
    <row r="51">
      <c r="B51" s="4"/>
      <c r="E51" s="17" t="s">
        <v>52</v>
      </c>
      <c r="F51" s="44" t="str">
        <f>E33</f>
        <v/>
      </c>
    </row>
    <row r="52">
      <c r="A52" s="6"/>
      <c r="E52" s="17" t="s">
        <v>53</v>
      </c>
      <c r="F52" s="33">
        <f>B33*E33</f>
        <v>0</v>
      </c>
    </row>
    <row r="53">
      <c r="A53" s="6"/>
      <c r="E53" s="17" t="s">
        <v>54</v>
      </c>
      <c r="F53" s="29">
        <f>B4</f>
        <v>1000</v>
      </c>
    </row>
    <row r="54">
      <c r="A54" s="6"/>
    </row>
    <row r="55">
      <c r="A55" s="6"/>
      <c r="E55" s="3" t="s">
        <v>55</v>
      </c>
      <c r="F55" s="17">
        <v>203.0</v>
      </c>
    </row>
    <row r="56">
      <c r="A56" s="2"/>
      <c r="E56" s="3"/>
    </row>
    <row r="57">
      <c r="A57" s="1"/>
      <c r="B57" s="2"/>
      <c r="C57" s="2"/>
      <c r="E57" s="3"/>
    </row>
    <row r="58">
      <c r="A58" s="2"/>
      <c r="B58" s="2"/>
      <c r="C58" s="2"/>
      <c r="D58" s="2"/>
      <c r="E58" s="3"/>
      <c r="F58" s="32">
        <f>SUM(F49*0-1*(F50+0))/(F51*0-1)</f>
        <v>0</v>
      </c>
    </row>
    <row r="59">
      <c r="A59" s="4"/>
      <c r="B59" s="7"/>
      <c r="C59" s="2"/>
      <c r="D59" s="2"/>
      <c r="E59" s="3" t="s">
        <v>56</v>
      </c>
      <c r="F59" s="28">
        <f>SUM(F49-F50)/(2*(1-F51))</f>
        <v>0</v>
      </c>
    </row>
    <row r="60">
      <c r="A60" s="2"/>
      <c r="B60" s="2"/>
      <c r="C60" s="2"/>
      <c r="D60" s="2"/>
      <c r="E60" s="3" t="s">
        <v>57</v>
      </c>
      <c r="F60" s="28">
        <f>SUM((F50-F49)/(2*(0.8-1)))</f>
        <v>0</v>
      </c>
    </row>
    <row r="61">
      <c r="A61" s="2"/>
      <c r="B61" s="2"/>
      <c r="C61" s="2"/>
      <c r="D61" s="2"/>
      <c r="E61" s="3"/>
    </row>
    <row r="62" ht="15.0" customHeight="1">
      <c r="A62" s="4"/>
      <c r="B62" s="7"/>
      <c r="C62" s="8"/>
      <c r="D62" s="5"/>
      <c r="E62" s="1"/>
    </row>
    <row r="63">
      <c r="A63" s="4"/>
      <c r="B63" s="7"/>
      <c r="C63" s="8"/>
      <c r="D63" s="5"/>
      <c r="E63" s="4" t="s">
        <v>58</v>
      </c>
      <c r="F63" s="29">
        <f>SUM((F50+F53-F49-F52)/(1*(1-F51)))</f>
        <v>1000</v>
      </c>
    </row>
    <row r="64">
      <c r="A64" s="5"/>
      <c r="B64" s="5"/>
      <c r="E64" s="8"/>
    </row>
    <row r="65">
      <c r="A65" s="2"/>
      <c r="B65" s="2"/>
      <c r="E65" s="4"/>
    </row>
    <row r="66">
      <c r="A66" s="4"/>
      <c r="B66" s="7"/>
    </row>
    <row r="67">
      <c r="A67" s="6"/>
      <c r="B67" s="7"/>
    </row>
    <row r="68">
      <c r="A68" s="5"/>
      <c r="B68" s="5"/>
    </row>
    <row r="69">
      <c r="A69" s="2"/>
      <c r="B69" s="12"/>
    </row>
    <row r="70">
      <c r="A70" s="2"/>
      <c r="B70" s="12"/>
    </row>
    <row r="73">
      <c r="A73" s="6"/>
    </row>
    <row r="74">
      <c r="A74" s="6"/>
    </row>
    <row r="75">
      <c r="A75" s="1"/>
      <c r="B75" s="2"/>
      <c r="C75" s="2"/>
      <c r="E75" s="3"/>
    </row>
    <row r="76">
      <c r="A76" s="2"/>
      <c r="B76" s="2"/>
      <c r="E76" s="3"/>
    </row>
    <row r="77">
      <c r="A77" s="4"/>
      <c r="B77" s="7"/>
      <c r="E77" s="3"/>
    </row>
    <row r="78">
      <c r="E78" s="1"/>
    </row>
    <row r="79">
      <c r="A79" s="2"/>
      <c r="B79" s="2"/>
      <c r="C79" s="2"/>
      <c r="D79" s="2"/>
      <c r="E79" s="4"/>
    </row>
    <row r="80">
      <c r="A80" s="4"/>
      <c r="B80" s="7"/>
      <c r="C80" s="8"/>
      <c r="D80" s="5"/>
      <c r="E80" s="8"/>
    </row>
    <row r="81">
      <c r="A81" s="4"/>
      <c r="B81" s="7"/>
      <c r="C81" s="8"/>
      <c r="D81" s="5"/>
    </row>
    <row r="82">
      <c r="A82" s="6"/>
      <c r="B82" s="7"/>
      <c r="C82" s="8"/>
      <c r="D82" s="5"/>
    </row>
    <row r="83">
      <c r="A83" s="5"/>
      <c r="B83" s="5"/>
    </row>
    <row r="84">
      <c r="A84" s="2"/>
      <c r="B84" s="2"/>
    </row>
    <row r="85">
      <c r="A85" s="4"/>
      <c r="B85" s="7"/>
    </row>
    <row r="86">
      <c r="A86" s="5"/>
      <c r="B86" s="5"/>
    </row>
    <row r="87">
      <c r="A87" s="2"/>
      <c r="B87" s="12"/>
    </row>
    <row r="88">
      <c r="A88" s="2"/>
      <c r="B88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2"/>
      <c r="J1" s="2"/>
    </row>
    <row r="2">
      <c r="A2" s="6" t="s">
        <v>21</v>
      </c>
      <c r="B2" s="2"/>
      <c r="C2" s="2"/>
      <c r="D2" s="2"/>
      <c r="E2" s="2"/>
      <c r="F2" s="1"/>
      <c r="I2" s="7"/>
      <c r="J2" s="7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7" t="s">
        <v>59</v>
      </c>
      <c r="J3" s="17" t="s">
        <v>60</v>
      </c>
    </row>
    <row r="4">
      <c r="A4" s="4" t="s">
        <v>8</v>
      </c>
      <c r="B4" s="7">
        <f>G4*B16</f>
        <v>305346.24</v>
      </c>
      <c r="C4" s="19">
        <v>0.1</v>
      </c>
      <c r="D4" s="4">
        <v>0.32</v>
      </c>
      <c r="E4" s="19">
        <v>0.05</v>
      </c>
      <c r="F4" s="4">
        <v>0.4</v>
      </c>
      <c r="G4" s="17">
        <v>3186.0</v>
      </c>
      <c r="I4" s="18">
        <f>0.94729283354*B7</f>
        <v>3299396.31</v>
      </c>
      <c r="J4" s="17">
        <v>162661.0</v>
      </c>
    </row>
    <row r="5">
      <c r="A5" s="2"/>
      <c r="B5" s="2"/>
      <c r="C5" s="2"/>
      <c r="D5" s="2"/>
      <c r="E5" s="1"/>
      <c r="F5" s="1"/>
      <c r="I5" s="7"/>
      <c r="J5" s="7"/>
      <c r="K5" s="7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20"/>
    </row>
    <row r="7">
      <c r="A7" s="4" t="s">
        <v>12</v>
      </c>
      <c r="B7" s="7">
        <v>3482974.0</v>
      </c>
      <c r="C7" s="8">
        <v>0.9</v>
      </c>
      <c r="D7" s="8">
        <v>0.95</v>
      </c>
      <c r="E7" s="8"/>
      <c r="J7" s="5"/>
    </row>
    <row r="8">
      <c r="A8" s="5"/>
      <c r="B8" s="5"/>
      <c r="E8" s="6" t="s">
        <v>61</v>
      </c>
      <c r="I8" s="21"/>
      <c r="J8" s="11"/>
    </row>
    <row r="9">
      <c r="A9" s="2" t="s">
        <v>37</v>
      </c>
      <c r="B9" s="2" t="s">
        <v>39</v>
      </c>
      <c r="E9" s="6"/>
      <c r="I9" s="21"/>
      <c r="J9" s="11"/>
    </row>
    <row r="10">
      <c r="A10" s="4" t="s">
        <v>12</v>
      </c>
      <c r="B10" s="11">
        <v>0.0</v>
      </c>
      <c r="E10" s="6"/>
      <c r="I10" s="21" t="s">
        <v>24</v>
      </c>
      <c r="J10" s="11" t="s">
        <v>25</v>
      </c>
      <c r="K10" s="17" t="s">
        <v>26</v>
      </c>
    </row>
    <row r="11">
      <c r="A11" s="4"/>
      <c r="B11" s="11"/>
      <c r="E11" s="6"/>
      <c r="I11" s="21"/>
      <c r="J11" s="11"/>
    </row>
    <row r="12">
      <c r="A12" s="2" t="s">
        <v>62</v>
      </c>
      <c r="B12" s="2" t="s">
        <v>63</v>
      </c>
      <c r="C12" s="2" t="s">
        <v>64</v>
      </c>
      <c r="E12" s="37"/>
      <c r="I12" s="4" t="s">
        <v>28</v>
      </c>
      <c r="J12" s="11">
        <v>190835.0</v>
      </c>
      <c r="K12" s="17">
        <v>180791.0</v>
      </c>
    </row>
    <row r="13">
      <c r="A13" s="2"/>
      <c r="B13" s="4">
        <v>10.0</v>
      </c>
      <c r="C13" s="4">
        <v>10.5</v>
      </c>
      <c r="E13" s="37"/>
      <c r="I13" s="4" t="s">
        <v>32</v>
      </c>
      <c r="J13" s="13">
        <f>G4*C16</f>
        <v>239396.04</v>
      </c>
      <c r="K13" s="23">
        <f>J13</f>
        <v>239396.04</v>
      </c>
    </row>
    <row r="14">
      <c r="A14" s="2"/>
      <c r="B14" s="4"/>
      <c r="C14" s="4"/>
      <c r="E14" s="37"/>
      <c r="I14" s="4" t="s">
        <v>33</v>
      </c>
      <c r="J14" s="45">
        <f>F4</f>
        <v>0.4</v>
      </c>
      <c r="K14" s="46">
        <f>D4</f>
        <v>0.32</v>
      </c>
    </row>
    <row r="15">
      <c r="A15" s="2" t="s">
        <v>65</v>
      </c>
      <c r="B15" s="2" t="s">
        <v>63</v>
      </c>
      <c r="C15" s="2" t="s">
        <v>64</v>
      </c>
      <c r="D15" s="5"/>
      <c r="E15" s="47"/>
      <c r="F15" s="5"/>
      <c r="G15" s="5"/>
      <c r="H15" s="5"/>
      <c r="I15" s="4" t="s">
        <v>34</v>
      </c>
      <c r="J15" s="4">
        <v>0.0</v>
      </c>
      <c r="K15" s="4">
        <v>0.0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>
        <v>95.84</v>
      </c>
      <c r="C16" s="17">
        <v>75.14</v>
      </c>
      <c r="E16" s="6"/>
      <c r="I16" s="24" t="s">
        <v>35</v>
      </c>
      <c r="J16" s="11">
        <f>max(0, B10)</f>
        <v>0</v>
      </c>
      <c r="K16" s="23">
        <f>J16</f>
        <v>0</v>
      </c>
    </row>
    <row r="17">
      <c r="A17" s="5"/>
      <c r="B17" s="5"/>
      <c r="E17" s="6"/>
      <c r="I17" s="24" t="s">
        <v>36</v>
      </c>
      <c r="J17" s="11">
        <f>min(0, B8)*D5</f>
        <v>0</v>
      </c>
      <c r="K17" s="28">
        <f>min(0, B8)*C5</f>
        <v>0</v>
      </c>
    </row>
    <row r="18">
      <c r="A18" s="2" t="s">
        <v>23</v>
      </c>
      <c r="B18" s="2" t="s">
        <v>10</v>
      </c>
      <c r="E18" s="6"/>
      <c r="I18" s="24" t="s">
        <v>43</v>
      </c>
      <c r="J18" s="11">
        <f>max(0, B10)*D7</f>
        <v>0</v>
      </c>
      <c r="K18" s="28">
        <f>Max(0,B10)*C7</f>
        <v>0</v>
      </c>
    </row>
    <row r="19">
      <c r="A19" s="4" t="s">
        <v>27</v>
      </c>
      <c r="B19" s="7">
        <v>70051.0</v>
      </c>
      <c r="E19" s="6"/>
      <c r="I19" s="24" t="s">
        <v>44</v>
      </c>
      <c r="J19" s="11">
        <f>min(0, B10)*D7</f>
        <v>0</v>
      </c>
      <c r="K19" s="28">
        <f>min(0, B10)*C7</f>
        <v>0</v>
      </c>
    </row>
    <row r="20">
      <c r="A20" s="5"/>
      <c r="B20" s="5"/>
      <c r="I20" s="24" t="s">
        <v>45</v>
      </c>
      <c r="J20" s="11">
        <f>B19</f>
        <v>70051</v>
      </c>
      <c r="K20" s="29">
        <f>B19</f>
        <v>70051</v>
      </c>
    </row>
    <row r="21">
      <c r="A21" s="2" t="s">
        <v>13</v>
      </c>
      <c r="B21" s="12">
        <f>(B7*C7)/(B4*C4+B19)</f>
        <v>31.16426061</v>
      </c>
      <c r="I21" s="21" t="s">
        <v>46</v>
      </c>
      <c r="J21" s="11">
        <f>G4*B16</f>
        <v>305346.24</v>
      </c>
      <c r="K21" s="28">
        <f>G4*B16</f>
        <v>305346.24</v>
      </c>
    </row>
    <row r="22">
      <c r="A22" s="2" t="s">
        <v>66</v>
      </c>
      <c r="B22" s="12">
        <f>(B7*C7) /(B4*C4+B19)</f>
        <v>31.16426061</v>
      </c>
      <c r="I22" s="11"/>
      <c r="J22" s="4"/>
    </row>
    <row r="23">
      <c r="A23" s="2" t="s">
        <v>14</v>
      </c>
      <c r="B23" s="12">
        <f>(B4*F4+B7*D7)/B4</f>
        <v>11.23630602</v>
      </c>
      <c r="E23" s="6"/>
      <c r="I23" s="4"/>
      <c r="J23" s="9"/>
    </row>
    <row r="24">
      <c r="A24" s="2" t="s">
        <v>67</v>
      </c>
      <c r="B24" s="12"/>
      <c r="E24" s="6"/>
      <c r="I24" s="4"/>
      <c r="J24" s="9"/>
    </row>
    <row r="25">
      <c r="A25" s="2" t="s">
        <v>15</v>
      </c>
      <c r="B25" s="12">
        <f>(B4+B7)/B7</f>
        <v>1.087668251</v>
      </c>
      <c r="I25" s="4"/>
      <c r="J25" s="9"/>
    </row>
    <row r="26">
      <c r="B26" s="4"/>
      <c r="C26" s="5"/>
      <c r="I26" s="5"/>
    </row>
    <row r="27">
      <c r="A27" s="6" t="s">
        <v>16</v>
      </c>
      <c r="B27" s="8"/>
      <c r="E27" s="30"/>
      <c r="I27" s="4"/>
      <c r="J27" s="13"/>
    </row>
    <row r="28">
      <c r="A28" s="14" t="s">
        <v>68</v>
      </c>
      <c r="B28" s="48">
        <v>0.055</v>
      </c>
      <c r="E28" s="49"/>
      <c r="I28" s="4"/>
      <c r="J28" s="13"/>
    </row>
    <row r="29">
      <c r="E29" s="37"/>
      <c r="I29" s="4"/>
      <c r="J29" s="13"/>
    </row>
    <row r="30">
      <c r="E30" s="37"/>
      <c r="I30" s="4"/>
      <c r="J30" s="13"/>
    </row>
    <row r="31">
      <c r="E31" s="37"/>
      <c r="I31" s="4"/>
      <c r="J31" s="13"/>
    </row>
    <row r="32">
      <c r="A32" s="2" t="s">
        <v>2</v>
      </c>
      <c r="B32" s="2" t="s">
        <v>18</v>
      </c>
      <c r="C32" s="16" t="s">
        <v>6</v>
      </c>
      <c r="D32" s="2" t="s">
        <v>7</v>
      </c>
      <c r="E32" s="17" t="s">
        <v>69</v>
      </c>
      <c r="F32" s="17" t="s">
        <v>46</v>
      </c>
      <c r="G32" s="17" t="s">
        <v>32</v>
      </c>
    </row>
    <row r="33">
      <c r="A33" s="4" t="s">
        <v>8</v>
      </c>
      <c r="B33" s="38">
        <f>G4*C16</f>
        <v>239396.04</v>
      </c>
      <c r="C33" s="19">
        <v>0.05</v>
      </c>
      <c r="D33" s="9">
        <f>1-C33</f>
        <v>0.95</v>
      </c>
      <c r="E33" s="39">
        <v>0.9</v>
      </c>
      <c r="I33" s="4"/>
      <c r="J33" s="5"/>
    </row>
    <row r="34">
      <c r="A34" s="2"/>
      <c r="B34" s="2"/>
      <c r="C34" s="2"/>
      <c r="D34" s="2"/>
      <c r="E34" s="40"/>
    </row>
    <row r="35">
      <c r="A35" s="2" t="s">
        <v>9</v>
      </c>
      <c r="B35" s="2" t="s">
        <v>10</v>
      </c>
      <c r="C35" s="2" t="s">
        <v>7</v>
      </c>
      <c r="D35" s="2" t="s">
        <v>11</v>
      </c>
      <c r="E35" s="6" t="s">
        <v>70</v>
      </c>
      <c r="I35" s="5"/>
    </row>
    <row r="36">
      <c r="A36" s="4" t="s">
        <v>12</v>
      </c>
      <c r="B36" s="7">
        <f>112</f>
        <v>112</v>
      </c>
      <c r="C36" s="8">
        <v>0.95</v>
      </c>
      <c r="D36" s="31">
        <f>B36*C36</f>
        <v>106.4</v>
      </c>
      <c r="E36" s="50">
        <f>B36*E33</f>
        <v>100.8</v>
      </c>
      <c r="I36" s="5"/>
    </row>
    <row r="37">
      <c r="A37" s="5"/>
      <c r="B37" s="5"/>
      <c r="E37" s="6"/>
      <c r="I37" s="5"/>
    </row>
    <row r="38">
      <c r="A38" s="2" t="s">
        <v>19</v>
      </c>
      <c r="B38" s="31">
        <f>B33-B4</f>
        <v>-65950.2</v>
      </c>
      <c r="E38" s="6"/>
      <c r="I38" s="5"/>
    </row>
    <row r="39">
      <c r="A39" s="5"/>
      <c r="B39" s="42"/>
      <c r="I39" s="5"/>
    </row>
    <row r="40">
      <c r="A40" s="2" t="s">
        <v>71</v>
      </c>
      <c r="B40" s="51">
        <f>(K12+K13*(D4-K15)+K18)/(K20+K21+K17)</f>
        <v>0.6856676219</v>
      </c>
      <c r="I40" s="5"/>
    </row>
    <row r="41">
      <c r="A41" s="2" t="s">
        <v>14</v>
      </c>
      <c r="B41" s="34">
        <f>(J12+J13*(F4-J15)+J18)/(J20+J21+J17)</f>
        <v>0.7634403918</v>
      </c>
      <c r="I41" s="5"/>
    </row>
    <row r="42">
      <c r="A42" s="2" t="s">
        <v>15</v>
      </c>
      <c r="B42" s="12">
        <f>(B33+B36+B38)/(B36+B38)</f>
        <v>-2.636126747</v>
      </c>
    </row>
    <row r="43">
      <c r="A43" s="5"/>
      <c r="B43" s="5"/>
    </row>
    <row r="44">
      <c r="A44" s="2"/>
    </row>
    <row r="45">
      <c r="A45" s="2"/>
      <c r="B45" s="2"/>
    </row>
    <row r="46">
      <c r="A46" s="5"/>
      <c r="B46" s="36"/>
    </row>
    <row r="47">
      <c r="A47" s="2"/>
      <c r="I47" s="43"/>
    </row>
    <row r="48">
      <c r="A48" s="2"/>
      <c r="B48" s="2"/>
    </row>
    <row r="51">
      <c r="B51" s="2"/>
    </row>
    <row r="52">
      <c r="B52" s="4"/>
    </row>
    <row r="53">
      <c r="A53" s="6"/>
    </row>
    <row r="54">
      <c r="A54" s="6"/>
    </row>
    <row r="55">
      <c r="A55" s="6"/>
    </row>
    <row r="56">
      <c r="A56" s="6"/>
      <c r="E56" s="3"/>
    </row>
    <row r="57">
      <c r="A57" s="2"/>
      <c r="E57" s="3"/>
    </row>
    <row r="58">
      <c r="A58" s="1"/>
      <c r="B58" s="2"/>
      <c r="C58" s="2"/>
      <c r="E58" s="3"/>
    </row>
    <row r="59">
      <c r="A59" s="2"/>
      <c r="B59" s="2"/>
      <c r="C59" s="2"/>
      <c r="D59" s="2"/>
      <c r="E59" s="3"/>
      <c r="F59" s="32"/>
    </row>
    <row r="60">
      <c r="A60" s="4"/>
      <c r="B60" s="7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 ht="15.0" customHeight="1">
      <c r="A63" s="4"/>
      <c r="B63" s="7"/>
      <c r="C63" s="8"/>
      <c r="D63" s="5"/>
      <c r="E63" s="1"/>
    </row>
    <row r="64">
      <c r="A64" s="4"/>
      <c r="B64" s="7"/>
      <c r="C64" s="8"/>
      <c r="D64" s="5"/>
      <c r="E64" s="4"/>
    </row>
    <row r="65">
      <c r="A65" s="5"/>
      <c r="B65" s="5"/>
      <c r="E65" s="8"/>
    </row>
    <row r="66">
      <c r="A66" s="2"/>
      <c r="B66" s="2"/>
      <c r="E66" s="4"/>
    </row>
    <row r="67">
      <c r="A67" s="4"/>
      <c r="B67" s="7"/>
    </row>
    <row r="68">
      <c r="A68" s="6"/>
      <c r="B68" s="7"/>
    </row>
    <row r="69">
      <c r="A69" s="5"/>
      <c r="B69" s="5"/>
    </row>
    <row r="70">
      <c r="A70" s="2"/>
      <c r="B70" s="12"/>
    </row>
    <row r="71">
      <c r="A71" s="2"/>
      <c r="B71" s="12"/>
    </row>
    <row r="74">
      <c r="A74" s="6"/>
    </row>
    <row r="75">
      <c r="A75" s="6"/>
    </row>
    <row r="76">
      <c r="A76" s="1"/>
      <c r="B76" s="2"/>
      <c r="C76" s="2"/>
      <c r="E76" s="3"/>
    </row>
    <row r="77">
      <c r="A77" s="2"/>
      <c r="B77" s="2"/>
      <c r="E77" s="3"/>
    </row>
    <row r="78">
      <c r="A78" s="4"/>
      <c r="B78" s="7"/>
      <c r="E78" s="3"/>
    </row>
    <row r="79">
      <c r="E79" s="1"/>
    </row>
    <row r="80">
      <c r="A80" s="2"/>
      <c r="B80" s="2"/>
      <c r="C80" s="2"/>
      <c r="D80" s="2"/>
      <c r="E80" s="4"/>
    </row>
    <row r="81">
      <c r="A81" s="4"/>
      <c r="B81" s="7"/>
      <c r="C81" s="8"/>
      <c r="D81" s="5"/>
      <c r="E81" s="8"/>
    </row>
    <row r="82">
      <c r="A82" s="4"/>
      <c r="B82" s="7"/>
      <c r="C82" s="8"/>
      <c r="D82" s="5"/>
    </row>
    <row r="83">
      <c r="A83" s="6"/>
      <c r="B83" s="7"/>
      <c r="C83" s="8"/>
      <c r="D83" s="5"/>
    </row>
    <row r="84">
      <c r="A84" s="5"/>
      <c r="B84" s="5"/>
    </row>
    <row r="85">
      <c r="A85" s="2"/>
      <c r="B85" s="2"/>
    </row>
    <row r="86">
      <c r="A86" s="4"/>
      <c r="B86" s="7"/>
    </row>
    <row r="87">
      <c r="A87" s="5"/>
      <c r="B87" s="5"/>
    </row>
    <row r="88">
      <c r="A88" s="2"/>
      <c r="B88" s="12"/>
    </row>
    <row r="89">
      <c r="A89" s="2"/>
      <c r="B89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2"/>
      <c r="J1" s="2"/>
    </row>
    <row r="2">
      <c r="A2" s="6" t="s">
        <v>21</v>
      </c>
      <c r="B2" s="2"/>
      <c r="C2" s="2"/>
      <c r="D2" s="2"/>
      <c r="E2" s="2"/>
      <c r="F2" s="1"/>
      <c r="I2" s="7"/>
      <c r="J2" s="7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7" t="s">
        <v>59</v>
      </c>
      <c r="J3" s="17" t="s">
        <v>60</v>
      </c>
    </row>
    <row r="4">
      <c r="A4" s="4" t="s">
        <v>8</v>
      </c>
      <c r="B4" s="7">
        <f>G4*B16</f>
        <v>34481.27</v>
      </c>
      <c r="C4" s="19">
        <v>0.1</v>
      </c>
      <c r="D4" s="4">
        <v>0.4</v>
      </c>
      <c r="E4" s="19">
        <v>0.05</v>
      </c>
      <c r="F4" s="4">
        <v>0.42</v>
      </c>
      <c r="G4" s="17">
        <v>901.0</v>
      </c>
      <c r="I4" s="18">
        <f>0.94729283354*B7</f>
        <v>12153.76705</v>
      </c>
      <c r="J4" s="17">
        <v>162661.0</v>
      </c>
    </row>
    <row r="5">
      <c r="A5" s="2"/>
      <c r="B5" s="2"/>
      <c r="C5" s="2"/>
      <c r="D5" s="2"/>
      <c r="E5" s="1"/>
      <c r="F5" s="1"/>
      <c r="I5" s="7"/>
      <c r="J5" s="7"/>
      <c r="K5" s="7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20"/>
    </row>
    <row r="7">
      <c r="A7" s="4" t="s">
        <v>12</v>
      </c>
      <c r="B7" s="7">
        <v>12830.0</v>
      </c>
      <c r="C7" s="8">
        <v>0.9</v>
      </c>
      <c r="D7" s="8">
        <v>0.95</v>
      </c>
      <c r="E7" s="8"/>
      <c r="J7" s="5"/>
    </row>
    <row r="8">
      <c r="A8" s="5"/>
      <c r="B8" s="5"/>
      <c r="E8" s="6" t="s">
        <v>61</v>
      </c>
      <c r="I8" s="21"/>
      <c r="J8" s="11"/>
    </row>
    <row r="9">
      <c r="A9" s="2" t="s">
        <v>37</v>
      </c>
      <c r="B9" s="2" t="s">
        <v>39</v>
      </c>
      <c r="E9" s="6"/>
      <c r="I9" s="21"/>
      <c r="J9" s="11"/>
    </row>
    <row r="10">
      <c r="A10" s="4" t="s">
        <v>12</v>
      </c>
      <c r="B10" s="11">
        <v>158.27087635</v>
      </c>
      <c r="E10" s="6"/>
      <c r="I10" s="21" t="s">
        <v>24</v>
      </c>
      <c r="J10" s="11" t="s">
        <v>25</v>
      </c>
      <c r="K10" s="17" t="s">
        <v>26</v>
      </c>
    </row>
    <row r="11">
      <c r="A11" s="4"/>
      <c r="B11" s="11"/>
      <c r="E11" s="6"/>
      <c r="I11" s="21"/>
      <c r="J11" s="11"/>
    </row>
    <row r="12">
      <c r="A12" s="2" t="s">
        <v>62</v>
      </c>
      <c r="B12" s="2" t="s">
        <v>63</v>
      </c>
      <c r="C12" s="2" t="s">
        <v>64</v>
      </c>
      <c r="E12" s="37"/>
      <c r="I12" s="4" t="s">
        <v>28</v>
      </c>
      <c r="J12" s="11">
        <v>27141.0</v>
      </c>
      <c r="K12" s="17">
        <v>19366.0</v>
      </c>
    </row>
    <row r="13">
      <c r="A13" s="2"/>
      <c r="B13" s="4">
        <v>10.0</v>
      </c>
      <c r="C13" s="4">
        <v>10.5</v>
      </c>
      <c r="E13" s="37"/>
      <c r="I13" s="4" t="s">
        <v>32</v>
      </c>
      <c r="J13" s="13">
        <f>G4*C16</f>
        <v>66809.15</v>
      </c>
      <c r="K13" s="23">
        <f>J13</f>
        <v>66809.15</v>
      </c>
    </row>
    <row r="14">
      <c r="A14" s="2"/>
      <c r="B14" s="4"/>
      <c r="C14" s="4"/>
      <c r="E14" s="37"/>
      <c r="I14" s="4" t="s">
        <v>33</v>
      </c>
      <c r="J14" s="45">
        <f>F4</f>
        <v>0.42</v>
      </c>
      <c r="K14" s="46">
        <f>D4</f>
        <v>0.4</v>
      </c>
    </row>
    <row r="15">
      <c r="A15" s="2" t="s">
        <v>65</v>
      </c>
      <c r="B15" s="2" t="s">
        <v>63</v>
      </c>
      <c r="C15" s="2" t="s">
        <v>64</v>
      </c>
      <c r="D15" s="5"/>
      <c r="E15" s="47"/>
      <c r="F15" s="5"/>
      <c r="G15" s="5"/>
      <c r="H15" s="5"/>
      <c r="I15" s="4" t="s">
        <v>34</v>
      </c>
      <c r="J15" s="4">
        <v>0.0</v>
      </c>
      <c r="K15" s="4">
        <v>0.0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4">
        <v>38.27</v>
      </c>
      <c r="C16" s="17">
        <v>74.15</v>
      </c>
      <c r="E16" s="6"/>
      <c r="I16" s="24" t="s">
        <v>35</v>
      </c>
      <c r="J16" s="11">
        <f>max(0, B10)</f>
        <v>158.2708764</v>
      </c>
      <c r="K16" s="23">
        <f>J16</f>
        <v>158.2708764</v>
      </c>
    </row>
    <row r="17">
      <c r="A17" s="5"/>
      <c r="B17" s="5"/>
      <c r="E17" s="6"/>
      <c r="I17" s="24" t="s">
        <v>36</v>
      </c>
      <c r="J17" s="11">
        <f>min(0, B8)*D5</f>
        <v>0</v>
      </c>
      <c r="K17" s="28">
        <f>min(0, B8)*C5</f>
        <v>0</v>
      </c>
    </row>
    <row r="18">
      <c r="A18" s="2" t="s">
        <v>23</v>
      </c>
      <c r="B18" s="2" t="s">
        <v>10</v>
      </c>
      <c r="E18" s="6"/>
      <c r="I18" s="24" t="s">
        <v>43</v>
      </c>
      <c r="J18" s="11">
        <f>max(0, B10)*J14</f>
        <v>66.47376807</v>
      </c>
      <c r="K18" s="28">
        <f>Max(0,B10)*K14</f>
        <v>63.30835054</v>
      </c>
    </row>
    <row r="19">
      <c r="A19" s="4" t="s">
        <v>27</v>
      </c>
      <c r="B19" s="7">
        <v>19778.0</v>
      </c>
      <c r="E19" s="6"/>
      <c r="I19" s="24" t="s">
        <v>44</v>
      </c>
      <c r="J19" s="11">
        <f>min(0, B10)*D7</f>
        <v>0</v>
      </c>
      <c r="K19" s="28">
        <f>min(0, B10)*C7</f>
        <v>0</v>
      </c>
    </row>
    <row r="20">
      <c r="A20" s="5"/>
      <c r="B20" s="5"/>
      <c r="I20" s="24" t="s">
        <v>45</v>
      </c>
      <c r="J20" s="11">
        <f>B19</f>
        <v>19778</v>
      </c>
      <c r="K20" s="29">
        <f>B19</f>
        <v>19778</v>
      </c>
    </row>
    <row r="21">
      <c r="A21" s="2" t="s">
        <v>13</v>
      </c>
      <c r="B21" s="12">
        <f>(B7*C7)/(B4*C4+B19)</f>
        <v>0.4971556386</v>
      </c>
      <c r="I21" s="21" t="s">
        <v>46</v>
      </c>
      <c r="J21" s="11">
        <f>G4*B16</f>
        <v>34481.27</v>
      </c>
      <c r="K21" s="28">
        <f>G4*B16</f>
        <v>34481.27</v>
      </c>
    </row>
    <row r="22">
      <c r="A22" s="2" t="s">
        <v>66</v>
      </c>
      <c r="B22" s="12">
        <f>(B7*C7) /(B4*C4+B19)</f>
        <v>0.4971556386</v>
      </c>
      <c r="I22" s="11"/>
      <c r="J22" s="4"/>
    </row>
    <row r="23">
      <c r="A23" s="2" t="s">
        <v>14</v>
      </c>
      <c r="B23" s="12">
        <f>(B4*F4+B7*D7)/B4</f>
        <v>0.7734817598</v>
      </c>
      <c r="E23" s="6"/>
      <c r="I23" s="4"/>
      <c r="J23" s="9"/>
    </row>
    <row r="24">
      <c r="A24" s="2" t="s">
        <v>67</v>
      </c>
      <c r="B24" s="12"/>
      <c r="E24" s="6"/>
      <c r="I24" s="4"/>
      <c r="J24" s="9"/>
    </row>
    <row r="25">
      <c r="A25" s="2" t="s">
        <v>15</v>
      </c>
      <c r="B25" s="12">
        <f>(B4+B7)/B7</f>
        <v>3.687550273</v>
      </c>
      <c r="I25" s="4"/>
      <c r="J25" s="9"/>
    </row>
    <row r="26">
      <c r="B26" s="4"/>
      <c r="C26" s="5"/>
      <c r="I26" s="5"/>
    </row>
    <row r="27">
      <c r="A27" s="6" t="s">
        <v>16</v>
      </c>
      <c r="B27" s="8"/>
      <c r="E27" s="30"/>
      <c r="I27" s="4"/>
      <c r="J27" s="13"/>
    </row>
    <row r="28">
      <c r="A28" s="14" t="s">
        <v>68</v>
      </c>
      <c r="B28" s="48">
        <v>0.055</v>
      </c>
      <c r="E28" s="49"/>
      <c r="I28" s="4"/>
      <c r="J28" s="13"/>
    </row>
    <row r="29">
      <c r="E29" s="37"/>
      <c r="I29" s="4"/>
      <c r="J29" s="13"/>
    </row>
    <row r="30">
      <c r="E30" s="37"/>
      <c r="I30" s="4"/>
      <c r="J30" s="13"/>
    </row>
    <row r="31">
      <c r="E31" s="37"/>
      <c r="I31" s="4"/>
      <c r="J31" s="13"/>
    </row>
    <row r="32">
      <c r="A32" s="2" t="s">
        <v>2</v>
      </c>
      <c r="B32" s="2" t="s">
        <v>18</v>
      </c>
      <c r="C32" s="16" t="s">
        <v>6</v>
      </c>
      <c r="D32" s="2" t="s">
        <v>7</v>
      </c>
      <c r="E32" s="17" t="s">
        <v>69</v>
      </c>
      <c r="F32" s="17" t="s">
        <v>46</v>
      </c>
      <c r="G32" s="17" t="s">
        <v>32</v>
      </c>
    </row>
    <row r="33">
      <c r="A33" s="4" t="s">
        <v>8</v>
      </c>
      <c r="B33" s="38">
        <f>G4*C16</f>
        <v>66809.15</v>
      </c>
      <c r="C33" s="19">
        <v>0.05</v>
      </c>
      <c r="D33" s="9">
        <f>1-C33</f>
        <v>0.95</v>
      </c>
      <c r="E33" s="39">
        <v>0.9</v>
      </c>
      <c r="I33" s="4"/>
      <c r="J33" s="5"/>
    </row>
    <row r="34">
      <c r="A34" s="2"/>
      <c r="B34" s="2"/>
      <c r="C34" s="2"/>
      <c r="D34" s="2"/>
      <c r="E34" s="40"/>
    </row>
    <row r="35">
      <c r="A35" s="2" t="s">
        <v>9</v>
      </c>
      <c r="B35" s="2" t="s">
        <v>10</v>
      </c>
      <c r="C35" s="2" t="s">
        <v>7</v>
      </c>
      <c r="D35" s="2" t="s">
        <v>11</v>
      </c>
      <c r="E35" s="6" t="s">
        <v>70</v>
      </c>
      <c r="I35" s="5"/>
    </row>
    <row r="36">
      <c r="A36" s="4" t="s">
        <v>12</v>
      </c>
      <c r="B36" s="7">
        <f>112</f>
        <v>112</v>
      </c>
      <c r="C36" s="8">
        <v>0.95</v>
      </c>
      <c r="D36" s="31">
        <f>B36*C36</f>
        <v>106.4</v>
      </c>
      <c r="E36" s="50">
        <f>B36*E33</f>
        <v>100.8</v>
      </c>
      <c r="I36" s="5"/>
    </row>
    <row r="37">
      <c r="A37" s="5"/>
      <c r="B37" s="5"/>
      <c r="E37" s="6"/>
      <c r="I37" s="5"/>
    </row>
    <row r="38">
      <c r="A38" s="2" t="s">
        <v>19</v>
      </c>
      <c r="B38" s="31">
        <f>B33-B4</f>
        <v>32327.88</v>
      </c>
      <c r="E38" s="6"/>
      <c r="I38" s="5"/>
    </row>
    <row r="39">
      <c r="A39" s="5"/>
      <c r="B39" s="42"/>
      <c r="I39" s="5"/>
    </row>
    <row r="40">
      <c r="A40" s="2" t="s">
        <v>71</v>
      </c>
      <c r="B40" s="51">
        <f>(K12+K13*(D4-K15)+K18)/(K20+K21+K17)</f>
        <v>0.8506006135</v>
      </c>
      <c r="I40" s="5"/>
    </row>
    <row r="41">
      <c r="A41" s="2" t="s">
        <v>14</v>
      </c>
      <c r="B41" s="34">
        <f>(J12+J13*(F4-J15)+J18)/(J20+J21+J17)</f>
        <v>1.018578333</v>
      </c>
      <c r="I41" s="5"/>
    </row>
    <row r="42">
      <c r="A42" s="2" t="s">
        <v>15</v>
      </c>
      <c r="B42" s="12">
        <f>(B33+B36+B38)/(B36+B38)</f>
        <v>3.059475867</v>
      </c>
    </row>
    <row r="43">
      <c r="A43" s="5"/>
      <c r="B43" s="5"/>
    </row>
    <row r="44">
      <c r="A44" s="2"/>
    </row>
    <row r="45">
      <c r="A45" s="2"/>
      <c r="B45" s="2"/>
    </row>
    <row r="46">
      <c r="A46" s="5"/>
      <c r="B46" s="36"/>
    </row>
    <row r="47">
      <c r="A47" s="2"/>
      <c r="G47" s="17" t="s">
        <v>72</v>
      </c>
      <c r="I47" s="43">
        <f>sum(((F50+(F56*F52))+F53)/(F54+F56+F51))</f>
        <v>1.109240122</v>
      </c>
    </row>
    <row r="48">
      <c r="A48" s="2"/>
      <c r="B48" s="2"/>
    </row>
    <row r="50">
      <c r="E50" s="17" t="s">
        <v>50</v>
      </c>
      <c r="F50" s="22">
        <f>E36</f>
        <v>100.8</v>
      </c>
    </row>
    <row r="51">
      <c r="B51" s="2"/>
      <c r="E51" s="17" t="s">
        <v>51</v>
      </c>
      <c r="F51" s="22">
        <f>B19</f>
        <v>19778</v>
      </c>
    </row>
    <row r="52">
      <c r="B52" s="4"/>
      <c r="E52" s="17" t="s">
        <v>52</v>
      </c>
      <c r="F52" s="44">
        <f>E33</f>
        <v>0.9</v>
      </c>
    </row>
    <row r="53">
      <c r="A53" s="6"/>
      <c r="E53" s="17" t="s">
        <v>53</v>
      </c>
      <c r="F53" s="33">
        <f>B33*E33</f>
        <v>60128.235</v>
      </c>
    </row>
    <row r="54">
      <c r="A54" s="6"/>
      <c r="E54" s="17" t="s">
        <v>54</v>
      </c>
      <c r="F54" s="29">
        <f>B4</f>
        <v>34481.27</v>
      </c>
    </row>
    <row r="55">
      <c r="A55" s="6"/>
    </row>
    <row r="56">
      <c r="A56" s="6"/>
      <c r="E56" s="3" t="s">
        <v>55</v>
      </c>
      <c r="F56" s="17">
        <v>203.0</v>
      </c>
    </row>
    <row r="57">
      <c r="A57" s="2"/>
      <c r="E57" s="3"/>
    </row>
    <row r="58">
      <c r="A58" s="1"/>
      <c r="B58" s="2"/>
      <c r="C58" s="2"/>
      <c r="E58" s="3"/>
    </row>
    <row r="59">
      <c r="A59" s="2"/>
      <c r="B59" s="2"/>
      <c r="C59" s="2"/>
      <c r="D59" s="2"/>
      <c r="E59" s="3"/>
      <c r="F59" s="52">
        <f>SUM(F50*0-1*(F51+0))/(F52*0-1)</f>
        <v>19778</v>
      </c>
    </row>
    <row r="60">
      <c r="A60" s="4"/>
      <c r="B60" s="7"/>
      <c r="C60" s="2"/>
      <c r="D60" s="2"/>
      <c r="E60" s="3" t="s">
        <v>56</v>
      </c>
      <c r="F60" s="29">
        <f>SUM(F50-F51)/(2*(1-F52))</f>
        <v>-98386</v>
      </c>
    </row>
    <row r="61">
      <c r="A61" s="2"/>
      <c r="B61" s="2"/>
      <c r="C61" s="2"/>
      <c r="D61" s="2"/>
      <c r="E61" s="3" t="s">
        <v>57</v>
      </c>
      <c r="F61" s="29">
        <f>SUM((F51-F50)/(2*(0.8-1)))</f>
        <v>-49193</v>
      </c>
    </row>
    <row r="62">
      <c r="A62" s="2"/>
      <c r="B62" s="2"/>
      <c r="C62" s="2"/>
      <c r="D62" s="2"/>
      <c r="E62" s="3"/>
    </row>
    <row r="63" ht="15.0" customHeight="1">
      <c r="A63" s="4"/>
      <c r="B63" s="7"/>
      <c r="C63" s="8"/>
      <c r="D63" s="5"/>
      <c r="E63" s="1"/>
    </row>
    <row r="64">
      <c r="A64" s="4"/>
      <c r="B64" s="7"/>
      <c r="C64" s="8"/>
      <c r="D64" s="5"/>
      <c r="E64" s="4" t="s">
        <v>58</v>
      </c>
      <c r="F64" s="29">
        <f>SUM((F51+F54-F50-F53)/(1*(1-F52)))</f>
        <v>-59697.65</v>
      </c>
    </row>
    <row r="65">
      <c r="A65" s="5"/>
      <c r="B65" s="5"/>
      <c r="E65" s="8"/>
    </row>
    <row r="66">
      <c r="A66" s="2"/>
      <c r="B66" s="2"/>
      <c r="E66" s="4"/>
    </row>
    <row r="67">
      <c r="A67" s="4"/>
      <c r="B67" s="7"/>
    </row>
    <row r="68">
      <c r="A68" s="6"/>
      <c r="B68" s="7"/>
    </row>
    <row r="69">
      <c r="A69" s="5"/>
      <c r="B69" s="5"/>
    </row>
    <row r="70">
      <c r="A70" s="2"/>
      <c r="B70" s="12"/>
    </row>
    <row r="71">
      <c r="A71" s="2"/>
      <c r="B71" s="12"/>
    </row>
    <row r="74">
      <c r="A74" s="6"/>
    </row>
    <row r="75">
      <c r="A75" s="6"/>
    </row>
    <row r="76">
      <c r="A76" s="1"/>
      <c r="B76" s="2"/>
      <c r="C76" s="2"/>
      <c r="E76" s="3"/>
    </row>
    <row r="77">
      <c r="A77" s="2"/>
      <c r="B77" s="2"/>
      <c r="E77" s="3"/>
    </row>
    <row r="78">
      <c r="A78" s="4"/>
      <c r="B78" s="7"/>
      <c r="E78" s="3"/>
    </row>
    <row r="79">
      <c r="E79" s="1"/>
    </row>
    <row r="80">
      <c r="A80" s="2"/>
      <c r="B80" s="2"/>
      <c r="C80" s="2"/>
      <c r="D80" s="2"/>
      <c r="E80" s="4"/>
    </row>
    <row r="81">
      <c r="A81" s="4"/>
      <c r="B81" s="7"/>
      <c r="C81" s="8"/>
      <c r="D81" s="5"/>
      <c r="E81" s="8"/>
    </row>
    <row r="82">
      <c r="A82" s="4"/>
      <c r="B82" s="7"/>
      <c r="C82" s="8"/>
      <c r="D82" s="5"/>
    </row>
    <row r="83">
      <c r="A83" s="6"/>
      <c r="B83" s="7"/>
      <c r="C83" s="8"/>
      <c r="D83" s="5"/>
    </row>
    <row r="84">
      <c r="A84" s="5"/>
      <c r="B84" s="5"/>
    </row>
    <row r="85">
      <c r="A85" s="2"/>
      <c r="B85" s="2"/>
    </row>
    <row r="86">
      <c r="A86" s="4"/>
      <c r="B86" s="7"/>
    </row>
    <row r="87">
      <c r="A87" s="5"/>
      <c r="B87" s="5"/>
    </row>
    <row r="88">
      <c r="A88" s="2"/>
      <c r="B88" s="12"/>
    </row>
    <row r="89">
      <c r="A89" s="2"/>
      <c r="B89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73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0.1</v>
      </c>
      <c r="D4" s="8">
        <f>1-C4</f>
        <v>0.9</v>
      </c>
      <c r="E4" s="19">
        <v>0.05</v>
      </c>
      <c r="F4" s="8">
        <f>1-E4</f>
        <v>0.95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5"/>
    </row>
    <row r="7">
      <c r="A7" s="4" t="s">
        <v>12</v>
      </c>
      <c r="B7" s="7">
        <v>152.0</v>
      </c>
      <c r="C7" s="8">
        <v>0.9</v>
      </c>
      <c r="D7" s="8">
        <v>0.95</v>
      </c>
      <c r="E7" s="8"/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27</v>
      </c>
      <c r="B10" s="7">
        <v>0.0</v>
      </c>
      <c r="E10" s="6"/>
      <c r="I10" s="21"/>
      <c r="J10" s="11"/>
    </row>
    <row r="11">
      <c r="A11" s="5"/>
      <c r="B11" s="5"/>
      <c r="I11" s="4" t="s">
        <v>28</v>
      </c>
      <c r="J11" s="11">
        <f>B7*D7</f>
        <v>144.4</v>
      </c>
      <c r="K11" s="22">
        <f>B7*C7</f>
        <v>136.8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950</v>
      </c>
      <c r="K12" s="23">
        <f>J12</f>
        <v>950</v>
      </c>
    </row>
    <row r="13">
      <c r="A13" s="2"/>
      <c r="B13" s="24">
        <v>100.0</v>
      </c>
      <c r="C13" s="17">
        <v>95.0</v>
      </c>
      <c r="I13" s="4" t="s">
        <v>33</v>
      </c>
      <c r="J13" s="25">
        <f>F4</f>
        <v>0.95</v>
      </c>
      <c r="K13" s="26">
        <f>D4</f>
        <v>0.9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15.21</v>
      </c>
      <c r="K15" s="27">
        <f>max(B18, 0)</f>
        <v>15.21</v>
      </c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min(0, B18)</f>
        <v>0</v>
      </c>
      <c r="K16" s="27">
        <f>min(B18, 0)</f>
        <v>0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14.4495</v>
      </c>
      <c r="K17" s="28">
        <f>max(B18, 0)*G18</f>
        <v>13.689</v>
      </c>
    </row>
    <row r="18">
      <c r="A18" s="2"/>
      <c r="B18" s="24">
        <f>C18*E18</f>
        <v>15.21</v>
      </c>
      <c r="C18" s="17">
        <v>15.21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min(0, B18)*F18</f>
        <v>0</v>
      </c>
      <c r="K18" s="28">
        <f>min(B18, 0)*G18</f>
        <v>0</v>
      </c>
    </row>
    <row r="19">
      <c r="B19" s="4"/>
      <c r="C19" s="5"/>
      <c r="I19" s="24" t="s">
        <v>45</v>
      </c>
      <c r="J19" s="11">
        <f>B10</f>
        <v>0</v>
      </c>
      <c r="K19" s="29">
        <f>B10</f>
        <v>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-65.21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(K11+K20+K17)/(K19+K12*(2-K13+K14)+K16)</f>
        <v>1.100746276</v>
      </c>
      <c r="I26" s="5"/>
    </row>
    <row r="27">
      <c r="A27" s="2" t="s">
        <v>14</v>
      </c>
      <c r="B27" s="34">
        <f>(J11+J20+J17)/(J19+J12*(2-J13+J14)+J16)</f>
        <v>1.16153264</v>
      </c>
      <c r="E27" s="35"/>
      <c r="I27" s="5"/>
    </row>
    <row r="28">
      <c r="A28" s="2"/>
      <c r="B28" s="12"/>
    </row>
    <row r="29">
      <c r="A29" s="5"/>
      <c r="B29" s="5"/>
    </row>
    <row r="30">
      <c r="A30" s="2"/>
    </row>
    <row r="31">
      <c r="A31" s="2"/>
      <c r="B31" s="2"/>
    </row>
    <row r="32">
      <c r="A32" s="5"/>
      <c r="B32" s="36"/>
    </row>
    <row r="33">
      <c r="A33" s="2"/>
    </row>
    <row r="34">
      <c r="A34" s="2"/>
      <c r="B34" s="2"/>
    </row>
    <row r="37">
      <c r="B37" s="2"/>
    </row>
    <row r="38">
      <c r="B38" s="4"/>
    </row>
    <row r="39">
      <c r="A39" s="6"/>
    </row>
    <row r="40">
      <c r="A40" s="6"/>
      <c r="E40" s="3"/>
    </row>
    <row r="41">
      <c r="A41" s="2"/>
      <c r="E41" s="3"/>
    </row>
    <row r="42">
      <c r="A42" s="1"/>
      <c r="B42" s="2"/>
      <c r="C42" s="2"/>
      <c r="E42" s="3"/>
    </row>
    <row r="43">
      <c r="A43" s="2"/>
      <c r="B43" s="2"/>
      <c r="C43" s="2"/>
      <c r="D43" s="2"/>
      <c r="E43" s="3"/>
    </row>
    <row r="44">
      <c r="A44" s="4"/>
      <c r="B44" s="7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 ht="15.0" customHeight="1">
      <c r="A47" s="4"/>
      <c r="B47" s="7"/>
      <c r="C47" s="8"/>
      <c r="D47" s="5"/>
      <c r="E47" s="1"/>
    </row>
    <row r="48">
      <c r="A48" s="4"/>
      <c r="B48" s="7"/>
      <c r="C48" s="8"/>
      <c r="D48" s="5"/>
      <c r="E48" s="4"/>
    </row>
    <row r="49">
      <c r="A49" s="5"/>
      <c r="B49" s="5"/>
      <c r="E49" s="8"/>
    </row>
    <row r="50">
      <c r="A50" s="2"/>
      <c r="B50" s="2"/>
      <c r="E50" s="4"/>
    </row>
    <row r="51">
      <c r="A51" s="4"/>
      <c r="B51" s="7"/>
    </row>
    <row r="52">
      <c r="A52" s="6"/>
      <c r="B52" s="7"/>
    </row>
    <row r="53">
      <c r="A53" s="5"/>
      <c r="B53" s="5"/>
    </row>
    <row r="54">
      <c r="A54" s="2"/>
      <c r="B54" s="12"/>
    </row>
    <row r="55">
      <c r="A55" s="2"/>
      <c r="B55" s="12"/>
    </row>
    <row r="58">
      <c r="A58" s="6"/>
    </row>
    <row r="59">
      <c r="A59" s="6"/>
    </row>
    <row r="60">
      <c r="A60" s="1"/>
      <c r="B60" s="2"/>
      <c r="C60" s="2"/>
      <c r="E60" s="3"/>
    </row>
    <row r="61">
      <c r="A61" s="2"/>
      <c r="B61" s="2"/>
      <c r="E61" s="3"/>
    </row>
    <row r="62">
      <c r="A62" s="4"/>
      <c r="B62" s="7"/>
      <c r="E62" s="3"/>
    </row>
    <row r="63">
      <c r="E63" s="1"/>
    </row>
    <row r="64">
      <c r="A64" s="2"/>
      <c r="B64" s="2"/>
      <c r="C64" s="2"/>
      <c r="D64" s="2"/>
      <c r="E64" s="4"/>
    </row>
    <row r="65">
      <c r="A65" s="4"/>
      <c r="B65" s="7"/>
      <c r="C65" s="8"/>
      <c r="D65" s="5"/>
      <c r="E65" s="8"/>
    </row>
    <row r="66">
      <c r="A66" s="4"/>
      <c r="B66" s="7"/>
      <c r="C66" s="8"/>
      <c r="D66" s="5"/>
    </row>
    <row r="67">
      <c r="A67" s="6"/>
      <c r="B67" s="7"/>
      <c r="C67" s="8"/>
      <c r="D67" s="5"/>
    </row>
    <row r="68">
      <c r="A68" s="5"/>
      <c r="B68" s="5"/>
    </row>
    <row r="69">
      <c r="A69" s="2"/>
      <c r="B69" s="2"/>
    </row>
    <row r="70">
      <c r="A70" s="4"/>
      <c r="B70" s="7"/>
    </row>
    <row r="71">
      <c r="A71" s="5"/>
      <c r="B71" s="5"/>
    </row>
    <row r="72">
      <c r="A72" s="2"/>
      <c r="B72" s="12"/>
    </row>
    <row r="73">
      <c r="A73" s="2"/>
      <c r="B7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5" max="5" width="17.25"/>
    <col customWidth="1" min="6" max="6" width="23.0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73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0.1</v>
      </c>
      <c r="D4" s="8">
        <f>1-C4</f>
        <v>0.9</v>
      </c>
      <c r="E4" s="19">
        <v>0.05</v>
      </c>
      <c r="F4" s="8">
        <f>1-E4</f>
        <v>0.95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5"/>
    </row>
    <row r="7">
      <c r="A7" s="4" t="s">
        <v>12</v>
      </c>
      <c r="B7" s="7">
        <v>152.0</v>
      </c>
      <c r="C7" s="8">
        <v>0.9</v>
      </c>
      <c r="D7" s="8">
        <v>0.95</v>
      </c>
      <c r="E7" s="8"/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27</v>
      </c>
      <c r="B10" s="7">
        <v>0.0</v>
      </c>
      <c r="E10" s="6"/>
      <c r="I10" s="21"/>
      <c r="J10" s="11"/>
    </row>
    <row r="11">
      <c r="A11" s="5"/>
      <c r="B11" s="5"/>
      <c r="I11" s="4" t="s">
        <v>28</v>
      </c>
      <c r="J11" s="11">
        <f>B7*D7</f>
        <v>144.4</v>
      </c>
      <c r="K11" s="22">
        <f>B7*C7</f>
        <v>136.8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950</v>
      </c>
      <c r="K12" s="23">
        <f>J12</f>
        <v>950</v>
      </c>
    </row>
    <row r="13">
      <c r="A13" s="2"/>
      <c r="B13" s="24">
        <v>100.0</v>
      </c>
      <c r="C13" s="17">
        <v>95.0</v>
      </c>
      <c r="I13" s="4" t="s">
        <v>33</v>
      </c>
      <c r="J13" s="25">
        <f>F4</f>
        <v>0.95</v>
      </c>
      <c r="K13" s="26">
        <f>D4</f>
        <v>0.9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15.21</v>
      </c>
      <c r="K15" s="27">
        <f>max(B18, 0)</f>
        <v>15.21</v>
      </c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min(0, B18)</f>
        <v>0</v>
      </c>
      <c r="K16" s="27">
        <f>min(B18, 0)</f>
        <v>0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14.4495</v>
      </c>
      <c r="K17" s="28">
        <f>max(B18, 0)*G18</f>
        <v>13.689</v>
      </c>
    </row>
    <row r="18">
      <c r="A18" s="2"/>
      <c r="B18" s="24">
        <f>C18*E18</f>
        <v>15.21</v>
      </c>
      <c r="C18" s="17">
        <v>15.21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min(0, B18)*F18</f>
        <v>0</v>
      </c>
      <c r="K18" s="28">
        <f>min(B18, 0)*G18</f>
        <v>0</v>
      </c>
    </row>
    <row r="19">
      <c r="B19" s="4"/>
      <c r="C19" s="5"/>
      <c r="I19" s="24" t="s">
        <v>45</v>
      </c>
      <c r="J19" s="11">
        <f>B10</f>
        <v>0</v>
      </c>
      <c r="K19" s="29">
        <f>B10</f>
        <v>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-65.21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(K11+K20+K17)/(K19+K12*(2-K13+K14)+K16)</f>
        <v>1.100746276</v>
      </c>
      <c r="I26" s="5"/>
    </row>
    <row r="27">
      <c r="A27" s="2" t="s">
        <v>14</v>
      </c>
      <c r="B27" s="34">
        <f>(J11+J20+J17)/(J19+J12*(2-J13+J14)+J16)</f>
        <v>1.16153264</v>
      </c>
      <c r="E27" s="35"/>
      <c r="I27" s="5"/>
    </row>
    <row r="28">
      <c r="A28" s="5"/>
      <c r="B28" s="5"/>
      <c r="I28" s="5"/>
    </row>
    <row r="29">
      <c r="A29" s="4"/>
      <c r="B29" s="53"/>
      <c r="I29" s="5"/>
    </row>
    <row r="30">
      <c r="A30" s="2"/>
      <c r="B30" s="53"/>
      <c r="I30" s="5"/>
    </row>
    <row r="31">
      <c r="A31" s="2"/>
      <c r="B31" s="12"/>
    </row>
    <row r="32">
      <c r="A32" s="5"/>
      <c r="B32" s="5"/>
    </row>
    <row r="33">
      <c r="A33" s="2"/>
      <c r="B33" s="54"/>
      <c r="F33" s="3"/>
    </row>
    <row r="34">
      <c r="A34" s="2"/>
      <c r="B34" s="2"/>
      <c r="F34" s="2"/>
    </row>
    <row r="35">
      <c r="A35" s="5"/>
      <c r="B35" s="36"/>
      <c r="F35" s="36"/>
    </row>
    <row r="36">
      <c r="A36" s="2"/>
    </row>
    <row r="37">
      <c r="A37" s="2"/>
      <c r="B37" s="2"/>
      <c r="F37" s="2"/>
    </row>
    <row r="39">
      <c r="F39" s="3"/>
    </row>
    <row r="40">
      <c r="B40" s="2"/>
      <c r="F40" s="2"/>
    </row>
    <row r="41">
      <c r="B41" s="4"/>
    </row>
    <row r="42">
      <c r="A42" s="6"/>
    </row>
    <row r="43">
      <c r="A43" s="6"/>
      <c r="E43" s="3"/>
    </row>
    <row r="44">
      <c r="A44" s="2"/>
      <c r="E44" s="3"/>
    </row>
    <row r="45">
      <c r="A45" s="1"/>
      <c r="B45" s="2"/>
      <c r="C45" s="2"/>
      <c r="E45" s="3"/>
    </row>
    <row r="46">
      <c r="A46" s="2"/>
      <c r="B46" s="2"/>
      <c r="C46" s="2"/>
      <c r="D46" s="2"/>
      <c r="E46" s="3"/>
    </row>
    <row r="47">
      <c r="A47" s="4"/>
      <c r="B47" s="7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 ht="15.0" customHeight="1">
      <c r="A50" s="4"/>
      <c r="B50" s="7"/>
      <c r="C50" s="8"/>
      <c r="D50" s="5"/>
      <c r="E50" s="1"/>
    </row>
    <row r="51">
      <c r="A51" s="4"/>
      <c r="B51" s="7"/>
      <c r="C51" s="8"/>
      <c r="D51" s="5"/>
      <c r="E51" s="4"/>
    </row>
    <row r="52">
      <c r="A52" s="5"/>
      <c r="B52" s="5"/>
      <c r="E52" s="8"/>
    </row>
    <row r="53">
      <c r="A53" s="2"/>
      <c r="B53" s="2"/>
      <c r="E53" s="4"/>
    </row>
    <row r="54">
      <c r="A54" s="4"/>
      <c r="B54" s="7"/>
    </row>
    <row r="55">
      <c r="A55" s="6"/>
      <c r="B55" s="7"/>
    </row>
    <row r="56">
      <c r="A56" s="5"/>
      <c r="B56" s="5"/>
    </row>
    <row r="57">
      <c r="A57" s="2"/>
      <c r="B57" s="12"/>
    </row>
    <row r="58">
      <c r="A58" s="2"/>
      <c r="B58" s="12"/>
    </row>
    <row r="61">
      <c r="A61" s="6"/>
    </row>
    <row r="62">
      <c r="A62" s="6"/>
    </row>
    <row r="63">
      <c r="A63" s="1"/>
      <c r="B63" s="2"/>
      <c r="C63" s="2"/>
      <c r="E63" s="3"/>
    </row>
    <row r="64">
      <c r="A64" s="2"/>
      <c r="B64" s="2"/>
      <c r="E64" s="3"/>
    </row>
    <row r="65">
      <c r="A65" s="4"/>
      <c r="B65" s="7"/>
      <c r="E65" s="3"/>
    </row>
    <row r="66">
      <c r="E66" s="1"/>
    </row>
    <row r="67">
      <c r="A67" s="2"/>
      <c r="B67" s="2"/>
      <c r="C67" s="2"/>
      <c r="D67" s="2"/>
      <c r="E67" s="4"/>
    </row>
    <row r="68">
      <c r="A68" s="4"/>
      <c r="B68" s="7"/>
      <c r="C68" s="8"/>
      <c r="D68" s="5"/>
      <c r="E68" s="8"/>
    </row>
    <row r="69">
      <c r="A69" s="4"/>
      <c r="B69" s="7"/>
      <c r="C69" s="8"/>
      <c r="D69" s="5"/>
    </row>
    <row r="70">
      <c r="A70" s="6"/>
      <c r="B70" s="7"/>
      <c r="C70" s="8"/>
      <c r="D70" s="5"/>
    </row>
    <row r="71">
      <c r="A71" s="5"/>
      <c r="B71" s="5"/>
    </row>
    <row r="72">
      <c r="A72" s="2"/>
      <c r="B72" s="2"/>
    </row>
    <row r="73">
      <c r="A73" s="4"/>
      <c r="B73" s="7"/>
    </row>
    <row r="74">
      <c r="A74" s="5"/>
      <c r="B74" s="5"/>
    </row>
    <row r="75">
      <c r="A75" s="2"/>
      <c r="B75" s="12"/>
    </row>
    <row r="76">
      <c r="A76" s="2"/>
      <c r="B76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3" max="3" width="14.38"/>
    <col customWidth="1" min="5" max="5" width="17.25"/>
    <col customWidth="1" min="9" max="9" width="3.25"/>
    <col customWidth="1" min="10" max="10" width="16.63"/>
    <col customWidth="1" min="11" max="11" width="16.0"/>
  </cols>
  <sheetData>
    <row r="1">
      <c r="A1" s="1" t="s">
        <v>20</v>
      </c>
      <c r="B1" s="2"/>
      <c r="C1" s="2"/>
      <c r="E1" s="3"/>
      <c r="F1" s="4"/>
      <c r="G1" s="4"/>
      <c r="J1" s="7"/>
      <c r="K1" s="7"/>
    </row>
    <row r="2">
      <c r="A2" s="6" t="s">
        <v>73</v>
      </c>
      <c r="B2" s="2"/>
      <c r="C2" s="2"/>
      <c r="D2" s="2"/>
      <c r="E2" s="2"/>
      <c r="F2" s="1"/>
      <c r="G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/>
      <c r="G3" s="2" t="s">
        <v>7</v>
      </c>
      <c r="H3" s="17" t="s">
        <v>22</v>
      </c>
      <c r="J3" s="18"/>
    </row>
    <row r="4">
      <c r="A4" s="4" t="s">
        <v>8</v>
      </c>
      <c r="B4" s="7">
        <f t="shared" ref="B4:B5" si="1">H4*B15</f>
        <v>1000</v>
      </c>
      <c r="C4" s="19">
        <v>0.1</v>
      </c>
      <c r="D4" s="8">
        <f t="shared" ref="D4:D5" si="2">1-C4</f>
        <v>0.9</v>
      </c>
      <c r="E4" s="19">
        <v>0.05</v>
      </c>
      <c r="F4" s="4"/>
      <c r="G4" s="8">
        <f t="shared" ref="G4:G5" si="3">1-E4</f>
        <v>0.95</v>
      </c>
      <c r="H4" s="17">
        <v>10.0</v>
      </c>
      <c r="J4" s="7"/>
      <c r="K4" s="7"/>
      <c r="L4" s="7"/>
    </row>
    <row r="5">
      <c r="A5" s="4" t="s">
        <v>74</v>
      </c>
      <c r="B5" s="7">
        <f t="shared" si="1"/>
        <v>-800</v>
      </c>
      <c r="C5" s="19">
        <v>0.15</v>
      </c>
      <c r="D5" s="8">
        <f t="shared" si="2"/>
        <v>0.85</v>
      </c>
      <c r="E5" s="19">
        <v>0.1</v>
      </c>
      <c r="F5" s="4"/>
      <c r="G5" s="8">
        <f t="shared" si="3"/>
        <v>0.9</v>
      </c>
      <c r="H5" s="17">
        <v>-80.0</v>
      </c>
      <c r="J5" s="7"/>
      <c r="K5" s="7"/>
      <c r="L5" s="7"/>
    </row>
    <row r="6">
      <c r="A6" s="2"/>
      <c r="B6" s="2"/>
      <c r="C6" s="2"/>
      <c r="D6" s="2"/>
      <c r="E6" s="1"/>
      <c r="F6" s="1"/>
      <c r="G6" s="1"/>
      <c r="K6" s="20"/>
    </row>
    <row r="7">
      <c r="A7" s="2" t="s">
        <v>9</v>
      </c>
      <c r="B7" s="2" t="s">
        <v>10</v>
      </c>
      <c r="C7" s="2" t="s">
        <v>5</v>
      </c>
      <c r="D7" s="2" t="s">
        <v>7</v>
      </c>
      <c r="E7" s="1"/>
      <c r="F7" s="1"/>
      <c r="G7" s="1"/>
      <c r="K7" s="5"/>
    </row>
    <row r="8">
      <c r="A8" s="4" t="s">
        <v>12</v>
      </c>
      <c r="B8" s="7">
        <v>152.0</v>
      </c>
      <c r="C8" s="8">
        <v>0.9</v>
      </c>
      <c r="D8" s="8">
        <v>0.95</v>
      </c>
      <c r="E8" s="8"/>
      <c r="J8" s="21"/>
      <c r="K8" s="11"/>
    </row>
    <row r="9">
      <c r="A9" s="5"/>
      <c r="B9" s="5"/>
      <c r="E9" s="6"/>
      <c r="J9" s="21"/>
      <c r="K9" s="11"/>
    </row>
    <row r="10">
      <c r="A10" s="2" t="s">
        <v>23</v>
      </c>
      <c r="B10" s="2" t="s">
        <v>10</v>
      </c>
      <c r="E10" s="6"/>
      <c r="J10" s="21" t="s">
        <v>24</v>
      </c>
      <c r="K10" s="11" t="s">
        <v>25</v>
      </c>
      <c r="L10" s="17" t="s">
        <v>26</v>
      </c>
    </row>
    <row r="11">
      <c r="A11" s="4" t="s">
        <v>27</v>
      </c>
      <c r="B11" s="7">
        <v>0.0</v>
      </c>
      <c r="E11" s="6"/>
      <c r="J11" s="21"/>
      <c r="K11" s="11"/>
    </row>
    <row r="12">
      <c r="A12" s="5"/>
      <c r="B12" s="5"/>
      <c r="J12" s="4" t="s">
        <v>28</v>
      </c>
      <c r="K12" s="11">
        <f>B8*D8</f>
        <v>144.4</v>
      </c>
      <c r="L12" s="22">
        <f>B8*C8</f>
        <v>136.8</v>
      </c>
    </row>
    <row r="13">
      <c r="A13" s="2"/>
      <c r="B13" s="4"/>
      <c r="C13" s="4"/>
      <c r="J13" s="4" t="s">
        <v>75</v>
      </c>
      <c r="K13" s="13">
        <f>abs(C16*H5)</f>
        <v>857.6</v>
      </c>
      <c r="L13" s="23">
        <f t="shared" ref="L13:L14" si="4">K13</f>
        <v>857.6</v>
      </c>
    </row>
    <row r="14">
      <c r="A14" s="2" t="s">
        <v>29</v>
      </c>
      <c r="B14" s="4" t="s">
        <v>30</v>
      </c>
      <c r="C14" s="4" t="s">
        <v>31</v>
      </c>
      <c r="J14" s="4" t="s">
        <v>76</v>
      </c>
      <c r="K14" s="13">
        <f>H4*C15</f>
        <v>950</v>
      </c>
      <c r="L14" s="23">
        <f t="shared" si="4"/>
        <v>950</v>
      </c>
    </row>
    <row r="15">
      <c r="A15" s="2" t="s">
        <v>77</v>
      </c>
      <c r="B15" s="24">
        <v>100.0</v>
      </c>
      <c r="C15" s="17">
        <v>95.0</v>
      </c>
      <c r="J15" s="4" t="s">
        <v>33</v>
      </c>
      <c r="K15" s="25">
        <f>G4</f>
        <v>0.95</v>
      </c>
      <c r="L15" s="26">
        <f>D4</f>
        <v>0.9</v>
      </c>
    </row>
    <row r="16">
      <c r="A16" s="2" t="s">
        <v>74</v>
      </c>
      <c r="B16" s="24">
        <v>10.0</v>
      </c>
      <c r="C16" s="17">
        <v>10.72</v>
      </c>
      <c r="E16" s="6"/>
      <c r="J16" s="4" t="s">
        <v>34</v>
      </c>
      <c r="K16" s="4">
        <v>2.0E-4</v>
      </c>
      <c r="L16" s="4">
        <v>2.0E-4</v>
      </c>
      <c r="M16" s="17" t="s">
        <v>78</v>
      </c>
      <c r="N16" s="17" t="s">
        <v>79</v>
      </c>
      <c r="O16" s="17" t="s">
        <v>52</v>
      </c>
    </row>
    <row r="17">
      <c r="A17" s="2"/>
      <c r="B17" s="21"/>
      <c r="C17" s="17"/>
      <c r="D17" s="17"/>
      <c r="E17" s="6"/>
      <c r="F17" s="17"/>
      <c r="G17" s="17"/>
      <c r="H17" s="17"/>
      <c r="J17" s="24" t="s">
        <v>35</v>
      </c>
      <c r="K17" s="11">
        <f>max(B20, 0)</f>
        <v>15.21</v>
      </c>
      <c r="L17" s="27">
        <f>max(B20, 0)</f>
        <v>15.21</v>
      </c>
      <c r="M17" s="24" t="s">
        <v>35</v>
      </c>
      <c r="N17" s="11">
        <f t="shared" ref="N17:O17" si="5">max(B21, 0)</f>
        <v>0</v>
      </c>
      <c r="O17" s="11">
        <f t="shared" si="5"/>
        <v>0</v>
      </c>
    </row>
    <row r="18">
      <c r="A18" s="2"/>
      <c r="B18" s="21"/>
      <c r="C18" s="17"/>
      <c r="D18" s="17"/>
      <c r="E18" s="6"/>
      <c r="F18" s="17"/>
      <c r="G18" s="17"/>
      <c r="H18" s="17"/>
      <c r="J18" s="24" t="s">
        <v>36</v>
      </c>
      <c r="K18" s="11">
        <f>-min(0, B20)</f>
        <v>0</v>
      </c>
      <c r="L18" s="27">
        <f>-min(B20, 0)</f>
        <v>0</v>
      </c>
      <c r="M18" s="24" t="s">
        <v>36</v>
      </c>
      <c r="N18" s="11">
        <f>-min(0, B21)</f>
        <v>12.65</v>
      </c>
      <c r="O18" s="23">
        <f>N18</f>
        <v>12.65</v>
      </c>
    </row>
    <row r="19">
      <c r="A19" s="2" t="s">
        <v>37</v>
      </c>
      <c r="B19" s="21" t="s">
        <v>38</v>
      </c>
      <c r="C19" s="17" t="s">
        <v>39</v>
      </c>
      <c r="D19" s="17" t="s">
        <v>40</v>
      </c>
      <c r="E19" s="6" t="s">
        <v>41</v>
      </c>
      <c r="F19" s="17"/>
      <c r="G19" s="17" t="s">
        <v>42</v>
      </c>
      <c r="H19" s="17" t="s">
        <v>26</v>
      </c>
      <c r="J19" s="24" t="s">
        <v>43</v>
      </c>
      <c r="K19" s="11">
        <f>max(B20, 0)*G20</f>
        <v>14.4495</v>
      </c>
      <c r="L19" s="28">
        <f>max(B20, 0)*H20</f>
        <v>13.689</v>
      </c>
      <c r="M19" s="24" t="s">
        <v>43</v>
      </c>
      <c r="N19" s="11">
        <f>N17*G21</f>
        <v>0</v>
      </c>
      <c r="O19" s="55">
        <f>O17*G21</f>
        <v>0</v>
      </c>
    </row>
    <row r="20">
      <c r="A20" s="2" t="s">
        <v>80</v>
      </c>
      <c r="B20" s="24">
        <f t="shared" ref="B20:B21" si="6">C20*E20</f>
        <v>15.21</v>
      </c>
      <c r="C20" s="17">
        <v>15.21</v>
      </c>
      <c r="D20" s="17" t="s">
        <v>12</v>
      </c>
      <c r="E20" s="17">
        <v>1.0</v>
      </c>
      <c r="F20" s="17"/>
      <c r="G20" s="17">
        <v>0.95</v>
      </c>
      <c r="H20" s="17">
        <v>0.9</v>
      </c>
      <c r="J20" s="24" t="s">
        <v>44</v>
      </c>
      <c r="K20" s="11">
        <f>min(0, B20)*G20</f>
        <v>0</v>
      </c>
      <c r="L20" s="28">
        <f>min(B20, 0)*H20</f>
        <v>0</v>
      </c>
      <c r="M20" s="24" t="s">
        <v>44</v>
      </c>
      <c r="N20" s="11">
        <f>N18*G21</f>
        <v>12.0175</v>
      </c>
      <c r="O20" s="23">
        <f>N18*H21</f>
        <v>11.385</v>
      </c>
    </row>
    <row r="21">
      <c r="A21" s="4" t="s">
        <v>81</v>
      </c>
      <c r="B21" s="4">
        <f t="shared" si="6"/>
        <v>-12.65</v>
      </c>
      <c r="C21" s="4">
        <v>-12.65</v>
      </c>
      <c r="D21" s="17" t="s">
        <v>12</v>
      </c>
      <c r="E21" s="17">
        <v>1.0</v>
      </c>
      <c r="F21" s="17"/>
      <c r="G21" s="17">
        <v>0.95</v>
      </c>
      <c r="H21" s="17">
        <v>0.9</v>
      </c>
      <c r="J21" s="24"/>
      <c r="K21" s="11"/>
    </row>
    <row r="22">
      <c r="B22" s="4"/>
      <c r="C22" s="5"/>
      <c r="J22" s="24" t="s">
        <v>45</v>
      </c>
      <c r="K22" s="11">
        <f>B11</f>
        <v>0</v>
      </c>
      <c r="L22" s="29">
        <f>B11</f>
        <v>0</v>
      </c>
    </row>
    <row r="23">
      <c r="E23" s="30"/>
      <c r="J23" s="21" t="s">
        <v>82</v>
      </c>
      <c r="K23" s="11">
        <f>H4*B15</f>
        <v>1000</v>
      </c>
      <c r="L23" s="23">
        <f t="shared" ref="L23:L24" si="7">K23</f>
        <v>1000</v>
      </c>
    </row>
    <row r="24">
      <c r="A24" s="2"/>
      <c r="B24" s="2"/>
      <c r="C24" s="2"/>
      <c r="D24" s="2"/>
      <c r="E24" s="6"/>
      <c r="J24" s="4" t="s">
        <v>83</v>
      </c>
      <c r="K24" s="28">
        <f>abs(H5*B16)</f>
        <v>800</v>
      </c>
      <c r="L24" s="28">
        <f t="shared" si="7"/>
        <v>800</v>
      </c>
    </row>
    <row r="25">
      <c r="A25" s="4"/>
      <c r="B25" s="7"/>
      <c r="C25" s="8"/>
      <c r="D25" s="31"/>
      <c r="E25" s="6"/>
      <c r="F25" s="17" t="s">
        <v>84</v>
      </c>
      <c r="G25" s="17" t="s">
        <v>85</v>
      </c>
      <c r="J25" s="5"/>
    </row>
    <row r="26">
      <c r="A26" s="5"/>
      <c r="B26" s="5"/>
      <c r="E26" s="6" t="s">
        <v>86</v>
      </c>
      <c r="F26" s="23">
        <f t="shared" ref="F26:G26" si="8">K14*(K15-K16)+K19</f>
        <v>916.7595</v>
      </c>
      <c r="G26" s="23">
        <f t="shared" si="8"/>
        <v>868.499</v>
      </c>
      <c r="J26" s="5"/>
    </row>
    <row r="27">
      <c r="A27" s="2" t="s">
        <v>19</v>
      </c>
      <c r="B27" s="13">
        <f>K14-K23-B20</f>
        <v>-65.21</v>
      </c>
      <c r="E27" s="6" t="s">
        <v>87</v>
      </c>
      <c r="F27" s="56">
        <f t="shared" ref="F27:G27" si="9">K24+N19</f>
        <v>800</v>
      </c>
      <c r="G27" s="56">
        <f t="shared" si="9"/>
        <v>800</v>
      </c>
      <c r="J27" s="5"/>
    </row>
    <row r="28">
      <c r="A28" s="5"/>
      <c r="B28" s="5"/>
      <c r="E28" s="17" t="s">
        <v>88</v>
      </c>
      <c r="F28" s="23">
        <f>K13*(2-G5+K16)+N18</f>
        <v>956.18152</v>
      </c>
      <c r="G28" s="23">
        <f>L13*(2-D5+L16)+O18</f>
        <v>999.06152</v>
      </c>
      <c r="J28" s="5"/>
    </row>
    <row r="29">
      <c r="A29" s="4" t="s">
        <v>47</v>
      </c>
      <c r="B29" s="32">
        <f>(L12+G26+G27)/(L22+G28+G29)</f>
        <v>0.9030732581</v>
      </c>
      <c r="E29" s="17" t="s">
        <v>89</v>
      </c>
      <c r="F29" s="23">
        <f t="shared" ref="F29:G29" si="10">K23+K18</f>
        <v>1000</v>
      </c>
      <c r="G29" s="23">
        <f t="shared" si="10"/>
        <v>1000</v>
      </c>
      <c r="J29" s="5"/>
    </row>
    <row r="30">
      <c r="A30" s="2" t="s">
        <v>14</v>
      </c>
      <c r="B30" s="34">
        <f>(K12+F26+F27)/(K22+F28+F29)</f>
        <v>0.951424743</v>
      </c>
      <c r="E30" s="35"/>
      <c r="J30" s="5"/>
    </row>
    <row r="31">
      <c r="A31" s="2"/>
      <c r="B31" s="57"/>
      <c r="D31" s="58"/>
      <c r="J31" s="5"/>
    </row>
    <row r="32">
      <c r="A32" s="2"/>
      <c r="B32" s="12"/>
    </row>
    <row r="33">
      <c r="A33" s="5"/>
      <c r="B33" s="5"/>
    </row>
    <row r="34">
      <c r="A34" s="2"/>
    </row>
    <row r="35">
      <c r="A35" s="2"/>
      <c r="B35" s="2"/>
    </row>
    <row r="36">
      <c r="A36" s="5"/>
      <c r="B36" s="36"/>
    </row>
    <row r="37">
      <c r="A37" s="2"/>
    </row>
    <row r="38">
      <c r="A38" s="2"/>
      <c r="B38" s="2"/>
    </row>
    <row r="41">
      <c r="B41" s="2"/>
    </row>
    <row r="42">
      <c r="B42" s="4"/>
    </row>
    <row r="43">
      <c r="A43" s="6"/>
    </row>
    <row r="44">
      <c r="A44" s="6"/>
      <c r="E44" s="3"/>
    </row>
    <row r="45">
      <c r="A45" s="2"/>
      <c r="E45" s="3"/>
    </row>
    <row r="46">
      <c r="A46" s="1"/>
      <c r="B46" s="2"/>
      <c r="C46" s="2"/>
      <c r="E46" s="3"/>
    </row>
    <row r="47">
      <c r="A47" s="2"/>
      <c r="B47" s="2"/>
      <c r="C47" s="2"/>
      <c r="D47" s="2"/>
      <c r="E47" s="3"/>
    </row>
    <row r="48">
      <c r="A48" s="4"/>
      <c r="B48" s="7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 ht="15.0" customHeight="1">
      <c r="A51" s="4"/>
      <c r="B51" s="7"/>
      <c r="C51" s="8"/>
      <c r="D51" s="5"/>
      <c r="E51" s="1"/>
    </row>
    <row r="52">
      <c r="A52" s="4"/>
      <c r="B52" s="7"/>
      <c r="C52" s="8"/>
      <c r="D52" s="5"/>
      <c r="E52" s="4"/>
    </row>
    <row r="53">
      <c r="A53" s="5"/>
      <c r="B53" s="5"/>
      <c r="E53" s="8"/>
    </row>
    <row r="54">
      <c r="A54" s="2"/>
      <c r="B54" s="2"/>
      <c r="E54" s="4"/>
    </row>
    <row r="55">
      <c r="A55" s="4"/>
      <c r="B55" s="7"/>
    </row>
    <row r="56">
      <c r="A56" s="6"/>
      <c r="B56" s="7"/>
    </row>
    <row r="57">
      <c r="A57" s="5"/>
      <c r="B57" s="5"/>
    </row>
    <row r="58">
      <c r="A58" s="2"/>
      <c r="B58" s="12"/>
    </row>
    <row r="59">
      <c r="A59" s="2"/>
      <c r="B59" s="12"/>
    </row>
    <row r="62">
      <c r="A62" s="6"/>
    </row>
    <row r="63">
      <c r="A63" s="6"/>
    </row>
    <row r="64">
      <c r="A64" s="1"/>
      <c r="B64" s="2"/>
      <c r="C64" s="2"/>
      <c r="E64" s="3"/>
    </row>
    <row r="65">
      <c r="A65" s="2"/>
      <c r="B65" s="2"/>
      <c r="E65" s="3"/>
    </row>
    <row r="66">
      <c r="A66" s="4"/>
      <c r="B66" s="7"/>
      <c r="E66" s="3"/>
    </row>
    <row r="67">
      <c r="E67" s="1"/>
    </row>
    <row r="68">
      <c r="A68" s="2"/>
      <c r="B68" s="2"/>
      <c r="C68" s="2"/>
      <c r="D68" s="2"/>
      <c r="E68" s="4"/>
    </row>
    <row r="69">
      <c r="A69" s="4"/>
      <c r="B69" s="7"/>
      <c r="C69" s="8"/>
      <c r="D69" s="5"/>
      <c r="E69" s="8"/>
    </row>
    <row r="70">
      <c r="A70" s="4"/>
      <c r="B70" s="7"/>
      <c r="C70" s="8"/>
      <c r="D70" s="5"/>
    </row>
    <row r="71">
      <c r="A71" s="6"/>
      <c r="B71" s="7"/>
      <c r="C71" s="8"/>
      <c r="D71" s="5"/>
    </row>
    <row r="72">
      <c r="A72" s="5"/>
      <c r="B72" s="5"/>
    </row>
    <row r="73">
      <c r="A73" s="2"/>
      <c r="B73" s="2"/>
    </row>
    <row r="74">
      <c r="A74" s="4"/>
      <c r="B74" s="7"/>
    </row>
    <row r="75">
      <c r="A75" s="5"/>
      <c r="B75" s="5"/>
    </row>
    <row r="76">
      <c r="A76" s="2"/>
      <c r="B76" s="12"/>
    </row>
    <row r="77">
      <c r="A77" s="2"/>
      <c r="B77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3" max="3" width="14.38"/>
    <col customWidth="1" min="5" max="5" width="17.25"/>
    <col customWidth="1" min="8" max="9" width="3.25"/>
    <col customWidth="1" min="10" max="10" width="16.63"/>
    <col customWidth="1" min="11" max="11" width="16.0"/>
  </cols>
  <sheetData>
    <row r="1">
      <c r="A1" s="1" t="s">
        <v>20</v>
      </c>
      <c r="B1" s="2"/>
      <c r="C1" s="2"/>
      <c r="E1" s="3"/>
      <c r="F1" s="4"/>
      <c r="G1" s="4"/>
      <c r="J1" s="7"/>
      <c r="K1" s="7"/>
    </row>
    <row r="2">
      <c r="A2" s="6" t="s">
        <v>73</v>
      </c>
      <c r="B2" s="2"/>
      <c r="C2" s="2"/>
      <c r="D2" s="2"/>
      <c r="E2" s="2"/>
      <c r="F2" s="1"/>
      <c r="G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/>
      <c r="G3" s="2" t="s">
        <v>7</v>
      </c>
      <c r="H3" s="17" t="s">
        <v>22</v>
      </c>
      <c r="J3" s="18"/>
    </row>
    <row r="4">
      <c r="A4" s="4" t="s">
        <v>8</v>
      </c>
      <c r="B4" s="7">
        <f t="shared" ref="B4:B5" si="1">H4*B15</f>
        <v>1000</v>
      </c>
      <c r="C4" s="19">
        <v>0.1</v>
      </c>
      <c r="D4" s="8">
        <f t="shared" ref="D4:D5" si="2">1-C4</f>
        <v>0.9</v>
      </c>
      <c r="E4" s="19">
        <v>0.05</v>
      </c>
      <c r="F4" s="4"/>
      <c r="G4" s="8">
        <f t="shared" ref="G4:G5" si="3">1-E4</f>
        <v>0.95</v>
      </c>
      <c r="H4" s="17">
        <v>10.0</v>
      </c>
      <c r="J4" s="7"/>
      <c r="K4" s="7"/>
      <c r="L4" s="7"/>
    </row>
    <row r="5">
      <c r="A5" s="4" t="s">
        <v>74</v>
      </c>
      <c r="B5" s="7">
        <f t="shared" si="1"/>
        <v>-800</v>
      </c>
      <c r="C5" s="19">
        <v>0.15</v>
      </c>
      <c r="D5" s="8">
        <f t="shared" si="2"/>
        <v>0.85</v>
      </c>
      <c r="E5" s="19">
        <v>0.1</v>
      </c>
      <c r="F5" s="4"/>
      <c r="G5" s="8">
        <f t="shared" si="3"/>
        <v>0.9</v>
      </c>
      <c r="H5" s="17">
        <v>-80.0</v>
      </c>
      <c r="J5" s="7"/>
      <c r="K5" s="7"/>
      <c r="L5" s="7"/>
    </row>
    <row r="6">
      <c r="A6" s="2"/>
      <c r="B6" s="2"/>
      <c r="C6" s="2"/>
      <c r="D6" s="2"/>
      <c r="E6" s="1"/>
      <c r="F6" s="1"/>
      <c r="G6" s="1"/>
      <c r="K6" s="20"/>
    </row>
    <row r="7">
      <c r="A7" s="2" t="s">
        <v>9</v>
      </c>
      <c r="B7" s="2" t="s">
        <v>10</v>
      </c>
      <c r="C7" s="2" t="s">
        <v>5</v>
      </c>
      <c r="D7" s="2" t="s">
        <v>7</v>
      </c>
      <c r="E7" s="1"/>
      <c r="F7" s="1"/>
      <c r="G7" s="1"/>
      <c r="K7" s="5"/>
    </row>
    <row r="8">
      <c r="A8" s="4" t="s">
        <v>12</v>
      </c>
      <c r="B8" s="7">
        <v>152.0</v>
      </c>
      <c r="C8" s="8">
        <v>0.9</v>
      </c>
      <c r="D8" s="8">
        <v>0.95</v>
      </c>
      <c r="E8" s="8"/>
      <c r="J8" s="21"/>
      <c r="K8" s="11"/>
    </row>
    <row r="9">
      <c r="A9" s="5"/>
      <c r="B9" s="5"/>
      <c r="E9" s="6"/>
      <c r="J9" s="21"/>
      <c r="K9" s="11"/>
    </row>
    <row r="10">
      <c r="A10" s="2" t="s">
        <v>23</v>
      </c>
      <c r="B10" s="2" t="s">
        <v>10</v>
      </c>
      <c r="E10" s="6"/>
      <c r="J10" s="21" t="s">
        <v>24</v>
      </c>
      <c r="K10" s="11" t="s">
        <v>25</v>
      </c>
      <c r="L10" s="17" t="s">
        <v>26</v>
      </c>
    </row>
    <row r="11">
      <c r="A11" s="4" t="s">
        <v>27</v>
      </c>
      <c r="B11" s="7">
        <v>0.0</v>
      </c>
      <c r="E11" s="6"/>
      <c r="J11" s="21"/>
      <c r="K11" s="11"/>
    </row>
    <row r="12">
      <c r="A12" s="5"/>
      <c r="B12" s="5"/>
      <c r="J12" s="4" t="s">
        <v>28</v>
      </c>
      <c r="K12" s="11">
        <f>B8*D8</f>
        <v>144.4</v>
      </c>
      <c r="L12" s="22">
        <f>B8*C8</f>
        <v>136.8</v>
      </c>
    </row>
    <row r="13">
      <c r="A13" s="2"/>
      <c r="B13" s="4"/>
      <c r="C13" s="4"/>
      <c r="J13" s="4" t="s">
        <v>75</v>
      </c>
      <c r="K13" s="13">
        <f>abs(C16*H5)</f>
        <v>857.6</v>
      </c>
      <c r="L13" s="23">
        <f t="shared" ref="L13:L14" si="4">K13</f>
        <v>857.6</v>
      </c>
    </row>
    <row r="14">
      <c r="A14" s="2" t="s">
        <v>29</v>
      </c>
      <c r="B14" s="4" t="s">
        <v>30</v>
      </c>
      <c r="C14" s="4" t="s">
        <v>31</v>
      </c>
      <c r="J14" s="4" t="s">
        <v>76</v>
      </c>
      <c r="K14" s="13">
        <f>H4*C15</f>
        <v>1150</v>
      </c>
      <c r="L14" s="23">
        <f t="shared" si="4"/>
        <v>1150</v>
      </c>
    </row>
    <row r="15">
      <c r="A15" s="2" t="s">
        <v>77</v>
      </c>
      <c r="B15" s="24">
        <v>100.0</v>
      </c>
      <c r="C15" s="17">
        <v>115.0</v>
      </c>
      <c r="J15" s="4" t="s">
        <v>33</v>
      </c>
      <c r="K15" s="25">
        <f>G4</f>
        <v>0.95</v>
      </c>
      <c r="L15" s="26">
        <f>D4</f>
        <v>0.9</v>
      </c>
    </row>
    <row r="16">
      <c r="A16" s="2" t="s">
        <v>74</v>
      </c>
      <c r="B16" s="24">
        <v>10.0</v>
      </c>
      <c r="C16" s="17">
        <v>10.72</v>
      </c>
      <c r="E16" s="6"/>
      <c r="J16" s="4" t="s">
        <v>34</v>
      </c>
      <c r="K16" s="4">
        <v>2.0E-4</v>
      </c>
      <c r="L16" s="4">
        <v>2.0E-4</v>
      </c>
      <c r="M16" s="17" t="s">
        <v>78</v>
      </c>
      <c r="N16" s="17" t="s">
        <v>79</v>
      </c>
      <c r="O16" s="17" t="s">
        <v>52</v>
      </c>
    </row>
    <row r="17">
      <c r="A17" s="2"/>
      <c r="B17" s="21"/>
      <c r="C17" s="17"/>
      <c r="D17" s="17"/>
      <c r="E17" s="6"/>
      <c r="F17" s="17"/>
      <c r="G17" s="17"/>
      <c r="H17" s="17"/>
      <c r="J17" s="24" t="s">
        <v>35</v>
      </c>
      <c r="K17" s="11">
        <f>max(B20, 0)</f>
        <v>15.21</v>
      </c>
      <c r="L17" s="27">
        <f>max(B20, 0)</f>
        <v>15.21</v>
      </c>
      <c r="M17" s="24" t="s">
        <v>35</v>
      </c>
      <c r="N17" s="11">
        <f t="shared" ref="N17:O17" si="5">max(B21, 0)</f>
        <v>0</v>
      </c>
      <c r="O17" s="11">
        <f t="shared" si="5"/>
        <v>0</v>
      </c>
    </row>
    <row r="18">
      <c r="A18" s="2"/>
      <c r="B18" s="21"/>
      <c r="C18" s="17"/>
      <c r="D18" s="17"/>
      <c r="E18" s="6"/>
      <c r="F18" s="17"/>
      <c r="G18" s="17"/>
      <c r="H18" s="17"/>
      <c r="J18" s="24" t="s">
        <v>36</v>
      </c>
      <c r="K18" s="11">
        <f>-min(0, B20)</f>
        <v>0</v>
      </c>
      <c r="L18" s="27">
        <f>-min(B20, 0)</f>
        <v>0</v>
      </c>
      <c r="M18" s="24" t="s">
        <v>36</v>
      </c>
      <c r="N18" s="11">
        <f>-min(0, B21)</f>
        <v>12.65</v>
      </c>
      <c r="O18" s="23">
        <f>N18</f>
        <v>12.65</v>
      </c>
    </row>
    <row r="19">
      <c r="A19" s="2" t="s">
        <v>37</v>
      </c>
      <c r="B19" s="21" t="s">
        <v>38</v>
      </c>
      <c r="C19" s="17" t="s">
        <v>39</v>
      </c>
      <c r="D19" s="17" t="s">
        <v>40</v>
      </c>
      <c r="E19" s="6" t="s">
        <v>41</v>
      </c>
      <c r="F19" s="17"/>
      <c r="G19" s="17" t="s">
        <v>42</v>
      </c>
      <c r="H19" s="17" t="s">
        <v>26</v>
      </c>
      <c r="J19" s="24" t="s">
        <v>43</v>
      </c>
      <c r="K19" s="11">
        <f>max(B20, 0)*G20</f>
        <v>14.4495</v>
      </c>
      <c r="L19" s="28">
        <f>max(B20, 0)*H20</f>
        <v>13.689</v>
      </c>
      <c r="M19" s="24" t="s">
        <v>43</v>
      </c>
      <c r="N19" s="11">
        <f>N17*G21</f>
        <v>0</v>
      </c>
      <c r="O19" s="55">
        <f>O17*G21</f>
        <v>0</v>
      </c>
    </row>
    <row r="20">
      <c r="A20" s="2" t="s">
        <v>80</v>
      </c>
      <c r="B20" s="24">
        <f t="shared" ref="B20:B21" si="6">C20*E20</f>
        <v>15.21</v>
      </c>
      <c r="C20" s="17">
        <v>15.21</v>
      </c>
      <c r="D20" s="17" t="s">
        <v>12</v>
      </c>
      <c r="E20" s="17">
        <v>1.0</v>
      </c>
      <c r="F20" s="17"/>
      <c r="G20" s="17">
        <v>0.95</v>
      </c>
      <c r="H20" s="17">
        <v>0.9</v>
      </c>
      <c r="J20" s="24" t="s">
        <v>44</v>
      </c>
      <c r="K20" s="11">
        <f>-min(0, B20)*G20</f>
        <v>0</v>
      </c>
      <c r="L20" s="28">
        <f>-min(B20, 0)*H20</f>
        <v>0</v>
      </c>
      <c r="M20" s="24" t="s">
        <v>44</v>
      </c>
      <c r="N20" s="11">
        <f>-min(0, N18)*G21</f>
        <v>0</v>
      </c>
      <c r="O20" s="23">
        <f>N18*H21</f>
        <v>11.385</v>
      </c>
    </row>
    <row r="21">
      <c r="A21" s="4" t="s">
        <v>81</v>
      </c>
      <c r="B21" s="4">
        <f t="shared" si="6"/>
        <v>-12.65</v>
      </c>
      <c r="C21" s="4">
        <v>-12.65</v>
      </c>
      <c r="D21" s="17" t="s">
        <v>12</v>
      </c>
      <c r="E21" s="17">
        <v>1.0</v>
      </c>
      <c r="F21" s="17"/>
      <c r="G21" s="17">
        <v>0.95</v>
      </c>
      <c r="H21" s="17">
        <v>0.9</v>
      </c>
      <c r="J21" s="24"/>
      <c r="K21" s="11"/>
    </row>
    <row r="22">
      <c r="B22" s="4"/>
      <c r="C22" s="5"/>
      <c r="J22" s="24" t="s">
        <v>45</v>
      </c>
      <c r="K22" s="11">
        <f>B11</f>
        <v>0</v>
      </c>
      <c r="L22" s="29">
        <f>B11</f>
        <v>0</v>
      </c>
    </row>
    <row r="23">
      <c r="E23" s="30"/>
      <c r="J23" s="21" t="s">
        <v>82</v>
      </c>
      <c r="K23" s="11">
        <f>H4*B15</f>
        <v>1000</v>
      </c>
      <c r="L23" s="23">
        <f t="shared" ref="L23:L24" si="7">K23</f>
        <v>1000</v>
      </c>
    </row>
    <row r="24">
      <c r="A24" s="2"/>
      <c r="B24" s="2"/>
      <c r="C24" s="2"/>
      <c r="D24" s="2"/>
      <c r="E24" s="6"/>
      <c r="J24" s="4" t="s">
        <v>83</v>
      </c>
      <c r="K24" s="28">
        <f>abs(H5*B16)</f>
        <v>800</v>
      </c>
      <c r="L24" s="28">
        <f t="shared" si="7"/>
        <v>800</v>
      </c>
    </row>
    <row r="25">
      <c r="A25" s="4"/>
      <c r="B25" s="7"/>
      <c r="C25" s="8"/>
      <c r="D25" s="31"/>
      <c r="E25" s="6"/>
      <c r="F25" s="17" t="s">
        <v>84</v>
      </c>
      <c r="G25" s="17" t="s">
        <v>85</v>
      </c>
      <c r="J25" s="5"/>
    </row>
    <row r="26">
      <c r="A26" s="5"/>
      <c r="B26" s="5"/>
      <c r="E26" s="6" t="s">
        <v>86</v>
      </c>
      <c r="F26" s="23">
        <f t="shared" ref="F26:G26" si="8">K14*(K15-K16)+K19</f>
        <v>1106.7195</v>
      </c>
      <c r="G26" s="23">
        <f t="shared" si="8"/>
        <v>1048.459</v>
      </c>
      <c r="J26" s="5"/>
    </row>
    <row r="27">
      <c r="A27" s="2" t="s">
        <v>19</v>
      </c>
      <c r="B27" s="13">
        <f>K14-K23-B20</f>
        <v>134.79</v>
      </c>
      <c r="E27" s="6" t="s">
        <v>87</v>
      </c>
      <c r="F27" s="56">
        <f t="shared" ref="F27:G27" si="9">K24+N19</f>
        <v>800</v>
      </c>
      <c r="G27" s="56">
        <f t="shared" si="9"/>
        <v>800</v>
      </c>
      <c r="J27" s="5"/>
    </row>
    <row r="28">
      <c r="A28" s="5"/>
      <c r="B28" s="5"/>
      <c r="E28" s="17" t="s">
        <v>88</v>
      </c>
      <c r="F28" s="23">
        <f>K13*(2-G5+K16)+N18</f>
        <v>956.18152</v>
      </c>
      <c r="G28" s="23">
        <f>L13*(2-D5+L16)+O18</f>
        <v>999.06152</v>
      </c>
      <c r="J28" s="5"/>
    </row>
    <row r="29">
      <c r="A29" s="4" t="s">
        <v>47</v>
      </c>
      <c r="B29" s="32">
        <f>(L12+G26+G27)/(L22+G28+G29)</f>
        <v>0.9930955001</v>
      </c>
      <c r="E29" s="17" t="s">
        <v>89</v>
      </c>
      <c r="F29" s="23">
        <f t="shared" ref="F29:G29" si="10">K23+K18</f>
        <v>1000</v>
      </c>
      <c r="G29" s="23">
        <f t="shared" si="10"/>
        <v>1000</v>
      </c>
      <c r="J29" s="5"/>
    </row>
    <row r="30">
      <c r="A30" s="2" t="s">
        <v>14</v>
      </c>
      <c r="B30" s="34">
        <f>(K12+F26+F27)/(K22+F28+F29)</f>
        <v>1.048532296</v>
      </c>
      <c r="E30" s="35"/>
      <c r="J30" s="5"/>
    </row>
    <row r="31">
      <c r="A31" s="2"/>
      <c r="B31" s="57"/>
      <c r="D31" s="58"/>
      <c r="J31" s="5"/>
    </row>
    <row r="32">
      <c r="A32" s="2"/>
      <c r="B32" s="12"/>
    </row>
    <row r="33">
      <c r="A33" s="5"/>
      <c r="B33" s="5"/>
    </row>
    <row r="34">
      <c r="A34" s="2"/>
    </row>
    <row r="35">
      <c r="A35" s="2"/>
      <c r="B35" s="2"/>
    </row>
    <row r="36">
      <c r="A36" s="5"/>
      <c r="B36" s="36"/>
    </row>
    <row r="37">
      <c r="A37" s="2"/>
    </row>
    <row r="38">
      <c r="A38" s="2"/>
      <c r="B38" s="2"/>
    </row>
    <row r="41">
      <c r="B41" s="2"/>
    </row>
    <row r="42">
      <c r="B42" s="4"/>
    </row>
    <row r="43">
      <c r="A43" s="6"/>
    </row>
    <row r="44">
      <c r="A44" s="6"/>
      <c r="E44" s="3"/>
    </row>
    <row r="45">
      <c r="A45" s="2"/>
      <c r="E45" s="3"/>
    </row>
    <row r="46">
      <c r="A46" s="1"/>
      <c r="B46" s="2"/>
      <c r="C46" s="2"/>
      <c r="E46" s="3"/>
    </row>
    <row r="47">
      <c r="A47" s="2"/>
      <c r="B47" s="2"/>
      <c r="C47" s="2"/>
      <c r="D47" s="2"/>
      <c r="E47" s="3"/>
    </row>
    <row r="48" ht="15.0" customHeight="1">
      <c r="A48" s="4"/>
      <c r="B48" s="7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 ht="15.0" customHeight="1">
      <c r="A51" s="4"/>
      <c r="B51" s="7"/>
      <c r="C51" s="8"/>
      <c r="D51" s="5"/>
      <c r="E51" s="1"/>
    </row>
    <row r="52">
      <c r="A52" s="4"/>
      <c r="B52" s="7"/>
      <c r="C52" s="8"/>
      <c r="D52" s="5"/>
      <c r="E52" s="4"/>
    </row>
    <row r="53">
      <c r="A53" s="5"/>
      <c r="B53" s="5"/>
      <c r="E53" s="8"/>
    </row>
    <row r="54">
      <c r="A54" s="2"/>
      <c r="B54" s="2"/>
      <c r="E54" s="4"/>
    </row>
    <row r="55">
      <c r="A55" s="4"/>
      <c r="B55" s="7"/>
    </row>
    <row r="56">
      <c r="A56" s="6"/>
      <c r="B56" s="7"/>
    </row>
    <row r="57">
      <c r="A57" s="5"/>
      <c r="B57" s="5"/>
    </row>
    <row r="58">
      <c r="A58" s="2"/>
      <c r="B58" s="12"/>
    </row>
    <row r="59">
      <c r="A59" s="2"/>
      <c r="B59" s="12"/>
    </row>
    <row r="62">
      <c r="A62" s="6"/>
    </row>
    <row r="63">
      <c r="A63" s="6"/>
    </row>
    <row r="64">
      <c r="A64" s="1"/>
      <c r="B64" s="2"/>
      <c r="C64" s="2"/>
      <c r="E64" s="3"/>
    </row>
    <row r="65">
      <c r="A65" s="2"/>
      <c r="B65" s="2"/>
      <c r="E65" s="3"/>
    </row>
    <row r="66">
      <c r="A66" s="4"/>
      <c r="B66" s="7"/>
      <c r="E66" s="3"/>
    </row>
    <row r="67">
      <c r="E67" s="1"/>
    </row>
    <row r="68">
      <c r="A68" s="2"/>
      <c r="B68" s="2"/>
      <c r="C68" s="2"/>
      <c r="D68" s="2"/>
      <c r="E68" s="4"/>
    </row>
    <row r="69">
      <c r="A69" s="4"/>
      <c r="B69" s="7"/>
      <c r="C69" s="8"/>
      <c r="D69" s="5"/>
      <c r="E69" s="8"/>
    </row>
    <row r="70">
      <c r="A70" s="4"/>
      <c r="B70" s="7"/>
      <c r="C70" s="8"/>
      <c r="D70" s="5"/>
    </row>
    <row r="71">
      <c r="A71" s="6"/>
      <c r="B71" s="7"/>
      <c r="C71" s="8"/>
      <c r="D71" s="5"/>
    </row>
    <row r="72">
      <c r="A72" s="5"/>
      <c r="B72" s="5"/>
    </row>
    <row r="73">
      <c r="A73" s="2"/>
      <c r="B73" s="2"/>
    </row>
    <row r="74">
      <c r="A74" s="4"/>
      <c r="B74" s="7"/>
    </row>
    <row r="75">
      <c r="A75" s="5"/>
      <c r="B75" s="5"/>
    </row>
    <row r="76">
      <c r="A76" s="2"/>
      <c r="B76" s="12"/>
    </row>
    <row r="77">
      <c r="A77" s="2"/>
      <c r="B77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13.75"/>
    <col customWidth="1" min="3" max="3" width="14.38"/>
    <col customWidth="1" min="5" max="5" width="17.25"/>
    <col customWidth="1" min="8" max="8" width="3.25"/>
    <col customWidth="1" min="9" max="9" width="16.63"/>
    <col customWidth="1" min="10" max="10" width="16.0"/>
  </cols>
  <sheetData>
    <row r="1">
      <c r="A1" s="1" t="s">
        <v>20</v>
      </c>
      <c r="B1" s="2"/>
      <c r="C1" s="2"/>
      <c r="E1" s="3"/>
      <c r="F1" s="4"/>
      <c r="I1" s="2"/>
      <c r="J1" s="2"/>
    </row>
    <row r="2">
      <c r="A2" s="6" t="s">
        <v>90</v>
      </c>
      <c r="B2" s="2"/>
      <c r="C2" s="2"/>
      <c r="D2" s="2"/>
      <c r="E2" s="2"/>
      <c r="F2" s="1"/>
      <c r="I2" s="7"/>
      <c r="J2" s="7"/>
    </row>
    <row r="3">
      <c r="A3" s="2" t="s">
        <v>2</v>
      </c>
      <c r="B3" s="2" t="s">
        <v>91</v>
      </c>
      <c r="C3" s="2" t="s">
        <v>18</v>
      </c>
      <c r="D3" s="16" t="s">
        <v>4</v>
      </c>
      <c r="E3" s="2" t="s">
        <v>5</v>
      </c>
      <c r="F3" s="16" t="s">
        <v>6</v>
      </c>
      <c r="G3" s="2" t="s">
        <v>7</v>
      </c>
      <c r="I3" s="3" t="s">
        <v>92</v>
      </c>
      <c r="J3" s="3" t="s">
        <v>93</v>
      </c>
    </row>
    <row r="4">
      <c r="A4" s="4" t="s">
        <v>74</v>
      </c>
      <c r="B4" s="4" t="s">
        <v>94</v>
      </c>
      <c r="C4" s="7">
        <v>500.0</v>
      </c>
      <c r="D4" s="19">
        <v>0.15</v>
      </c>
      <c r="E4" s="8">
        <f t="shared" ref="E4:E6" si="1">1-D4</f>
        <v>0.85</v>
      </c>
      <c r="F4" s="19">
        <v>0.1</v>
      </c>
      <c r="G4" s="8">
        <f t="shared" ref="G4:G6" si="2">1-F4</f>
        <v>0.9</v>
      </c>
      <c r="I4" s="7">
        <f t="shared" ref="I4:I6" si="3">C4*(1-D4)</f>
        <v>425</v>
      </c>
      <c r="J4" s="29">
        <f t="shared" ref="J4:J6" si="4">C4*G4</f>
        <v>450</v>
      </c>
    </row>
    <row r="5">
      <c r="A5" s="4" t="s">
        <v>8</v>
      </c>
      <c r="B5" s="4" t="s">
        <v>95</v>
      </c>
      <c r="C5" s="7">
        <v>500.0</v>
      </c>
      <c r="D5" s="19">
        <v>0.1</v>
      </c>
      <c r="E5" s="8">
        <f t="shared" si="1"/>
        <v>0.9</v>
      </c>
      <c r="F5" s="19">
        <v>0.05</v>
      </c>
      <c r="G5" s="8">
        <f t="shared" si="2"/>
        <v>0.95</v>
      </c>
      <c r="I5" s="7">
        <f t="shared" si="3"/>
        <v>450</v>
      </c>
      <c r="J5" s="29">
        <f t="shared" si="4"/>
        <v>475</v>
      </c>
    </row>
    <row r="6">
      <c r="A6" s="4" t="s">
        <v>96</v>
      </c>
      <c r="B6" s="4" t="s">
        <v>95</v>
      </c>
      <c r="C6" s="7">
        <v>500.0</v>
      </c>
      <c r="D6" s="19">
        <v>0.15</v>
      </c>
      <c r="E6" s="8">
        <f t="shared" si="1"/>
        <v>0.85</v>
      </c>
      <c r="F6" s="19">
        <v>0.1</v>
      </c>
      <c r="G6" s="8">
        <f t="shared" si="2"/>
        <v>0.9</v>
      </c>
      <c r="I6" s="7">
        <f t="shared" si="3"/>
        <v>425</v>
      </c>
      <c r="J6" s="29">
        <f t="shared" si="4"/>
        <v>450</v>
      </c>
    </row>
    <row r="7">
      <c r="A7" s="2"/>
      <c r="B7" s="2"/>
      <c r="C7" s="2"/>
      <c r="D7" s="2"/>
      <c r="E7" s="1"/>
      <c r="F7" s="1"/>
      <c r="I7" s="7"/>
      <c r="J7" s="7"/>
      <c r="K7" s="7"/>
    </row>
    <row r="8">
      <c r="A8" s="2" t="s">
        <v>9</v>
      </c>
      <c r="B8" s="2" t="s">
        <v>10</v>
      </c>
      <c r="C8" s="2" t="s">
        <v>5</v>
      </c>
      <c r="D8" s="2" t="s">
        <v>7</v>
      </c>
      <c r="E8" s="1"/>
      <c r="F8" s="1"/>
      <c r="J8" s="24"/>
    </row>
    <row r="9">
      <c r="A9" s="4" t="s">
        <v>12</v>
      </c>
      <c r="B9" s="7">
        <v>600.0</v>
      </c>
      <c r="C9" s="8">
        <v>0.9</v>
      </c>
      <c r="D9" s="8">
        <v>0.95</v>
      </c>
      <c r="E9" s="8"/>
      <c r="J9" s="5"/>
    </row>
    <row r="10">
      <c r="A10" s="5"/>
      <c r="B10" s="5"/>
      <c r="E10" s="6" t="s">
        <v>61</v>
      </c>
      <c r="I10" s="21"/>
      <c r="J10" s="11"/>
    </row>
    <row r="11">
      <c r="A11" s="5"/>
      <c r="B11" s="5"/>
      <c r="E11" s="17" t="s">
        <v>97</v>
      </c>
      <c r="I11" s="7"/>
      <c r="J11" s="5"/>
    </row>
    <row r="12">
      <c r="A12" s="2" t="s">
        <v>13</v>
      </c>
      <c r="B12" s="12">
        <f>((B9*C9)+(C4*E4)+C5)/(C5*(2-E5)+C4)</f>
        <v>1.395238095</v>
      </c>
      <c r="I12" s="11"/>
      <c r="J12" s="4"/>
    </row>
    <row r="13">
      <c r="A13" s="2" t="s">
        <v>14</v>
      </c>
      <c r="B13" s="12">
        <f>(B9*D9+C4*G4+C5)/(C4+C5*(2-G5))</f>
        <v>1.482926829</v>
      </c>
      <c r="E13" s="6" t="s">
        <v>98</v>
      </c>
      <c r="I13" s="4"/>
      <c r="J13" s="9"/>
    </row>
    <row r="14">
      <c r="A14" s="2" t="s">
        <v>15</v>
      </c>
      <c r="B14" s="12">
        <f>(SUM(C4:C5)+B9)/B9</f>
        <v>2.666666667</v>
      </c>
      <c r="E14" s="17" t="s">
        <v>99</v>
      </c>
      <c r="I14" s="4"/>
      <c r="J14" s="9"/>
    </row>
    <row r="15">
      <c r="B15" s="4"/>
      <c r="C15" s="5"/>
      <c r="I15" s="5"/>
    </row>
    <row r="16">
      <c r="A16" s="6" t="s">
        <v>100</v>
      </c>
      <c r="B16" s="8"/>
      <c r="E16" s="30"/>
      <c r="I16" s="4"/>
      <c r="J16" s="13"/>
    </row>
    <row r="17">
      <c r="A17" s="2" t="s">
        <v>101</v>
      </c>
      <c r="B17" s="48">
        <v>-0.035</v>
      </c>
      <c r="E17" s="49"/>
      <c r="I17" s="4"/>
      <c r="J17" s="13"/>
    </row>
    <row r="18">
      <c r="A18" s="2" t="s">
        <v>102</v>
      </c>
      <c r="B18" s="48">
        <v>-0.02</v>
      </c>
      <c r="E18" s="37"/>
      <c r="I18" s="4"/>
      <c r="J18" s="13"/>
    </row>
    <row r="19">
      <c r="A19" s="2" t="s">
        <v>103</v>
      </c>
      <c r="B19" s="48">
        <v>-0.08</v>
      </c>
      <c r="E19" s="37"/>
      <c r="I19" s="4"/>
      <c r="J19" s="13"/>
    </row>
    <row r="20">
      <c r="A20" s="5"/>
      <c r="E20" s="37"/>
      <c r="I20" s="4"/>
      <c r="J20" s="13"/>
    </row>
    <row r="21">
      <c r="A21" s="2" t="s">
        <v>104</v>
      </c>
      <c r="B21" s="33">
        <f>C4*B17</f>
        <v>-17.5</v>
      </c>
      <c r="E21" s="37"/>
      <c r="I21" s="4"/>
      <c r="J21" s="13"/>
    </row>
    <row r="22">
      <c r="A22" s="2" t="s">
        <v>105</v>
      </c>
      <c r="B22" s="33">
        <f t="shared" ref="B22:B23" si="5">-(C5*B18)</f>
        <v>10</v>
      </c>
      <c r="E22" s="37"/>
      <c r="I22" s="4"/>
      <c r="J22" s="13"/>
    </row>
    <row r="23">
      <c r="A23" s="2" t="s">
        <v>106</v>
      </c>
      <c r="B23" s="33">
        <f t="shared" si="5"/>
        <v>40</v>
      </c>
      <c r="E23" s="37"/>
      <c r="I23" s="4"/>
      <c r="J23" s="13"/>
    </row>
    <row r="24">
      <c r="E24" s="37"/>
      <c r="I24" s="4"/>
      <c r="J24" s="13"/>
    </row>
    <row r="25">
      <c r="A25" s="2" t="s">
        <v>2</v>
      </c>
      <c r="B25" s="2" t="s">
        <v>91</v>
      </c>
      <c r="C25" s="2" t="s">
        <v>18</v>
      </c>
      <c r="D25" s="16" t="s">
        <v>6</v>
      </c>
      <c r="E25" s="2" t="s">
        <v>7</v>
      </c>
      <c r="F25" s="17" t="s">
        <v>107</v>
      </c>
    </row>
    <row r="26">
      <c r="A26" s="4" t="s">
        <v>74</v>
      </c>
      <c r="B26" s="4" t="s">
        <v>94</v>
      </c>
      <c r="C26" s="38">
        <f t="shared" ref="C26:C28" si="6">C4*(1+B17)</f>
        <v>482.5</v>
      </c>
      <c r="D26" s="19">
        <f t="shared" ref="D26:D27" si="7">F4</f>
        <v>0.1</v>
      </c>
      <c r="E26" s="8">
        <f t="shared" ref="E26:E28" si="8">1-D26</f>
        <v>0.9</v>
      </c>
      <c r="F26" s="44">
        <v>0.85</v>
      </c>
      <c r="I26" s="4"/>
      <c r="J26" s="5"/>
    </row>
    <row r="27">
      <c r="A27" s="4" t="s">
        <v>8</v>
      </c>
      <c r="B27" s="4" t="s">
        <v>95</v>
      </c>
      <c r="C27" s="7">
        <f t="shared" si="6"/>
        <v>490</v>
      </c>
      <c r="D27" s="19">
        <f t="shared" si="7"/>
        <v>0.05</v>
      </c>
      <c r="E27" s="8">
        <f t="shared" si="8"/>
        <v>0.95</v>
      </c>
      <c r="F27" s="44">
        <v>0.9</v>
      </c>
      <c r="I27" s="4"/>
      <c r="J27" s="5"/>
    </row>
    <row r="28">
      <c r="A28" s="4" t="s">
        <v>96</v>
      </c>
      <c r="B28" s="4" t="s">
        <v>95</v>
      </c>
      <c r="C28" s="7">
        <f t="shared" si="6"/>
        <v>460</v>
      </c>
      <c r="D28" s="19">
        <v>0.15</v>
      </c>
      <c r="E28" s="8">
        <f t="shared" si="8"/>
        <v>0.85</v>
      </c>
      <c r="F28" s="19">
        <v>0.8</v>
      </c>
      <c r="G28" s="8">
        <f>1-F28</f>
        <v>0.2</v>
      </c>
      <c r="I28" s="7">
        <f>C28*(1-D28)</f>
        <v>391</v>
      </c>
      <c r="J28" s="29">
        <f>C28*G28</f>
        <v>92</v>
      </c>
    </row>
    <row r="29">
      <c r="A29" s="2"/>
      <c r="B29" s="2"/>
      <c r="C29" s="2"/>
      <c r="D29" s="2"/>
      <c r="E29" s="40"/>
    </row>
    <row r="30">
      <c r="A30" s="2" t="s">
        <v>9</v>
      </c>
      <c r="B30" s="2" t="s">
        <v>10</v>
      </c>
      <c r="C30" s="2" t="s">
        <v>7</v>
      </c>
      <c r="D30" s="2" t="s">
        <v>11</v>
      </c>
      <c r="E30" s="1" t="s">
        <v>108</v>
      </c>
      <c r="I30" s="5"/>
    </row>
    <row r="31">
      <c r="A31" s="4" t="s">
        <v>12</v>
      </c>
      <c r="B31" s="7">
        <v>300.0</v>
      </c>
      <c r="C31" s="8">
        <v>0.95</v>
      </c>
      <c r="D31" s="10">
        <f>B31*C31</f>
        <v>285</v>
      </c>
      <c r="E31" s="36">
        <f>B31*F27</f>
        <v>270</v>
      </c>
      <c r="I31" s="5"/>
    </row>
    <row r="32">
      <c r="A32" s="5"/>
      <c r="B32" s="5"/>
      <c r="E32" s="6"/>
      <c r="I32" s="5"/>
    </row>
    <row r="33">
      <c r="A33" s="2" t="s">
        <v>109</v>
      </c>
      <c r="B33" s="5"/>
      <c r="E33" s="6"/>
      <c r="I33" s="5"/>
    </row>
    <row r="34">
      <c r="A34" s="4" t="s">
        <v>110</v>
      </c>
      <c r="B34" s="11">
        <v>100.0</v>
      </c>
      <c r="E34" s="6"/>
      <c r="I34" s="5"/>
    </row>
    <row r="35">
      <c r="A35" s="5"/>
      <c r="B35" s="5"/>
      <c r="E35" s="6"/>
      <c r="I35" s="5"/>
    </row>
    <row r="36">
      <c r="A36" s="2" t="s">
        <v>19</v>
      </c>
      <c r="B36" s="31">
        <f>(C26-C4)+(C5-C27)+(C6-C28)</f>
        <v>32.5</v>
      </c>
      <c r="E36" s="6"/>
      <c r="I36" s="5"/>
    </row>
    <row r="37">
      <c r="A37" s="4" t="s">
        <v>111</v>
      </c>
      <c r="B37" s="32">
        <f>(E31+(C26*F26)+C5+C6)/(C4+(C27*(2-F27))+(C28*(2-F28))+B34)</f>
        <v>0.9935688941</v>
      </c>
      <c r="I37" s="5"/>
    </row>
    <row r="38">
      <c r="A38" s="2" t="s">
        <v>14</v>
      </c>
      <c r="B38" s="57">
        <f>(D31+(C26*E26)+C5+C6)/(C4+(C27*(2-E27))+(C28*(2-E28))+B34)</f>
        <v>1.04609066</v>
      </c>
      <c r="D38" s="58"/>
      <c r="E38" s="59">
        <f>(D31+(C26*E26)+C5+C6)</f>
        <v>1719.25</v>
      </c>
      <c r="I38" s="5"/>
    </row>
    <row r="39">
      <c r="A39" s="2" t="s">
        <v>15</v>
      </c>
      <c r="B39" s="12">
        <f>(SUM(C26:C27)+B31+B36)/(B31+B36)</f>
        <v>3.92481203</v>
      </c>
      <c r="E39" s="29">
        <f>(C4+(C27*(2-E27))+(C28*(2-E28))+B34)</f>
        <v>1643.5</v>
      </c>
    </row>
    <row r="40">
      <c r="A40" s="5"/>
      <c r="B40" s="5"/>
    </row>
    <row r="41">
      <c r="A41" s="2"/>
    </row>
    <row r="42">
      <c r="A42" s="2"/>
      <c r="B42" s="2"/>
    </row>
    <row r="43">
      <c r="A43" s="5"/>
      <c r="B43" s="36"/>
    </row>
    <row r="44">
      <c r="A44" s="2"/>
    </row>
    <row r="45">
      <c r="A45" s="2"/>
      <c r="B45" s="2"/>
    </row>
    <row r="48">
      <c r="B48" s="2"/>
    </row>
    <row r="49">
      <c r="B49" s="4"/>
    </row>
    <row r="50">
      <c r="A50" s="6"/>
    </row>
    <row r="51">
      <c r="A51" s="6"/>
      <c r="E51" s="3"/>
    </row>
    <row r="52">
      <c r="A52" s="2"/>
      <c r="E52" s="3"/>
    </row>
    <row r="53">
      <c r="A53" s="1"/>
      <c r="B53" s="2"/>
      <c r="C53" s="2"/>
      <c r="E53" s="3"/>
    </row>
    <row r="54">
      <c r="A54" s="2"/>
      <c r="B54" s="2"/>
      <c r="C54" s="2"/>
      <c r="D54" s="2"/>
      <c r="E54" s="3"/>
    </row>
    <row r="55">
      <c r="A55" s="4"/>
      <c r="B55" s="7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 ht="15.0" customHeight="1">
      <c r="A58" s="4"/>
      <c r="B58" s="7"/>
      <c r="C58" s="8"/>
      <c r="D58" s="5"/>
      <c r="E58" s="1"/>
    </row>
    <row r="59">
      <c r="A59" s="4"/>
      <c r="B59" s="7"/>
      <c r="C59" s="8"/>
      <c r="D59" s="5"/>
      <c r="E59" s="4"/>
    </row>
    <row r="60">
      <c r="A60" s="5"/>
      <c r="B60" s="5"/>
      <c r="E60" s="8"/>
    </row>
    <row r="61">
      <c r="A61" s="2"/>
      <c r="B61" s="2"/>
      <c r="E61" s="4"/>
    </row>
    <row r="62">
      <c r="A62" s="4"/>
      <c r="B62" s="7"/>
    </row>
    <row r="63">
      <c r="A63" s="6"/>
      <c r="B63" s="7"/>
    </row>
    <row r="64">
      <c r="A64" s="5"/>
      <c r="B64" s="5"/>
    </row>
    <row r="65">
      <c r="A65" s="2"/>
      <c r="B65" s="12"/>
    </row>
    <row r="66">
      <c r="A66" s="2"/>
      <c r="B66" s="12"/>
    </row>
    <row r="69">
      <c r="A69" s="6"/>
    </row>
    <row r="70">
      <c r="A70" s="6"/>
    </row>
    <row r="71">
      <c r="A71" s="1"/>
      <c r="B71" s="2"/>
      <c r="C71" s="2"/>
      <c r="E71" s="3"/>
    </row>
    <row r="72">
      <c r="A72" s="2"/>
      <c r="B72" s="2"/>
      <c r="E72" s="3"/>
    </row>
    <row r="73">
      <c r="A73" s="4"/>
      <c r="B73" s="7"/>
      <c r="E73" s="3"/>
    </row>
    <row r="74">
      <c r="E74" s="1"/>
    </row>
    <row r="75">
      <c r="A75" s="2"/>
      <c r="B75" s="2"/>
      <c r="C75" s="2"/>
      <c r="D75" s="2"/>
      <c r="E75" s="4"/>
    </row>
    <row r="76">
      <c r="A76" s="4"/>
      <c r="B76" s="7"/>
      <c r="C76" s="8"/>
      <c r="D76" s="5"/>
      <c r="E76" s="8"/>
    </row>
    <row r="77">
      <c r="A77" s="4"/>
      <c r="B77" s="7"/>
      <c r="C77" s="8"/>
      <c r="D77" s="5"/>
    </row>
    <row r="78">
      <c r="A78" s="6"/>
      <c r="B78" s="7"/>
      <c r="C78" s="8"/>
      <c r="D78" s="5"/>
    </row>
    <row r="79">
      <c r="A79" s="5"/>
      <c r="B79" s="5"/>
    </row>
    <row r="80">
      <c r="A80" s="2"/>
      <c r="B80" s="2"/>
    </row>
    <row r="81">
      <c r="A81" s="4"/>
      <c r="B81" s="7"/>
    </row>
    <row r="82">
      <c r="A82" s="5"/>
      <c r="B82" s="5"/>
    </row>
    <row r="83">
      <c r="A83" s="2"/>
      <c r="B83" s="12"/>
    </row>
    <row r="84">
      <c r="A84" s="2"/>
      <c r="B84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4" width="13.75"/>
    <col customWidth="1" min="5" max="5" width="14.38"/>
    <col customWidth="1" min="7" max="7" width="17.25"/>
    <col customWidth="1" min="8" max="8" width="29.0"/>
    <col customWidth="1" min="9" max="9" width="19.13"/>
    <col customWidth="1" min="10" max="10" width="12.38"/>
    <col customWidth="1" min="11" max="11" width="16.63"/>
    <col customWidth="1" min="12" max="12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73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0.2</v>
      </c>
      <c r="D4" s="8">
        <f>1-C4</f>
        <v>0.8</v>
      </c>
      <c r="E4" s="19">
        <v>0.15</v>
      </c>
      <c r="F4" s="8">
        <f>1-E4</f>
        <v>0.85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  <c r="M5" s="7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 t="s">
        <v>112</v>
      </c>
      <c r="F6" s="1" t="s">
        <v>41</v>
      </c>
      <c r="J6" s="5"/>
    </row>
    <row r="7">
      <c r="A7" s="4" t="s">
        <v>80</v>
      </c>
      <c r="B7" s="7">
        <f>E7*F7</f>
        <v>950</v>
      </c>
      <c r="C7" s="4">
        <v>0.7</v>
      </c>
      <c r="D7" s="4">
        <v>0.72</v>
      </c>
      <c r="E7" s="4">
        <v>10.0</v>
      </c>
      <c r="F7" s="28">
        <f>C13</f>
        <v>95</v>
      </c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27</v>
      </c>
      <c r="B10" s="7">
        <v>0.0</v>
      </c>
      <c r="E10" s="6"/>
      <c r="I10" s="21"/>
      <c r="J10" s="11"/>
    </row>
    <row r="11">
      <c r="A11" s="5"/>
      <c r="B11" s="5"/>
      <c r="I11" s="4" t="s">
        <v>28</v>
      </c>
      <c r="J11" s="11">
        <f>B7*D7</f>
        <v>684</v>
      </c>
      <c r="K11" s="60">
        <f>B7*C7</f>
        <v>665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950</v>
      </c>
      <c r="K12" s="23">
        <f>J12</f>
        <v>950</v>
      </c>
    </row>
    <row r="13">
      <c r="A13" s="2"/>
      <c r="B13" s="24">
        <v>100.0</v>
      </c>
      <c r="C13" s="17">
        <v>95.0</v>
      </c>
      <c r="I13" s="4" t="s">
        <v>33</v>
      </c>
      <c r="J13" s="25">
        <f>F4</f>
        <v>0.85</v>
      </c>
      <c r="K13" s="26">
        <f>D4</f>
        <v>0.8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15.21</v>
      </c>
      <c r="K15" s="27">
        <f>max(B18, 0)</f>
        <v>15.21</v>
      </c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-min(0, B18)</f>
        <v>0</v>
      </c>
      <c r="K16" s="27">
        <f>-min(B18, 0)</f>
        <v>0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14.4495</v>
      </c>
      <c r="K17" s="28">
        <f>max(B18, 0)*G18</f>
        <v>13.689</v>
      </c>
    </row>
    <row r="18">
      <c r="A18" s="2"/>
      <c r="B18" s="24">
        <f>C18*E18</f>
        <v>15.21</v>
      </c>
      <c r="C18" s="17">
        <v>15.21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-min(0, B18)*F18</f>
        <v>0</v>
      </c>
      <c r="K18" s="28">
        <f>-min(B18, 0)*G18</f>
        <v>0</v>
      </c>
    </row>
    <row r="19">
      <c r="B19" s="4"/>
      <c r="C19" s="5"/>
      <c r="I19" s="24" t="s">
        <v>45</v>
      </c>
      <c r="J19" s="11">
        <f>B10</f>
        <v>0</v>
      </c>
      <c r="K19" s="29">
        <f>B10</f>
        <v>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-65.21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(K11+K20+K17)/(K19+K12*(2-K13+K14)+K16)</f>
        <v>1.472288829</v>
      </c>
      <c r="I26" s="5"/>
    </row>
    <row r="27">
      <c r="A27" s="2" t="s">
        <v>14</v>
      </c>
      <c r="B27" s="34">
        <f>(J11+J20+J17)/(J19+J12*(2-J13+J14)+J16)</f>
        <v>1.554374525</v>
      </c>
      <c r="E27" s="35"/>
      <c r="I27" s="5"/>
    </row>
    <row r="28">
      <c r="A28" s="2"/>
      <c r="D28" s="3"/>
    </row>
    <row r="29">
      <c r="A29" s="2"/>
      <c r="B29" s="2"/>
      <c r="C29" s="2"/>
      <c r="D29" s="2"/>
    </row>
    <row r="30">
      <c r="A30" s="5"/>
      <c r="B30" s="36"/>
      <c r="C30" s="36"/>
      <c r="D30" s="36"/>
    </row>
    <row r="31">
      <c r="A31" s="2"/>
      <c r="H31" s="61"/>
    </row>
    <row r="32">
      <c r="A32" s="2"/>
      <c r="B32" s="2"/>
      <c r="C32" s="2"/>
      <c r="D32" s="2"/>
    </row>
    <row r="34">
      <c r="D34" s="3"/>
    </row>
    <row r="35">
      <c r="B35" s="2"/>
      <c r="C35" s="2"/>
      <c r="D35" s="2"/>
    </row>
    <row r="36">
      <c r="B36" s="4"/>
      <c r="C36" s="4"/>
      <c r="D36" s="4"/>
    </row>
    <row r="37">
      <c r="A37" s="6"/>
    </row>
    <row r="38">
      <c r="A38" s="6"/>
      <c r="G38" s="3"/>
      <c r="H38" s="62"/>
    </row>
    <row r="39">
      <c r="A39" s="2"/>
      <c r="G39" s="3"/>
    </row>
    <row r="40">
      <c r="A40" s="1"/>
      <c r="B40" s="2"/>
      <c r="C40" s="2"/>
      <c r="D40" s="2"/>
      <c r="E40" s="2"/>
      <c r="G40" s="3"/>
      <c r="H40" s="62"/>
      <c r="I40" s="27"/>
    </row>
    <row r="41">
      <c r="A41" s="2"/>
      <c r="B41" s="2"/>
      <c r="C41" s="2"/>
      <c r="D41" s="2"/>
      <c r="E41" s="2"/>
      <c r="F41" s="2"/>
      <c r="G41" s="3"/>
    </row>
    <row r="42">
      <c r="A42" s="4"/>
      <c r="B42" s="7"/>
      <c r="C42" s="7"/>
      <c r="D42" s="7"/>
      <c r="E42" s="2"/>
      <c r="F42" s="2"/>
      <c r="G42" s="3"/>
    </row>
    <row r="43">
      <c r="A43" s="2"/>
      <c r="B43" s="2"/>
      <c r="C43" s="2"/>
      <c r="D43" s="2"/>
      <c r="E43" s="2"/>
      <c r="F43" s="2"/>
      <c r="G43" s="3"/>
    </row>
    <row r="44">
      <c r="A44" s="2"/>
      <c r="B44" s="2"/>
      <c r="C44" s="2"/>
      <c r="D44" s="2"/>
      <c r="E44" s="2"/>
      <c r="F44" s="2"/>
      <c r="G44" s="3"/>
    </row>
    <row r="45" ht="15.0" customHeight="1">
      <c r="A45" s="4"/>
      <c r="B45" s="7"/>
      <c r="C45" s="7"/>
      <c r="D45" s="7"/>
      <c r="E45" s="8"/>
      <c r="F45" s="5"/>
      <c r="G45" s="1"/>
    </row>
    <row r="46">
      <c r="A46" s="4"/>
      <c r="B46" s="7"/>
      <c r="C46" s="7"/>
      <c r="D46" s="7"/>
      <c r="E46" s="24"/>
      <c r="F46" s="5"/>
      <c r="G46" s="4"/>
      <c r="I46" s="63"/>
    </row>
    <row r="47">
      <c r="A47" s="5"/>
      <c r="B47" s="5"/>
      <c r="C47" s="5"/>
      <c r="D47" s="5"/>
      <c r="G47" s="8"/>
    </row>
    <row r="48">
      <c r="A48" s="2"/>
      <c r="B48" s="2"/>
      <c r="C48" s="2"/>
      <c r="D48" s="2"/>
      <c r="G48" s="4"/>
    </row>
    <row r="49">
      <c r="A49" s="4"/>
      <c r="B49" s="7"/>
      <c r="C49" s="7"/>
      <c r="D49" s="7"/>
    </row>
    <row r="50">
      <c r="A50" s="6"/>
      <c r="B50" s="7"/>
      <c r="C50" s="7"/>
      <c r="D50" s="7"/>
    </row>
    <row r="51">
      <c r="A51" s="5"/>
      <c r="B51" s="5"/>
      <c r="C51" s="5"/>
      <c r="D51" s="5"/>
    </row>
    <row r="52">
      <c r="A52" s="2"/>
      <c r="B52" s="12"/>
      <c r="C52" s="12"/>
      <c r="D52" s="12"/>
    </row>
    <row r="53">
      <c r="A53" s="2"/>
      <c r="B53" s="12"/>
      <c r="C53" s="12"/>
      <c r="D53" s="12"/>
    </row>
    <row r="55">
      <c r="H55" s="62"/>
    </row>
    <row r="56">
      <c r="A56" s="6"/>
    </row>
    <row r="57">
      <c r="A57" s="6"/>
    </row>
    <row r="58">
      <c r="A58" s="1"/>
      <c r="B58" s="2"/>
      <c r="C58" s="2"/>
      <c r="D58" s="2"/>
      <c r="E58" s="2"/>
      <c r="G58" s="3"/>
    </row>
    <row r="59">
      <c r="A59" s="2"/>
      <c r="B59" s="2"/>
      <c r="C59" s="2"/>
      <c r="D59" s="2"/>
      <c r="G59" s="3"/>
    </row>
    <row r="60">
      <c r="A60" s="4"/>
      <c r="B60" s="7"/>
      <c r="C60" s="7"/>
      <c r="D60" s="7"/>
      <c r="G60" s="3"/>
    </row>
    <row r="61">
      <c r="G61" s="1"/>
    </row>
    <row r="62">
      <c r="A62" s="2"/>
      <c r="B62" s="2"/>
      <c r="C62" s="2"/>
      <c r="D62" s="2"/>
      <c r="E62" s="2"/>
      <c r="F62" s="2"/>
      <c r="G62" s="4"/>
    </row>
    <row r="63">
      <c r="A63" s="4"/>
      <c r="B63" s="7"/>
      <c r="C63" s="7"/>
      <c r="D63" s="7"/>
      <c r="E63" s="8"/>
      <c r="F63" s="5"/>
      <c r="G63" s="8"/>
    </row>
    <row r="64">
      <c r="A64" s="4"/>
      <c r="B64" s="7"/>
      <c r="C64" s="7"/>
      <c r="D64" s="7"/>
      <c r="E64" s="8"/>
      <c r="F64" s="5"/>
    </row>
    <row r="65">
      <c r="A65" s="6"/>
      <c r="B65" s="7"/>
      <c r="C65" s="7"/>
      <c r="D65" s="7"/>
      <c r="E65" s="8"/>
      <c r="F65" s="5"/>
    </row>
    <row r="66">
      <c r="A66" s="5"/>
      <c r="B66" s="5"/>
      <c r="C66" s="5"/>
      <c r="D66" s="5"/>
    </row>
    <row r="67">
      <c r="A67" s="2"/>
      <c r="B67" s="2"/>
      <c r="C67" s="2"/>
      <c r="D67" s="2"/>
    </row>
    <row r="68">
      <c r="A68" s="4"/>
      <c r="B68" s="7"/>
      <c r="C68" s="7"/>
      <c r="D68" s="7"/>
    </row>
    <row r="69">
      <c r="A69" s="5"/>
      <c r="B69" s="5"/>
      <c r="C69" s="5"/>
      <c r="D69" s="5"/>
    </row>
    <row r="70">
      <c r="A70" s="2"/>
      <c r="B70" s="12"/>
      <c r="C70" s="12"/>
      <c r="D70" s="12"/>
    </row>
    <row r="71">
      <c r="A71" s="2"/>
      <c r="B71" s="12"/>
      <c r="C71" s="12"/>
      <c r="D71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4" width="13.75"/>
    <col customWidth="1" min="5" max="5" width="17.25"/>
    <col customWidth="1" min="7" max="7" width="17.25"/>
    <col customWidth="1" min="8" max="8" width="3.25"/>
    <col customWidth="1" min="9" max="9" width="16.63"/>
    <col customWidth="1" min="10" max="10" width="16.0"/>
    <col customWidth="1" min="11" max="11" width="16.63"/>
    <col customWidth="1" min="12" max="12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21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0.1</v>
      </c>
      <c r="D4" s="8">
        <f>1-C4</f>
        <v>0.9</v>
      </c>
      <c r="E4" s="19">
        <v>0.05</v>
      </c>
      <c r="F4" s="8">
        <f>1-E4</f>
        <v>0.95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5"/>
    </row>
    <row r="7">
      <c r="A7" s="4" t="s">
        <v>12</v>
      </c>
      <c r="B7" s="7">
        <v>152.0</v>
      </c>
      <c r="C7" s="8">
        <v>0.9</v>
      </c>
      <c r="D7" s="8">
        <v>0.95</v>
      </c>
      <c r="E7" s="8"/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27</v>
      </c>
      <c r="B10" s="7">
        <v>0.0</v>
      </c>
      <c r="E10" s="6"/>
      <c r="I10" s="21"/>
      <c r="J10" s="11"/>
    </row>
    <row r="11">
      <c r="A11" s="5"/>
      <c r="B11" s="5"/>
      <c r="I11" s="4" t="s">
        <v>28</v>
      </c>
      <c r="J11" s="11">
        <f>B7*D7</f>
        <v>144.4</v>
      </c>
      <c r="K11" s="22">
        <f>B7*C7</f>
        <v>136.8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920</v>
      </c>
      <c r="K12" s="23">
        <f>J12</f>
        <v>920</v>
      </c>
    </row>
    <row r="13">
      <c r="A13" s="2"/>
      <c r="B13" s="24">
        <v>100.0</v>
      </c>
      <c r="C13" s="17">
        <v>92.0</v>
      </c>
      <c r="I13" s="4" t="s">
        <v>33</v>
      </c>
      <c r="J13" s="25">
        <f>F4</f>
        <v>0.95</v>
      </c>
      <c r="K13" s="26">
        <f>D4</f>
        <v>0.9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1225.21</v>
      </c>
      <c r="K15" s="27">
        <f>max(B18, 0)</f>
        <v>1225.21</v>
      </c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-min(0, B18)</f>
        <v>0</v>
      </c>
      <c r="K16" s="27">
        <f>-min(B18, 0)</f>
        <v>0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1163.9495</v>
      </c>
      <c r="K17" s="28">
        <f>max(B18, 0)*G18</f>
        <v>1102.689</v>
      </c>
    </row>
    <row r="18">
      <c r="A18" s="2"/>
      <c r="B18" s="24">
        <f>C18*E18</f>
        <v>1225.21</v>
      </c>
      <c r="C18" s="17">
        <v>1225.21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-min(0, B18)*F18</f>
        <v>0</v>
      </c>
      <c r="K18" s="28">
        <f>-min(B18, 0)*G18</f>
        <v>0</v>
      </c>
    </row>
    <row r="19">
      <c r="B19" s="4"/>
      <c r="C19" s="5"/>
      <c r="I19" s="24" t="s">
        <v>45</v>
      </c>
      <c r="J19" s="11">
        <f>B10</f>
        <v>0</v>
      </c>
      <c r="K19" s="29">
        <f>B10</f>
        <v>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-1305.21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(K11+K12*(K13-K14)+K17)/(K19+K20+K16)</f>
        <v>2.067305</v>
      </c>
      <c r="I26" s="5"/>
    </row>
    <row r="27">
      <c r="A27" s="2" t="s">
        <v>14</v>
      </c>
      <c r="B27" s="34">
        <f>(J11+J12*(J13-J14)+J17)/(J19+J20+J16)</f>
        <v>2.1821655</v>
      </c>
      <c r="E27" s="35"/>
      <c r="I27" s="5"/>
    </row>
    <row r="28">
      <c r="A28" s="5"/>
      <c r="B28" s="5"/>
    </row>
    <row r="29">
      <c r="A29" s="2"/>
    </row>
    <row r="30">
      <c r="A30" s="2"/>
      <c r="B30" s="2"/>
    </row>
    <row r="31">
      <c r="A31" s="5"/>
      <c r="B31" s="36"/>
    </row>
    <row r="32">
      <c r="A32" s="2"/>
    </row>
    <row r="33">
      <c r="A33" s="2"/>
      <c r="B33" s="2"/>
    </row>
    <row r="36">
      <c r="B36" s="2"/>
    </row>
    <row r="37">
      <c r="B37" s="4"/>
    </row>
    <row r="38">
      <c r="A38" s="6"/>
    </row>
    <row r="39">
      <c r="A39" s="6"/>
      <c r="E39" s="3"/>
    </row>
    <row r="40">
      <c r="A40" s="2"/>
      <c r="E40" s="3"/>
    </row>
    <row r="41">
      <c r="A41" s="1"/>
      <c r="B41" s="2"/>
      <c r="C41" s="2"/>
      <c r="E41" s="3"/>
    </row>
    <row r="42">
      <c r="A42" s="2"/>
      <c r="B42" s="2"/>
      <c r="C42" s="2"/>
      <c r="D42" s="2"/>
      <c r="E42" s="3"/>
    </row>
    <row r="43">
      <c r="A43" s="4"/>
      <c r="B43" s="7"/>
      <c r="C43" s="2"/>
      <c r="D43" s="2"/>
      <c r="E43" s="3"/>
    </row>
    <row r="44">
      <c r="A44" s="2"/>
      <c r="B44" s="2"/>
      <c r="C44" s="2"/>
      <c r="D44" s="2"/>
      <c r="E44" s="3"/>
    </row>
    <row r="45" ht="15.0" customHeight="1">
      <c r="A45" s="2"/>
      <c r="B45" s="2"/>
      <c r="C45" s="2"/>
      <c r="D45" s="2"/>
      <c r="E45" s="3"/>
    </row>
    <row r="46" ht="15.0" customHeight="1">
      <c r="A46" s="4"/>
      <c r="B46" s="7"/>
      <c r="C46" s="8"/>
      <c r="D46" s="5"/>
      <c r="E46" s="1"/>
    </row>
    <row r="47">
      <c r="A47" s="4"/>
      <c r="B47" s="7"/>
      <c r="C47" s="8"/>
      <c r="D47" s="5"/>
      <c r="E47" s="4"/>
    </row>
    <row r="48">
      <c r="A48" s="5"/>
      <c r="B48" s="5"/>
      <c r="E48" s="8"/>
    </row>
    <row r="49">
      <c r="A49" s="2"/>
      <c r="B49" s="2"/>
      <c r="E49" s="4"/>
    </row>
    <row r="50">
      <c r="A50" s="4"/>
      <c r="B50" s="7"/>
    </row>
    <row r="51">
      <c r="A51" s="6"/>
      <c r="B51" s="7"/>
    </row>
    <row r="52">
      <c r="A52" s="5"/>
      <c r="B52" s="5"/>
    </row>
    <row r="53">
      <c r="A53" s="2"/>
      <c r="B53" s="12"/>
    </row>
    <row r="54">
      <c r="A54" s="2"/>
      <c r="B54" s="12"/>
    </row>
    <row r="57">
      <c r="A57" s="6"/>
    </row>
    <row r="58">
      <c r="A58" s="6"/>
    </row>
    <row r="59">
      <c r="A59" s="1"/>
      <c r="B59" s="2"/>
      <c r="C59" s="2"/>
      <c r="E59" s="3"/>
    </row>
    <row r="60">
      <c r="A60" s="2"/>
      <c r="B60" s="2"/>
      <c r="E60" s="3"/>
    </row>
    <row r="61">
      <c r="A61" s="4"/>
      <c r="B61" s="7"/>
      <c r="E61" s="3"/>
    </row>
    <row r="62">
      <c r="E62" s="1"/>
    </row>
    <row r="63">
      <c r="A63" s="2"/>
      <c r="B63" s="2"/>
      <c r="C63" s="2"/>
      <c r="D63" s="2"/>
      <c r="E63" s="4"/>
    </row>
    <row r="64">
      <c r="A64" s="4"/>
      <c r="B64" s="7"/>
      <c r="C64" s="8"/>
      <c r="D64" s="5"/>
      <c r="E64" s="8"/>
    </row>
    <row r="65">
      <c r="A65" s="4"/>
      <c r="B65" s="7"/>
      <c r="C65" s="8"/>
      <c r="D65" s="5"/>
    </row>
    <row r="66">
      <c r="A66" s="6"/>
      <c r="B66" s="7"/>
      <c r="C66" s="8"/>
      <c r="D66" s="5"/>
    </row>
    <row r="67">
      <c r="A67" s="5"/>
      <c r="B67" s="5"/>
    </row>
    <row r="68">
      <c r="A68" s="2"/>
      <c r="B68" s="2"/>
    </row>
    <row r="69">
      <c r="A69" s="4"/>
      <c r="B69" s="7"/>
    </row>
    <row r="70">
      <c r="A70" s="5"/>
      <c r="B70" s="5"/>
    </row>
    <row r="71">
      <c r="A71" s="2"/>
      <c r="B71" s="12"/>
    </row>
    <row r="72">
      <c r="A72" s="2"/>
      <c r="B72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4" width="13.75"/>
    <col customWidth="1" min="5" max="5" width="17.25"/>
    <col customWidth="1" min="7" max="7" width="17.25"/>
    <col customWidth="1" min="8" max="8" width="3.25"/>
    <col customWidth="1" min="9" max="9" width="16.63"/>
    <col customWidth="1" min="10" max="10" width="16.0"/>
    <col customWidth="1" min="11" max="11" width="16.63"/>
    <col customWidth="1" min="12" max="12" width="16.0"/>
  </cols>
  <sheetData>
    <row r="1">
      <c r="A1" s="1" t="s">
        <v>20</v>
      </c>
      <c r="B1" s="2"/>
      <c r="C1" s="2"/>
      <c r="E1" s="3"/>
      <c r="F1" s="4"/>
      <c r="I1" s="7"/>
      <c r="J1" s="7"/>
    </row>
    <row r="2">
      <c r="A2" s="6" t="s">
        <v>21</v>
      </c>
      <c r="B2" s="2"/>
      <c r="C2" s="2"/>
      <c r="D2" s="2"/>
      <c r="E2" s="2"/>
      <c r="F2" s="1"/>
    </row>
    <row r="3">
      <c r="A3" s="2" t="s">
        <v>2</v>
      </c>
      <c r="B3" s="2" t="s">
        <v>18</v>
      </c>
      <c r="C3" s="16" t="s">
        <v>4</v>
      </c>
      <c r="D3" s="2" t="s">
        <v>5</v>
      </c>
      <c r="E3" s="16" t="s">
        <v>6</v>
      </c>
      <c r="F3" s="2" t="s">
        <v>7</v>
      </c>
      <c r="G3" s="17" t="s">
        <v>22</v>
      </c>
      <c r="I3" s="18"/>
    </row>
    <row r="4">
      <c r="A4" s="4" t="s">
        <v>8</v>
      </c>
      <c r="B4" s="7">
        <f>G4*B13</f>
        <v>1000</v>
      </c>
      <c r="C4" s="19">
        <v>0.1</v>
      </c>
      <c r="D4" s="8">
        <f>1-C4</f>
        <v>0.9</v>
      </c>
      <c r="E4" s="19">
        <v>0.05</v>
      </c>
      <c r="F4" s="8">
        <f>1-E4</f>
        <v>0.95</v>
      </c>
      <c r="G4" s="17">
        <v>10.0</v>
      </c>
      <c r="I4" s="7"/>
      <c r="J4" s="7"/>
      <c r="K4" s="7"/>
    </row>
    <row r="5">
      <c r="A5" s="2"/>
      <c r="B5" s="2"/>
      <c r="C5" s="2"/>
      <c r="D5" s="2"/>
      <c r="E5" s="1"/>
      <c r="F5" s="1"/>
      <c r="J5" s="20"/>
    </row>
    <row r="6">
      <c r="A6" s="2" t="s">
        <v>9</v>
      </c>
      <c r="B6" s="2" t="s">
        <v>10</v>
      </c>
      <c r="C6" s="2" t="s">
        <v>5</v>
      </c>
      <c r="D6" s="2" t="s">
        <v>7</v>
      </c>
      <c r="E6" s="1"/>
      <c r="F6" s="1"/>
      <c r="J6" s="5"/>
    </row>
    <row r="7">
      <c r="A7" s="4" t="s">
        <v>12</v>
      </c>
      <c r="B7" s="7">
        <v>1300.0</v>
      </c>
      <c r="C7" s="8">
        <v>0.9</v>
      </c>
      <c r="D7" s="8">
        <v>0.95</v>
      </c>
      <c r="E7" s="8"/>
      <c r="I7" s="21"/>
      <c r="J7" s="11"/>
    </row>
    <row r="8">
      <c r="A8" s="5"/>
      <c r="B8" s="5"/>
      <c r="E8" s="6"/>
      <c r="I8" s="21"/>
      <c r="J8" s="11"/>
    </row>
    <row r="9">
      <c r="A9" s="2" t="s">
        <v>23</v>
      </c>
      <c r="B9" s="2" t="s">
        <v>10</v>
      </c>
      <c r="C9" s="17" t="s">
        <v>39</v>
      </c>
      <c r="D9" s="17" t="s">
        <v>41</v>
      </c>
      <c r="E9" s="6"/>
      <c r="I9" s="21" t="s">
        <v>24</v>
      </c>
      <c r="J9" s="11" t="s">
        <v>25</v>
      </c>
      <c r="K9" s="17" t="s">
        <v>26</v>
      </c>
    </row>
    <row r="10">
      <c r="A10" s="4" t="s">
        <v>80</v>
      </c>
      <c r="B10" s="7">
        <f>C10*C13</f>
        <v>1040</v>
      </c>
      <c r="C10" s="17">
        <v>10.0</v>
      </c>
      <c r="E10" s="6"/>
      <c r="I10" s="21"/>
      <c r="J10" s="11"/>
    </row>
    <row r="11">
      <c r="A11" s="5"/>
      <c r="B11" s="5"/>
      <c r="I11" s="4" t="s">
        <v>28</v>
      </c>
      <c r="J11" s="64">
        <f>B7*D7</f>
        <v>1235</v>
      </c>
      <c r="K11" s="65">
        <f>B7*C7</f>
        <v>1170</v>
      </c>
    </row>
    <row r="12">
      <c r="A12" s="2" t="s">
        <v>29</v>
      </c>
      <c r="B12" s="4" t="s">
        <v>30</v>
      </c>
      <c r="C12" s="4" t="s">
        <v>31</v>
      </c>
      <c r="I12" s="4" t="s">
        <v>32</v>
      </c>
      <c r="J12" s="13">
        <f>G4*C13</f>
        <v>1040</v>
      </c>
      <c r="K12" s="23">
        <f>J12</f>
        <v>1040</v>
      </c>
    </row>
    <row r="13">
      <c r="A13" s="2"/>
      <c r="B13" s="24">
        <v>100.0</v>
      </c>
      <c r="C13" s="17">
        <v>104.0</v>
      </c>
      <c r="I13" s="4" t="s">
        <v>33</v>
      </c>
      <c r="J13" s="25">
        <f>F4</f>
        <v>0.95</v>
      </c>
      <c r="K13" s="26">
        <f>D4</f>
        <v>0.9</v>
      </c>
    </row>
    <row r="14">
      <c r="A14" s="2"/>
      <c r="B14" s="12"/>
      <c r="E14" s="6"/>
      <c r="I14" s="4" t="s">
        <v>34</v>
      </c>
      <c r="J14" s="4">
        <v>2.0E-4</v>
      </c>
      <c r="K14" s="4">
        <v>2.0E-4</v>
      </c>
    </row>
    <row r="15">
      <c r="A15" s="2"/>
      <c r="B15" s="21"/>
      <c r="C15" s="17"/>
      <c r="D15" s="17"/>
      <c r="E15" s="6"/>
      <c r="F15" s="17"/>
      <c r="G15" s="17"/>
      <c r="I15" s="24" t="s">
        <v>35</v>
      </c>
      <c r="J15" s="11">
        <f>max(B18, 0)</f>
        <v>15.21</v>
      </c>
      <c r="K15" s="27">
        <f>max(B18, 0)</f>
        <v>15.21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"/>
      <c r="B16" s="21"/>
      <c r="C16" s="17"/>
      <c r="D16" s="17"/>
      <c r="E16" s="6"/>
      <c r="F16" s="17"/>
      <c r="G16" s="17"/>
      <c r="I16" s="24" t="s">
        <v>36</v>
      </c>
      <c r="J16" s="11">
        <f>-min(0, B18)</f>
        <v>0</v>
      </c>
      <c r="K16" s="27">
        <f>-min(B18, 0)</f>
        <v>0</v>
      </c>
    </row>
    <row r="17">
      <c r="A17" s="2" t="s">
        <v>37</v>
      </c>
      <c r="B17" s="21" t="s">
        <v>38</v>
      </c>
      <c r="C17" s="17" t="s">
        <v>39</v>
      </c>
      <c r="D17" s="17" t="s">
        <v>40</v>
      </c>
      <c r="E17" s="6" t="s">
        <v>41</v>
      </c>
      <c r="F17" s="17" t="s">
        <v>42</v>
      </c>
      <c r="G17" s="17" t="s">
        <v>26</v>
      </c>
      <c r="I17" s="24" t="s">
        <v>43</v>
      </c>
      <c r="J17" s="11">
        <f>max(B18, 0)*F18</f>
        <v>14.4495</v>
      </c>
      <c r="K17" s="28">
        <f>max(B18, 0)*G18</f>
        <v>13.689</v>
      </c>
    </row>
    <row r="18">
      <c r="A18" s="2"/>
      <c r="B18" s="24">
        <f>C18*E18</f>
        <v>15.21</v>
      </c>
      <c r="C18" s="17">
        <v>15.21</v>
      </c>
      <c r="D18" s="17" t="s">
        <v>12</v>
      </c>
      <c r="E18" s="17">
        <v>1.0</v>
      </c>
      <c r="F18" s="17">
        <v>0.95</v>
      </c>
      <c r="G18" s="17">
        <v>0.9</v>
      </c>
      <c r="I18" s="24" t="s">
        <v>44</v>
      </c>
      <c r="J18" s="11">
        <f>-min(0, B18)*F18</f>
        <v>0</v>
      </c>
      <c r="K18" s="28">
        <f>-min(B18, 0)*G18</f>
        <v>0</v>
      </c>
    </row>
    <row r="19">
      <c r="B19" s="4"/>
      <c r="C19" s="5"/>
      <c r="I19" s="24" t="s">
        <v>45</v>
      </c>
      <c r="J19" s="11">
        <f>B10</f>
        <v>1040</v>
      </c>
      <c r="K19" s="29">
        <f>B10</f>
        <v>1040</v>
      </c>
    </row>
    <row r="20">
      <c r="E20" s="30"/>
      <c r="I20" s="21" t="s">
        <v>46</v>
      </c>
      <c r="J20" s="11">
        <f>G4*B13</f>
        <v>1000</v>
      </c>
      <c r="K20" s="23">
        <f>J20</f>
        <v>1000</v>
      </c>
    </row>
    <row r="21">
      <c r="A21" s="2" t="s">
        <v>9</v>
      </c>
      <c r="B21" s="2" t="s">
        <v>10</v>
      </c>
      <c r="C21" s="2" t="s">
        <v>7</v>
      </c>
      <c r="D21" s="2" t="s">
        <v>11</v>
      </c>
      <c r="E21" s="6"/>
      <c r="I21" s="5"/>
    </row>
    <row r="22">
      <c r="A22" s="4" t="s">
        <v>12</v>
      </c>
      <c r="B22" s="7">
        <v>112.0</v>
      </c>
      <c r="C22" s="8">
        <v>0.95</v>
      </c>
      <c r="D22" s="31">
        <f>B22*C22</f>
        <v>106.4</v>
      </c>
      <c r="E22" s="6"/>
      <c r="I22" s="5"/>
    </row>
    <row r="23">
      <c r="A23" s="5"/>
      <c r="B23" s="5"/>
      <c r="E23" s="6"/>
      <c r="I23" s="5"/>
    </row>
    <row r="24">
      <c r="A24" s="2" t="s">
        <v>19</v>
      </c>
      <c r="B24" s="13">
        <f>J12-J20-B18</f>
        <v>24.79</v>
      </c>
      <c r="E24" s="6"/>
      <c r="I24" s="5"/>
    </row>
    <row r="25">
      <c r="A25" s="5"/>
      <c r="B25" s="5"/>
      <c r="I25" s="5"/>
    </row>
    <row r="26">
      <c r="A26" s="4" t="s">
        <v>47</v>
      </c>
      <c r="B26" s="32">
        <f>(K11+K12*(K13-K14)+K17)/(K19+K20+K16)</f>
        <v>1.038961275</v>
      </c>
      <c r="I26" s="5"/>
    </row>
    <row r="27">
      <c r="A27" s="2" t="s">
        <v>14</v>
      </c>
      <c r="B27" s="34">
        <f>(J11+J12*(J13-J14)+J17)/(J19+J20+J16)</f>
        <v>1.09668701</v>
      </c>
      <c r="E27" s="35"/>
      <c r="I27" s="5"/>
    </row>
    <row r="28">
      <c r="A28" s="5"/>
      <c r="B28" s="5"/>
    </row>
    <row r="29">
      <c r="E29" s="37"/>
      <c r="I29" s="4"/>
      <c r="J29" s="13"/>
    </row>
    <row r="30">
      <c r="E30" s="37"/>
      <c r="I30" s="4"/>
      <c r="J30" s="13"/>
    </row>
    <row r="31">
      <c r="E31" s="37"/>
      <c r="I31" s="4"/>
      <c r="J31" s="13"/>
    </row>
    <row r="32">
      <c r="A32" s="2"/>
      <c r="B32" s="2"/>
      <c r="C32" s="16"/>
      <c r="D32" s="2"/>
    </row>
    <row r="33">
      <c r="A33" s="4"/>
      <c r="B33" s="38"/>
      <c r="C33" s="19"/>
      <c r="D33" s="9"/>
      <c r="E33" s="39"/>
      <c r="I33" s="4"/>
      <c r="J33" s="5"/>
    </row>
    <row r="34">
      <c r="A34" s="2"/>
      <c r="B34" s="2"/>
      <c r="C34" s="2"/>
      <c r="D34" s="2"/>
      <c r="E34" s="40"/>
    </row>
    <row r="35">
      <c r="A35" s="2"/>
      <c r="B35" s="2"/>
      <c r="C35" s="2"/>
      <c r="D35" s="2"/>
      <c r="E35" s="6"/>
      <c r="I35" s="5"/>
    </row>
    <row r="36">
      <c r="A36" s="4"/>
      <c r="B36" s="7"/>
      <c r="C36" s="8"/>
      <c r="D36" s="31"/>
      <c r="E36" s="41"/>
      <c r="I36" s="5"/>
    </row>
    <row r="37">
      <c r="A37" s="5"/>
      <c r="B37" s="5"/>
      <c r="E37" s="6"/>
      <c r="I37" s="5"/>
    </row>
    <row r="38">
      <c r="A38" s="2"/>
      <c r="B38" s="5"/>
      <c r="E38" s="6"/>
      <c r="I38" s="5"/>
    </row>
    <row r="39">
      <c r="A39" s="5"/>
      <c r="B39" s="42"/>
      <c r="I39" s="5"/>
    </row>
    <row r="40">
      <c r="A40" s="2"/>
      <c r="B40" s="34"/>
      <c r="I40" s="5"/>
    </row>
    <row r="41">
      <c r="A41" s="2"/>
      <c r="B41" s="12"/>
    </row>
    <row r="42">
      <c r="A42" s="5"/>
      <c r="B42" s="5"/>
    </row>
    <row r="43">
      <c r="A43" s="2"/>
    </row>
    <row r="44">
      <c r="A44" s="2"/>
      <c r="B44" s="2"/>
    </row>
    <row r="45">
      <c r="A45" s="5"/>
      <c r="B45" s="36"/>
    </row>
    <row r="46">
      <c r="A46" s="2"/>
      <c r="I46" s="43"/>
    </row>
    <row r="47">
      <c r="A47" s="2"/>
      <c r="B47" s="2"/>
    </row>
    <row r="49">
      <c r="E49" s="17" t="s">
        <v>50</v>
      </c>
      <c r="F49" s="17" t="str">
        <f>E36</f>
        <v/>
      </c>
    </row>
    <row r="50" ht="15.0" customHeight="1">
      <c r="B50" s="2"/>
      <c r="E50" s="17" t="s">
        <v>51</v>
      </c>
      <c r="F50" s="17" t="str">
        <f>B19</f>
        <v/>
      </c>
    </row>
    <row r="51">
      <c r="B51" s="4"/>
      <c r="E51" s="17" t="s">
        <v>52</v>
      </c>
      <c r="F51" s="44" t="str">
        <f>E33</f>
        <v/>
      </c>
    </row>
    <row r="52">
      <c r="A52" s="6"/>
      <c r="E52" s="17" t="s">
        <v>53</v>
      </c>
      <c r="F52" s="33">
        <f>B33*E33</f>
        <v>0</v>
      </c>
    </row>
    <row r="53">
      <c r="A53" s="6"/>
      <c r="E53" s="17" t="s">
        <v>54</v>
      </c>
      <c r="F53" s="29">
        <f>B4</f>
        <v>1000</v>
      </c>
    </row>
    <row r="54">
      <c r="A54" s="6"/>
    </row>
    <row r="55">
      <c r="A55" s="6"/>
      <c r="E55" s="3" t="s">
        <v>55</v>
      </c>
      <c r="F55" s="17">
        <v>203.0</v>
      </c>
    </row>
    <row r="56">
      <c r="A56" s="2"/>
      <c r="E56" s="3"/>
    </row>
    <row r="57">
      <c r="A57" s="1"/>
      <c r="B57" s="2"/>
      <c r="C57" s="2"/>
      <c r="E57" s="3"/>
    </row>
    <row r="58">
      <c r="A58" s="2"/>
      <c r="B58" s="2"/>
      <c r="C58" s="2"/>
      <c r="D58" s="2"/>
      <c r="E58" s="3"/>
      <c r="F58" s="32">
        <f>SUM(F49*0-1*(F50+0))/(F51*0-1)</f>
        <v>0</v>
      </c>
    </row>
    <row r="59">
      <c r="A59" s="4"/>
      <c r="B59" s="7"/>
      <c r="C59" s="2"/>
      <c r="D59" s="2"/>
      <c r="E59" s="3" t="s">
        <v>56</v>
      </c>
      <c r="F59" s="28">
        <f>SUM(F49-F50)/(2*(1-F51))</f>
        <v>0</v>
      </c>
    </row>
    <row r="60">
      <c r="A60" s="2"/>
      <c r="B60" s="2"/>
      <c r="C60" s="2"/>
      <c r="D60" s="2"/>
      <c r="E60" s="3" t="s">
        <v>57</v>
      </c>
      <c r="F60" s="28">
        <f>SUM((F50-F49)/(2*(0.8-1)))</f>
        <v>0</v>
      </c>
    </row>
    <row r="61">
      <c r="A61" s="2"/>
      <c r="B61" s="2"/>
      <c r="C61" s="2"/>
      <c r="D61" s="2"/>
      <c r="E61" s="3"/>
    </row>
    <row r="62" ht="15.0" customHeight="1">
      <c r="A62" s="4"/>
      <c r="B62" s="7"/>
      <c r="C62" s="8"/>
      <c r="D62" s="5"/>
      <c r="E62" s="1"/>
    </row>
    <row r="63">
      <c r="A63" s="4"/>
      <c r="B63" s="7"/>
      <c r="C63" s="8"/>
      <c r="D63" s="5"/>
      <c r="E63" s="4" t="s">
        <v>58</v>
      </c>
      <c r="F63" s="29">
        <f>SUM((F50+F53-F49-F52)/(1*(1-F51)))</f>
        <v>1000</v>
      </c>
    </row>
    <row r="64">
      <c r="A64" s="5"/>
      <c r="B64" s="5"/>
      <c r="E64" s="8"/>
    </row>
    <row r="65">
      <c r="A65" s="2"/>
      <c r="B65" s="2"/>
      <c r="E65" s="4"/>
    </row>
    <row r="66">
      <c r="A66" s="4"/>
      <c r="B66" s="7"/>
    </row>
    <row r="67">
      <c r="A67" s="6"/>
      <c r="B67" s="7"/>
    </row>
    <row r="68">
      <c r="A68" s="5"/>
      <c r="B68" s="5"/>
    </row>
    <row r="69">
      <c r="A69" s="2"/>
      <c r="B69" s="12"/>
    </row>
    <row r="70">
      <c r="A70" s="2"/>
      <c r="B70" s="12"/>
    </row>
    <row r="73">
      <c r="A73" s="6"/>
    </row>
    <row r="74">
      <c r="A74" s="6"/>
    </row>
    <row r="75">
      <c r="A75" s="1"/>
      <c r="B75" s="2"/>
      <c r="C75" s="2"/>
      <c r="E75" s="3"/>
    </row>
    <row r="76">
      <c r="A76" s="2"/>
      <c r="B76" s="2"/>
      <c r="E76" s="3"/>
    </row>
    <row r="77">
      <c r="A77" s="4"/>
      <c r="B77" s="7"/>
      <c r="E77" s="3"/>
    </row>
    <row r="78">
      <c r="E78" s="1"/>
    </row>
    <row r="79">
      <c r="A79" s="2"/>
      <c r="B79" s="2"/>
      <c r="C79" s="2"/>
      <c r="D79" s="2"/>
      <c r="E79" s="4"/>
    </row>
    <row r="80">
      <c r="A80" s="4"/>
      <c r="B80" s="7"/>
      <c r="C80" s="8"/>
      <c r="D80" s="5"/>
      <c r="E80" s="8"/>
    </row>
    <row r="81">
      <c r="A81" s="4"/>
      <c r="B81" s="7"/>
      <c r="C81" s="8"/>
      <c r="D81" s="5"/>
    </row>
    <row r="82">
      <c r="A82" s="6"/>
      <c r="B82" s="7"/>
      <c r="C82" s="8"/>
      <c r="D82" s="5"/>
    </row>
    <row r="83">
      <c r="A83" s="5"/>
      <c r="B83" s="5"/>
    </row>
    <row r="84">
      <c r="A84" s="2"/>
      <c r="B84" s="2"/>
    </row>
    <row r="85">
      <c r="A85" s="4"/>
      <c r="B85" s="7"/>
    </row>
    <row r="86">
      <c r="A86" s="5"/>
      <c r="B86" s="5"/>
    </row>
    <row r="87">
      <c r="A87" s="2"/>
      <c r="B87" s="12"/>
    </row>
    <row r="88">
      <c r="A88" s="2"/>
      <c r="B88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113</v>
      </c>
      <c r="B1" s="2"/>
      <c r="C1" s="2"/>
      <c r="E1" s="3"/>
      <c r="F1" s="4"/>
    </row>
    <row r="2">
      <c r="A2" s="6" t="s">
        <v>114</v>
      </c>
    </row>
    <row r="3">
      <c r="A3" s="2"/>
      <c r="B3" s="12"/>
    </row>
    <row r="4">
      <c r="A4" s="2" t="s">
        <v>115</v>
      </c>
      <c r="B4" s="12">
        <f>B13</f>
        <v>100</v>
      </c>
    </row>
    <row r="5">
      <c r="A5" s="2" t="s">
        <v>116</v>
      </c>
      <c r="B5" s="12">
        <f>B13</f>
        <v>100</v>
      </c>
    </row>
    <row r="6">
      <c r="A6" s="2" t="s">
        <v>117</v>
      </c>
      <c r="B6" s="12">
        <f>1/C10</f>
        <v>5</v>
      </c>
    </row>
    <row r="7">
      <c r="A7" s="2" t="s">
        <v>118</v>
      </c>
      <c r="B7" s="12">
        <f>(B5/B4)*B6</f>
        <v>5</v>
      </c>
    </row>
    <row r="8">
      <c r="A8" s="2"/>
      <c r="B8" s="12"/>
    </row>
    <row r="9">
      <c r="A9" s="2" t="s">
        <v>119</v>
      </c>
      <c r="B9" s="2" t="s">
        <v>120</v>
      </c>
      <c r="C9" s="2" t="s">
        <v>4</v>
      </c>
      <c r="D9" s="2" t="s">
        <v>5</v>
      </c>
      <c r="E9" s="2" t="s">
        <v>6</v>
      </c>
      <c r="F9" s="2" t="s">
        <v>7</v>
      </c>
    </row>
    <row r="10">
      <c r="A10" s="4" t="s">
        <v>8</v>
      </c>
      <c r="B10" s="7">
        <f>B7*B13</f>
        <v>500</v>
      </c>
      <c r="C10" s="8">
        <v>0.2</v>
      </c>
      <c r="D10" s="8">
        <f>1-C10</f>
        <v>0.8</v>
      </c>
      <c r="E10" s="8">
        <v>0.1</v>
      </c>
      <c r="F10" s="8">
        <f>1-E10</f>
        <v>0.9</v>
      </c>
    </row>
    <row r="11">
      <c r="A11" s="2"/>
      <c r="B11" s="2"/>
      <c r="C11" s="2"/>
      <c r="D11" s="2"/>
      <c r="E11" s="1"/>
      <c r="F11" s="1"/>
    </row>
    <row r="12">
      <c r="A12" s="2" t="s">
        <v>9</v>
      </c>
      <c r="B12" s="2" t="s">
        <v>10</v>
      </c>
      <c r="C12" s="2" t="s">
        <v>5</v>
      </c>
      <c r="D12" s="2" t="s">
        <v>7</v>
      </c>
      <c r="E12" s="1"/>
      <c r="F12" s="1"/>
    </row>
    <row r="13">
      <c r="A13" s="4" t="s">
        <v>12</v>
      </c>
      <c r="B13" s="7">
        <v>100.0</v>
      </c>
      <c r="C13" s="8">
        <v>0.9</v>
      </c>
      <c r="D13" s="8">
        <v>0.8</v>
      </c>
      <c r="E13" s="8"/>
    </row>
    <row r="15">
      <c r="A15" s="2" t="s">
        <v>121</v>
      </c>
      <c r="B15" s="12">
        <f>(B13*C13)/(B10*C10)</f>
        <v>0.9</v>
      </c>
    </row>
    <row r="16">
      <c r="A16" s="2" t="s">
        <v>122</v>
      </c>
      <c r="B16" s="12">
        <f>(B13*D13+B10*D10)/B10</f>
        <v>0.96</v>
      </c>
    </row>
    <row r="17">
      <c r="A17" s="2" t="s">
        <v>123</v>
      </c>
      <c r="B17" s="12">
        <f>(B13*C13)/(B10*C10)</f>
        <v>0.9</v>
      </c>
    </row>
    <row r="19">
      <c r="A19" s="2" t="s">
        <v>124</v>
      </c>
      <c r="B19" s="12">
        <f>(B13*D13)/(B10*E10)</f>
        <v>1.6</v>
      </c>
    </row>
    <row r="20">
      <c r="A20" s="2" t="s">
        <v>125</v>
      </c>
      <c r="B20" s="12">
        <f>(B13*D13+B10*F10)/B10</f>
        <v>1.06</v>
      </c>
    </row>
    <row r="21">
      <c r="A21" s="2" t="s">
        <v>126</v>
      </c>
      <c r="B21" s="12">
        <f>(B13*D13)/(B10*E10)</f>
        <v>1.6</v>
      </c>
    </row>
    <row r="23">
      <c r="A23" s="2" t="s">
        <v>15</v>
      </c>
      <c r="B23" s="5">
        <f>B10/B13</f>
        <v>5</v>
      </c>
    </row>
    <row r="25">
      <c r="A25" s="6" t="s">
        <v>127</v>
      </c>
    </row>
    <row r="26">
      <c r="A26" s="2" t="s">
        <v>119</v>
      </c>
      <c r="B26" s="2" t="s">
        <v>120</v>
      </c>
      <c r="C26" s="2" t="s">
        <v>4</v>
      </c>
      <c r="D26" s="2" t="s">
        <v>5</v>
      </c>
      <c r="E26" s="2" t="s">
        <v>6</v>
      </c>
      <c r="F26" s="2" t="s">
        <v>7</v>
      </c>
    </row>
    <row r="27">
      <c r="A27" s="4" t="s">
        <v>8</v>
      </c>
      <c r="B27" s="7">
        <f>B30*3</f>
        <v>300</v>
      </c>
      <c r="C27" s="8">
        <v>0.2</v>
      </c>
      <c r="D27" s="8">
        <f>1-C27</f>
        <v>0.8</v>
      </c>
      <c r="E27" s="8">
        <v>0.1</v>
      </c>
      <c r="F27" s="8">
        <f>1-E27</f>
        <v>0.9</v>
      </c>
    </row>
    <row r="28">
      <c r="A28" s="2"/>
      <c r="B28" s="2"/>
      <c r="C28" s="2"/>
      <c r="D28" s="2"/>
      <c r="E28" s="1"/>
      <c r="F28" s="1"/>
    </row>
    <row r="29">
      <c r="A29" s="2" t="s">
        <v>9</v>
      </c>
      <c r="B29" s="2" t="s">
        <v>10</v>
      </c>
      <c r="C29" s="2" t="s">
        <v>5</v>
      </c>
      <c r="D29" s="2" t="s">
        <v>7</v>
      </c>
      <c r="E29" s="1"/>
      <c r="F29" s="1"/>
    </row>
    <row r="30">
      <c r="A30" s="4" t="s">
        <v>12</v>
      </c>
      <c r="B30" s="7">
        <v>100.0</v>
      </c>
      <c r="C30" s="8">
        <v>0.9</v>
      </c>
      <c r="D30" s="8">
        <v>0.8</v>
      </c>
      <c r="E30" s="8"/>
    </row>
    <row r="32">
      <c r="A32" s="2" t="s">
        <v>121</v>
      </c>
      <c r="B32" s="12">
        <f>(B30*C30)/(B27*C27)</f>
        <v>1.5</v>
      </c>
    </row>
    <row r="33">
      <c r="A33" s="2" t="s">
        <v>122</v>
      </c>
      <c r="B33" s="12">
        <f>(B30*D30+B27*D27)/B27</f>
        <v>1.066666667</v>
      </c>
    </row>
    <row r="34">
      <c r="A34" s="2" t="s">
        <v>123</v>
      </c>
      <c r="B34" s="12">
        <f>(B30*C30)/(B27*C27)</f>
        <v>1.5</v>
      </c>
    </row>
    <row r="35">
      <c r="A35" s="2"/>
      <c r="B35" s="12"/>
    </row>
    <row r="36">
      <c r="A36" s="2" t="s">
        <v>124</v>
      </c>
      <c r="B36" s="12">
        <f>(B30*D30)/(B27*E27)</f>
        <v>2.666666667</v>
      </c>
    </row>
    <row r="37">
      <c r="A37" s="2" t="s">
        <v>125</v>
      </c>
      <c r="B37" s="12">
        <f>(B30*D30+B27*F27)/B27</f>
        <v>1.166666667</v>
      </c>
    </row>
    <row r="38">
      <c r="A38" s="2" t="s">
        <v>126</v>
      </c>
      <c r="B38" s="12">
        <f>(B30*D30)/(B27*E27)</f>
        <v>2.666666667</v>
      </c>
    </row>
    <row r="40">
      <c r="A40" s="2" t="s">
        <v>15</v>
      </c>
      <c r="B40" s="5">
        <f>B27/B30</f>
        <v>3</v>
      </c>
    </row>
    <row r="42">
      <c r="A42" s="2" t="s">
        <v>128</v>
      </c>
      <c r="B42" s="66">
        <f>(B27-B30*D30)/(B27*F27)-1</f>
        <v>-0.1851851852</v>
      </c>
    </row>
    <row r="44">
      <c r="A44" s="6" t="s">
        <v>129</v>
      </c>
      <c r="B44" s="8"/>
    </row>
    <row r="45">
      <c r="A45" s="14" t="s">
        <v>17</v>
      </c>
      <c r="B45" s="15">
        <f>B42</f>
        <v>-0.1851851852</v>
      </c>
    </row>
    <row r="47">
      <c r="A47" s="2" t="s">
        <v>2</v>
      </c>
      <c r="B47" s="2" t="s">
        <v>130</v>
      </c>
      <c r="C47" s="2" t="s">
        <v>6</v>
      </c>
      <c r="D47" s="2" t="s">
        <v>7</v>
      </c>
    </row>
    <row r="48">
      <c r="A48" s="4" t="s">
        <v>8</v>
      </c>
      <c r="B48" s="7">
        <f>B27*(1+B45)</f>
        <v>244.4444444</v>
      </c>
      <c r="C48" s="8">
        <f>E27</f>
        <v>0.1</v>
      </c>
      <c r="D48" s="8">
        <f>1-C48</f>
        <v>0.9</v>
      </c>
    </row>
    <row r="49">
      <c r="A49" s="2"/>
      <c r="B49" s="2"/>
      <c r="C49" s="2"/>
      <c r="D49" s="2"/>
    </row>
    <row r="50">
      <c r="A50" s="2" t="s">
        <v>9</v>
      </c>
      <c r="B50" s="2" t="s">
        <v>10</v>
      </c>
      <c r="C50" s="2" t="s">
        <v>7</v>
      </c>
      <c r="D50" s="2"/>
    </row>
    <row r="51">
      <c r="A51" s="4" t="s">
        <v>12</v>
      </c>
      <c r="B51" s="7">
        <f>B30</f>
        <v>100</v>
      </c>
      <c r="C51" s="8">
        <f>D30</f>
        <v>0.8</v>
      </c>
      <c r="D51" s="5"/>
    </row>
    <row r="52">
      <c r="A52" s="5"/>
      <c r="B52" s="5"/>
    </row>
    <row r="53">
      <c r="A53" s="2" t="s">
        <v>19</v>
      </c>
      <c r="B53" s="2" t="s">
        <v>10</v>
      </c>
      <c r="C53" s="2" t="s">
        <v>6</v>
      </c>
      <c r="D53" s="2" t="s">
        <v>7</v>
      </c>
    </row>
    <row r="54">
      <c r="A54" s="4" t="s">
        <v>8</v>
      </c>
      <c r="B54" s="7">
        <f>B48-B27</f>
        <v>-55.55555556</v>
      </c>
      <c r="C54" s="8">
        <f>C48</f>
        <v>0.1</v>
      </c>
      <c r="D54" s="8">
        <f>1-C54</f>
        <v>0.9</v>
      </c>
    </row>
    <row r="55">
      <c r="A55" s="5"/>
      <c r="B55" s="5"/>
    </row>
    <row r="56">
      <c r="A56" s="2" t="s">
        <v>124</v>
      </c>
      <c r="B56" s="12">
        <f>((B51*C51)+(B54*D54))/(B27*C48)</f>
        <v>1</v>
      </c>
    </row>
    <row r="57">
      <c r="A57" s="2" t="s">
        <v>125</v>
      </c>
      <c r="B57" s="12">
        <f>(B51*C51+B48*D48)/B27</f>
        <v>1</v>
      </c>
    </row>
    <row r="58">
      <c r="A58" s="2" t="s">
        <v>126</v>
      </c>
      <c r="B58" s="12">
        <f>(B51*C51)/(B48*C48-B54)</f>
        <v>1</v>
      </c>
    </row>
    <row r="60">
      <c r="A60" s="2" t="s">
        <v>15</v>
      </c>
      <c r="B60" s="12">
        <f>B48/(B51+B54)</f>
        <v>5.5</v>
      </c>
    </row>
  </sheetData>
  <drawing r:id="rId1"/>
</worksheet>
</file>