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rrent_funding_rate_velocity" sheetId="1" r:id="rId4"/>
    <sheet state="visible" name="current_funding_rate" sheetId="2" r:id="rId5"/>
    <sheet state="visible" name="current_funding_entrance_per_un" sheetId="3" r:id="rId6"/>
    <sheet state="visible" name="current_funding_accrued_per_uni" sheetId="4" r:id="rId7"/>
    <sheet state="visible" name="current_funding" sheetId="5" r:id="rId8"/>
    <sheet state="visible" name="open_position" sheetId="6" r:id="rId9"/>
    <sheet state="visible" name="close_position" sheetId="7" r:id="rId10"/>
    <sheet state="visible" name="denom_pnl" sheetId="8" r:id="rId11"/>
    <sheet state="visible" name="position_pnl" sheetId="9" r:id="rId12"/>
    <sheet state="visible" name="query_position_fees" sheetId="10" r:id="rId13"/>
  </sheets>
  <definedNames/>
  <calcPr/>
</workbook>
</file>

<file path=xl/sharedStrings.xml><?xml version="1.0" encoding="utf-8"?>
<sst xmlns="http://schemas.openxmlformats.org/spreadsheetml/2006/main" count="502" uniqueCount="77">
  <si>
    <t>skew_scale</t>
  </si>
  <si>
    <t>max_funding_velocity</t>
  </si>
  <si>
    <t>long_oi</t>
  </si>
  <si>
    <t>short_oi</t>
  </si>
  <si>
    <t>skew</t>
  </si>
  <si>
    <t>p_skew</t>
  </si>
  <si>
    <t>p_skew_bounded</t>
  </si>
  <si>
    <t>funding_rate_velocity</t>
  </si>
  <si>
    <t>last_funding_rate</t>
  </si>
  <si>
    <t>last_updated</t>
  </si>
  <si>
    <t>current_time</t>
  </si>
  <si>
    <t>time_elapsed_in_days</t>
  </si>
  <si>
    <t>funding_rate</t>
  </si>
  <si>
    <t>avg_funding_rate</t>
  </si>
  <si>
    <t>denom_price</t>
  </si>
  <si>
    <t>usdc_price</t>
  </si>
  <si>
    <t>price</t>
  </si>
  <si>
    <t>funding_entrance_per_unit_in_usdc</t>
  </si>
  <si>
    <t>last_funding_accrued_per_unit_in_usdc</t>
  </si>
  <si>
    <t>funding_accrued_per_unit_in_usdc</t>
  </si>
  <si>
    <t>size</t>
  </si>
  <si>
    <t>initial_premium</t>
  </si>
  <si>
    <t>final_premium</t>
  </si>
  <si>
    <t>opening_execution_price</t>
  </si>
  <si>
    <t>prev_total_entry_cost</t>
  </si>
  <si>
    <t>total_entry_cost</t>
  </si>
  <si>
    <t>prev_total_entry_funding</t>
  </si>
  <si>
    <t>total_entry_funding</t>
  </si>
  <si>
    <t>prev_total_squared_positions</t>
  </si>
  <si>
    <t>total_squared_positions</t>
  </si>
  <si>
    <t>prev_total_abs_multiplied_positions</t>
  </si>
  <si>
    <t>total_abs_multiplied_positions</t>
  </si>
  <si>
    <t>Numbers for test cases: compute_price_pnl, compute_closing_fees, compute_accrued_funding, compute_pnl</t>
  </si>
  <si>
    <t>closing_fee_rate</t>
  </si>
  <si>
    <t>global_closing_execution_price</t>
  </si>
  <si>
    <t>price_pnl</t>
  </si>
  <si>
    <t>val_1</t>
  </si>
  <si>
    <t>FLOOR used</t>
  </si>
  <si>
    <t>val_2</t>
  </si>
  <si>
    <t>val_3</t>
  </si>
  <si>
    <t>val_4</t>
  </si>
  <si>
    <t>closing_fees</t>
  </si>
  <si>
    <t>accrued_funding</t>
  </si>
  <si>
    <t>pnl</t>
  </si>
  <si>
    <t>long position - price up</t>
  </si>
  <si>
    <t>long position - price down</t>
  </si>
  <si>
    <t>short position - price up</t>
  </si>
  <si>
    <t>short position - price down</t>
  </si>
  <si>
    <t>long position - break even</t>
  </si>
  <si>
    <t>short position - break even</t>
  </si>
  <si>
    <t>closing_fee</t>
  </si>
  <si>
    <t>entry_skew</t>
  </si>
  <si>
    <t>exit_skew</t>
  </si>
  <si>
    <t>entry_denom_price</t>
  </si>
  <si>
    <t>exit_denom_price</t>
  </si>
  <si>
    <t>entry_funding_accrued_per_unit_in_usdc</t>
  </si>
  <si>
    <t>exit_funding_accrued_per_unit_in_usdc</t>
  </si>
  <si>
    <t>initial_premium_opening</t>
  </si>
  <si>
    <t>final_premium_opening</t>
  </si>
  <si>
    <t>initial_premium_closing</t>
  </si>
  <si>
    <t>final_premium_closing</t>
  </si>
  <si>
    <t>closing_execution_price</t>
  </si>
  <si>
    <t>open long</t>
  </si>
  <si>
    <t>increase long</t>
  </si>
  <si>
    <t>decrease long</t>
  </si>
  <si>
    <t>close long</t>
  </si>
  <si>
    <t>opening_fee_rate</t>
  </si>
  <si>
    <t>old_size</t>
  </si>
  <si>
    <t>current_skew</t>
  </si>
  <si>
    <t>new_size</t>
  </si>
  <si>
    <t>current_denom_price</t>
  </si>
  <si>
    <t>initial_premium_opening/initial_premium_closing</t>
  </si>
  <si>
    <t>q_change</t>
  </si>
  <si>
    <t>opening_fee_in_uusdc</t>
  </si>
  <si>
    <t>closing_fee_in_uusdc</t>
  </si>
  <si>
    <t>open short</t>
  </si>
  <si>
    <t>increase short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</si>
</sst>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FF0000"/>
      <name val="Arial"/>
      <scheme val="minor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1" numFmtId="9" xfId="0" applyAlignment="1" applyBorder="1" applyFont="1" applyNumberFormat="1">
      <alignment readingOrder="0"/>
    </xf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horizontal="right" vertical="bottom"/>
    </xf>
    <xf borderId="3" fillId="0" fontId="2" numFmtId="0" xfId="0" applyAlignment="1" applyBorder="1" applyFont="1">
      <alignment vertical="bottom"/>
    </xf>
    <xf borderId="4" fillId="0" fontId="2" numFmtId="9" xfId="0" applyAlignment="1" applyBorder="1" applyFont="1" applyNumberFormat="1">
      <alignment horizontal="right" vertical="bottom"/>
    </xf>
    <xf borderId="4" fillId="0" fontId="2" numFmtId="0" xfId="0" applyAlignment="1" applyBorder="1" applyFont="1">
      <alignment horizontal="right" vertical="bottom"/>
    </xf>
    <xf borderId="4" fillId="0" fontId="2" numFmtId="0" xfId="0" applyAlignment="1" applyBorder="1" applyFont="1">
      <alignment horizontal="right" vertical="bottom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5" fillId="0" fontId="1" numFmtId="0" xfId="0" applyAlignment="1" applyBorder="1" applyFont="1">
      <alignment readingOrder="0"/>
    </xf>
    <xf borderId="2" fillId="0" fontId="4" numFmtId="0" xfId="0" applyBorder="1" applyFont="1"/>
    <xf borderId="6" fillId="0" fontId="1" numFmtId="0" xfId="0" applyAlignment="1" applyBorder="1" applyFont="1">
      <alignment horizontal="left" readingOrder="0" vertical="center"/>
    </xf>
    <xf borderId="7" fillId="0" fontId="4" numFmtId="0" xfId="0" applyBorder="1" applyFont="1"/>
    <xf borderId="3" fillId="0" fontId="4" numFmtId="0" xfId="0" applyBorder="1" applyFont="1"/>
    <xf borderId="1" fillId="0" fontId="1" numFmtId="1" xfId="0" applyBorder="1" applyFont="1" applyNumberFormat="1"/>
    <xf borderId="5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1" fillId="3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7.0"/>
  </cols>
  <sheetData>
    <row r="3">
      <c r="C3" s="1" t="s">
        <v>0</v>
      </c>
      <c r="D3" s="2">
        <f t="shared" ref="D3:F3" si="1">10^6</f>
        <v>1000000</v>
      </c>
      <c r="E3" s="2">
        <f t="shared" si="1"/>
        <v>1000000</v>
      </c>
      <c r="F3" s="2">
        <f t="shared" si="1"/>
        <v>1000000</v>
      </c>
    </row>
    <row r="4">
      <c r="C4" s="1" t="s">
        <v>1</v>
      </c>
      <c r="D4" s="3">
        <v>3.0</v>
      </c>
      <c r="E4" s="3">
        <v>3.0</v>
      </c>
      <c r="F4" s="3">
        <v>3.0</v>
      </c>
    </row>
    <row r="5">
      <c r="C5" s="1" t="s">
        <v>2</v>
      </c>
      <c r="D5" s="1">
        <v>300.0</v>
      </c>
      <c r="E5" s="1">
        <v>3000000.0</v>
      </c>
      <c r="F5" s="1">
        <v>300.0</v>
      </c>
    </row>
    <row r="6">
      <c r="C6" s="1" t="s">
        <v>3</v>
      </c>
      <c r="D6" s="1">
        <v>150.0</v>
      </c>
      <c r="E6" s="1">
        <v>150.0</v>
      </c>
      <c r="F6" s="1">
        <v>1500000.0</v>
      </c>
    </row>
    <row r="7">
      <c r="C7" s="1" t="s">
        <v>4</v>
      </c>
      <c r="D7" s="2">
        <f t="shared" ref="D7:F7" si="2">D5-D6</f>
        <v>150</v>
      </c>
      <c r="E7" s="2">
        <f t="shared" si="2"/>
        <v>2999850</v>
      </c>
      <c r="F7" s="2">
        <f t="shared" si="2"/>
        <v>-1499700</v>
      </c>
    </row>
    <row r="8">
      <c r="C8" s="1" t="s">
        <v>5</v>
      </c>
      <c r="D8" s="2">
        <f t="shared" ref="D8:F8" si="3">D7/D3</f>
        <v>0.00015</v>
      </c>
      <c r="E8" s="2">
        <f t="shared" si="3"/>
        <v>2.99985</v>
      </c>
      <c r="F8" s="2">
        <f t="shared" si="3"/>
        <v>-1.4997</v>
      </c>
    </row>
    <row r="9">
      <c r="C9" s="1" t="s">
        <v>6</v>
      </c>
      <c r="D9" s="2">
        <f t="shared" ref="D9:F9" si="4">MIN(MAX(-1,D8),1)</f>
        <v>0.00015</v>
      </c>
      <c r="E9" s="2">
        <f t="shared" si="4"/>
        <v>1</v>
      </c>
      <c r="F9" s="2">
        <f t="shared" si="4"/>
        <v>-1</v>
      </c>
    </row>
    <row r="10">
      <c r="C10" s="1" t="s">
        <v>7</v>
      </c>
      <c r="D10" s="2">
        <f t="shared" ref="D10:F10" si="5">D9*D4</f>
        <v>0.00045</v>
      </c>
      <c r="E10" s="2">
        <f t="shared" si="5"/>
        <v>3</v>
      </c>
      <c r="F10" s="2">
        <f t="shared" si="5"/>
        <v>-3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36.88"/>
    <col customWidth="1" min="4" max="4" width="16.5"/>
    <col customWidth="1" min="6" max="6" width="36.88"/>
    <col customWidth="1" min="9" max="9" width="36.88"/>
    <col customWidth="1" min="12" max="12" width="36.88"/>
    <col customWidth="1" min="13" max="13" width="7.5"/>
  </cols>
  <sheetData>
    <row r="3">
      <c r="C3" s="18" t="s">
        <v>62</v>
      </c>
      <c r="D3" s="13"/>
      <c r="F3" s="18" t="s">
        <v>63</v>
      </c>
      <c r="G3" s="13"/>
      <c r="I3" s="18" t="s">
        <v>64</v>
      </c>
      <c r="J3" s="13"/>
      <c r="L3" s="18" t="s">
        <v>65</v>
      </c>
      <c r="M3" s="13"/>
    </row>
    <row r="4">
      <c r="C4" s="1" t="s">
        <v>66</v>
      </c>
      <c r="D4" s="1">
        <v>0.004</v>
      </c>
      <c r="F4" s="1" t="s">
        <v>66</v>
      </c>
      <c r="G4" s="1">
        <v>0.004</v>
      </c>
      <c r="I4" s="1" t="s">
        <v>66</v>
      </c>
      <c r="J4" s="1">
        <v>0.004</v>
      </c>
      <c r="L4" s="1" t="s">
        <v>66</v>
      </c>
      <c r="M4" s="1">
        <v>0.004</v>
      </c>
    </row>
    <row r="5">
      <c r="C5" s="1" t="s">
        <v>33</v>
      </c>
      <c r="D5" s="1">
        <v>0.006</v>
      </c>
      <c r="F5" s="1" t="s">
        <v>33</v>
      </c>
      <c r="G5" s="1">
        <v>0.006</v>
      </c>
      <c r="I5" s="1" t="s">
        <v>33</v>
      </c>
      <c r="J5" s="1">
        <v>0.006</v>
      </c>
      <c r="L5" s="1" t="s">
        <v>33</v>
      </c>
      <c r="M5" s="1">
        <v>0.006</v>
      </c>
    </row>
    <row r="6">
      <c r="C6" s="1" t="s">
        <v>0</v>
      </c>
      <c r="D6" s="2">
        <f>10^6</f>
        <v>1000000</v>
      </c>
      <c r="F6" s="1" t="s">
        <v>0</v>
      </c>
      <c r="G6" s="2">
        <f>10^6</f>
        <v>1000000</v>
      </c>
      <c r="I6" s="1" t="s">
        <v>0</v>
      </c>
      <c r="J6" s="2">
        <f>10^6</f>
        <v>1000000</v>
      </c>
      <c r="L6" s="1" t="s">
        <v>0</v>
      </c>
      <c r="M6" s="2">
        <f>10^6</f>
        <v>1000000</v>
      </c>
    </row>
    <row r="7">
      <c r="C7" s="1" t="s">
        <v>51</v>
      </c>
      <c r="D7" s="1">
        <v>10000.0</v>
      </c>
      <c r="F7" s="1" t="s">
        <v>51</v>
      </c>
      <c r="G7" s="1">
        <v>10000.0</v>
      </c>
      <c r="I7" s="1" t="s">
        <v>51</v>
      </c>
      <c r="J7" s="1">
        <v>10000.0</v>
      </c>
      <c r="L7" s="1" t="s">
        <v>51</v>
      </c>
      <c r="M7" s="1">
        <v>10000.0</v>
      </c>
    </row>
    <row r="8">
      <c r="C8" s="1" t="s">
        <v>67</v>
      </c>
      <c r="D8" s="1">
        <v>0.0</v>
      </c>
      <c r="F8" s="1" t="s">
        <v>67</v>
      </c>
      <c r="G8" s="1">
        <v>1200.0</v>
      </c>
      <c r="I8" s="1" t="s">
        <v>67</v>
      </c>
      <c r="J8" s="1">
        <v>1200.0</v>
      </c>
      <c r="L8" s="1" t="s">
        <v>67</v>
      </c>
      <c r="M8" s="1">
        <v>1200.0</v>
      </c>
    </row>
    <row r="9">
      <c r="C9" s="1" t="s">
        <v>68</v>
      </c>
      <c r="D9" s="1">
        <f>D7+D8</f>
        <v>10000</v>
      </c>
      <c r="F9" s="1" t="s">
        <v>68</v>
      </c>
      <c r="G9" s="1">
        <f>G7+G8</f>
        <v>11200</v>
      </c>
      <c r="I9" s="1" t="s">
        <v>68</v>
      </c>
      <c r="J9" s="1">
        <f>J7+J8</f>
        <v>11200</v>
      </c>
      <c r="L9" s="1" t="s">
        <v>68</v>
      </c>
      <c r="M9" s="1">
        <f>M7+M8</f>
        <v>11200</v>
      </c>
    </row>
    <row r="10">
      <c r="C10" s="1" t="s">
        <v>69</v>
      </c>
      <c r="D10" s="1">
        <v>250.0</v>
      </c>
      <c r="F10" s="1" t="s">
        <v>69</v>
      </c>
      <c r="G10" s="1">
        <v>2500.0</v>
      </c>
      <c r="I10" s="1" t="s">
        <v>69</v>
      </c>
      <c r="J10" s="1">
        <v>800.0</v>
      </c>
      <c r="L10" s="1" t="s">
        <v>69</v>
      </c>
      <c r="M10" s="1">
        <v>0.0</v>
      </c>
    </row>
    <row r="11">
      <c r="C11" s="1" t="s">
        <v>70</v>
      </c>
      <c r="D11" s="1">
        <v>1.25</v>
      </c>
      <c r="F11" s="1" t="s">
        <v>70</v>
      </c>
      <c r="G11" s="1">
        <v>1.25</v>
      </c>
      <c r="I11" s="1" t="s">
        <v>70</v>
      </c>
      <c r="J11" s="1">
        <v>1.25</v>
      </c>
      <c r="L11" s="1" t="s">
        <v>70</v>
      </c>
      <c r="M11" s="1">
        <v>1.25</v>
      </c>
    </row>
    <row r="12">
      <c r="C12" s="1" t="s">
        <v>15</v>
      </c>
      <c r="D12" s="1">
        <v>0.9</v>
      </c>
      <c r="F12" s="1" t="s">
        <v>15</v>
      </c>
      <c r="G12" s="1">
        <v>0.9</v>
      </c>
      <c r="I12" s="1" t="s">
        <v>15</v>
      </c>
      <c r="J12" s="1">
        <v>0.9</v>
      </c>
      <c r="L12" s="1" t="s">
        <v>15</v>
      </c>
      <c r="M12" s="1">
        <v>0.9</v>
      </c>
    </row>
    <row r="13">
      <c r="C13" s="1" t="s">
        <v>71</v>
      </c>
      <c r="D13" s="2">
        <f>D9/D6</f>
        <v>0.01</v>
      </c>
      <c r="F13" s="1" t="s">
        <v>71</v>
      </c>
      <c r="G13" s="2">
        <f>G9/G6</f>
        <v>0.0112</v>
      </c>
      <c r="I13" s="1" t="s">
        <v>71</v>
      </c>
      <c r="J13" s="2">
        <f>J9/J6</f>
        <v>0.0112</v>
      </c>
      <c r="L13" s="1" t="s">
        <v>71</v>
      </c>
      <c r="M13" s="2">
        <f>M9/M6</f>
        <v>0.0112</v>
      </c>
    </row>
    <row r="14">
      <c r="C14" s="1" t="s">
        <v>58</v>
      </c>
      <c r="D14" s="2">
        <f>(D9+D10)/D6</f>
        <v>0.01025</v>
      </c>
      <c r="F14" s="1" t="s">
        <v>58</v>
      </c>
      <c r="G14" s="2">
        <f>(G9+G10)/G6</f>
        <v>0.0137</v>
      </c>
      <c r="I14" s="1" t="s">
        <v>58</v>
      </c>
      <c r="J14" s="2">
        <f>(J9+J10)/J6</f>
        <v>0.012</v>
      </c>
      <c r="L14" s="1" t="s">
        <v>58</v>
      </c>
      <c r="M14" s="2">
        <f>(M9+M10)/M6</f>
        <v>0.0112</v>
      </c>
    </row>
    <row r="15">
      <c r="C15" s="19" t="s">
        <v>23</v>
      </c>
      <c r="D15" s="20">
        <f>IF(D10=0,0,D11*(1+(D13+D14)/2))</f>
        <v>1.26265625</v>
      </c>
      <c r="F15" s="19" t="s">
        <v>23</v>
      </c>
      <c r="G15" s="20">
        <f>IF(G10=0,0,G11*(1+(G13+G14)/2))</f>
        <v>1.2655625</v>
      </c>
      <c r="I15" s="19" t="s">
        <v>23</v>
      </c>
      <c r="J15" s="20">
        <f>IF(J10=0,0,J11*(1+(J13+J14)/2))</f>
        <v>1.2645</v>
      </c>
      <c r="L15" s="19" t="s">
        <v>23</v>
      </c>
      <c r="M15" s="20">
        <f>IF(M10=0,0,M11*(1+(M13+M14)/2))</f>
        <v>0</v>
      </c>
    </row>
    <row r="16">
      <c r="C16" s="1" t="s">
        <v>60</v>
      </c>
      <c r="D16" s="2">
        <f>(D9-D8)/D6</f>
        <v>0.01</v>
      </c>
      <c r="F16" s="1" t="s">
        <v>60</v>
      </c>
      <c r="G16" s="2">
        <f>(G9-G8)/G6</f>
        <v>0.01</v>
      </c>
      <c r="I16" s="1" t="s">
        <v>60</v>
      </c>
      <c r="J16" s="2">
        <f>(J9-J8)/J6</f>
        <v>0.01</v>
      </c>
      <c r="L16" s="1" t="s">
        <v>60</v>
      </c>
      <c r="M16" s="2">
        <f>(M9-M8)/M6</f>
        <v>0.01</v>
      </c>
    </row>
    <row r="17">
      <c r="C17" s="19" t="s">
        <v>61</v>
      </c>
      <c r="D17" s="20">
        <f>IF(D8=0,0,D11*(1+(D13+D16)/2))</f>
        <v>0</v>
      </c>
      <c r="F17" s="19" t="s">
        <v>61</v>
      </c>
      <c r="G17" s="20">
        <f>IF(G8=0,0,G11*(1+(G13+G16)/2))</f>
        <v>1.26325</v>
      </c>
      <c r="I17" s="19" t="s">
        <v>61</v>
      </c>
      <c r="J17" s="20">
        <f>IF(J8=0,0,J11*(1+(J13+J16)/2))</f>
        <v>1.26325</v>
      </c>
      <c r="L17" s="19" t="s">
        <v>61</v>
      </c>
      <c r="M17" s="20">
        <f>IF(M8=0,0,M11*(1+(M13+M16)/2))</f>
        <v>1.26325</v>
      </c>
    </row>
    <row r="18">
      <c r="C18" s="1" t="s">
        <v>72</v>
      </c>
      <c r="D18" s="2">
        <f>IF(ABS(D10)&gt;ABS(D8),D10-D8,0)</f>
        <v>250</v>
      </c>
      <c r="F18" s="1" t="s">
        <v>72</v>
      </c>
      <c r="G18" s="2">
        <f>IF(ABS(G10)&gt;ABS(G8),G10-G8,0)</f>
        <v>1300</v>
      </c>
      <c r="I18" s="1" t="s">
        <v>72</v>
      </c>
      <c r="J18" s="2">
        <f>IF(ABS(J10)&gt;ABS(J8),J10-J8,0)</f>
        <v>0</v>
      </c>
      <c r="L18" s="1" t="s">
        <v>72</v>
      </c>
      <c r="M18" s="2">
        <f>IF(ABS(M10)&gt;ABS(M8),M10-M8,0)</f>
        <v>0</v>
      </c>
    </row>
    <row r="19">
      <c r="C19" s="1" t="s">
        <v>58</v>
      </c>
      <c r="D19" s="2">
        <f>(D9+D18)/D6</f>
        <v>0.01025</v>
      </c>
      <c r="F19" s="1" t="s">
        <v>58</v>
      </c>
      <c r="G19" s="2">
        <f>(G9+G18)/G6</f>
        <v>0.0125</v>
      </c>
      <c r="I19" s="1" t="s">
        <v>58</v>
      </c>
      <c r="J19" s="2">
        <f>(J9+J18)/J6</f>
        <v>0.0112</v>
      </c>
      <c r="L19" s="1" t="s">
        <v>58</v>
      </c>
      <c r="M19" s="2">
        <f>(M9+M18)/M6</f>
        <v>0.0112</v>
      </c>
    </row>
    <row r="20">
      <c r="C20" s="1" t="s">
        <v>23</v>
      </c>
      <c r="D20" s="2">
        <f>D11*(1+(D13+D19)/2)</f>
        <v>1.26265625</v>
      </c>
      <c r="F20" s="1" t="s">
        <v>23</v>
      </c>
      <c r="G20" s="2">
        <f>G11*(1+(G13+G19)/2)</f>
        <v>1.2648125</v>
      </c>
      <c r="I20" s="1" t="s">
        <v>23</v>
      </c>
      <c r="J20" s="2">
        <f>J11*(1+(J13+J19)/2)</f>
        <v>1.264</v>
      </c>
      <c r="L20" s="1" t="s">
        <v>23</v>
      </c>
      <c r="M20" s="2">
        <f>M11*(1+(M13+M19)/2)</f>
        <v>1.264</v>
      </c>
    </row>
    <row r="21">
      <c r="C21" s="19" t="s">
        <v>73</v>
      </c>
      <c r="D21" s="20">
        <f>CEILING(ABS(D18)*(D20/D12*D4),1)</f>
        <v>2</v>
      </c>
      <c r="F21" s="19" t="s">
        <v>73</v>
      </c>
      <c r="G21" s="20">
        <f>CEILING(ABS(G18)*(G20/G12*G4),1)</f>
        <v>8</v>
      </c>
      <c r="I21" s="19" t="s">
        <v>73</v>
      </c>
      <c r="J21" s="20">
        <f>CEILING(ABS(J18)*(J20/J12*J4),1)</f>
        <v>0</v>
      </c>
      <c r="L21" s="19" t="s">
        <v>73</v>
      </c>
      <c r="M21" s="20">
        <f>CEILING(ABS(M18)*(M20/M12*M4),1)</f>
        <v>0</v>
      </c>
    </row>
    <row r="22">
      <c r="C22" s="1" t="s">
        <v>72</v>
      </c>
      <c r="D22" s="2">
        <f>IF(ABS(D10)&lt;ABS(D8),D8-D10,0)</f>
        <v>0</v>
      </c>
      <c r="F22" s="1" t="s">
        <v>72</v>
      </c>
      <c r="G22" s="2">
        <f>IF(ABS(G10)&lt;ABS(G8),G8-G10,0)</f>
        <v>0</v>
      </c>
      <c r="I22" s="1" t="s">
        <v>72</v>
      </c>
      <c r="J22" s="2">
        <f>IF(ABS(J10)&lt;ABS(J8),J8-J10,0)</f>
        <v>400</v>
      </c>
      <c r="L22" s="1" t="s">
        <v>72</v>
      </c>
      <c r="M22" s="2">
        <f>IF(ABS(M10)&lt;ABS(M8),M8-M10,0)</f>
        <v>1200</v>
      </c>
    </row>
    <row r="23">
      <c r="C23" s="1" t="s">
        <v>58</v>
      </c>
      <c r="D23" s="2">
        <f>(D9-D22)/D6</f>
        <v>0.01</v>
      </c>
      <c r="F23" s="1" t="s">
        <v>58</v>
      </c>
      <c r="G23" s="2">
        <f>(G9-G22)/G6</f>
        <v>0.0112</v>
      </c>
      <c r="I23" s="1" t="s">
        <v>58</v>
      </c>
      <c r="J23" s="2">
        <f>(J9-J22)/J6</f>
        <v>0.0108</v>
      </c>
      <c r="L23" s="1" t="s">
        <v>58</v>
      </c>
      <c r="M23" s="2">
        <f>(M9-M22)/M6</f>
        <v>0.01</v>
      </c>
    </row>
    <row r="24">
      <c r="C24" s="1" t="s">
        <v>23</v>
      </c>
      <c r="D24" s="2">
        <f>D11*(1+(D13+D23)/2)</f>
        <v>1.2625</v>
      </c>
      <c r="F24" s="1" t="s">
        <v>23</v>
      </c>
      <c r="G24" s="2">
        <f>G11*(1+(G13+G23)/2)</f>
        <v>1.264</v>
      </c>
      <c r="I24" s="1" t="s">
        <v>23</v>
      </c>
      <c r="J24" s="2">
        <f>J11*(1+(J13+J23)/2)</f>
        <v>1.26375</v>
      </c>
      <c r="L24" s="1" t="s">
        <v>23</v>
      </c>
      <c r="M24" s="2">
        <f>M11*(1+(M13+M23)/2)</f>
        <v>1.26325</v>
      </c>
    </row>
    <row r="25">
      <c r="C25" s="19" t="s">
        <v>74</v>
      </c>
      <c r="D25" s="20">
        <f>CEILING(ABS(D22)*(D24/D12*D5),1)</f>
        <v>0</v>
      </c>
      <c r="F25" s="19" t="s">
        <v>74</v>
      </c>
      <c r="G25" s="20">
        <f>CEILING(ABS(G22)*(G24/G12*G5),1)</f>
        <v>0</v>
      </c>
      <c r="I25" s="19" t="s">
        <v>74</v>
      </c>
      <c r="J25" s="20">
        <f>CEILING(ABS(J22)*(J24/J12*J5),1)</f>
        <v>4</v>
      </c>
      <c r="L25" s="19" t="s">
        <v>74</v>
      </c>
      <c r="M25" s="20">
        <f>CEILING(ABS(M22)*(M24/M12*M5),1)</f>
        <v>11</v>
      </c>
    </row>
    <row r="28">
      <c r="C28" s="18" t="s">
        <v>75</v>
      </c>
      <c r="D28" s="13"/>
      <c r="F28" s="18" t="s">
        <v>76</v>
      </c>
      <c r="G28" s="13"/>
      <c r="I28" s="18" t="s">
        <v>76</v>
      </c>
      <c r="J28" s="13"/>
      <c r="L28" s="18" t="s">
        <v>76</v>
      </c>
      <c r="M28" s="13"/>
    </row>
    <row r="29">
      <c r="C29" s="1" t="s">
        <v>66</v>
      </c>
      <c r="D29" s="1">
        <v>0.004</v>
      </c>
      <c r="F29" s="1" t="s">
        <v>66</v>
      </c>
      <c r="G29" s="1">
        <v>0.004</v>
      </c>
      <c r="I29" s="1" t="s">
        <v>66</v>
      </c>
      <c r="J29" s="1">
        <v>0.004</v>
      </c>
      <c r="L29" s="1" t="s">
        <v>66</v>
      </c>
      <c r="M29" s="1">
        <v>0.004</v>
      </c>
    </row>
    <row r="30">
      <c r="C30" s="1" t="s">
        <v>33</v>
      </c>
      <c r="D30" s="1">
        <v>0.006</v>
      </c>
      <c r="F30" s="1" t="s">
        <v>33</v>
      </c>
      <c r="G30" s="1">
        <v>0.006</v>
      </c>
      <c r="I30" s="1" t="s">
        <v>33</v>
      </c>
      <c r="J30" s="1">
        <v>0.006</v>
      </c>
      <c r="L30" s="1" t="s">
        <v>33</v>
      </c>
      <c r="M30" s="1">
        <v>0.006</v>
      </c>
    </row>
    <row r="31">
      <c r="C31" s="1" t="s">
        <v>0</v>
      </c>
      <c r="D31" s="2">
        <f>10^6</f>
        <v>1000000</v>
      </c>
      <c r="F31" s="1" t="s">
        <v>0</v>
      </c>
      <c r="G31" s="2">
        <f>10^6</f>
        <v>1000000</v>
      </c>
      <c r="I31" s="1" t="s">
        <v>0</v>
      </c>
      <c r="J31" s="2">
        <f>10^6</f>
        <v>1000000</v>
      </c>
      <c r="L31" s="1" t="s">
        <v>0</v>
      </c>
      <c r="M31" s="2">
        <f>10^6</f>
        <v>1000000</v>
      </c>
    </row>
    <row r="32">
      <c r="C32" s="1" t="s">
        <v>51</v>
      </c>
      <c r="D32" s="1">
        <v>10000.0</v>
      </c>
      <c r="F32" s="1" t="s">
        <v>51</v>
      </c>
      <c r="G32" s="1">
        <v>10000.0</v>
      </c>
      <c r="I32" s="1" t="s">
        <v>51</v>
      </c>
      <c r="J32" s="1">
        <v>10000.0</v>
      </c>
      <c r="L32" s="1" t="s">
        <v>51</v>
      </c>
      <c r="M32" s="1">
        <v>10000.0</v>
      </c>
    </row>
    <row r="33">
      <c r="C33" s="1" t="s">
        <v>67</v>
      </c>
      <c r="D33" s="1">
        <v>0.0</v>
      </c>
      <c r="F33" s="1" t="s">
        <v>67</v>
      </c>
      <c r="G33" s="1">
        <v>-1200.0</v>
      </c>
      <c r="I33" s="1" t="s">
        <v>67</v>
      </c>
      <c r="J33" s="1">
        <v>-1200.0</v>
      </c>
      <c r="L33" s="1" t="s">
        <v>67</v>
      </c>
      <c r="M33" s="1">
        <v>-1200.0</v>
      </c>
    </row>
    <row r="34">
      <c r="C34" s="1" t="s">
        <v>68</v>
      </c>
      <c r="D34" s="1">
        <f>D32+D33</f>
        <v>10000</v>
      </c>
      <c r="F34" s="1" t="s">
        <v>68</v>
      </c>
      <c r="G34" s="1">
        <f>G32+G33</f>
        <v>8800</v>
      </c>
      <c r="I34" s="1" t="s">
        <v>68</v>
      </c>
      <c r="J34" s="1">
        <f>J32+J33</f>
        <v>8800</v>
      </c>
      <c r="L34" s="1" t="s">
        <v>68</v>
      </c>
      <c r="M34" s="1">
        <f>M32+M33</f>
        <v>8800</v>
      </c>
    </row>
    <row r="35">
      <c r="C35" s="1" t="s">
        <v>69</v>
      </c>
      <c r="D35" s="1">
        <v>-2500.0</v>
      </c>
      <c r="F35" s="1" t="s">
        <v>69</v>
      </c>
      <c r="G35" s="1">
        <v>-2500.0</v>
      </c>
      <c r="I35" s="1" t="s">
        <v>69</v>
      </c>
      <c r="J35" s="1">
        <v>-600.0</v>
      </c>
      <c r="L35" s="1" t="s">
        <v>69</v>
      </c>
      <c r="M35" s="1">
        <v>0.0</v>
      </c>
    </row>
    <row r="36">
      <c r="C36" s="1" t="s">
        <v>70</v>
      </c>
      <c r="D36" s="1">
        <v>1.25</v>
      </c>
      <c r="F36" s="1" t="s">
        <v>70</v>
      </c>
      <c r="G36" s="1">
        <v>1.25</v>
      </c>
      <c r="I36" s="1" t="s">
        <v>70</v>
      </c>
      <c r="J36" s="1">
        <v>1.25</v>
      </c>
      <c r="L36" s="1" t="s">
        <v>70</v>
      </c>
      <c r="M36" s="1">
        <v>1.25</v>
      </c>
    </row>
    <row r="37">
      <c r="C37" s="1" t="s">
        <v>15</v>
      </c>
      <c r="D37" s="1">
        <v>0.9</v>
      </c>
      <c r="F37" s="1" t="s">
        <v>15</v>
      </c>
      <c r="G37" s="1">
        <v>0.9</v>
      </c>
      <c r="I37" s="1" t="s">
        <v>15</v>
      </c>
      <c r="J37" s="1">
        <v>0.9</v>
      </c>
      <c r="L37" s="1" t="s">
        <v>15</v>
      </c>
      <c r="M37" s="1">
        <v>0.9</v>
      </c>
    </row>
    <row r="38">
      <c r="C38" s="1" t="s">
        <v>71</v>
      </c>
      <c r="D38" s="2">
        <f>D34/D31</f>
        <v>0.01</v>
      </c>
      <c r="F38" s="1" t="s">
        <v>71</v>
      </c>
      <c r="G38" s="2">
        <f>G34/G31</f>
        <v>0.0088</v>
      </c>
      <c r="I38" s="1" t="s">
        <v>71</v>
      </c>
      <c r="J38" s="2">
        <f>J34/J31</f>
        <v>0.0088</v>
      </c>
      <c r="L38" s="1" t="s">
        <v>71</v>
      </c>
      <c r="M38" s="2">
        <f>M34/M31</f>
        <v>0.0088</v>
      </c>
    </row>
    <row r="39">
      <c r="C39" s="1" t="s">
        <v>58</v>
      </c>
      <c r="D39" s="2">
        <f>(D34+D35)/D31</f>
        <v>0.0075</v>
      </c>
      <c r="F39" s="1" t="s">
        <v>58</v>
      </c>
      <c r="G39" s="2">
        <f>(G34+G35)/G31</f>
        <v>0.0063</v>
      </c>
      <c r="I39" s="1" t="s">
        <v>58</v>
      </c>
      <c r="J39" s="2">
        <f>(J34+J35)/J31</f>
        <v>0.0082</v>
      </c>
      <c r="L39" s="1" t="s">
        <v>58</v>
      </c>
      <c r="M39" s="2">
        <f>(M34+M35)/M31</f>
        <v>0.0088</v>
      </c>
    </row>
    <row r="40">
      <c r="C40" s="19" t="s">
        <v>23</v>
      </c>
      <c r="D40" s="20">
        <f>IF(D35=0,0,D36*(1+(D38+D39)/2))</f>
        <v>1.2609375</v>
      </c>
      <c r="F40" s="19" t="s">
        <v>23</v>
      </c>
      <c r="G40" s="20">
        <f>IF(G35=0,0,G36*(1+(G38+G39)/2))</f>
        <v>1.2594375</v>
      </c>
      <c r="I40" s="19" t="s">
        <v>23</v>
      </c>
      <c r="J40" s="20">
        <f>IF(J35=0,0,J36*(1+(J38+J39)/2))</f>
        <v>1.260625</v>
      </c>
      <c r="L40" s="19" t="s">
        <v>23</v>
      </c>
      <c r="M40" s="20">
        <f>IF(M35=0,0,M36*(1+(M38+M39)/2))</f>
        <v>0</v>
      </c>
    </row>
    <row r="41">
      <c r="C41" s="1" t="s">
        <v>60</v>
      </c>
      <c r="D41" s="2">
        <f>(D34-D33)/D31</f>
        <v>0.01</v>
      </c>
      <c r="F41" s="1" t="s">
        <v>60</v>
      </c>
      <c r="G41" s="2">
        <f>(G34-G33)/G31</f>
        <v>0.01</v>
      </c>
      <c r="I41" s="1" t="s">
        <v>60</v>
      </c>
      <c r="J41" s="2">
        <f>(J34-J33)/J31</f>
        <v>0.01</v>
      </c>
      <c r="L41" s="1" t="s">
        <v>60</v>
      </c>
      <c r="M41" s="2">
        <f>(M34-M33)/M31</f>
        <v>0.01</v>
      </c>
    </row>
    <row r="42">
      <c r="C42" s="19" t="s">
        <v>61</v>
      </c>
      <c r="D42" s="20">
        <f>IF(D33=0,0,D36*(1+(D38+D41)/2))</f>
        <v>0</v>
      </c>
      <c r="F42" s="19" t="s">
        <v>61</v>
      </c>
      <c r="G42" s="20">
        <f>IF(G33=0,0,G36*(1+(G38+G41)/2))</f>
        <v>1.26175</v>
      </c>
      <c r="I42" s="19" t="s">
        <v>61</v>
      </c>
      <c r="J42" s="20">
        <f>IF(J33=0,0,J36*(1+(J38+J41)/2))</f>
        <v>1.26175</v>
      </c>
      <c r="L42" s="19" t="s">
        <v>61</v>
      </c>
      <c r="M42" s="20">
        <f>IF(M33=0,0,M36*(1+(M38+M41)/2))</f>
        <v>1.26175</v>
      </c>
    </row>
    <row r="43">
      <c r="C43" s="1" t="s">
        <v>72</v>
      </c>
      <c r="D43" s="2">
        <f>IF(ABS(D35)&gt;ABS(D33),D35-D33,0)</f>
        <v>-2500</v>
      </c>
      <c r="F43" s="1" t="s">
        <v>72</v>
      </c>
      <c r="G43" s="2">
        <f>IF(ABS(G35)&gt;ABS(G33),G35-G33,0)</f>
        <v>-1300</v>
      </c>
      <c r="I43" s="1" t="s">
        <v>72</v>
      </c>
      <c r="J43" s="2">
        <f>IF(ABS(J35)&gt;ABS(J33),J35-J33,0)</f>
        <v>0</v>
      </c>
      <c r="L43" s="1" t="s">
        <v>72</v>
      </c>
      <c r="M43" s="2">
        <f>IF(ABS(M35)&gt;ABS(M33),M35-M33,0)</f>
        <v>0</v>
      </c>
    </row>
    <row r="44">
      <c r="C44" s="1" t="s">
        <v>58</v>
      </c>
      <c r="D44" s="2">
        <f>(D34+D43)/D31</f>
        <v>0.0075</v>
      </c>
      <c r="F44" s="1" t="s">
        <v>58</v>
      </c>
      <c r="G44" s="2">
        <f>(G34+G43)/G31</f>
        <v>0.0075</v>
      </c>
      <c r="I44" s="1" t="s">
        <v>58</v>
      </c>
      <c r="J44" s="2">
        <f>(J34+J43)/J31</f>
        <v>0.0088</v>
      </c>
      <c r="L44" s="1" t="s">
        <v>58</v>
      </c>
      <c r="M44" s="2">
        <f>(M34+M43)/M31</f>
        <v>0.0088</v>
      </c>
    </row>
    <row r="45">
      <c r="C45" s="1" t="s">
        <v>23</v>
      </c>
      <c r="D45" s="2">
        <f>D36*(1+(D38+D44)/2)</f>
        <v>1.2609375</v>
      </c>
      <c r="F45" s="1" t="s">
        <v>23</v>
      </c>
      <c r="G45" s="2">
        <f>G36*(1+(G38+G44)/2)</f>
        <v>1.2601875</v>
      </c>
      <c r="I45" s="1" t="s">
        <v>23</v>
      </c>
      <c r="J45" s="2">
        <f>J36*(1+(J38+J44)/2)</f>
        <v>1.261</v>
      </c>
      <c r="L45" s="1" t="s">
        <v>23</v>
      </c>
      <c r="M45" s="2">
        <f>M36*(1+(M38+M44)/2)</f>
        <v>1.261</v>
      </c>
    </row>
    <row r="46">
      <c r="C46" s="19" t="s">
        <v>73</v>
      </c>
      <c r="D46" s="20">
        <f>CEILING(ABS(D43)*(D45/D37*D29),1)</f>
        <v>15</v>
      </c>
      <c r="F46" s="19" t="s">
        <v>73</v>
      </c>
      <c r="G46" s="20">
        <f>CEILING(ABS(G43)*(G45/G37*G29),1)</f>
        <v>8</v>
      </c>
      <c r="I46" s="19" t="s">
        <v>73</v>
      </c>
      <c r="J46" s="20">
        <f>CEILING(ABS(J43)*(J45/J37*J29),1)</f>
        <v>0</v>
      </c>
      <c r="L46" s="19" t="s">
        <v>73</v>
      </c>
      <c r="M46" s="20">
        <f>CEILING(ABS(M43)*(M45/M37*M29),1)</f>
        <v>0</v>
      </c>
    </row>
    <row r="47">
      <c r="C47" s="1" t="s">
        <v>72</v>
      </c>
      <c r="D47" s="2">
        <f>IF(ABS(D35)&lt;ABS(D33),D33-D35,0)</f>
        <v>0</v>
      </c>
      <c r="F47" s="1" t="s">
        <v>72</v>
      </c>
      <c r="G47" s="2">
        <f>IF(ABS(G35)&lt;ABS(G33),G33-G35,0)</f>
        <v>0</v>
      </c>
      <c r="I47" s="1" t="s">
        <v>72</v>
      </c>
      <c r="J47" s="2">
        <f>IF(ABS(J35)&lt;ABS(J33),J33-J35,0)</f>
        <v>-600</v>
      </c>
      <c r="L47" s="1" t="s">
        <v>72</v>
      </c>
      <c r="M47" s="2">
        <f>IF(ABS(M35)&lt;ABS(M33),M33-M35,0)</f>
        <v>-1200</v>
      </c>
    </row>
    <row r="48">
      <c r="C48" s="1" t="s">
        <v>58</v>
      </c>
      <c r="D48" s="2">
        <f>(D34-D47)/D31</f>
        <v>0.01</v>
      </c>
      <c r="F48" s="1" t="s">
        <v>58</v>
      </c>
      <c r="G48" s="2">
        <f>(G34-G47)/G31</f>
        <v>0.0088</v>
      </c>
      <c r="I48" s="1" t="s">
        <v>58</v>
      </c>
      <c r="J48" s="2">
        <f>(J34-J47)/J31</f>
        <v>0.0094</v>
      </c>
      <c r="L48" s="1" t="s">
        <v>58</v>
      </c>
      <c r="M48" s="2">
        <f>(M34-M47)/M31</f>
        <v>0.01</v>
      </c>
    </row>
    <row r="49">
      <c r="C49" s="1" t="s">
        <v>23</v>
      </c>
      <c r="D49" s="2">
        <f>D36*(1+(D38+D48)/2)</f>
        <v>1.2625</v>
      </c>
      <c r="F49" s="1" t="s">
        <v>23</v>
      </c>
      <c r="G49" s="2">
        <f>G36*(1+(G38+G48)/2)</f>
        <v>1.261</v>
      </c>
      <c r="I49" s="1" t="s">
        <v>23</v>
      </c>
      <c r="J49" s="2">
        <f>J36*(1+(J38+J48)/2)</f>
        <v>1.261375</v>
      </c>
      <c r="L49" s="1" t="s">
        <v>23</v>
      </c>
      <c r="M49" s="2">
        <f>M36*(1+(M38+M48)/2)</f>
        <v>1.26175</v>
      </c>
    </row>
    <row r="50">
      <c r="C50" s="19" t="s">
        <v>74</v>
      </c>
      <c r="D50" s="20">
        <f>CEILING(ABS(D47)*(D49/D37*D30),1)</f>
        <v>0</v>
      </c>
      <c r="F50" s="19" t="s">
        <v>74</v>
      </c>
      <c r="G50" s="20">
        <f>CEILING(ABS(G47)*(G49/G37*G30),1)</f>
        <v>0</v>
      </c>
      <c r="I50" s="19" t="s">
        <v>74</v>
      </c>
      <c r="J50" s="20">
        <f>CEILING(ABS(J47)*(J49/J37*J30),1)</f>
        <v>6</v>
      </c>
      <c r="L50" s="19" t="s">
        <v>74</v>
      </c>
      <c r="M50" s="20">
        <f>CEILING(ABS(M47)*(M49/M37*M30),1)</f>
        <v>11</v>
      </c>
    </row>
  </sheetData>
  <mergeCells count="8">
    <mergeCell ref="C3:D3"/>
    <mergeCell ref="F3:G3"/>
    <mergeCell ref="I3:J3"/>
    <mergeCell ref="L3:M3"/>
    <mergeCell ref="C28:D28"/>
    <mergeCell ref="F28:G28"/>
    <mergeCell ref="I28:J28"/>
    <mergeCell ref="L28:M2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7.63"/>
  </cols>
  <sheetData>
    <row r="3">
      <c r="C3" s="4" t="s">
        <v>0</v>
      </c>
      <c r="D3" s="5">
        <f>10^6</f>
        <v>1000000</v>
      </c>
    </row>
    <row r="4">
      <c r="C4" s="6" t="s">
        <v>1</v>
      </c>
      <c r="D4" s="7">
        <v>3.0</v>
      </c>
    </row>
    <row r="5">
      <c r="C5" s="6" t="s">
        <v>2</v>
      </c>
      <c r="D5" s="8">
        <v>3000.0</v>
      </c>
    </row>
    <row r="6">
      <c r="C6" s="6" t="s">
        <v>3</v>
      </c>
      <c r="D6" s="8">
        <v>15000.0</v>
      </c>
    </row>
    <row r="7">
      <c r="C7" s="6" t="s">
        <v>4</v>
      </c>
      <c r="D7" s="9">
        <f>D5-D6</f>
        <v>-12000</v>
      </c>
    </row>
    <row r="8">
      <c r="C8" s="6" t="s">
        <v>5</v>
      </c>
      <c r="D8" s="9">
        <f>D7/D3</f>
        <v>-0.012</v>
      </c>
    </row>
    <row r="9">
      <c r="C9" s="6" t="s">
        <v>6</v>
      </c>
      <c r="D9" s="9">
        <f>MIN(MAX(-1,D8),1)</f>
        <v>-0.012</v>
      </c>
    </row>
    <row r="10">
      <c r="C10" s="6" t="s">
        <v>7</v>
      </c>
      <c r="D10" s="9">
        <f>D9*D4</f>
        <v>-0.036</v>
      </c>
    </row>
    <row r="11">
      <c r="C11" s="6" t="s">
        <v>8</v>
      </c>
      <c r="D11" s="8">
        <v>-0.025</v>
      </c>
    </row>
    <row r="12">
      <c r="C12" s="6" t="s">
        <v>9</v>
      </c>
      <c r="D12" s="8">
        <v>200.0</v>
      </c>
    </row>
    <row r="13">
      <c r="C13" s="6" t="s">
        <v>10</v>
      </c>
      <c r="D13" s="8">
        <v>43400.0</v>
      </c>
    </row>
    <row r="14">
      <c r="C14" s="6" t="s">
        <v>11</v>
      </c>
      <c r="D14" s="8">
        <f>(D13-D12)/86400</f>
        <v>0.5</v>
      </c>
    </row>
    <row r="15">
      <c r="C15" s="6" t="s">
        <v>12</v>
      </c>
      <c r="D15" s="9">
        <f>D11+D10*D14</f>
        <v>-0.043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27.5"/>
  </cols>
  <sheetData>
    <row r="3">
      <c r="C3" s="1" t="s">
        <v>0</v>
      </c>
      <c r="D3" s="2">
        <f>10^6</f>
        <v>1000000</v>
      </c>
    </row>
    <row r="4">
      <c r="C4" s="1" t="s">
        <v>1</v>
      </c>
      <c r="D4" s="3">
        <v>3.0</v>
      </c>
    </row>
    <row r="5">
      <c r="C5" s="1" t="s">
        <v>2</v>
      </c>
      <c r="D5" s="1">
        <v>3000.0</v>
      </c>
    </row>
    <row r="6">
      <c r="C6" s="1" t="s">
        <v>3</v>
      </c>
      <c r="D6" s="1">
        <v>15000.0</v>
      </c>
    </row>
    <row r="7">
      <c r="C7" s="1" t="s">
        <v>4</v>
      </c>
      <c r="D7" s="2">
        <f>D5-D6</f>
        <v>-12000</v>
      </c>
    </row>
    <row r="8">
      <c r="C8" s="1" t="s">
        <v>5</v>
      </c>
      <c r="D8" s="2">
        <f>D7/D3</f>
        <v>-0.012</v>
      </c>
    </row>
    <row r="9">
      <c r="C9" s="1" t="s">
        <v>6</v>
      </c>
      <c r="D9" s="2">
        <f>MIN(MAX(-1,D8),1)</f>
        <v>-0.012</v>
      </c>
    </row>
    <row r="10">
      <c r="C10" s="1" t="s">
        <v>7</v>
      </c>
      <c r="D10" s="2">
        <f>D9*D4</f>
        <v>-0.036</v>
      </c>
    </row>
    <row r="11">
      <c r="C11" s="1" t="s">
        <v>8</v>
      </c>
      <c r="D11" s="1">
        <v>-0.025</v>
      </c>
    </row>
    <row r="12">
      <c r="C12" s="1" t="s">
        <v>9</v>
      </c>
      <c r="D12" s="1">
        <v>200.0</v>
      </c>
    </row>
    <row r="13">
      <c r="C13" s="1" t="s">
        <v>10</v>
      </c>
      <c r="D13" s="1">
        <v>43400.0</v>
      </c>
    </row>
    <row r="14">
      <c r="C14" s="1" t="s">
        <v>11</v>
      </c>
      <c r="D14" s="1">
        <f>(D13-D12)/86400</f>
        <v>0.5</v>
      </c>
    </row>
    <row r="15">
      <c r="C15" s="1" t="s">
        <v>12</v>
      </c>
      <c r="D15" s="2">
        <f>D11+D10*D14</f>
        <v>-0.043</v>
      </c>
    </row>
    <row r="16">
      <c r="C16" s="1" t="s">
        <v>13</v>
      </c>
      <c r="D16" s="1">
        <f>(D11+D15)/2</f>
        <v>-0.034</v>
      </c>
    </row>
    <row r="17">
      <c r="C17" s="1" t="s">
        <v>14</v>
      </c>
      <c r="D17" s="1">
        <v>3.6</v>
      </c>
    </row>
    <row r="18">
      <c r="C18" s="1" t="s">
        <v>15</v>
      </c>
      <c r="D18" s="1">
        <v>0.9</v>
      </c>
    </row>
    <row r="19">
      <c r="C19" s="1" t="s">
        <v>16</v>
      </c>
      <c r="D19" s="2">
        <f>D17/D18</f>
        <v>4</v>
      </c>
    </row>
    <row r="20">
      <c r="C20" s="1" t="s">
        <v>17</v>
      </c>
      <c r="D20" s="2">
        <f>D16*D14*D19</f>
        <v>-0.068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30.5"/>
  </cols>
  <sheetData>
    <row r="3">
      <c r="C3" s="1" t="s">
        <v>0</v>
      </c>
      <c r="D3" s="2">
        <f>10^6</f>
        <v>1000000</v>
      </c>
    </row>
    <row r="4">
      <c r="C4" s="1" t="s">
        <v>1</v>
      </c>
      <c r="D4" s="3">
        <v>3.0</v>
      </c>
    </row>
    <row r="5">
      <c r="C5" s="1" t="s">
        <v>2</v>
      </c>
      <c r="D5" s="1">
        <v>3000.0</v>
      </c>
    </row>
    <row r="6">
      <c r="C6" s="1" t="s">
        <v>3</v>
      </c>
      <c r="D6" s="1">
        <v>15000.0</v>
      </c>
    </row>
    <row r="7">
      <c r="C7" s="1" t="s">
        <v>4</v>
      </c>
      <c r="D7" s="2">
        <f>D5-D6</f>
        <v>-12000</v>
      </c>
    </row>
    <row r="8">
      <c r="C8" s="1" t="s">
        <v>5</v>
      </c>
      <c r="D8" s="2">
        <f>D7/D3</f>
        <v>-0.012</v>
      </c>
    </row>
    <row r="9">
      <c r="C9" s="1" t="s">
        <v>6</v>
      </c>
      <c r="D9" s="2">
        <f>MIN(MAX(-1,D8),1)</f>
        <v>-0.012</v>
      </c>
    </row>
    <row r="10">
      <c r="C10" s="1" t="s">
        <v>7</v>
      </c>
      <c r="D10" s="2">
        <f>D9*D4</f>
        <v>-0.036</v>
      </c>
    </row>
    <row r="11">
      <c r="C11" s="1" t="s">
        <v>8</v>
      </c>
      <c r="D11" s="1">
        <v>-0.025</v>
      </c>
    </row>
    <row r="12">
      <c r="C12" s="1" t="s">
        <v>9</v>
      </c>
      <c r="D12" s="1">
        <v>200.0</v>
      </c>
    </row>
    <row r="13">
      <c r="C13" s="1" t="s">
        <v>10</v>
      </c>
      <c r="D13" s="1">
        <v>43400.0</v>
      </c>
    </row>
    <row r="14">
      <c r="C14" s="1" t="s">
        <v>11</v>
      </c>
      <c r="D14" s="1">
        <f>(D13-D12)/86400</f>
        <v>0.5</v>
      </c>
    </row>
    <row r="15">
      <c r="C15" s="1" t="s">
        <v>12</v>
      </c>
      <c r="D15" s="2">
        <f>D11+D10*D14</f>
        <v>-0.043</v>
      </c>
    </row>
    <row r="16">
      <c r="C16" s="1" t="s">
        <v>13</v>
      </c>
      <c r="D16" s="1">
        <f>(D11+D15)/2</f>
        <v>-0.034</v>
      </c>
    </row>
    <row r="17">
      <c r="C17" s="1" t="s">
        <v>14</v>
      </c>
      <c r="D17" s="1">
        <v>3.6</v>
      </c>
    </row>
    <row r="18">
      <c r="C18" s="1" t="s">
        <v>15</v>
      </c>
      <c r="D18" s="1">
        <v>0.9</v>
      </c>
    </row>
    <row r="19">
      <c r="C19" s="1" t="s">
        <v>16</v>
      </c>
      <c r="D19" s="2">
        <f>D17/D18</f>
        <v>4</v>
      </c>
    </row>
    <row r="20">
      <c r="C20" s="1" t="s">
        <v>17</v>
      </c>
      <c r="D20" s="2">
        <f>D16*D14*D19</f>
        <v>-0.068</v>
      </c>
    </row>
    <row r="21">
      <c r="C21" s="1" t="s">
        <v>18</v>
      </c>
      <c r="D21" s="1">
        <v>-12.5</v>
      </c>
    </row>
    <row r="22">
      <c r="C22" s="1" t="s">
        <v>19</v>
      </c>
      <c r="D22" s="2">
        <f>D21-D20</f>
        <v>-12.432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30.5"/>
  </cols>
  <sheetData>
    <row r="3">
      <c r="C3" s="1" t="s">
        <v>0</v>
      </c>
      <c r="D3" s="2">
        <f>10^6</f>
        <v>1000000</v>
      </c>
    </row>
    <row r="4">
      <c r="C4" s="1" t="s">
        <v>1</v>
      </c>
      <c r="D4" s="3">
        <v>3.0</v>
      </c>
    </row>
    <row r="5">
      <c r="C5" s="1" t="s">
        <v>2</v>
      </c>
      <c r="D5" s="1">
        <v>3000.0</v>
      </c>
    </row>
    <row r="6">
      <c r="C6" s="1" t="s">
        <v>3</v>
      </c>
      <c r="D6" s="1">
        <v>15000.0</v>
      </c>
    </row>
    <row r="7">
      <c r="C7" s="1" t="s">
        <v>4</v>
      </c>
      <c r="D7" s="2">
        <f>D5-D6</f>
        <v>-12000</v>
      </c>
    </row>
    <row r="8">
      <c r="C8" s="1" t="s">
        <v>5</v>
      </c>
      <c r="D8" s="2">
        <f>D7/D3</f>
        <v>-0.012</v>
      </c>
    </row>
    <row r="9">
      <c r="C9" s="1" t="s">
        <v>6</v>
      </c>
      <c r="D9" s="2">
        <f>MIN(MAX(-1,D8),1)</f>
        <v>-0.012</v>
      </c>
    </row>
    <row r="10">
      <c r="C10" s="1" t="s">
        <v>7</v>
      </c>
      <c r="D10" s="2">
        <f>D9*D4</f>
        <v>-0.036</v>
      </c>
    </row>
    <row r="11">
      <c r="C11" s="1" t="s">
        <v>8</v>
      </c>
      <c r="D11" s="1">
        <v>-0.025</v>
      </c>
    </row>
    <row r="12">
      <c r="C12" s="1" t="s">
        <v>9</v>
      </c>
      <c r="D12" s="1">
        <v>200.0</v>
      </c>
    </row>
    <row r="13">
      <c r="C13" s="1" t="s">
        <v>10</v>
      </c>
      <c r="D13" s="1">
        <v>43400.0</v>
      </c>
    </row>
    <row r="14">
      <c r="C14" s="1" t="s">
        <v>11</v>
      </c>
      <c r="D14" s="1">
        <f>(D13-D12)/86400</f>
        <v>0.5</v>
      </c>
    </row>
    <row r="15">
      <c r="C15" s="1" t="s">
        <v>12</v>
      </c>
      <c r="D15" s="2">
        <f>D11+D10*D14</f>
        <v>-0.043</v>
      </c>
    </row>
    <row r="16">
      <c r="C16" s="1" t="s">
        <v>13</v>
      </c>
      <c r="D16" s="1">
        <f>(D11+D15)/2</f>
        <v>-0.034</v>
      </c>
    </row>
    <row r="17">
      <c r="C17" s="1" t="s">
        <v>14</v>
      </c>
      <c r="D17" s="1">
        <v>4600.0</v>
      </c>
    </row>
    <row r="18">
      <c r="C18" s="1" t="s">
        <v>15</v>
      </c>
      <c r="D18" s="1">
        <v>0.8</v>
      </c>
    </row>
    <row r="19">
      <c r="C19" s="1" t="s">
        <v>16</v>
      </c>
      <c r="D19" s="2">
        <f>D17/D18</f>
        <v>5750</v>
      </c>
    </row>
    <row r="20">
      <c r="C20" s="1" t="s">
        <v>17</v>
      </c>
      <c r="D20" s="2">
        <f>D16*D14*D19</f>
        <v>-97.75</v>
      </c>
    </row>
    <row r="21">
      <c r="C21" s="1" t="s">
        <v>18</v>
      </c>
      <c r="D21" s="1">
        <v>-12.5</v>
      </c>
    </row>
    <row r="22">
      <c r="C22" s="1" t="s">
        <v>19</v>
      </c>
      <c r="D22" s="2">
        <f>D21-D20</f>
        <v>85.25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30.5"/>
  </cols>
  <sheetData>
    <row r="3">
      <c r="C3" s="1" t="s">
        <v>0</v>
      </c>
      <c r="D3" s="2">
        <f>10^6</f>
        <v>1000000</v>
      </c>
    </row>
    <row r="4">
      <c r="C4" s="1" t="s">
        <v>1</v>
      </c>
      <c r="D4" s="3">
        <v>3.0</v>
      </c>
    </row>
    <row r="5">
      <c r="C5" s="1" t="s">
        <v>2</v>
      </c>
      <c r="D5" s="1">
        <v>3000.0</v>
      </c>
    </row>
    <row r="6">
      <c r="C6" s="1" t="s">
        <v>3</v>
      </c>
      <c r="D6" s="1">
        <v>15000.0</v>
      </c>
    </row>
    <row r="7">
      <c r="C7" s="1" t="s">
        <v>4</v>
      </c>
      <c r="D7" s="2">
        <f>D5-D6</f>
        <v>-12000</v>
      </c>
    </row>
    <row r="8">
      <c r="C8" s="1" t="s">
        <v>5</v>
      </c>
      <c r="D8" s="2">
        <f>D7/D3</f>
        <v>-0.012</v>
      </c>
    </row>
    <row r="9">
      <c r="C9" s="1" t="s">
        <v>6</v>
      </c>
      <c r="D9" s="2">
        <f>MIN(MAX(-1,D8),1)</f>
        <v>-0.012</v>
      </c>
    </row>
    <row r="10">
      <c r="C10" s="1" t="s">
        <v>7</v>
      </c>
      <c r="D10" s="2">
        <f>D9*D4</f>
        <v>-0.036</v>
      </c>
    </row>
    <row r="11">
      <c r="C11" s="1" t="s">
        <v>8</v>
      </c>
      <c r="D11" s="1">
        <v>-0.025</v>
      </c>
    </row>
    <row r="12">
      <c r="C12" s="1" t="s">
        <v>9</v>
      </c>
      <c r="D12" s="1">
        <v>200.0</v>
      </c>
    </row>
    <row r="13">
      <c r="C13" s="1" t="s">
        <v>10</v>
      </c>
      <c r="D13" s="1">
        <v>43400.0</v>
      </c>
    </row>
    <row r="14">
      <c r="C14" s="1" t="s">
        <v>11</v>
      </c>
      <c r="D14" s="1">
        <f>(D13-D12)/86400</f>
        <v>0.5</v>
      </c>
    </row>
    <row r="15">
      <c r="C15" s="1" t="s">
        <v>12</v>
      </c>
      <c r="D15" s="2">
        <f>D11+D10*D14</f>
        <v>-0.043</v>
      </c>
    </row>
    <row r="16">
      <c r="C16" s="1" t="s">
        <v>13</v>
      </c>
      <c r="D16" s="1">
        <f>(D11+D15)/2</f>
        <v>-0.034</v>
      </c>
    </row>
    <row r="17">
      <c r="C17" s="1" t="s">
        <v>14</v>
      </c>
      <c r="D17" s="1">
        <v>4200.0</v>
      </c>
    </row>
    <row r="18">
      <c r="C18" s="1" t="s">
        <v>15</v>
      </c>
      <c r="D18" s="1">
        <v>0.8</v>
      </c>
    </row>
    <row r="19">
      <c r="C19" s="1" t="s">
        <v>16</v>
      </c>
      <c r="D19" s="2">
        <f>D17/D18</f>
        <v>5250</v>
      </c>
    </row>
    <row r="20">
      <c r="C20" s="1" t="s">
        <v>17</v>
      </c>
      <c r="D20" s="2">
        <f>D16*D14*D19</f>
        <v>-89.25</v>
      </c>
      <c r="E20" s="10"/>
    </row>
    <row r="21">
      <c r="C21" s="1" t="s">
        <v>18</v>
      </c>
      <c r="D21" s="1">
        <v>-12.5</v>
      </c>
    </row>
    <row r="22">
      <c r="C22" s="1" t="s">
        <v>19</v>
      </c>
      <c r="D22" s="2">
        <f>D21-D20</f>
        <v>76.75</v>
      </c>
    </row>
    <row r="23">
      <c r="C23" s="1" t="s">
        <v>20</v>
      </c>
      <c r="D23" s="1">
        <v>-105.0</v>
      </c>
    </row>
    <row r="24">
      <c r="C24" s="1" t="s">
        <v>21</v>
      </c>
      <c r="D24" s="2">
        <f>D7/D3</f>
        <v>-0.012</v>
      </c>
    </row>
    <row r="25">
      <c r="C25" s="1" t="s">
        <v>22</v>
      </c>
      <c r="D25" s="2">
        <f>(D7+D23)/D3</f>
        <v>-0.012105</v>
      </c>
    </row>
    <row r="26">
      <c r="C26" s="1" t="s">
        <v>23</v>
      </c>
      <c r="D26" s="2">
        <f>D17*(1+(D24+D25)/2)</f>
        <v>4149.3795</v>
      </c>
    </row>
    <row r="27">
      <c r="C27" s="1" t="s">
        <v>24</v>
      </c>
      <c r="D27" s="1">
        <v>-125.0</v>
      </c>
    </row>
    <row r="28">
      <c r="C28" s="1" t="s">
        <v>25</v>
      </c>
      <c r="D28" s="2">
        <f>D27+FLOOR(D23*D26,1)</f>
        <v>-435810</v>
      </c>
    </row>
    <row r="29">
      <c r="C29" s="1" t="s">
        <v>26</v>
      </c>
      <c r="D29" s="1">
        <v>268.0</v>
      </c>
    </row>
    <row r="30">
      <c r="C30" s="1" t="s">
        <v>27</v>
      </c>
      <c r="D30" s="2">
        <f>D29+FLOOR(D23*D22,1)</f>
        <v>-7791</v>
      </c>
    </row>
    <row r="31">
      <c r="C31" s="1" t="s">
        <v>28</v>
      </c>
      <c r="D31" s="1">
        <v>14400.0</v>
      </c>
    </row>
    <row r="32">
      <c r="C32" s="1" t="s">
        <v>29</v>
      </c>
      <c r="D32" s="2">
        <f>D31+(POW(D23,2))</f>
        <v>25425</v>
      </c>
    </row>
    <row r="33">
      <c r="C33" s="1" t="s">
        <v>30</v>
      </c>
      <c r="D33" s="1">
        <v>-225.0</v>
      </c>
    </row>
    <row r="34">
      <c r="C34" s="1" t="s">
        <v>31</v>
      </c>
      <c r="D34" s="2">
        <f>D33+(D23*ABS(D23))</f>
        <v>-11250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30.5"/>
  </cols>
  <sheetData>
    <row r="3">
      <c r="C3" s="1" t="s">
        <v>0</v>
      </c>
      <c r="D3" s="2">
        <f>10^6</f>
        <v>1000000</v>
      </c>
    </row>
    <row r="4">
      <c r="C4" s="1" t="s">
        <v>1</v>
      </c>
      <c r="D4" s="3">
        <v>3.0</v>
      </c>
    </row>
    <row r="5">
      <c r="C5" s="1" t="s">
        <v>2</v>
      </c>
      <c r="D5" s="1">
        <v>3000.0</v>
      </c>
    </row>
    <row r="6">
      <c r="C6" s="1" t="s">
        <v>3</v>
      </c>
      <c r="D6" s="1">
        <v>15000.0</v>
      </c>
    </row>
    <row r="7">
      <c r="C7" s="1" t="s">
        <v>4</v>
      </c>
      <c r="D7" s="2">
        <f>D5-D6</f>
        <v>-12000</v>
      </c>
    </row>
    <row r="8">
      <c r="C8" s="1" t="s">
        <v>5</v>
      </c>
      <c r="D8" s="2">
        <f>D7/D3</f>
        <v>-0.012</v>
      </c>
    </row>
    <row r="9">
      <c r="C9" s="1" t="s">
        <v>6</v>
      </c>
      <c r="D9" s="2">
        <f>MIN(MAX(-1,D8),1)</f>
        <v>-0.012</v>
      </c>
    </row>
    <row r="10">
      <c r="C10" s="1" t="s">
        <v>7</v>
      </c>
      <c r="D10" s="2">
        <f>D9*D4</f>
        <v>-0.036</v>
      </c>
    </row>
    <row r="11">
      <c r="C11" s="1" t="s">
        <v>8</v>
      </c>
      <c r="D11" s="1">
        <v>-0.025</v>
      </c>
    </row>
    <row r="12">
      <c r="C12" s="1" t="s">
        <v>9</v>
      </c>
      <c r="D12" s="1">
        <v>200.0</v>
      </c>
    </row>
    <row r="13">
      <c r="C13" s="1" t="s">
        <v>10</v>
      </c>
      <c r="D13" s="1">
        <v>43400.0</v>
      </c>
    </row>
    <row r="14">
      <c r="C14" s="1" t="s">
        <v>11</v>
      </c>
      <c r="D14" s="1">
        <f>(D13-D12)/86400</f>
        <v>0.5</v>
      </c>
    </row>
    <row r="15">
      <c r="C15" s="1" t="s">
        <v>12</v>
      </c>
      <c r="D15" s="2">
        <f>D11+D10*D14</f>
        <v>-0.043</v>
      </c>
    </row>
    <row r="16">
      <c r="C16" s="1" t="s">
        <v>13</v>
      </c>
      <c r="D16" s="1">
        <f>(D11+D15)/2</f>
        <v>-0.034</v>
      </c>
    </row>
    <row r="17">
      <c r="C17" s="1" t="s">
        <v>14</v>
      </c>
      <c r="D17" s="1">
        <v>4200.0</v>
      </c>
    </row>
    <row r="18">
      <c r="C18" s="1" t="s">
        <v>15</v>
      </c>
      <c r="D18" s="1">
        <v>0.8</v>
      </c>
    </row>
    <row r="19">
      <c r="C19" s="1" t="s">
        <v>16</v>
      </c>
      <c r="D19" s="2">
        <f>D17/D18</f>
        <v>5250</v>
      </c>
    </row>
    <row r="20">
      <c r="C20" s="1" t="s">
        <v>17</v>
      </c>
      <c r="D20" s="2">
        <f>D16*D14*D19</f>
        <v>-89.25</v>
      </c>
      <c r="E20" s="10"/>
    </row>
    <row r="21">
      <c r="C21" s="1" t="s">
        <v>18</v>
      </c>
      <c r="D21" s="1">
        <v>-12.5</v>
      </c>
    </row>
    <row r="22">
      <c r="C22" s="1" t="s">
        <v>19</v>
      </c>
      <c r="D22" s="2">
        <f>D21-D20</f>
        <v>76.75</v>
      </c>
    </row>
    <row r="23">
      <c r="C23" s="1" t="s">
        <v>20</v>
      </c>
      <c r="D23" s="1">
        <v>-105.0</v>
      </c>
    </row>
    <row r="24">
      <c r="C24" s="1" t="s">
        <v>21</v>
      </c>
      <c r="D24" s="2">
        <f>D7/D3</f>
        <v>-0.012</v>
      </c>
    </row>
    <row r="25">
      <c r="C25" s="1" t="s">
        <v>22</v>
      </c>
      <c r="D25" s="2">
        <f>(D7+D23)/D3</f>
        <v>-0.012105</v>
      </c>
    </row>
    <row r="26">
      <c r="C26" s="1" t="s">
        <v>23</v>
      </c>
      <c r="D26" s="2">
        <f>D17*(1+(D24+D25)/2)</f>
        <v>4149.3795</v>
      </c>
    </row>
    <row r="27">
      <c r="C27" s="1" t="s">
        <v>24</v>
      </c>
      <c r="D27" s="1">
        <v>-125.0</v>
      </c>
    </row>
    <row r="28">
      <c r="C28" s="1" t="s">
        <v>25</v>
      </c>
      <c r="D28" s="2">
        <f>D27-FLOOR(D23*D26,1)</f>
        <v>435560</v>
      </c>
    </row>
    <row r="29">
      <c r="C29" s="1" t="s">
        <v>26</v>
      </c>
      <c r="D29" s="1">
        <v>268.0</v>
      </c>
    </row>
    <row r="30">
      <c r="C30" s="1" t="s">
        <v>27</v>
      </c>
      <c r="D30" s="2">
        <f>D29-FLOOR(D23*D22,1)</f>
        <v>8327</v>
      </c>
    </row>
    <row r="31">
      <c r="C31" s="1" t="s">
        <v>28</v>
      </c>
      <c r="D31" s="1">
        <v>14400.0</v>
      </c>
    </row>
    <row r="32">
      <c r="C32" s="1" t="s">
        <v>29</v>
      </c>
      <c r="D32" s="2">
        <f>D31-(POW(D23,2))</f>
        <v>3375</v>
      </c>
    </row>
    <row r="33">
      <c r="C33" s="1" t="s">
        <v>30</v>
      </c>
      <c r="D33" s="1">
        <v>-225.0</v>
      </c>
    </row>
    <row r="34">
      <c r="C34" s="1" t="s">
        <v>31</v>
      </c>
      <c r="D34" s="2">
        <f>D33-(D23*ABS(D23))</f>
        <v>10800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30.5"/>
    <col customWidth="1" min="5" max="5" width="22.38"/>
  </cols>
  <sheetData>
    <row r="1">
      <c r="C1" s="11" t="s">
        <v>32</v>
      </c>
    </row>
    <row r="3">
      <c r="C3" s="12" t="s">
        <v>33</v>
      </c>
      <c r="D3" s="13"/>
      <c r="E3" s="1">
        <v>0.02</v>
      </c>
    </row>
    <row r="4">
      <c r="C4" s="12" t="s">
        <v>0</v>
      </c>
      <c r="D4" s="13"/>
      <c r="E4" s="2">
        <f>10^6</f>
        <v>1000000</v>
      </c>
    </row>
    <row r="5">
      <c r="C5" s="12" t="s">
        <v>1</v>
      </c>
      <c r="D5" s="13"/>
      <c r="E5" s="3">
        <v>3.0</v>
      </c>
    </row>
    <row r="6">
      <c r="C6" s="12" t="s">
        <v>2</v>
      </c>
      <c r="D6" s="13"/>
      <c r="E6" s="1">
        <v>3000.0</v>
      </c>
    </row>
    <row r="7">
      <c r="C7" s="12" t="s">
        <v>3</v>
      </c>
      <c r="D7" s="13"/>
      <c r="E7" s="1">
        <v>15000.0</v>
      </c>
    </row>
    <row r="8">
      <c r="C8" s="12" t="s">
        <v>4</v>
      </c>
      <c r="D8" s="13"/>
      <c r="E8" s="2">
        <f>E6-E7</f>
        <v>-12000</v>
      </c>
    </row>
    <row r="9">
      <c r="C9" s="12" t="s">
        <v>5</v>
      </c>
      <c r="D9" s="13"/>
      <c r="E9" s="2">
        <f>E8/E4</f>
        <v>-0.012</v>
      </c>
    </row>
    <row r="10">
      <c r="C10" s="12" t="s">
        <v>6</v>
      </c>
      <c r="D10" s="13"/>
      <c r="E10" s="2">
        <f>MIN(MAX(-1,E9),1)</f>
        <v>-0.012</v>
      </c>
    </row>
    <row r="11">
      <c r="C11" s="12" t="s">
        <v>7</v>
      </c>
      <c r="D11" s="13"/>
      <c r="E11" s="2">
        <f>E10*E5</f>
        <v>-0.036</v>
      </c>
    </row>
    <row r="12">
      <c r="C12" s="12" t="s">
        <v>8</v>
      </c>
      <c r="D12" s="13"/>
      <c r="E12" s="1">
        <v>-0.025</v>
      </c>
    </row>
    <row r="13">
      <c r="C13" s="12" t="s">
        <v>9</v>
      </c>
      <c r="D13" s="13"/>
      <c r="E13" s="1">
        <v>200.0</v>
      </c>
    </row>
    <row r="14">
      <c r="C14" s="12" t="s">
        <v>10</v>
      </c>
      <c r="D14" s="13"/>
      <c r="E14" s="1">
        <v>43400.0</v>
      </c>
    </row>
    <row r="15">
      <c r="C15" s="12" t="s">
        <v>11</v>
      </c>
      <c r="D15" s="13"/>
      <c r="E15" s="1">
        <f>(E14-E13)/86400</f>
        <v>0.5</v>
      </c>
    </row>
    <row r="16">
      <c r="C16" s="12" t="s">
        <v>12</v>
      </c>
      <c r="D16" s="13"/>
      <c r="E16" s="2">
        <f>E12+E11*E15</f>
        <v>-0.043</v>
      </c>
    </row>
    <row r="17">
      <c r="C17" s="12" t="s">
        <v>13</v>
      </c>
      <c r="D17" s="13"/>
      <c r="E17" s="1">
        <f>(E12+E16)/2</f>
        <v>-0.034</v>
      </c>
    </row>
    <row r="18">
      <c r="C18" s="12" t="s">
        <v>14</v>
      </c>
      <c r="D18" s="13"/>
      <c r="E18" s="1">
        <v>4200.0</v>
      </c>
    </row>
    <row r="19">
      <c r="C19" s="12" t="s">
        <v>15</v>
      </c>
      <c r="D19" s="13"/>
      <c r="E19" s="1">
        <v>0.8</v>
      </c>
    </row>
    <row r="20">
      <c r="C20" s="12" t="s">
        <v>16</v>
      </c>
      <c r="D20" s="13"/>
      <c r="E20" s="2">
        <f>E18/E19</f>
        <v>5250</v>
      </c>
    </row>
    <row r="21">
      <c r="C21" s="12" t="s">
        <v>17</v>
      </c>
      <c r="D21" s="13"/>
      <c r="E21" s="2">
        <f>E17*E15*E20</f>
        <v>-89.25</v>
      </c>
      <c r="F21" s="10"/>
    </row>
    <row r="22">
      <c r="C22" s="12" t="s">
        <v>18</v>
      </c>
      <c r="D22" s="13"/>
      <c r="E22" s="1">
        <v>-12.5</v>
      </c>
    </row>
    <row r="23">
      <c r="C23" s="12" t="s">
        <v>19</v>
      </c>
      <c r="D23" s="13"/>
      <c r="E23" s="2">
        <f>E22-E21</f>
        <v>76.75</v>
      </c>
    </row>
    <row r="24">
      <c r="C24" s="12" t="s">
        <v>34</v>
      </c>
      <c r="D24" s="13"/>
      <c r="E24" s="1">
        <f>E18*(1+E8/(2*E4))</f>
        <v>4174.8</v>
      </c>
    </row>
    <row r="25">
      <c r="C25" s="12" t="s">
        <v>25</v>
      </c>
      <c r="D25" s="13"/>
      <c r="E25" s="1">
        <v>-125.0</v>
      </c>
    </row>
    <row r="26">
      <c r="C26" s="12" t="s">
        <v>27</v>
      </c>
      <c r="D26" s="13"/>
      <c r="E26" s="1">
        <v>268.0</v>
      </c>
    </row>
    <row r="27">
      <c r="C27" s="12" t="s">
        <v>29</v>
      </c>
      <c r="D27" s="13"/>
      <c r="E27" s="1">
        <v>14400.0</v>
      </c>
    </row>
    <row r="28">
      <c r="C28" s="12" t="s">
        <v>31</v>
      </c>
      <c r="D28" s="13"/>
      <c r="E28" s="1">
        <v>-225.0</v>
      </c>
    </row>
    <row r="29">
      <c r="C29" s="14" t="s">
        <v>35</v>
      </c>
      <c r="D29" s="1" t="s">
        <v>36</v>
      </c>
      <c r="E29" s="1">
        <f>FLOOR(E8*E18,1)-E25</f>
        <v>-50399875</v>
      </c>
      <c r="F29" s="10" t="s">
        <v>37</v>
      </c>
    </row>
    <row r="30">
      <c r="C30" s="15"/>
      <c r="D30" s="1" t="s">
        <v>38</v>
      </c>
      <c r="E30" s="1">
        <f>2*POW(E8,2)-E27</f>
        <v>287985600</v>
      </c>
    </row>
    <row r="31">
      <c r="C31" s="15"/>
      <c r="D31" s="1" t="s">
        <v>39</v>
      </c>
      <c r="E31" s="1">
        <f>E30/(2*E4)</f>
        <v>143.9928</v>
      </c>
    </row>
    <row r="32">
      <c r="C32" s="15"/>
      <c r="D32" s="1" t="s">
        <v>40</v>
      </c>
      <c r="E32" s="1">
        <f>FLOOR(E18*E31,1)</f>
        <v>604769</v>
      </c>
      <c r="F32" s="10" t="s">
        <v>37</v>
      </c>
    </row>
    <row r="33">
      <c r="C33" s="16"/>
      <c r="D33" s="1" t="s">
        <v>35</v>
      </c>
      <c r="E33" s="2">
        <f>E29+E32</f>
        <v>-49795106</v>
      </c>
    </row>
    <row r="34">
      <c r="C34" s="14" t="s">
        <v>41</v>
      </c>
      <c r="D34" s="1" t="s">
        <v>36</v>
      </c>
      <c r="E34" s="2">
        <f>E3*E18</f>
        <v>84</v>
      </c>
    </row>
    <row r="35">
      <c r="C35" s="15"/>
      <c r="D35" s="1" t="s">
        <v>38</v>
      </c>
      <c r="E35" s="2">
        <f>2*E8*(E6+E7)</f>
        <v>-432000000</v>
      </c>
    </row>
    <row r="36">
      <c r="C36" s="15"/>
      <c r="D36" s="1" t="s">
        <v>39</v>
      </c>
      <c r="E36" s="2">
        <f>E28-E35</f>
        <v>431999775</v>
      </c>
    </row>
    <row r="37">
      <c r="C37" s="15"/>
      <c r="D37" s="1" t="s">
        <v>40</v>
      </c>
      <c r="E37" s="2">
        <f>FLOOR(E36/(2*E4),1)</f>
        <v>215</v>
      </c>
      <c r="F37" s="10" t="s">
        <v>37</v>
      </c>
    </row>
    <row r="38">
      <c r="C38" s="16"/>
      <c r="D38" s="1" t="s">
        <v>41</v>
      </c>
      <c r="E38" s="17">
        <f>FLOOR(E34*(E37-(E6+E7)),1)</f>
        <v>-1493940</v>
      </c>
      <c r="F38" s="10" t="s">
        <v>37</v>
      </c>
    </row>
    <row r="39">
      <c r="C39" s="1" t="s">
        <v>42</v>
      </c>
      <c r="D39" s="2"/>
      <c r="E39" s="2">
        <f>FLOOR((E8*E23-E26)*E19,1)</f>
        <v>-737015</v>
      </c>
      <c r="F39" s="10" t="s">
        <v>37</v>
      </c>
    </row>
    <row r="40">
      <c r="C40" s="1" t="s">
        <v>43</v>
      </c>
      <c r="D40" s="2"/>
      <c r="E40" s="17">
        <f>E33+E38+E39</f>
        <v>-52026061</v>
      </c>
    </row>
  </sheetData>
  <mergeCells count="28"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24:D24"/>
    <mergeCell ref="C25:D25"/>
    <mergeCell ref="C26:D26"/>
    <mergeCell ref="C27:D27"/>
    <mergeCell ref="C28:D28"/>
    <mergeCell ref="C29:C33"/>
    <mergeCell ref="C34:C38"/>
    <mergeCell ref="C17:D17"/>
    <mergeCell ref="C18:D18"/>
    <mergeCell ref="C19:D19"/>
    <mergeCell ref="C20:D20"/>
    <mergeCell ref="C21:D21"/>
    <mergeCell ref="C22:D22"/>
    <mergeCell ref="C23:D2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30.5"/>
    <col customWidth="1" min="6" max="6" width="31.63"/>
    <col customWidth="1" min="9" max="9" width="31.63"/>
    <col customWidth="1" min="12" max="12" width="31.63"/>
    <col customWidth="1" min="15" max="15" width="31.63"/>
    <col customWidth="1" min="18" max="18" width="31.63"/>
  </cols>
  <sheetData>
    <row r="3">
      <c r="C3" s="18" t="s">
        <v>44</v>
      </c>
      <c r="D3" s="13"/>
      <c r="F3" s="18" t="s">
        <v>45</v>
      </c>
      <c r="G3" s="13"/>
      <c r="I3" s="18" t="s">
        <v>46</v>
      </c>
      <c r="J3" s="13"/>
      <c r="L3" s="18" t="s">
        <v>47</v>
      </c>
      <c r="M3" s="13"/>
      <c r="O3" s="18" t="s">
        <v>48</v>
      </c>
      <c r="P3" s="13"/>
      <c r="R3" s="18" t="s">
        <v>49</v>
      </c>
      <c r="S3" s="13"/>
    </row>
    <row r="4">
      <c r="C4" s="1" t="s">
        <v>50</v>
      </c>
      <c r="D4" s="1">
        <v>0.02</v>
      </c>
      <c r="F4" s="1" t="s">
        <v>50</v>
      </c>
      <c r="G4" s="1">
        <v>0.02</v>
      </c>
      <c r="I4" s="1" t="s">
        <v>50</v>
      </c>
      <c r="J4" s="1">
        <v>0.02</v>
      </c>
      <c r="L4" s="1" t="s">
        <v>50</v>
      </c>
      <c r="M4" s="1">
        <v>0.02</v>
      </c>
      <c r="O4" s="1" t="s">
        <v>50</v>
      </c>
      <c r="P4" s="1">
        <v>0.0</v>
      </c>
      <c r="R4" s="1" t="s">
        <v>50</v>
      </c>
      <c r="S4" s="1">
        <v>0.0</v>
      </c>
    </row>
    <row r="5">
      <c r="C5" s="1" t="s">
        <v>0</v>
      </c>
      <c r="D5" s="2">
        <f>10^6</f>
        <v>1000000</v>
      </c>
      <c r="F5" s="1" t="s">
        <v>0</v>
      </c>
      <c r="G5" s="2">
        <f>10^6</f>
        <v>1000000</v>
      </c>
      <c r="I5" s="1" t="s">
        <v>0</v>
      </c>
      <c r="J5" s="2">
        <f>10^6</f>
        <v>1000000</v>
      </c>
      <c r="L5" s="1" t="s">
        <v>0</v>
      </c>
      <c r="M5" s="2">
        <f>10^6</f>
        <v>1000000</v>
      </c>
      <c r="O5" s="1" t="s">
        <v>0</v>
      </c>
      <c r="P5" s="2">
        <f>10^6</f>
        <v>1000000</v>
      </c>
      <c r="R5" s="1" t="s">
        <v>0</v>
      </c>
      <c r="S5" s="2">
        <f>10^6</f>
        <v>1000000</v>
      </c>
    </row>
    <row r="6">
      <c r="C6" s="1" t="s">
        <v>51</v>
      </c>
      <c r="D6" s="1">
        <v>220.0</v>
      </c>
      <c r="F6" s="1" t="s">
        <v>51</v>
      </c>
      <c r="G6" s="1">
        <v>220.0</v>
      </c>
      <c r="I6" s="1" t="s">
        <v>51</v>
      </c>
      <c r="J6" s="1">
        <v>220.0</v>
      </c>
      <c r="L6" s="1" t="s">
        <v>51</v>
      </c>
      <c r="M6" s="1">
        <v>220.0</v>
      </c>
      <c r="O6" s="1" t="s">
        <v>51</v>
      </c>
      <c r="P6" s="1">
        <v>180.0</v>
      </c>
      <c r="R6" s="1" t="s">
        <v>51</v>
      </c>
      <c r="S6" s="1">
        <v>380.0</v>
      </c>
    </row>
    <row r="7">
      <c r="C7" s="1" t="s">
        <v>52</v>
      </c>
      <c r="D7" s="1">
        <v>280.0</v>
      </c>
      <c r="F7" s="1" t="s">
        <v>52</v>
      </c>
      <c r="G7" s="1">
        <v>280.0</v>
      </c>
      <c r="I7" s="1" t="s">
        <v>52</v>
      </c>
      <c r="J7" s="1">
        <v>280.0</v>
      </c>
      <c r="L7" s="1" t="s">
        <v>52</v>
      </c>
      <c r="M7" s="1">
        <v>280.0</v>
      </c>
      <c r="O7" s="1" t="s">
        <v>52</v>
      </c>
      <c r="P7" s="1">
        <v>280.0</v>
      </c>
      <c r="R7" s="1" t="s">
        <v>52</v>
      </c>
      <c r="S7" s="1">
        <v>280.0</v>
      </c>
    </row>
    <row r="8">
      <c r="C8" s="1" t="s">
        <v>20</v>
      </c>
      <c r="D8" s="1">
        <v>100.0</v>
      </c>
      <c r="F8" s="1" t="s">
        <v>20</v>
      </c>
      <c r="G8" s="1">
        <v>100.0</v>
      </c>
      <c r="I8" s="1" t="s">
        <v>20</v>
      </c>
      <c r="J8" s="1">
        <v>-100.0</v>
      </c>
      <c r="L8" s="1" t="s">
        <v>20</v>
      </c>
      <c r="M8" s="1">
        <v>-100.0</v>
      </c>
      <c r="O8" s="1" t="s">
        <v>20</v>
      </c>
      <c r="P8" s="1">
        <v>100.0</v>
      </c>
      <c r="R8" s="1" t="s">
        <v>20</v>
      </c>
      <c r="S8" s="1">
        <v>-100.0</v>
      </c>
    </row>
    <row r="9">
      <c r="C9" s="1" t="s">
        <v>53</v>
      </c>
      <c r="D9" s="1">
        <v>4200.0</v>
      </c>
      <c r="F9" s="1" t="s">
        <v>53</v>
      </c>
      <c r="G9" s="1">
        <v>4200.0</v>
      </c>
      <c r="I9" s="1" t="s">
        <v>53</v>
      </c>
      <c r="J9" s="1">
        <v>4200.0</v>
      </c>
      <c r="L9" s="1" t="s">
        <v>53</v>
      </c>
      <c r="M9" s="1">
        <v>4200.0</v>
      </c>
      <c r="O9" s="1" t="s">
        <v>53</v>
      </c>
      <c r="P9" s="1">
        <v>4200.0</v>
      </c>
      <c r="R9" s="1" t="s">
        <v>53</v>
      </c>
      <c r="S9" s="1">
        <v>4200.0</v>
      </c>
    </row>
    <row r="10">
      <c r="C10" s="1" t="s">
        <v>54</v>
      </c>
      <c r="D10" s="1">
        <v>4400.0</v>
      </c>
      <c r="F10" s="1" t="s">
        <v>54</v>
      </c>
      <c r="G10" s="1">
        <v>4000.0</v>
      </c>
      <c r="I10" s="1" t="s">
        <v>54</v>
      </c>
      <c r="J10" s="1">
        <v>4400.0</v>
      </c>
      <c r="L10" s="1" t="s">
        <v>54</v>
      </c>
      <c r="M10" s="1">
        <v>4000.0</v>
      </c>
      <c r="O10" s="1" t="s">
        <v>54</v>
      </c>
      <c r="P10" s="1">
        <v>4200.0</v>
      </c>
      <c r="R10" s="1" t="s">
        <v>54</v>
      </c>
      <c r="S10" s="1">
        <v>4200.0</v>
      </c>
    </row>
    <row r="11">
      <c r="C11" s="1" t="s">
        <v>15</v>
      </c>
      <c r="D11" s="1">
        <v>0.8</v>
      </c>
      <c r="F11" s="1" t="s">
        <v>15</v>
      </c>
      <c r="G11" s="1">
        <v>0.8</v>
      </c>
      <c r="I11" s="1" t="s">
        <v>15</v>
      </c>
      <c r="J11" s="1">
        <v>0.8</v>
      </c>
      <c r="L11" s="1" t="s">
        <v>15</v>
      </c>
      <c r="M11" s="1">
        <v>0.8</v>
      </c>
      <c r="O11" s="1" t="s">
        <v>15</v>
      </c>
      <c r="P11" s="1">
        <v>0.8</v>
      </c>
      <c r="R11" s="1" t="s">
        <v>15</v>
      </c>
      <c r="S11" s="1">
        <v>0.8</v>
      </c>
    </row>
    <row r="12">
      <c r="C12" s="1" t="s">
        <v>55</v>
      </c>
      <c r="D12" s="1">
        <v>-12.826</v>
      </c>
      <c r="F12" s="1" t="s">
        <v>55</v>
      </c>
      <c r="G12" s="1">
        <v>-12.826</v>
      </c>
      <c r="I12" s="1" t="s">
        <v>55</v>
      </c>
      <c r="J12" s="1">
        <v>-12.826</v>
      </c>
      <c r="L12" s="1" t="s">
        <v>55</v>
      </c>
      <c r="M12" s="1">
        <v>-12.826</v>
      </c>
      <c r="O12" s="1" t="s">
        <v>55</v>
      </c>
      <c r="P12" s="1">
        <v>-14.0</v>
      </c>
      <c r="R12" s="1" t="s">
        <v>55</v>
      </c>
      <c r="S12" s="1">
        <v>-14.0</v>
      </c>
    </row>
    <row r="13">
      <c r="C13" s="1" t="s">
        <v>56</v>
      </c>
      <c r="D13" s="1">
        <v>-14.0</v>
      </c>
      <c r="F13" s="1" t="s">
        <v>56</v>
      </c>
      <c r="G13" s="1">
        <v>-14.0</v>
      </c>
      <c r="I13" s="1" t="s">
        <v>56</v>
      </c>
      <c r="J13" s="1">
        <v>-14.0</v>
      </c>
      <c r="L13" s="1" t="s">
        <v>56</v>
      </c>
      <c r="M13" s="1">
        <v>-14.0</v>
      </c>
      <c r="O13" s="1" t="s">
        <v>56</v>
      </c>
      <c r="P13" s="1">
        <v>-14.0</v>
      </c>
      <c r="R13" s="1" t="s">
        <v>56</v>
      </c>
      <c r="S13" s="1">
        <v>-14.0</v>
      </c>
    </row>
    <row r="14">
      <c r="C14" s="1" t="s">
        <v>57</v>
      </c>
      <c r="D14" s="2">
        <f>D6/D5</f>
        <v>0.00022</v>
      </c>
      <c r="F14" s="1" t="s">
        <v>57</v>
      </c>
      <c r="G14" s="2">
        <f>G6/G5</f>
        <v>0.00022</v>
      </c>
      <c r="I14" s="1" t="s">
        <v>57</v>
      </c>
      <c r="J14" s="2">
        <f>J6/J5</f>
        <v>0.00022</v>
      </c>
      <c r="L14" s="1" t="s">
        <v>57</v>
      </c>
      <c r="M14" s="2">
        <f>M6/M5</f>
        <v>0.00022</v>
      </c>
      <c r="O14" s="1" t="s">
        <v>57</v>
      </c>
      <c r="P14" s="2">
        <f>P6/P5</f>
        <v>0.00018</v>
      </c>
      <c r="R14" s="1" t="s">
        <v>57</v>
      </c>
      <c r="S14" s="2">
        <f>S6/S5</f>
        <v>0.00038</v>
      </c>
    </row>
    <row r="15">
      <c r="C15" s="1" t="s">
        <v>58</v>
      </c>
      <c r="D15" s="2">
        <f>(D6+D8)/D5</f>
        <v>0.00032</v>
      </c>
      <c r="F15" s="1" t="s">
        <v>58</v>
      </c>
      <c r="G15" s="2">
        <f>(G6+G8)/G5</f>
        <v>0.00032</v>
      </c>
      <c r="I15" s="1" t="s">
        <v>58</v>
      </c>
      <c r="J15" s="2">
        <f>(J6+J8)/J5</f>
        <v>0.00012</v>
      </c>
      <c r="L15" s="1" t="s">
        <v>58</v>
      </c>
      <c r="M15" s="2">
        <f>(M6+M8)/M5</f>
        <v>0.00012</v>
      </c>
      <c r="O15" s="1" t="s">
        <v>58</v>
      </c>
      <c r="P15" s="2">
        <f>(P6+P8)/P5</f>
        <v>0.00028</v>
      </c>
      <c r="R15" s="1" t="s">
        <v>58</v>
      </c>
      <c r="S15" s="2">
        <f>(S6+S8)/S5</f>
        <v>0.00028</v>
      </c>
    </row>
    <row r="16">
      <c r="C16" s="1" t="s">
        <v>23</v>
      </c>
      <c r="D16" s="2">
        <f>D9*(1+(D14+D15)/2)</f>
        <v>4201.134</v>
      </c>
      <c r="F16" s="1" t="s">
        <v>23</v>
      </c>
      <c r="G16" s="2">
        <f>G9*(1+(G14+G15)/2)</f>
        <v>4201.134</v>
      </c>
      <c r="I16" s="1" t="s">
        <v>23</v>
      </c>
      <c r="J16" s="2">
        <f>J9*(1+(J14+J15)/2)</f>
        <v>4200.714</v>
      </c>
      <c r="L16" s="1" t="s">
        <v>23</v>
      </c>
      <c r="M16" s="2">
        <f>M9*(1+(M14+M15)/2)</f>
        <v>4200.714</v>
      </c>
      <c r="O16" s="1" t="s">
        <v>23</v>
      </c>
      <c r="P16" s="2">
        <f>P9*(1+(P14+P15)/2)</f>
        <v>4200.966</v>
      </c>
      <c r="R16" s="1" t="s">
        <v>23</v>
      </c>
      <c r="S16" s="2">
        <f>S9*(1+(S14+S15)/2)</f>
        <v>4201.386</v>
      </c>
    </row>
    <row r="17">
      <c r="C17" s="1" t="s">
        <v>59</v>
      </c>
      <c r="D17" s="2">
        <f>D7/D5</f>
        <v>0.00028</v>
      </c>
      <c r="F17" s="1" t="s">
        <v>59</v>
      </c>
      <c r="G17" s="2">
        <f>G7/G5</f>
        <v>0.00028</v>
      </c>
      <c r="I17" s="1" t="s">
        <v>59</v>
      </c>
      <c r="J17" s="2">
        <f>J7/J5</f>
        <v>0.00028</v>
      </c>
      <c r="L17" s="1" t="s">
        <v>59</v>
      </c>
      <c r="M17" s="2">
        <f>M7/M5</f>
        <v>0.00028</v>
      </c>
      <c r="O17" s="1" t="s">
        <v>59</v>
      </c>
      <c r="P17" s="2">
        <f>P7/P5</f>
        <v>0.00028</v>
      </c>
      <c r="R17" s="1" t="s">
        <v>59</v>
      </c>
      <c r="S17" s="2">
        <f>S7/S5</f>
        <v>0.00028</v>
      </c>
    </row>
    <row r="18">
      <c r="C18" s="1" t="s">
        <v>60</v>
      </c>
      <c r="D18" s="2">
        <f>(D7-D8)/D5</f>
        <v>0.00018</v>
      </c>
      <c r="F18" s="1" t="s">
        <v>60</v>
      </c>
      <c r="G18" s="2">
        <f>(G7-G8)/G5</f>
        <v>0.00018</v>
      </c>
      <c r="I18" s="1" t="s">
        <v>60</v>
      </c>
      <c r="J18" s="2">
        <f>(J7-J8)/J5</f>
        <v>0.00038</v>
      </c>
      <c r="L18" s="1" t="s">
        <v>60</v>
      </c>
      <c r="M18" s="2">
        <f>(M7-M8)/M5</f>
        <v>0.00038</v>
      </c>
      <c r="O18" s="1" t="s">
        <v>60</v>
      </c>
      <c r="P18" s="2">
        <f>(P7-P8)/P5</f>
        <v>0.00018</v>
      </c>
      <c r="R18" s="1" t="s">
        <v>60</v>
      </c>
      <c r="S18" s="2">
        <f>(S7-S8)/S5</f>
        <v>0.00038</v>
      </c>
    </row>
    <row r="19">
      <c r="C19" s="1" t="s">
        <v>61</v>
      </c>
      <c r="D19" s="2">
        <f>D10*(1+(D17+D18)/2)</f>
        <v>4401.012</v>
      </c>
      <c r="F19" s="1" t="s">
        <v>61</v>
      </c>
      <c r="G19" s="2">
        <f>G10*(1+(G17+G18)/2)</f>
        <v>4000.92</v>
      </c>
      <c r="I19" s="1" t="s">
        <v>61</v>
      </c>
      <c r="J19" s="2">
        <f>J10*(1+(J17+J18)/2)</f>
        <v>4401.452</v>
      </c>
      <c r="L19" s="1" t="s">
        <v>61</v>
      </c>
      <c r="M19" s="2">
        <f>M10*(1+(M17+M18)/2)</f>
        <v>4001.32</v>
      </c>
      <c r="O19" s="1" t="s">
        <v>61</v>
      </c>
      <c r="P19" s="2">
        <f>P10*(1+(P17+P18)/2)</f>
        <v>4200.966</v>
      </c>
      <c r="R19" s="1" t="s">
        <v>61</v>
      </c>
      <c r="S19" s="2">
        <f>S10*(1+(S17+S18)/2)</f>
        <v>4201.386</v>
      </c>
    </row>
    <row r="20">
      <c r="C20" s="1" t="s">
        <v>35</v>
      </c>
      <c r="D20" s="1">
        <f>FLOOR(D8*((D19-D16)/D11),1)</f>
        <v>24984</v>
      </c>
      <c r="E20" s="10" t="s">
        <v>37</v>
      </c>
      <c r="F20" s="1" t="s">
        <v>35</v>
      </c>
      <c r="G20" s="1">
        <f>FLOOR(G8*((G19-G16)/G11),1)</f>
        <v>-25027</v>
      </c>
      <c r="I20" s="1" t="s">
        <v>35</v>
      </c>
      <c r="J20" s="1">
        <f>FLOOR(J8*((J19-J16)/J11),1)</f>
        <v>-25093</v>
      </c>
      <c r="L20" s="1" t="s">
        <v>35</v>
      </c>
      <c r="M20" s="1">
        <f>FLOOR(M8*((M19-M16)/M11),1)</f>
        <v>24924</v>
      </c>
      <c r="O20" s="1" t="s">
        <v>35</v>
      </c>
      <c r="P20" s="1">
        <f>FLOOR(P8*((P19-P16)/P11),1)</f>
        <v>0</v>
      </c>
      <c r="R20" s="1" t="s">
        <v>35</v>
      </c>
      <c r="S20" s="1">
        <f>FLOOR(S8*((S19-S16)/S11),1)</f>
        <v>0</v>
      </c>
    </row>
    <row r="21">
      <c r="C21" s="1" t="s">
        <v>42</v>
      </c>
      <c r="D21" s="2">
        <f>FLOOR(D8*(D13-D12),1)</f>
        <v>-118</v>
      </c>
      <c r="E21" s="10" t="s">
        <v>37</v>
      </c>
      <c r="F21" s="1" t="s">
        <v>42</v>
      </c>
      <c r="G21" s="2">
        <f>FLOOR(G8*(G13-G12),1)</f>
        <v>-118</v>
      </c>
      <c r="I21" s="1" t="s">
        <v>42</v>
      </c>
      <c r="J21" s="2">
        <f>FLOOR(J8*(J13-J12),1)</f>
        <v>117</v>
      </c>
      <c r="L21" s="1" t="s">
        <v>42</v>
      </c>
      <c r="M21" s="2">
        <f>FLOOR(M8*(M13-M12),1)</f>
        <v>117</v>
      </c>
      <c r="O21" s="1" t="s">
        <v>42</v>
      </c>
      <c r="P21" s="2">
        <f>FLOOR(P8*(P13-P12),1)</f>
        <v>0</v>
      </c>
      <c r="R21" s="1" t="s">
        <v>42</v>
      </c>
      <c r="S21" s="2">
        <f>FLOOR(S8*(S13-S12),1)</f>
        <v>0</v>
      </c>
    </row>
    <row r="22">
      <c r="C22" s="1" t="s">
        <v>50</v>
      </c>
      <c r="D22" s="2">
        <f>FLOOR(-ABS(D8)*D19*D4/D11,1)</f>
        <v>-11003</v>
      </c>
      <c r="E22" s="10" t="s">
        <v>37</v>
      </c>
      <c r="F22" s="1" t="s">
        <v>50</v>
      </c>
      <c r="G22" s="2">
        <f>FLOOR(-ABS(G8)*G19*G4/G11,1)</f>
        <v>-10003</v>
      </c>
      <c r="I22" s="1" t="s">
        <v>50</v>
      </c>
      <c r="J22" s="2">
        <f>FLOOR(-ABS(J8)*J19*J4/J11,1)</f>
        <v>-11004</v>
      </c>
      <c r="L22" s="1" t="s">
        <v>50</v>
      </c>
      <c r="M22" s="2">
        <f>FLOOR(-ABS(M8)*M19*M4/M11,1)</f>
        <v>-10004</v>
      </c>
      <c r="O22" s="1" t="s">
        <v>50</v>
      </c>
      <c r="P22" s="2">
        <f>FLOOR(-ABS(P8)*P19*P4/P11,1)</f>
        <v>0</v>
      </c>
      <c r="R22" s="1" t="s">
        <v>50</v>
      </c>
      <c r="S22" s="2">
        <f>FLOOR(-ABS(S8)*S19*S4/S11,1)</f>
        <v>0</v>
      </c>
    </row>
    <row r="23">
      <c r="C23" s="1" t="s">
        <v>43</v>
      </c>
      <c r="D23" s="1">
        <f>D20+D21+D22</f>
        <v>13863</v>
      </c>
      <c r="F23" s="1" t="s">
        <v>43</v>
      </c>
      <c r="G23" s="1">
        <f>G20+G21+G22</f>
        <v>-35148</v>
      </c>
      <c r="I23" s="1" t="s">
        <v>43</v>
      </c>
      <c r="J23" s="1">
        <f>J20+J21+J22</f>
        <v>-35980</v>
      </c>
      <c r="L23" s="1" t="s">
        <v>43</v>
      </c>
      <c r="M23" s="1">
        <f>M20+M21+M22</f>
        <v>15037</v>
      </c>
      <c r="O23" s="1" t="s">
        <v>43</v>
      </c>
      <c r="P23" s="1">
        <f>P20+P21+P22</f>
        <v>0</v>
      </c>
      <c r="R23" s="1" t="s">
        <v>43</v>
      </c>
      <c r="S23" s="1">
        <f>S20+S21+S22</f>
        <v>0</v>
      </c>
    </row>
    <row r="24">
      <c r="C24" s="10"/>
      <c r="F24" s="10"/>
      <c r="I24" s="10"/>
      <c r="L24" s="10"/>
      <c r="O24" s="10"/>
      <c r="R24" s="10"/>
    </row>
    <row r="25">
      <c r="C25" s="10"/>
      <c r="F25" s="10"/>
      <c r="I25" s="10"/>
      <c r="L25" s="10"/>
      <c r="O25" s="10"/>
      <c r="R25" s="10"/>
    </row>
  </sheetData>
  <mergeCells count="6">
    <mergeCell ref="C3:D3"/>
    <mergeCell ref="F3:G3"/>
    <mergeCell ref="I3:J3"/>
    <mergeCell ref="L3:M3"/>
    <mergeCell ref="O3:P3"/>
    <mergeCell ref="R3:S3"/>
  </mergeCells>
  <drawing r:id="rId1"/>
</worksheet>
</file>