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_debt_repayed" sheetId="1" r:id="rId4"/>
    <sheet state="visible" name="debt_amount_adjusted_to_total_d" sheetId="2" r:id="rId5"/>
    <sheet state="visible" name="debt_amount_adjusted_to_max_all" sheetId="3" r:id="rId6"/>
    <sheet state="visible" name="debt_amount_no_adjustment" sheetId="4" r:id="rId7"/>
    <sheet state="visible" name="improve_hf_but_acc_unhealthy" sheetId="5" r:id="rId8"/>
    <sheet state="visible" name="__lent__lent_position_partially" sheetId="6" r:id="rId9"/>
    <sheet state="visible" name="__lent__lent_position_fully_liq" sheetId="7" r:id="rId10"/>
    <sheet state="visible" name="__vault__liquidate_unlocked_vau" sheetId="8" r:id="rId11"/>
    <sheet state="visible" name="__vault__liquidate_locked_vault" sheetId="9" r:id="rId12"/>
    <sheet state="visible" name="__vault__liquidation_calculatio" sheetId="10" r:id="rId13"/>
    <sheet state="visible" name="__vault__liquidate_unlocking_li" sheetId="11" r:id="rId14"/>
    <sheet state="visible" name="close_perps_when_enough_usdc_in" sheetId="12" r:id="rId15"/>
    <sheet state="visible" name="close_perps_when_not_enough_usd" sheetId="13" r:id="rId16"/>
    <sheet state="visible" name="close_perps_with_profit" sheetId="14" r:id="rId17"/>
  </sheets>
  <definedNames/>
  <calcPr/>
</workbook>
</file>

<file path=xl/sharedStrings.xml><?xml version="1.0" encoding="utf-8"?>
<sst xmlns="http://schemas.openxmlformats.org/spreadsheetml/2006/main" count="806" uniqueCount="61">
  <si>
    <t>ORANGE CELLS CAN BE MODIFIED</t>
  </si>
  <si>
    <t>CF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</si>
  <si>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</si>
  <si>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</si>
  <si>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</si>
  <si>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</si>
  <si>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</si>
  <si>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</si>
  <si>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</si>
  <si>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</si>
  <si>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</si>
  <si>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</si>
  <si>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</si>
  <si>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</si>
  <si>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</si>
  <si>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-&gt; liquidated collateral</t>
  </si>
  <si>
    <t>uosmo</t>
  </si>
  <si>
    <t>uatom</t>
  </si>
  <si>
    <t>&lt;- simulate through withdraw (Borrow(1000), Withdraw(400))</t>
  </si>
  <si>
    <t>ujake</t>
  </si>
  <si>
    <t>debt</t>
  </si>
  <si>
    <t>-&gt; repayed debt</t>
  </si>
  <si>
    <t>add 1 for debt amount to simulate interest</t>
  </si>
  <si>
    <t>LTV HF</t>
  </si>
  <si>
    <t>LT HF</t>
  </si>
  <si>
    <t>Collateralization Ratio</t>
  </si>
  <si>
    <t>maxLB*</t>
  </si>
  <si>
    <t>Liquidation Bonus</t>
  </si>
  <si>
    <t>MDR amount</t>
  </si>
  <si>
    <t>How much debt repayed</t>
  </si>
  <si>
    <t>Max debt possible to repay (paying only LB)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</si>
  <si>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</si>
  <si>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</si>
  <si>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</si>
  <si>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</si>
  <si>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</si>
  <si>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</si>
  <si>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 before liquidation:</t>
  </si>
  <si>
    <t>Liquidate positions after liquidation:</t>
  </si>
  <si>
    <t>Liquidator positions after liquidation:</t>
  </si>
  <si>
    <t>Liquidatee</t>
  </si>
  <si>
    <t>deposit</t>
  </si>
  <si>
    <t>lend</t>
  </si>
  <si>
    <t>amount after liquidation</t>
  </si>
  <si>
    <t>uosmo (lend)</t>
  </si>
  <si>
    <t>add 1 for lend amount to simulate interest</t>
  </si>
  <si>
    <t>borrow</t>
  </si>
  <si>
    <t>Liquidator</t>
  </si>
  <si>
    <t>denom</t>
  </si>
  <si>
    <t>liquidate</t>
  </si>
  <si>
    <t>-1 because of interest rate simulation</t>
  </si>
  <si>
    <t>enter vault</t>
  </si>
  <si>
    <t>lp token</t>
  </si>
  <si>
    <t>&lt;- amount if we want to withdraw</t>
  </si>
  <si>
    <t>vault token</t>
  </si>
  <si>
    <t>Vault tokens:</t>
  </si>
  <si>
    <t>lp tokens -&gt; vault tokens</t>
  </si>
  <si>
    <t>request vault unlock</t>
  </si>
  <si>
    <t>uusdc</t>
  </si>
  <si>
    <t>LT HF before closing perps</t>
  </si>
  <si>
    <t>&lt;- taken from the codebase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</si>
</sst>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0" fontId="2" numFmtId="0" xfId="0" applyBorder="1" applyFont="1"/>
    <xf borderId="1" fillId="6" fontId="2" numFmtId="0" xfId="0" applyBorder="1" applyFill="1" applyFont="1"/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6" fontId="2" numFmtId="0" xfId="0" applyAlignment="1" applyBorder="1" applyFont="1">
      <alignment readingOrder="0"/>
    </xf>
    <xf borderId="0" fillId="5" fontId="2" numFmtId="0" xfId="0" applyAlignment="1" applyFont="1">
      <alignment horizontal="center" readingOrder="0"/>
    </xf>
    <xf borderId="0" fillId="4" fontId="2" numFmtId="0" xfId="0" applyFont="1"/>
    <xf borderId="0" fillId="5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0.505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v>600.0</v>
      </c>
      <c r="D14" s="2">
        <f>D19</f>
        <v>1.28</v>
      </c>
      <c r="E14" s="6">
        <f t="shared" si="1"/>
        <v>768</v>
      </c>
      <c r="F14" s="2">
        <v>0.82</v>
      </c>
      <c r="G14" s="2">
        <f t="shared" si="2"/>
        <v>629</v>
      </c>
      <c r="H14" s="2">
        <v>0.9</v>
      </c>
      <c r="I14" s="7">
        <f t="shared" si="3"/>
        <v>691</v>
      </c>
      <c r="J14" s="8" t="s">
        <v>18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1518</v>
      </c>
      <c r="F16" s="8"/>
      <c r="G16" s="8">
        <f>SUM(G13:G14)</f>
        <v>1154</v>
      </c>
      <c r="H16" s="8"/>
      <c r="I16" s="8">
        <f>SUM(I13:I14)</f>
        <v>1276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1.28</v>
      </c>
      <c r="E19" s="6">
        <f t="shared" ref="E19:E20" si="4">CEILING(C19*D19,1)</f>
        <v>1282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1282</v>
      </c>
    </row>
    <row r="23">
      <c r="B23" s="2" t="s">
        <v>23</v>
      </c>
      <c r="C23" s="2">
        <f>G16/E21</f>
        <v>0.9001560062</v>
      </c>
    </row>
    <row r="24">
      <c r="B24" s="2" t="s">
        <v>24</v>
      </c>
      <c r="C24" s="2">
        <f>I16/E21</f>
        <v>0.9953198128</v>
      </c>
    </row>
    <row r="25">
      <c r="B25" s="2" t="s">
        <v>25</v>
      </c>
      <c r="C25" s="10">
        <f>E16/E21</f>
        <v>1.184087363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0.01936037441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505</v>
      </c>
      <c r="D31" s="10"/>
    </row>
    <row r="32">
      <c r="B32" s="2" t="s">
        <v>29</v>
      </c>
      <c r="C32" s="3">
        <v>561.0</v>
      </c>
      <c r="D32" s="7"/>
    </row>
    <row r="33">
      <c r="B33" s="2" t="s">
        <v>30</v>
      </c>
      <c r="C33" s="10">
        <f>FLOOR(FLOOR(E13/(1+C27),1)/D19,1)</f>
        <v>574</v>
      </c>
      <c r="D33" s="10"/>
    </row>
    <row r="34">
      <c r="B34" s="2" t="s">
        <v>31</v>
      </c>
      <c r="C34" s="11">
        <f>MIN(C31:C33)</f>
        <v>505</v>
      </c>
      <c r="D34" s="11">
        <f>FLOOR(C34*D19,1)</f>
        <v>646</v>
      </c>
    </row>
    <row r="35">
      <c r="B35" s="2" t="s">
        <v>32</v>
      </c>
      <c r="C35" s="11">
        <f>C32-C34</f>
        <v>56</v>
      </c>
      <c r="D35" s="11"/>
    </row>
    <row r="36">
      <c r="B36" s="2" t="s">
        <v>33</v>
      </c>
      <c r="C36" s="11">
        <f>FLOOR(FLOOR(D34*(1+C27),1)/D13,1)</f>
        <v>2632</v>
      </c>
      <c r="D36" s="11">
        <f>FLOOR(C36*D13,1)</f>
        <v>658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2628</v>
      </c>
      <c r="D38" s="11">
        <f>FLOOR(C38*D13,1)</f>
        <v>657</v>
      </c>
    </row>
    <row r="39">
      <c r="B39" s="2" t="s">
        <v>36</v>
      </c>
      <c r="C39" s="7"/>
      <c r="D39" s="11">
        <f>(I16-FLOOR(D36*H13,1))/(E21-D34)</f>
        <v>1.199685535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</f>
        <v>561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368</v>
      </c>
    </row>
    <row r="46">
      <c r="B46" s="2" t="s">
        <v>17</v>
      </c>
      <c r="C46" s="11">
        <f>C14</f>
        <v>600</v>
      </c>
    </row>
    <row r="47">
      <c r="A47" s="8" t="s">
        <v>20</v>
      </c>
      <c r="B47" s="2" t="s">
        <v>17</v>
      </c>
      <c r="C47" s="11">
        <f>C19-C34</f>
        <v>496</v>
      </c>
    </row>
    <row r="49">
      <c r="B49" s="8" t="s">
        <v>39</v>
      </c>
    </row>
    <row r="50">
      <c r="B50" s="2" t="s">
        <v>17</v>
      </c>
      <c r="C50" s="11">
        <f>C42-C34</f>
        <v>56</v>
      </c>
    </row>
    <row r="51">
      <c r="B51" s="2" t="s">
        <v>16</v>
      </c>
      <c r="C51" s="11">
        <f>C38</f>
        <v>2628</v>
      </c>
    </row>
  </sheetData>
  <mergeCells count="1">
    <mergeCell ref="E2:I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2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E14-F41</f>
        <v>10000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20</v>
      </c>
      <c r="G15" s="6">
        <f t="shared" si="3"/>
        <v>3500</v>
      </c>
      <c r="H15" s="2">
        <v>0.5</v>
      </c>
      <c r="I15" s="2">
        <f t="shared" si="1"/>
        <v>1750</v>
      </c>
      <c r="J15" s="2">
        <v>0.55</v>
      </c>
      <c r="K15" s="7">
        <f t="shared" si="2"/>
        <v>1925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5474</v>
      </c>
      <c r="H16" s="8"/>
      <c r="I16" s="8">
        <f>SUM(I13:I15)</f>
        <v>2934</v>
      </c>
      <c r="J16" s="8"/>
      <c r="K16" s="8">
        <f>SUM(K13:K15)</f>
        <v>3306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D20-C39</f>
        <v>87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500.0</v>
      </c>
      <c r="E25" s="3">
        <v>500.0</v>
      </c>
      <c r="F25" s="15">
        <f>D25-E25+C40</f>
        <v>411</v>
      </c>
      <c r="G25" s="8"/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191</v>
      </c>
      <c r="G26" s="18"/>
    </row>
    <row r="28">
      <c r="B28" s="2" t="s">
        <v>23</v>
      </c>
      <c r="C28" s="2">
        <f>I16/F21</f>
        <v>0.8335227273</v>
      </c>
    </row>
    <row r="29">
      <c r="B29" s="2" t="s">
        <v>24</v>
      </c>
      <c r="C29" s="2">
        <f>K16/F21</f>
        <v>0.9392045455</v>
      </c>
    </row>
    <row r="30">
      <c r="B30" s="2" t="s">
        <v>25</v>
      </c>
      <c r="C30" s="10">
        <f>G16/F21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500</v>
      </c>
      <c r="D37" s="7"/>
    </row>
    <row r="38">
      <c r="B38" s="2" t="s">
        <v>30</v>
      </c>
      <c r="C38" s="10">
        <f>FLOOR(FLOOR(FLOOR(E13*F13,1)/(1+C32),1)/E20,1)</f>
        <v>89</v>
      </c>
      <c r="D38" s="10"/>
    </row>
    <row r="39">
      <c r="B39" s="2" t="s">
        <v>31</v>
      </c>
      <c r="C39" s="11">
        <f>MIN(C36:C38)</f>
        <v>89</v>
      </c>
      <c r="D39" s="11">
        <f>FLOOR(C39*E20,1)</f>
        <v>1780</v>
      </c>
    </row>
    <row r="40">
      <c r="B40" s="2" t="s">
        <v>32</v>
      </c>
      <c r="C40" s="11">
        <f>C37-C39</f>
        <v>411</v>
      </c>
      <c r="D40" s="11"/>
    </row>
    <row r="41">
      <c r="B41" s="2" t="s">
        <v>33</v>
      </c>
      <c r="C41" s="11">
        <f>FLOOR(FLOOR(D39*(1+C32),1)/F13,1)</f>
        <v>198</v>
      </c>
      <c r="D41" s="11">
        <f>FLOOR(C41*F13,1)</f>
        <v>1955</v>
      </c>
      <c r="E41" s="8" t="s">
        <v>55</v>
      </c>
      <c r="F41" s="19">
        <f>C41/E13*E14</f>
        <v>990000</v>
      </c>
    </row>
    <row r="42">
      <c r="B42" s="2" t="s">
        <v>34</v>
      </c>
      <c r="C42" s="11">
        <f>FLOOR(CEILING(FLOOR(D39*C32,1)*C5,1)/F13,1)</f>
        <v>7</v>
      </c>
      <c r="D42" s="11">
        <f>FLOOR(C42*F13,1)</f>
        <v>69</v>
      </c>
    </row>
    <row r="43">
      <c r="B43" s="2" t="s">
        <v>35</v>
      </c>
      <c r="C43" s="11">
        <f>C41-C42</f>
        <v>191</v>
      </c>
      <c r="D43" s="11">
        <f>FLOOR(C43*F13,1)</f>
        <v>1885</v>
      </c>
    </row>
    <row r="44">
      <c r="B44" s="2" t="s">
        <v>36</v>
      </c>
      <c r="C44" s="7"/>
      <c r="D44" s="11">
        <f>(K16-FLOOR(D41*J13,1))/(F21-D39)</f>
        <v>1.136206897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>
      <c r="B12" s="4" t="s">
        <v>7</v>
      </c>
      <c r="C12" s="4" t="s">
        <v>41</v>
      </c>
      <c r="D12" s="4" t="s">
        <v>51</v>
      </c>
      <c r="E12" s="4" t="s">
        <v>56</v>
      </c>
      <c r="F12" s="4" t="s">
        <v>57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13</v>
      </c>
      <c r="M12" s="4" t="s">
        <v>14</v>
      </c>
      <c r="N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v>0.0</v>
      </c>
      <c r="F13" s="6"/>
      <c r="G13" s="6">
        <f>D14</f>
        <v>200</v>
      </c>
      <c r="H13" s="6">
        <v>9.874</v>
      </c>
      <c r="I13" s="6">
        <f t="shared" ref="I13:I15" si="1">FLOOR(G13*H13,1)</f>
        <v>1974</v>
      </c>
      <c r="J13" s="6">
        <v>0.63</v>
      </c>
      <c r="K13" s="6">
        <f t="shared" ref="K13:K15" si="2">FLOOR(I13*J13,1)</f>
        <v>1243</v>
      </c>
      <c r="L13" s="6">
        <v>0.68</v>
      </c>
      <c r="M13" s="7">
        <f t="shared" ref="M13:M15" si="3">FLOOR(I13*L13,1)</f>
        <v>1342</v>
      </c>
      <c r="N13" s="15">
        <f>G13-C41</f>
        <v>111</v>
      </c>
      <c r="O13" s="8"/>
      <c r="P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3">
        <f>10000+50000+100000+840000</f>
        <v>1000000</v>
      </c>
      <c r="G14" s="6">
        <f>E14-F14</f>
        <v>0</v>
      </c>
      <c r="H14" s="6">
        <f>(G13*H13)/E14</f>
        <v>0.0019748</v>
      </c>
      <c r="I14" s="6">
        <f t="shared" si="1"/>
        <v>0</v>
      </c>
      <c r="J14" s="6">
        <v>0.6</v>
      </c>
      <c r="K14" s="6">
        <f t="shared" si="2"/>
        <v>0</v>
      </c>
      <c r="L14" s="6">
        <v>0.7</v>
      </c>
      <c r="M14" s="7">
        <f t="shared" si="3"/>
        <v>0</v>
      </c>
      <c r="N14" s="11">
        <f>G14-F41</f>
        <v>0</v>
      </c>
    </row>
    <row r="15">
      <c r="B15" s="2" t="s">
        <v>19</v>
      </c>
      <c r="C15" s="6">
        <v>0.0</v>
      </c>
      <c r="D15" s="6">
        <v>0.0</v>
      </c>
      <c r="E15" s="2">
        <v>0.0</v>
      </c>
      <c r="F15" s="2"/>
      <c r="G15" s="2">
        <f>C20</f>
        <v>175</v>
      </c>
      <c r="H15" s="2">
        <f>E20</f>
        <v>20</v>
      </c>
      <c r="I15" s="6">
        <f t="shared" si="1"/>
        <v>3500</v>
      </c>
      <c r="J15" s="2">
        <v>0.5</v>
      </c>
      <c r="K15" s="2">
        <f t="shared" si="2"/>
        <v>1750</v>
      </c>
      <c r="L15" s="2">
        <v>0.55</v>
      </c>
      <c r="M15" s="7">
        <f t="shared" si="3"/>
        <v>1925</v>
      </c>
      <c r="N15" s="11">
        <f>G15</f>
        <v>175</v>
      </c>
    </row>
    <row r="16">
      <c r="B16" s="8"/>
      <c r="D16" s="8"/>
      <c r="E16" s="8"/>
      <c r="F16" s="8"/>
      <c r="G16" s="8"/>
      <c r="H16" s="8"/>
      <c r="I16" s="8">
        <f>SUM(I13:I15)</f>
        <v>5474</v>
      </c>
      <c r="J16" s="8"/>
      <c r="K16" s="8">
        <f>SUM(K13:K15)</f>
        <v>2993</v>
      </c>
      <c r="L16" s="8"/>
      <c r="M16" s="8">
        <f>SUM(M13:M15)</f>
        <v>3267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D20-C39</f>
        <v>136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40.0</v>
      </c>
      <c r="E25" s="3">
        <v>40.0</v>
      </c>
      <c r="F25" s="15">
        <f>D25-E25+C40</f>
        <v>0</v>
      </c>
      <c r="G25" s="8"/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86</v>
      </c>
      <c r="G26" s="18"/>
    </row>
    <row r="28">
      <c r="B28" s="2" t="s">
        <v>23</v>
      </c>
      <c r="C28" s="2">
        <f>K16/F21</f>
        <v>0.8502840909</v>
      </c>
    </row>
    <row r="29">
      <c r="B29" s="2" t="s">
        <v>24</v>
      </c>
      <c r="C29" s="2">
        <f>M16/F21</f>
        <v>0.928125</v>
      </c>
    </row>
    <row r="30">
      <c r="B30" s="2" t="s">
        <v>25</v>
      </c>
      <c r="C30" s="10">
        <f>I16/F21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40</v>
      </c>
      <c r="D37" s="7"/>
    </row>
    <row r="38">
      <c r="B38" s="2" t="s">
        <v>30</v>
      </c>
      <c r="C38" s="10">
        <f>FLOOR(FLOOR(FLOOR(G13*H13,1)/(1+C32),1)/E20,1)</f>
        <v>89</v>
      </c>
      <c r="D38" s="10"/>
    </row>
    <row r="39">
      <c r="B39" s="2" t="s">
        <v>31</v>
      </c>
      <c r="C39" s="11">
        <f>MIN(C36:C38)</f>
        <v>40</v>
      </c>
      <c r="D39" s="11">
        <f>FLOOR(C39*E20,1)</f>
        <v>800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FLOOR(FLOOR(D39*(1+C32),1)/H13,1)</f>
        <v>89</v>
      </c>
      <c r="D41" s="11">
        <f>FLOOR(C41*H13,1)</f>
        <v>878</v>
      </c>
      <c r="E41" s="8" t="s">
        <v>55</v>
      </c>
      <c r="F41" s="19">
        <f>C41/G13*G14</f>
        <v>0</v>
      </c>
    </row>
    <row r="42">
      <c r="B42" s="2" t="s">
        <v>34</v>
      </c>
      <c r="C42" s="11">
        <f>FLOOR(CEILING(FLOOR(D39*C32,1)*C5,1)/H13,1)</f>
        <v>3</v>
      </c>
      <c r="D42" s="11">
        <f>FLOOR(C42*H13,1)</f>
        <v>29</v>
      </c>
    </row>
    <row r="43">
      <c r="B43" s="2" t="s">
        <v>35</v>
      </c>
      <c r="C43" s="11">
        <f>C41-C42</f>
        <v>86</v>
      </c>
      <c r="D43" s="11">
        <f>FLOOR(C43*H13,1)</f>
        <v>849</v>
      </c>
    </row>
    <row r="44">
      <c r="B44" s="2" t="s">
        <v>36</v>
      </c>
      <c r="C44" s="7"/>
      <c r="D44" s="11">
        <f>(M16-FLOOR(D41*L13,1))/(F21-D39)</f>
        <v>0.9816176471</v>
      </c>
    </row>
    <row r="45">
      <c r="B45" s="8"/>
    </row>
  </sheetData>
  <mergeCells count="4">
    <mergeCell ref="E2:I2"/>
    <mergeCell ref="B11:N11"/>
    <mergeCell ref="B18:G18"/>
    <mergeCell ref="B23:F2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2400</v>
      </c>
      <c r="D14" s="2">
        <f>D19</f>
        <v>2.6</v>
      </c>
      <c r="E14" s="6">
        <f t="shared" si="1"/>
        <v>6240</v>
      </c>
      <c r="F14" s="2">
        <v>0.82</v>
      </c>
      <c r="G14" s="2">
        <f t="shared" si="2"/>
        <v>5116</v>
      </c>
      <c r="H14" s="2">
        <v>0.9</v>
      </c>
      <c r="I14" s="7">
        <f t="shared" si="3"/>
        <v>5616</v>
      </c>
    </row>
    <row r="15">
      <c r="A15" s="9"/>
      <c r="B15" s="2" t="s">
        <v>58</v>
      </c>
      <c r="C15" s="2">
        <v>21.0</v>
      </c>
      <c r="D15" s="2">
        <v>1.045</v>
      </c>
      <c r="E15" s="6">
        <f t="shared" si="1"/>
        <v>21</v>
      </c>
      <c r="F15" s="2">
        <v>0.9</v>
      </c>
      <c r="G15" s="6">
        <f t="shared" si="2"/>
        <v>18</v>
      </c>
      <c r="H15" s="2">
        <v>0.98</v>
      </c>
      <c r="I15" s="7">
        <f t="shared" si="3"/>
        <v>20</v>
      </c>
    </row>
    <row r="16">
      <c r="B16" s="8"/>
      <c r="D16" s="8"/>
      <c r="E16" s="8">
        <f>SUM(E13:E15)</f>
        <v>7011</v>
      </c>
      <c r="F16" s="8"/>
      <c r="G16" s="8">
        <f>SUM(G13:G15)</f>
        <v>5659</v>
      </c>
      <c r="H16" s="8"/>
      <c r="I16" s="8">
        <f>SUM(I13:I15)</f>
        <v>6221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2401.0</v>
      </c>
      <c r="D19" s="3">
        <v>2.6</v>
      </c>
      <c r="E19" s="6">
        <f t="shared" ref="E19:E20" si="4">CEILING(C19*D19,1)</f>
        <v>6243</v>
      </c>
      <c r="F19" s="9"/>
      <c r="G19" s="9"/>
      <c r="I19" s="8" t="s">
        <v>22</v>
      </c>
    </row>
    <row r="20">
      <c r="A20" s="9"/>
      <c r="B20" s="6" t="s">
        <v>58</v>
      </c>
      <c r="C20" s="6">
        <v>0.0</v>
      </c>
      <c r="D20" s="6">
        <f>D15</f>
        <v>1.045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6243</v>
      </c>
    </row>
    <row r="23">
      <c r="B23" s="2" t="s">
        <v>23</v>
      </c>
      <c r="C23" s="2">
        <f>G16/E21</f>
        <v>0.9064552299</v>
      </c>
    </row>
    <row r="24">
      <c r="B24" s="2" t="s">
        <v>24</v>
      </c>
      <c r="C24" s="2">
        <f>I16/E21</f>
        <v>0.9964760532</v>
      </c>
    </row>
    <row r="25">
      <c r="B25" s="2" t="s">
        <v>59</v>
      </c>
      <c r="C25" s="2">
        <v>0.980929358044587</v>
      </c>
      <c r="D25" s="8" t="s">
        <v>60</v>
      </c>
    </row>
    <row r="26">
      <c r="B26" s="2" t="s">
        <v>25</v>
      </c>
      <c r="C26" s="10">
        <f>E16/E21</f>
        <v>1.12301778</v>
      </c>
    </row>
    <row r="27">
      <c r="B27" s="2" t="s">
        <v>26</v>
      </c>
      <c r="C27" s="10">
        <f>MAX(MIN(C26-1,C9),C8)</f>
        <v>0.1</v>
      </c>
    </row>
    <row r="28">
      <c r="B28" s="2" t="s">
        <v>27</v>
      </c>
      <c r="C28" s="10">
        <f>MIN(C6+(C7*(1-C25)),C27)</f>
        <v>0.04814128391</v>
      </c>
    </row>
    <row r="31">
      <c r="B31" s="10"/>
      <c r="C31" s="2" t="s">
        <v>8</v>
      </c>
      <c r="D31" s="2" t="s">
        <v>10</v>
      </c>
    </row>
    <row r="32">
      <c r="B32" s="2" t="s">
        <v>28</v>
      </c>
      <c r="C32" s="10">
        <f>FLOOR($C$4 * C19,1)</f>
        <v>1920</v>
      </c>
      <c r="D32" s="10"/>
    </row>
    <row r="33">
      <c r="B33" s="2" t="s">
        <v>29</v>
      </c>
      <c r="C33" s="3">
        <v>100.0</v>
      </c>
      <c r="D33" s="7"/>
    </row>
    <row r="34">
      <c r="B34" s="2" t="s">
        <v>30</v>
      </c>
      <c r="C34" s="10">
        <f>FLOOR(FLOOR(E13/(1+C28),1)/D19,1)</f>
        <v>275</v>
      </c>
      <c r="D34" s="10"/>
    </row>
    <row r="35">
      <c r="B35" s="2" t="s">
        <v>31</v>
      </c>
      <c r="C35" s="11">
        <f>MIN(C32:C34)</f>
        <v>100</v>
      </c>
      <c r="D35" s="11">
        <f>FLOOR(C35*D19,1)</f>
        <v>260</v>
      </c>
    </row>
    <row r="36">
      <c r="B36" s="2" t="s">
        <v>32</v>
      </c>
      <c r="C36" s="11">
        <f>C33-C35</f>
        <v>0</v>
      </c>
      <c r="D36" s="11"/>
    </row>
    <row r="37">
      <c r="B37" s="2" t="s">
        <v>33</v>
      </c>
      <c r="C37" s="11">
        <f>FLOOR(FLOOR(D35*(1+C28),1)/D13,1)</f>
        <v>1088</v>
      </c>
      <c r="D37" s="11">
        <f>FLOOR(C37*D13,1)</f>
        <v>272</v>
      </c>
    </row>
    <row r="38">
      <c r="B38" s="2" t="s">
        <v>34</v>
      </c>
      <c r="C38" s="11">
        <f>FLOOR(CEILING(FLOOR(D35*C28,1)*C5,1)/D13,1)</f>
        <v>4</v>
      </c>
      <c r="D38" s="11">
        <f>FLOOR(C38*D13,1)</f>
        <v>1</v>
      </c>
    </row>
    <row r="39">
      <c r="B39" s="2" t="s">
        <v>35</v>
      </c>
      <c r="C39" s="11">
        <f>C37-C38</f>
        <v>1084</v>
      </c>
      <c r="D39" s="11">
        <f>FLOOR(C39*D13,1)</f>
        <v>271</v>
      </c>
    </row>
    <row r="40">
      <c r="B40" s="2" t="s">
        <v>36</v>
      </c>
      <c r="C40" s="7"/>
      <c r="D40" s="11">
        <f>(I16-FLOOR(D37*H13,1))/(E21-D35)</f>
        <v>1.004345646</v>
      </c>
    </row>
    <row r="41">
      <c r="B41" s="8"/>
    </row>
    <row r="42">
      <c r="B42" s="8" t="s">
        <v>37</v>
      </c>
      <c r="C42" s="8"/>
    </row>
    <row r="43">
      <c r="B43" s="2" t="s">
        <v>17</v>
      </c>
      <c r="C43" s="2">
        <v>1000.0</v>
      </c>
    </row>
    <row r="44">
      <c r="B44" s="8"/>
      <c r="C44" s="8"/>
    </row>
    <row r="45">
      <c r="B45" s="8" t="s">
        <v>38</v>
      </c>
    </row>
    <row r="46">
      <c r="A46" s="8" t="s">
        <v>7</v>
      </c>
      <c r="B46" s="2" t="s">
        <v>16</v>
      </c>
      <c r="C46" s="11">
        <f>C13-C37</f>
        <v>1912</v>
      </c>
    </row>
    <row r="47">
      <c r="B47" s="2" t="s">
        <v>17</v>
      </c>
      <c r="C47" s="11">
        <f>C14</f>
        <v>2400</v>
      </c>
    </row>
    <row r="48">
      <c r="A48" s="8" t="s">
        <v>20</v>
      </c>
      <c r="B48" s="2" t="s">
        <v>17</v>
      </c>
      <c r="C48" s="11">
        <f>C19-C35</f>
        <v>2301</v>
      </c>
    </row>
    <row r="50">
      <c r="B50" s="8" t="s">
        <v>39</v>
      </c>
    </row>
    <row r="51">
      <c r="B51" s="2" t="s">
        <v>17</v>
      </c>
      <c r="C51" s="11">
        <f>C43-C35</f>
        <v>900</v>
      </c>
    </row>
    <row r="52">
      <c r="B52" s="2" t="s">
        <v>16</v>
      </c>
      <c r="C52" s="11">
        <f>C39</f>
        <v>1084</v>
      </c>
    </row>
  </sheetData>
  <mergeCells count="1">
    <mergeCell ref="E2:I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2400</v>
      </c>
      <c r="D14" s="2">
        <f>D19</f>
        <v>2.6</v>
      </c>
      <c r="E14" s="6">
        <f t="shared" si="1"/>
        <v>6240</v>
      </c>
      <c r="F14" s="2">
        <v>0.82</v>
      </c>
      <c r="G14" s="2">
        <f t="shared" si="2"/>
        <v>5116</v>
      </c>
      <c r="H14" s="2">
        <v>0.9</v>
      </c>
      <c r="I14" s="7">
        <f t="shared" si="3"/>
        <v>5616</v>
      </c>
    </row>
    <row r="15">
      <c r="A15" s="9"/>
      <c r="B15" s="2" t="s">
        <v>58</v>
      </c>
      <c r="C15" s="2">
        <v>0.0</v>
      </c>
      <c r="D15" s="2">
        <v>1.045</v>
      </c>
      <c r="E15" s="6">
        <f t="shared" si="1"/>
        <v>0</v>
      </c>
      <c r="F15" s="2">
        <v>0.9</v>
      </c>
      <c r="G15" s="6">
        <f t="shared" si="2"/>
        <v>0</v>
      </c>
      <c r="H15" s="2">
        <v>0.98</v>
      </c>
      <c r="I15" s="7">
        <f t="shared" si="3"/>
        <v>0</v>
      </c>
    </row>
    <row r="16">
      <c r="B16" s="8"/>
      <c r="D16" s="8"/>
      <c r="E16" s="8">
        <f>SUM(E13:E15)</f>
        <v>6990</v>
      </c>
      <c r="F16" s="8"/>
      <c r="G16" s="8">
        <f>SUM(G13:G15)</f>
        <v>5641</v>
      </c>
      <c r="H16" s="8"/>
      <c r="I16" s="8">
        <f>SUM(I13:I15)</f>
        <v>6201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2401.0</v>
      </c>
      <c r="D19" s="3">
        <v>2.6</v>
      </c>
      <c r="E19" s="6">
        <f t="shared" ref="E19:E20" si="4">CEILING(C19*D19,1)</f>
        <v>6243</v>
      </c>
      <c r="F19" s="9"/>
      <c r="G19" s="9"/>
      <c r="I19" s="8" t="s">
        <v>22</v>
      </c>
    </row>
    <row r="20">
      <c r="A20" s="9"/>
      <c r="B20" s="6" t="s">
        <v>58</v>
      </c>
      <c r="C20" s="6">
        <v>130.0</v>
      </c>
      <c r="D20" s="6">
        <f>D15</f>
        <v>1.045</v>
      </c>
      <c r="E20" s="6">
        <f t="shared" si="4"/>
        <v>136</v>
      </c>
      <c r="F20" s="9"/>
      <c r="G20" s="9"/>
    </row>
    <row r="21">
      <c r="B21" s="8"/>
      <c r="C21" s="8"/>
      <c r="D21" s="8"/>
      <c r="E21" s="8">
        <f>SUM(E19,E20)</f>
        <v>6379</v>
      </c>
    </row>
    <row r="23">
      <c r="B23" s="2" t="s">
        <v>23</v>
      </c>
      <c r="C23" s="2">
        <f>G16/E21</f>
        <v>0.8843078852</v>
      </c>
    </row>
    <row r="24">
      <c r="B24" s="2" t="s">
        <v>24</v>
      </c>
      <c r="C24" s="2">
        <f>I16/E21</f>
        <v>0.9720959398</v>
      </c>
    </row>
    <row r="25">
      <c r="B25" s="2" t="s">
        <v>59</v>
      </c>
      <c r="C25" s="2">
        <v>0.960247112543647</v>
      </c>
      <c r="D25" s="8" t="s">
        <v>60</v>
      </c>
    </row>
    <row r="26">
      <c r="B26" s="2" t="s">
        <v>25</v>
      </c>
      <c r="C26" s="10">
        <f>E16/E21</f>
        <v>1.095783038</v>
      </c>
    </row>
    <row r="27">
      <c r="B27" s="2" t="s">
        <v>26</v>
      </c>
      <c r="C27" s="10">
        <f>MAX(MIN(C26-1,C9),C8)</f>
        <v>0.09578303809</v>
      </c>
    </row>
    <row r="28">
      <c r="B28" s="2" t="s">
        <v>27</v>
      </c>
      <c r="C28" s="10">
        <f>MIN(C6+(C7*(1-C25)),C27)</f>
        <v>0.08950577491</v>
      </c>
    </row>
    <row r="31">
      <c r="B31" s="10"/>
      <c r="C31" s="2" t="s">
        <v>8</v>
      </c>
      <c r="D31" s="2" t="s">
        <v>10</v>
      </c>
    </row>
    <row r="32">
      <c r="B32" s="2" t="s">
        <v>28</v>
      </c>
      <c r="C32" s="10">
        <f>FLOOR($C$4 * C19,1)</f>
        <v>1920</v>
      </c>
      <c r="D32" s="10"/>
    </row>
    <row r="33">
      <c r="B33" s="2" t="s">
        <v>29</v>
      </c>
      <c r="C33" s="3">
        <v>100.0</v>
      </c>
      <c r="D33" s="7"/>
    </row>
    <row r="34">
      <c r="B34" s="2" t="s">
        <v>30</v>
      </c>
      <c r="C34" s="10">
        <f>FLOOR(FLOOR(E13/(1+C28),1)/D19,1)</f>
        <v>264</v>
      </c>
      <c r="D34" s="10"/>
    </row>
    <row r="35">
      <c r="B35" s="2" t="s">
        <v>31</v>
      </c>
      <c r="C35" s="11">
        <f>MIN(C32:C34)</f>
        <v>100</v>
      </c>
      <c r="D35" s="11">
        <f>FLOOR(C35*D19,1)</f>
        <v>260</v>
      </c>
    </row>
    <row r="36">
      <c r="B36" s="2" t="s">
        <v>32</v>
      </c>
      <c r="C36" s="11">
        <f>C33-C35</f>
        <v>0</v>
      </c>
      <c r="D36" s="11"/>
    </row>
    <row r="37">
      <c r="B37" s="2" t="s">
        <v>33</v>
      </c>
      <c r="C37" s="11">
        <f>FLOOR(FLOOR(D35*(1+C28),1)/D13,1)</f>
        <v>1132</v>
      </c>
      <c r="D37" s="11">
        <f>FLOOR(C37*D13,1)</f>
        <v>283</v>
      </c>
    </row>
    <row r="38">
      <c r="B38" s="2" t="s">
        <v>34</v>
      </c>
      <c r="C38" s="11">
        <f>FLOOR(CEILING(FLOOR(D35*C28,1)*C5,1)/D13,1)</f>
        <v>4</v>
      </c>
      <c r="D38" s="11">
        <f>FLOOR(C38*D13,1)</f>
        <v>1</v>
      </c>
    </row>
    <row r="39">
      <c r="B39" s="2" t="s">
        <v>35</v>
      </c>
      <c r="C39" s="11">
        <f>C37-C38</f>
        <v>1128</v>
      </c>
      <c r="D39" s="11">
        <f>FLOOR(C39*D13,1)</f>
        <v>282</v>
      </c>
    </row>
    <row r="40">
      <c r="B40" s="2" t="s">
        <v>36</v>
      </c>
      <c r="C40" s="7"/>
      <c r="D40" s="11">
        <f>(I16-FLOOR(D37*H13,1))/(E21-D35)</f>
        <v>0.9774472953</v>
      </c>
    </row>
    <row r="41">
      <c r="B41" s="8"/>
    </row>
    <row r="42">
      <c r="B42" s="8" t="s">
        <v>37</v>
      </c>
      <c r="C42" s="8"/>
    </row>
    <row r="43">
      <c r="B43" s="2" t="s">
        <v>17</v>
      </c>
      <c r="C43" s="2">
        <v>1000.0</v>
      </c>
    </row>
    <row r="44">
      <c r="B44" s="8"/>
      <c r="C44" s="8"/>
    </row>
    <row r="45">
      <c r="B45" s="8" t="s">
        <v>38</v>
      </c>
    </row>
    <row r="46">
      <c r="A46" s="8" t="s">
        <v>7</v>
      </c>
      <c r="B46" s="2" t="s">
        <v>16</v>
      </c>
      <c r="C46" s="11">
        <f>C13-C37</f>
        <v>1868</v>
      </c>
    </row>
    <row r="47">
      <c r="B47" s="2" t="s">
        <v>17</v>
      </c>
      <c r="C47" s="11">
        <f>C14</f>
        <v>2400</v>
      </c>
    </row>
    <row r="48">
      <c r="A48" s="8" t="s">
        <v>20</v>
      </c>
      <c r="B48" s="2" t="s">
        <v>17</v>
      </c>
      <c r="C48" s="11">
        <f>C19-C35</f>
        <v>2301</v>
      </c>
    </row>
    <row r="50">
      <c r="B50" s="8" t="s">
        <v>39</v>
      </c>
    </row>
    <row r="51">
      <c r="B51" s="2" t="s">
        <v>17</v>
      </c>
      <c r="C51" s="11">
        <f>C43-C35</f>
        <v>900</v>
      </c>
    </row>
    <row r="52">
      <c r="B52" s="2" t="s">
        <v>16</v>
      </c>
      <c r="C52" s="11">
        <f>C39</f>
        <v>1128</v>
      </c>
    </row>
  </sheetData>
  <mergeCells count="1">
    <mergeCell ref="E2:I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0.05</v>
      </c>
      <c r="E13" s="6">
        <f t="shared" ref="E13:E15" si="1">FLOOR(C13*D13,1)</f>
        <v>150</v>
      </c>
      <c r="F13" s="3">
        <v>0.7</v>
      </c>
      <c r="G13" s="6">
        <f t="shared" ref="G13:G15" si="2">FLOOR(E13*F13,1)</f>
        <v>105</v>
      </c>
      <c r="H13" s="3">
        <v>0.78</v>
      </c>
      <c r="I13" s="7">
        <f t="shared" ref="I13:I15" si="3">FLOOR(E13*H13,1)</f>
        <v>117</v>
      </c>
    </row>
    <row r="14">
      <c r="B14" s="2" t="s">
        <v>17</v>
      </c>
      <c r="C14" s="2">
        <f>C19-1</f>
        <v>2400</v>
      </c>
      <c r="D14" s="2">
        <f>D19</f>
        <v>1</v>
      </c>
      <c r="E14" s="6">
        <f t="shared" si="1"/>
        <v>2400</v>
      </c>
      <c r="F14" s="2">
        <v>0.82</v>
      </c>
      <c r="G14" s="2">
        <f t="shared" si="2"/>
        <v>1968</v>
      </c>
      <c r="H14" s="2">
        <v>0.9</v>
      </c>
      <c r="I14" s="7">
        <f t="shared" si="3"/>
        <v>2160</v>
      </c>
    </row>
    <row r="15">
      <c r="A15" s="9"/>
      <c r="B15" s="2" t="s">
        <v>58</v>
      </c>
      <c r="C15" s="2">
        <v>93.0</v>
      </c>
      <c r="D15" s="2">
        <v>1.045</v>
      </c>
      <c r="E15" s="6">
        <f t="shared" si="1"/>
        <v>97</v>
      </c>
      <c r="F15" s="2">
        <v>0.9</v>
      </c>
      <c r="G15" s="6">
        <f t="shared" si="2"/>
        <v>87</v>
      </c>
      <c r="H15" s="2">
        <v>0.98</v>
      </c>
      <c r="I15" s="7">
        <f t="shared" si="3"/>
        <v>95</v>
      </c>
    </row>
    <row r="16">
      <c r="B16" s="8"/>
      <c r="D16" s="8"/>
      <c r="E16" s="8">
        <f>SUM(E13:E15)</f>
        <v>2647</v>
      </c>
      <c r="F16" s="8"/>
      <c r="G16" s="8">
        <f>SUM(G13:G15)</f>
        <v>2160</v>
      </c>
      <c r="H16" s="8"/>
      <c r="I16" s="8">
        <f>SUM(I13:I15)</f>
        <v>2372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2401.0</v>
      </c>
      <c r="D19" s="3">
        <v>1.0</v>
      </c>
      <c r="E19" s="6">
        <f t="shared" ref="E19:E20" si="4">CEILING(C19*D19,1)</f>
        <v>2401</v>
      </c>
      <c r="F19" s="9"/>
      <c r="G19" s="9"/>
      <c r="I19" s="8" t="s">
        <v>22</v>
      </c>
    </row>
    <row r="20">
      <c r="A20" s="9"/>
      <c r="B20" s="6" t="s">
        <v>58</v>
      </c>
      <c r="C20" s="6">
        <v>0.0</v>
      </c>
      <c r="D20" s="6">
        <f>D15</f>
        <v>1.045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2401</v>
      </c>
    </row>
    <row r="23">
      <c r="B23" s="2" t="s">
        <v>23</v>
      </c>
      <c r="C23" s="2">
        <f>G16/E21</f>
        <v>0.8996251562</v>
      </c>
    </row>
    <row r="24">
      <c r="B24" s="2" t="s">
        <v>24</v>
      </c>
      <c r="C24" s="2">
        <f>I16/E21</f>
        <v>0.9879216993</v>
      </c>
    </row>
    <row r="25">
      <c r="B25" s="2" t="s">
        <v>25</v>
      </c>
      <c r="C25" s="10">
        <f>E16/E21</f>
        <v>1.102457309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0.03415660142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1920</v>
      </c>
      <c r="D31" s="10"/>
    </row>
    <row r="32">
      <c r="B32" s="2" t="s">
        <v>29</v>
      </c>
      <c r="C32" s="3">
        <v>100.0</v>
      </c>
      <c r="D32" s="7"/>
    </row>
    <row r="33">
      <c r="B33" s="2" t="s">
        <v>30</v>
      </c>
      <c r="C33" s="10">
        <f>FLOOR(FLOOR(E13/(1+C27),1)/D19,1)</f>
        <v>145</v>
      </c>
      <c r="D33" s="10"/>
    </row>
    <row r="34">
      <c r="B34" s="2" t="s">
        <v>31</v>
      </c>
      <c r="C34" s="11">
        <f>MIN(C31:C33)</f>
        <v>100</v>
      </c>
      <c r="D34" s="11">
        <f>FLOOR(C34*D19,1)</f>
        <v>100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2060</v>
      </c>
      <c r="D36" s="11">
        <f>FLOOR(C36*D13,1)</f>
        <v>103</v>
      </c>
    </row>
    <row r="37">
      <c r="B37" s="2" t="s">
        <v>34</v>
      </c>
      <c r="C37" s="11">
        <f>FLOOR(CEILING(FLOOR(D34*C27,1)*C5,1)/D13,1)</f>
        <v>20</v>
      </c>
      <c r="D37" s="11">
        <f>FLOOR(C37*D13,1)</f>
        <v>1</v>
      </c>
    </row>
    <row r="38">
      <c r="B38" s="2" t="s">
        <v>35</v>
      </c>
      <c r="C38" s="11">
        <f>C36-C37</f>
        <v>2040</v>
      </c>
      <c r="D38" s="11">
        <f>FLOOR(C38*D13,1)</f>
        <v>102</v>
      </c>
    </row>
    <row r="39">
      <c r="B39" s="2" t="s">
        <v>36</v>
      </c>
      <c r="C39" s="7"/>
      <c r="D39" s="11">
        <f>(I16-FLOOR(D36*H13,1))/(E21-D34)</f>
        <v>0.9960886571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v>1000.0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940</v>
      </c>
    </row>
    <row r="46">
      <c r="B46" s="2" t="s">
        <v>17</v>
      </c>
      <c r="C46" s="11">
        <f>C14</f>
        <v>2400</v>
      </c>
    </row>
    <row r="47">
      <c r="A47" s="8" t="s">
        <v>20</v>
      </c>
      <c r="B47" s="2" t="s">
        <v>17</v>
      </c>
      <c r="C47" s="11">
        <f>C19-C34</f>
        <v>2301</v>
      </c>
    </row>
    <row r="49">
      <c r="B49" s="8" t="s">
        <v>39</v>
      </c>
    </row>
    <row r="50">
      <c r="B50" s="2" t="s">
        <v>17</v>
      </c>
      <c r="C50" s="11">
        <f>C42-C34</f>
        <v>900</v>
      </c>
    </row>
    <row r="51">
      <c r="B51" s="2" t="s">
        <v>16</v>
      </c>
      <c r="C51" s="11">
        <f>C38</f>
        <v>2040</v>
      </c>
    </row>
  </sheetData>
  <mergeCells count="1">
    <mergeCell ref="E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1.0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19</v>
      </c>
      <c r="C14" s="2">
        <f t="shared" ref="C14:C15" si="4">C19-1</f>
        <v>100</v>
      </c>
      <c r="D14" s="2">
        <f t="shared" ref="D14:D15" si="5">D19</f>
        <v>2.3654</v>
      </c>
      <c r="E14" s="6">
        <f t="shared" si="1"/>
        <v>236</v>
      </c>
      <c r="F14" s="2">
        <v>0.5</v>
      </c>
      <c r="G14" s="6">
        <f t="shared" si="2"/>
        <v>118</v>
      </c>
      <c r="H14" s="2">
        <v>0.55</v>
      </c>
      <c r="I14" s="7">
        <f t="shared" si="3"/>
        <v>129</v>
      </c>
    </row>
    <row r="15">
      <c r="B15" s="2" t="s">
        <v>17</v>
      </c>
      <c r="C15" s="2">
        <f t="shared" si="4"/>
        <v>1000</v>
      </c>
      <c r="D15" s="2">
        <f t="shared" si="5"/>
        <v>5</v>
      </c>
      <c r="E15" s="6">
        <f t="shared" si="1"/>
        <v>5000</v>
      </c>
      <c r="F15" s="2">
        <v>0.82</v>
      </c>
      <c r="G15" s="2">
        <f t="shared" si="2"/>
        <v>4100</v>
      </c>
      <c r="H15" s="2">
        <v>0.9</v>
      </c>
      <c r="I15" s="7">
        <f t="shared" si="3"/>
        <v>4500</v>
      </c>
    </row>
    <row r="16">
      <c r="B16" s="8"/>
      <c r="D16" s="8"/>
      <c r="E16" s="8">
        <f>SUM(E13:E15)</f>
        <v>5986</v>
      </c>
      <c r="F16" s="8"/>
      <c r="G16" s="8">
        <f>SUM(G13:G15)</f>
        <v>4743</v>
      </c>
      <c r="H16" s="8"/>
      <c r="I16" s="8">
        <f>SUM(I13:I15)</f>
        <v>5214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101.0</v>
      </c>
      <c r="D19" s="3">
        <v>2.3654</v>
      </c>
      <c r="E19" s="6">
        <f t="shared" ref="E19:E20" si="6">CEILING(C19*D19,1)</f>
        <v>239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5.0</v>
      </c>
      <c r="E20" s="6">
        <f t="shared" si="6"/>
        <v>5005</v>
      </c>
      <c r="F20" s="9"/>
      <c r="G20" s="9"/>
    </row>
    <row r="21">
      <c r="B21" s="8"/>
      <c r="C21" s="8"/>
      <c r="D21" s="8"/>
      <c r="E21" s="8">
        <f>SUM(E19,E20)</f>
        <v>5244</v>
      </c>
    </row>
    <row r="23">
      <c r="B23" s="2" t="s">
        <v>23</v>
      </c>
      <c r="C23" s="2">
        <f>G16/E21</f>
        <v>0.9044622426</v>
      </c>
    </row>
    <row r="24">
      <c r="B24" s="2" t="s">
        <v>24</v>
      </c>
      <c r="C24" s="2">
        <f>I16/E21</f>
        <v>0.9942791762</v>
      </c>
    </row>
    <row r="25">
      <c r="B25" s="2" t="s">
        <v>25</v>
      </c>
      <c r="C25" s="10">
        <f>E16/E21</f>
        <v>1.141495042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0.0214416476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101</v>
      </c>
      <c r="D31" s="10"/>
    </row>
    <row r="32">
      <c r="B32" s="2" t="s">
        <v>29</v>
      </c>
      <c r="C32" s="3">
        <v>101.0</v>
      </c>
      <c r="D32" s="7"/>
    </row>
    <row r="33">
      <c r="B33" s="2" t="s">
        <v>30</v>
      </c>
      <c r="C33" s="10">
        <f>FLOOR(FLOOR(E13/(1+C27),1)/D19,1)</f>
        <v>310</v>
      </c>
      <c r="D33" s="10"/>
    </row>
    <row r="34">
      <c r="B34" s="2" t="s">
        <v>31</v>
      </c>
      <c r="C34" s="11">
        <f>MIN(C31:C33)</f>
        <v>101</v>
      </c>
      <c r="D34" s="11">
        <f>FLOOR(C34*D19,1)</f>
        <v>238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972</v>
      </c>
      <c r="D36" s="11">
        <f>FLOOR(C36*D13,1)</f>
        <v>243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968</v>
      </c>
      <c r="D38" s="11">
        <f>FLOOR(C38*D13,1)</f>
        <v>242</v>
      </c>
    </row>
    <row r="39">
      <c r="B39" s="2" t="s">
        <v>36</v>
      </c>
      <c r="C39" s="7"/>
      <c r="D39" s="11">
        <f>(I16-FLOOR(D36*H13,1))/(E21-D34)</f>
        <v>1.003795445</v>
      </c>
    </row>
    <row r="40">
      <c r="B40" s="8"/>
    </row>
    <row r="41">
      <c r="B41" s="8" t="s">
        <v>37</v>
      </c>
      <c r="C41" s="8"/>
    </row>
    <row r="42">
      <c r="B42" s="2" t="s">
        <v>19</v>
      </c>
      <c r="C42" s="2">
        <f>C32</f>
        <v>101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2028</v>
      </c>
    </row>
    <row r="46">
      <c r="B46" s="2" t="s">
        <v>19</v>
      </c>
      <c r="C46" s="11">
        <f t="shared" ref="C46:C47" si="7">C14</f>
        <v>100</v>
      </c>
    </row>
    <row r="47">
      <c r="B47" s="2" t="s">
        <v>17</v>
      </c>
      <c r="C47" s="11">
        <f t="shared" si="7"/>
        <v>1000</v>
      </c>
    </row>
    <row r="48">
      <c r="A48" s="8" t="s">
        <v>20</v>
      </c>
      <c r="B48" s="2" t="s">
        <v>19</v>
      </c>
      <c r="C48" s="11">
        <f>C19-C34</f>
        <v>0</v>
      </c>
    </row>
    <row r="49">
      <c r="A49" s="8"/>
      <c r="B49" s="2" t="s">
        <v>17</v>
      </c>
      <c r="C49" s="11">
        <f>C20</f>
        <v>1001</v>
      </c>
    </row>
    <row r="51">
      <c r="B51" s="8" t="s">
        <v>39</v>
      </c>
    </row>
    <row r="52">
      <c r="B52" s="2" t="s">
        <v>19</v>
      </c>
      <c r="C52" s="11">
        <f>C42-C34</f>
        <v>0</v>
      </c>
    </row>
    <row r="53">
      <c r="B53" s="2" t="s">
        <v>16</v>
      </c>
      <c r="C53" s="11">
        <f>C38</f>
        <v>968</v>
      </c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6</v>
      </c>
      <c r="E14" s="6">
        <f t="shared" si="1"/>
        <v>6000</v>
      </c>
      <c r="F14" s="2">
        <v>0.82</v>
      </c>
      <c r="G14" s="2">
        <f t="shared" si="2"/>
        <v>4920</v>
      </c>
      <c r="H14" s="2">
        <v>0.9</v>
      </c>
      <c r="I14" s="7">
        <f t="shared" si="3"/>
        <v>5400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6750</v>
      </c>
      <c r="F16" s="8"/>
      <c r="G16" s="8">
        <f>SUM(G13:G14)</f>
        <v>5445</v>
      </c>
      <c r="H16" s="8"/>
      <c r="I16" s="8">
        <f>SUM(I13:I14)</f>
        <v>5985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6.0</v>
      </c>
      <c r="E19" s="6">
        <f t="shared" ref="E19:E20" si="4">CEILING(C19*D19,1)</f>
        <v>6006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6006</v>
      </c>
    </row>
    <row r="23">
      <c r="B23" s="2" t="s">
        <v>23</v>
      </c>
      <c r="C23" s="2">
        <f>G16/E21</f>
        <v>0.9065934066</v>
      </c>
    </row>
    <row r="24">
      <c r="B24" s="2" t="s">
        <v>24</v>
      </c>
      <c r="C24" s="2">
        <f>I16/E21</f>
        <v>0.9965034965</v>
      </c>
    </row>
    <row r="25">
      <c r="B25" s="2" t="s">
        <v>25</v>
      </c>
      <c r="C25" s="10">
        <f>E16/E21</f>
        <v>1.123876124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0.01699300699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800</v>
      </c>
      <c r="D31" s="10"/>
    </row>
    <row r="32">
      <c r="B32" s="2" t="s">
        <v>29</v>
      </c>
      <c r="C32" s="3">
        <v>122.0</v>
      </c>
      <c r="D32" s="7"/>
    </row>
    <row r="33">
      <c r="B33" s="2" t="s">
        <v>30</v>
      </c>
      <c r="C33" s="10">
        <f>FLOOR(FLOOR(E13/(1+C27),1)/D19,1)</f>
        <v>122</v>
      </c>
      <c r="D33" s="10"/>
    </row>
    <row r="34">
      <c r="B34" s="2" t="s">
        <v>31</v>
      </c>
      <c r="C34" s="11">
        <f>MIN(C31:C33)</f>
        <v>122</v>
      </c>
      <c r="D34" s="11">
        <f>FLOOR(C34*D19,1)</f>
        <v>732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2976</v>
      </c>
      <c r="D36" s="11">
        <f>FLOOR(C36*D13,1)</f>
        <v>744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2972</v>
      </c>
      <c r="D38" s="11">
        <f>FLOOR(C38*D13,1)</f>
        <v>743</v>
      </c>
    </row>
    <row r="39">
      <c r="B39" s="2" t="s">
        <v>36</v>
      </c>
      <c r="C39" s="7"/>
      <c r="D39" s="11">
        <f>(I16-FLOOR(D36*H13,1))/(E21-D34)</f>
        <v>1.024838832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C32+22</f>
        <v>144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24</v>
      </c>
    </row>
    <row r="46">
      <c r="B46" s="2" t="s">
        <v>17</v>
      </c>
      <c r="C46" s="11">
        <f>C14</f>
        <v>1000</v>
      </c>
    </row>
    <row r="47">
      <c r="A47" s="8" t="s">
        <v>20</v>
      </c>
      <c r="B47" s="2" t="s">
        <v>17</v>
      </c>
      <c r="C47" s="11">
        <f>C19-C34</f>
        <v>879</v>
      </c>
    </row>
    <row r="49">
      <c r="B49" s="8" t="s">
        <v>39</v>
      </c>
    </row>
    <row r="50">
      <c r="B50" s="2" t="s">
        <v>17</v>
      </c>
      <c r="C50" s="11">
        <f>C42-C34</f>
        <v>22</v>
      </c>
    </row>
    <row r="51">
      <c r="B51" s="2" t="s">
        <v>16</v>
      </c>
      <c r="C51" s="11">
        <f>C38</f>
        <v>2972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5.9</v>
      </c>
      <c r="E14" s="6">
        <f t="shared" si="1"/>
        <v>5900</v>
      </c>
      <c r="F14" s="2">
        <v>0.82</v>
      </c>
      <c r="G14" s="2">
        <f t="shared" si="2"/>
        <v>4838</v>
      </c>
      <c r="H14" s="2">
        <v>0.9</v>
      </c>
      <c r="I14" s="7">
        <f t="shared" si="3"/>
        <v>5310</v>
      </c>
    </row>
    <row r="15">
      <c r="A15" s="9"/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6650</v>
      </c>
      <c r="F16" s="8"/>
      <c r="G16" s="8">
        <f>SUM(G13:G14)</f>
        <v>5363</v>
      </c>
      <c r="H16" s="8"/>
      <c r="I16" s="8">
        <f>SUM(I13:I14)</f>
        <v>5895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5.9</v>
      </c>
      <c r="E19" s="6">
        <f t="shared" ref="E19:E20" si="4">CEILING(C19*D19,1)</f>
        <v>5906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5906</v>
      </c>
    </row>
    <row r="23">
      <c r="B23" s="2" t="s">
        <v>23</v>
      </c>
      <c r="C23" s="2">
        <f>G16/E21</f>
        <v>0.9080596004</v>
      </c>
    </row>
    <row r="24">
      <c r="B24" s="2" t="s">
        <v>24</v>
      </c>
      <c r="C24" s="2">
        <f>I16/E21</f>
        <v>0.9981374873</v>
      </c>
    </row>
    <row r="25">
      <c r="B25" s="2" t="s">
        <v>25</v>
      </c>
      <c r="C25" s="10">
        <f>E16/E21</f>
        <v>1.125973586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0.0137250254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800</v>
      </c>
      <c r="D31" s="10"/>
    </row>
    <row r="32">
      <c r="B32" s="2" t="s">
        <v>29</v>
      </c>
      <c r="C32" s="3">
        <v>100.0</v>
      </c>
      <c r="D32" s="7"/>
    </row>
    <row r="33">
      <c r="B33" s="2" t="s">
        <v>30</v>
      </c>
      <c r="C33" s="10">
        <f>FLOOR(FLOOR(E13/(1+C27),1)/D19,1)</f>
        <v>125</v>
      </c>
      <c r="D33" s="10"/>
    </row>
    <row r="34">
      <c r="B34" s="2" t="s">
        <v>31</v>
      </c>
      <c r="C34" s="11">
        <f>MIN(C31:C33)</f>
        <v>100</v>
      </c>
      <c r="D34" s="11">
        <f>FLOOR(C34*D19,1)</f>
        <v>590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2392</v>
      </c>
      <c r="D36" s="11">
        <f>FLOOR(C36*D13,1)</f>
        <v>598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2388</v>
      </c>
      <c r="D38" s="11">
        <f>FLOOR(C38*D13,1)</f>
        <v>597</v>
      </c>
    </row>
    <row r="39">
      <c r="B39" s="2" t="s">
        <v>36</v>
      </c>
      <c r="C39" s="7"/>
      <c r="D39" s="11">
        <f>(I16-FLOOR(D36*H13,1))/(E21-D34)</f>
        <v>1.021256584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</f>
        <v>100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608</v>
      </c>
    </row>
    <row r="46">
      <c r="B46" s="2" t="s">
        <v>17</v>
      </c>
      <c r="C46" s="11">
        <f>C14</f>
        <v>1000</v>
      </c>
    </row>
    <row r="47">
      <c r="A47" s="8" t="s">
        <v>20</v>
      </c>
      <c r="B47" s="2" t="s">
        <v>17</v>
      </c>
      <c r="C47" s="11">
        <f>C19-C34</f>
        <v>901</v>
      </c>
    </row>
    <row r="49">
      <c r="B49" s="8" t="s">
        <v>39</v>
      </c>
    </row>
    <row r="50">
      <c r="B50" s="2" t="s">
        <v>17</v>
      </c>
      <c r="C50" s="11">
        <f>C42-C34</f>
        <v>0</v>
      </c>
    </row>
    <row r="51">
      <c r="B51" s="2" t="s">
        <v>16</v>
      </c>
      <c r="C51" s="11">
        <f>C38</f>
        <v>2388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4000.0</v>
      </c>
      <c r="D13" s="3">
        <v>0.25</v>
      </c>
      <c r="E13" s="6">
        <f t="shared" ref="E13:E15" si="1">FLOOR(C13*D13,1)</f>
        <v>1000</v>
      </c>
      <c r="F13" s="3">
        <v>0.7</v>
      </c>
      <c r="G13" s="6">
        <f t="shared" ref="G13:G15" si="2">FLOOR(E13*F13,1)</f>
        <v>700</v>
      </c>
      <c r="H13" s="3">
        <v>0.78</v>
      </c>
      <c r="I13" s="7">
        <f t="shared" ref="I13:I15" si="3">FLOOR(E13*H13,1)</f>
        <v>780</v>
      </c>
    </row>
    <row r="14">
      <c r="B14" s="2" t="s">
        <v>19</v>
      </c>
      <c r="C14" s="2">
        <f t="shared" ref="C14:C15" si="4">C19-1</f>
        <v>430</v>
      </c>
      <c r="D14" s="2">
        <f t="shared" ref="D14:D15" si="5">D19</f>
        <v>2.3654</v>
      </c>
      <c r="E14" s="6">
        <f t="shared" si="1"/>
        <v>1017</v>
      </c>
      <c r="F14" s="2">
        <v>0.5</v>
      </c>
      <c r="G14" s="6">
        <f t="shared" si="2"/>
        <v>508</v>
      </c>
      <c r="H14" s="2">
        <v>0.55</v>
      </c>
      <c r="I14" s="7">
        <f t="shared" si="3"/>
        <v>559</v>
      </c>
    </row>
    <row r="15">
      <c r="B15" s="2" t="s">
        <v>17</v>
      </c>
      <c r="C15" s="2">
        <f t="shared" si="4"/>
        <v>1000</v>
      </c>
      <c r="D15" s="2">
        <f t="shared" si="5"/>
        <v>10</v>
      </c>
      <c r="E15" s="6">
        <f t="shared" si="1"/>
        <v>10000</v>
      </c>
      <c r="F15" s="2">
        <v>0.82</v>
      </c>
      <c r="G15" s="2">
        <f t="shared" si="2"/>
        <v>8200</v>
      </c>
      <c r="H15" s="2">
        <v>0.9</v>
      </c>
      <c r="I15" s="7">
        <f t="shared" si="3"/>
        <v>9000</v>
      </c>
    </row>
    <row r="16">
      <c r="B16" s="8"/>
      <c r="D16" s="8"/>
      <c r="E16" s="8">
        <f>SUM(E13:E15)</f>
        <v>12017</v>
      </c>
      <c r="F16" s="8"/>
      <c r="G16" s="8">
        <f>SUM(G13:G15)</f>
        <v>9408</v>
      </c>
      <c r="H16" s="8"/>
      <c r="I16" s="8">
        <f>SUM(I13:I15)</f>
        <v>10339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431.0</v>
      </c>
      <c r="D19" s="3">
        <v>2.3654</v>
      </c>
      <c r="E19" s="6">
        <f t="shared" ref="E19:E20" si="6">CEILING(C19*D19,1)</f>
        <v>1020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10.0</v>
      </c>
      <c r="E20" s="6">
        <f t="shared" si="6"/>
        <v>10010</v>
      </c>
      <c r="F20" s="9"/>
      <c r="G20" s="9"/>
    </row>
    <row r="21">
      <c r="B21" s="8"/>
      <c r="C21" s="8"/>
      <c r="D21" s="8"/>
      <c r="E21" s="8">
        <f>SUM(E19,E20)</f>
        <v>11030</v>
      </c>
    </row>
    <row r="23">
      <c r="B23" s="2" t="s">
        <v>23</v>
      </c>
      <c r="C23" s="2">
        <f>G16/E21</f>
        <v>0.8529465095</v>
      </c>
    </row>
    <row r="24">
      <c r="B24" s="2" t="s">
        <v>24</v>
      </c>
      <c r="C24" s="2">
        <f>I16/E21</f>
        <v>0.9373526745</v>
      </c>
    </row>
    <row r="25">
      <c r="B25" s="2" t="s">
        <v>25</v>
      </c>
      <c r="C25" s="10">
        <f>E16/E21</f>
        <v>1.089483228</v>
      </c>
    </row>
    <row r="26">
      <c r="B26" s="2" t="s">
        <v>26</v>
      </c>
      <c r="C26" s="10">
        <f>MAX(MIN(C25-1,C9),C8)</f>
        <v>0.08948322756</v>
      </c>
    </row>
    <row r="27">
      <c r="B27" s="2" t="s">
        <v>27</v>
      </c>
      <c r="C27" s="10">
        <f>MIN(C6+(C7*(1-C24)),C26)</f>
        <v>0.08948322756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344</v>
      </c>
      <c r="D31" s="10"/>
    </row>
    <row r="32">
      <c r="B32" s="2" t="s">
        <v>29</v>
      </c>
      <c r="C32" s="3">
        <v>120.0</v>
      </c>
      <c r="D32" s="7"/>
    </row>
    <row r="33">
      <c r="B33" s="2" t="s">
        <v>30</v>
      </c>
      <c r="C33" s="10">
        <f>FLOOR(FLOOR(E13/(1+C27),1)/D19,1)</f>
        <v>387</v>
      </c>
      <c r="D33" s="10"/>
    </row>
    <row r="34">
      <c r="B34" s="2" t="s">
        <v>31</v>
      </c>
      <c r="C34" s="11">
        <f>MIN(C31:C33)</f>
        <v>120</v>
      </c>
      <c r="D34" s="11">
        <f>FLOOR(C34*D19,1)</f>
        <v>283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1232</v>
      </c>
      <c r="D36" s="11">
        <f>FLOOR(C36*D13,1)</f>
        <v>308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1228</v>
      </c>
      <c r="D38" s="11">
        <f>FLOOR(C38*D13,1)</f>
        <v>307</v>
      </c>
    </row>
    <row r="39">
      <c r="B39" s="2" t="s">
        <v>36</v>
      </c>
      <c r="C39" s="7"/>
      <c r="D39" s="11">
        <f>(I16-FLOOR(D36*H13,1))/(E21-D34)</f>
        <v>0.9397041035</v>
      </c>
    </row>
    <row r="40">
      <c r="B40" s="8"/>
    </row>
    <row r="41">
      <c r="B41" s="8" t="s">
        <v>37</v>
      </c>
      <c r="C41" s="8"/>
    </row>
    <row r="42">
      <c r="B42" s="2" t="s">
        <v>19</v>
      </c>
      <c r="C42" s="2">
        <f>C32+18</f>
        <v>138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2768</v>
      </c>
    </row>
    <row r="46">
      <c r="B46" s="2" t="s">
        <v>19</v>
      </c>
      <c r="C46" s="11">
        <f t="shared" ref="C46:C47" si="7">C14</f>
        <v>430</v>
      </c>
    </row>
    <row r="47">
      <c r="B47" s="2" t="s">
        <v>17</v>
      </c>
      <c r="C47" s="11">
        <f t="shared" si="7"/>
        <v>1000</v>
      </c>
    </row>
    <row r="48">
      <c r="A48" s="8" t="s">
        <v>20</v>
      </c>
      <c r="B48" s="2" t="s">
        <v>19</v>
      </c>
      <c r="C48" s="11">
        <f>C19-C34</f>
        <v>311</v>
      </c>
    </row>
    <row r="49">
      <c r="A49" s="8"/>
      <c r="B49" s="2" t="s">
        <v>17</v>
      </c>
      <c r="C49" s="11">
        <f>C20</f>
        <v>1001</v>
      </c>
    </row>
    <row r="51">
      <c r="B51" s="8" t="s">
        <v>39</v>
      </c>
    </row>
    <row r="52">
      <c r="B52" s="2" t="s">
        <v>19</v>
      </c>
      <c r="C52" s="11">
        <f>C42-C34</f>
        <v>18</v>
      </c>
    </row>
    <row r="53">
      <c r="B53" s="2" t="s">
        <v>16</v>
      </c>
      <c r="C53" s="11">
        <f>C38</f>
        <v>1228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42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44</v>
      </c>
      <c r="C13" s="6">
        <v>0.0</v>
      </c>
      <c r="D13" s="3">
        <v>450.0</v>
      </c>
      <c r="E13" s="6">
        <f>D13+1</f>
        <v>451</v>
      </c>
      <c r="F13" s="6">
        <v>0.25</v>
      </c>
      <c r="G13" s="6">
        <f t="shared" ref="G13:G16" si="1">FLOOR(E13*F13,1)</f>
        <v>112</v>
      </c>
      <c r="H13" s="6">
        <v>0.7</v>
      </c>
      <c r="I13" s="6">
        <f t="shared" ref="I13:I16" si="2">FLOOR(G13*H13,1)</f>
        <v>78</v>
      </c>
      <c r="J13" s="6">
        <v>0.78</v>
      </c>
      <c r="K13" s="7">
        <f t="shared" ref="K13:K16" si="3">FLOOR(G13*J13,1)</f>
        <v>87</v>
      </c>
      <c r="L13" s="11">
        <f>E13-C43</f>
        <v>47</v>
      </c>
      <c r="N13" s="8" t="s">
        <v>45</v>
      </c>
    </row>
    <row r="14">
      <c r="A14" s="9"/>
      <c r="B14" s="6" t="s">
        <v>16</v>
      </c>
      <c r="C14" s="3">
        <v>1050.0</v>
      </c>
      <c r="D14" s="6">
        <v>0.0</v>
      </c>
      <c r="E14" s="6">
        <f>C14-D13</f>
        <v>600</v>
      </c>
      <c r="F14" s="6">
        <f>F13</f>
        <v>0.25</v>
      </c>
      <c r="G14" s="6">
        <f t="shared" si="1"/>
        <v>150</v>
      </c>
      <c r="H14" s="6">
        <f>H13</f>
        <v>0.7</v>
      </c>
      <c r="I14" s="6">
        <f t="shared" si="2"/>
        <v>105</v>
      </c>
      <c r="J14" s="6">
        <f>J13</f>
        <v>0.78</v>
      </c>
      <c r="K14" s="7">
        <f t="shared" si="3"/>
        <v>117</v>
      </c>
      <c r="L14" s="11">
        <f t="shared" ref="L14:L16" si="4">E14</f>
        <v>600</v>
      </c>
    </row>
    <row r="15">
      <c r="B15" s="2" t="s">
        <v>17</v>
      </c>
      <c r="C15" s="2">
        <v>0.0</v>
      </c>
      <c r="D15" s="2">
        <v>0.0</v>
      </c>
      <c r="E15" s="2">
        <f>C21</f>
        <v>1000</v>
      </c>
      <c r="F15" s="2">
        <f>E21</f>
        <v>2.2</v>
      </c>
      <c r="G15" s="6">
        <f t="shared" si="1"/>
        <v>2200</v>
      </c>
      <c r="H15" s="2">
        <v>0.82</v>
      </c>
      <c r="I15" s="2">
        <f t="shared" si="2"/>
        <v>1804</v>
      </c>
      <c r="J15" s="2">
        <v>0.9</v>
      </c>
      <c r="K15" s="7">
        <f t="shared" si="3"/>
        <v>1980</v>
      </c>
      <c r="L15" s="11">
        <f t="shared" si="4"/>
        <v>1000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2462</v>
      </c>
      <c r="H17" s="8"/>
      <c r="I17" s="8">
        <f>SUM(I13:I16)</f>
        <v>1987</v>
      </c>
      <c r="J17" s="8"/>
      <c r="K17" s="8">
        <f>SUM(K13:K16)</f>
        <v>2184</v>
      </c>
    </row>
    <row r="19">
      <c r="B19" s="12" t="s">
        <v>40</v>
      </c>
      <c r="C19" s="13"/>
      <c r="D19" s="13"/>
      <c r="E19" s="13"/>
      <c r="F19" s="13"/>
      <c r="G19" s="14"/>
    </row>
    <row r="20">
      <c r="B20" s="4" t="s">
        <v>20</v>
      </c>
      <c r="C20" s="4" t="s">
        <v>46</v>
      </c>
      <c r="D20" s="4" t="s">
        <v>8</v>
      </c>
      <c r="E20" s="4" t="s">
        <v>9</v>
      </c>
      <c r="F20" s="4" t="s">
        <v>10</v>
      </c>
      <c r="G20" s="4" t="s">
        <v>43</v>
      </c>
      <c r="H20" s="9"/>
    </row>
    <row r="21">
      <c r="A21" s="5" t="s">
        <v>21</v>
      </c>
      <c r="B21" s="6" t="s">
        <v>17</v>
      </c>
      <c r="C21" s="3">
        <v>1000.0</v>
      </c>
      <c r="D21" s="6">
        <f>C21+1</f>
        <v>1001</v>
      </c>
      <c r="E21" s="3">
        <v>2.2</v>
      </c>
      <c r="F21" s="6">
        <f t="shared" ref="F21:F22" si="5">CEILING(D21*E21,1)</f>
        <v>2203</v>
      </c>
      <c r="G21" s="15">
        <f>D21-C41</f>
        <v>956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2203</v>
      </c>
    </row>
    <row r="24">
      <c r="B24" s="8"/>
      <c r="C24" s="8"/>
      <c r="D24" s="8"/>
      <c r="E24" s="8"/>
    </row>
    <row r="25">
      <c r="B25" s="12" t="s">
        <v>47</v>
      </c>
      <c r="C25" s="13"/>
      <c r="D25" s="13"/>
      <c r="E25" s="13"/>
      <c r="F25" s="14"/>
      <c r="G25" s="16"/>
    </row>
    <row r="26">
      <c r="B26" s="4"/>
      <c r="C26" s="4" t="s">
        <v>48</v>
      </c>
      <c r="D26" s="4" t="s">
        <v>41</v>
      </c>
      <c r="E26" s="4" t="s">
        <v>49</v>
      </c>
      <c r="F26" s="4" t="s">
        <v>43</v>
      </c>
    </row>
    <row r="27">
      <c r="B27" s="6" t="s">
        <v>20</v>
      </c>
      <c r="C27" s="6" t="s">
        <v>17</v>
      </c>
      <c r="D27" s="3">
        <v>45.0</v>
      </c>
      <c r="E27" s="3">
        <f>D27</f>
        <v>45</v>
      </c>
      <c r="F27" s="15">
        <f>D27-E27+C42</f>
        <v>0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D28+C45</f>
        <v>400</v>
      </c>
      <c r="G28" s="17">
        <f>F28-1</f>
        <v>399</v>
      </c>
      <c r="H28" s="8" t="s">
        <v>50</v>
      </c>
    </row>
    <row r="30">
      <c r="B30" s="2" t="s">
        <v>23</v>
      </c>
      <c r="C30" s="2">
        <f>I17/F23</f>
        <v>0.9019518838</v>
      </c>
    </row>
    <row r="31">
      <c r="B31" s="2" t="s">
        <v>24</v>
      </c>
      <c r="C31" s="2">
        <f>K17/F23</f>
        <v>0.9913753972</v>
      </c>
    </row>
    <row r="32">
      <c r="B32" s="2" t="s">
        <v>25</v>
      </c>
      <c r="C32" s="10">
        <f>G17/F23</f>
        <v>1.117566954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0.02724920563</v>
      </c>
    </row>
    <row r="37">
      <c r="B37" s="10"/>
      <c r="C37" s="2" t="s">
        <v>8</v>
      </c>
      <c r="D37" s="2" t="s">
        <v>10</v>
      </c>
    </row>
    <row r="38">
      <c r="B38" s="2" t="s">
        <v>28</v>
      </c>
      <c r="C38" s="10">
        <f>FLOOR($C$4 * D21,1)</f>
        <v>800</v>
      </c>
      <c r="D38" s="10"/>
    </row>
    <row r="39">
      <c r="B39" s="2" t="s">
        <v>29</v>
      </c>
      <c r="C39" s="6">
        <f>E27</f>
        <v>45</v>
      </c>
      <c r="D39" s="7"/>
    </row>
    <row r="40">
      <c r="B40" s="2" t="s">
        <v>30</v>
      </c>
      <c r="C40" s="10">
        <f>FLOOR(FLOOR(G13/(1+C34),1)/E21,1)</f>
        <v>49</v>
      </c>
      <c r="D40" s="10"/>
    </row>
    <row r="41">
      <c r="B41" s="2" t="s">
        <v>31</v>
      </c>
      <c r="C41" s="11">
        <f>MIN(C38:C40)</f>
        <v>45</v>
      </c>
      <c r="D41" s="11">
        <f>FLOOR(C41*E21,1)</f>
        <v>99</v>
      </c>
    </row>
    <row r="42">
      <c r="B42" s="2" t="s">
        <v>32</v>
      </c>
      <c r="C42" s="11">
        <f>C39-C41</f>
        <v>0</v>
      </c>
      <c r="D42" s="11"/>
    </row>
    <row r="43">
      <c r="B43" s="2" t="s">
        <v>33</v>
      </c>
      <c r="C43" s="11">
        <f>FLOOR(FLOOR(D41*(1+C34),1)/F13,1)</f>
        <v>404</v>
      </c>
      <c r="D43" s="11">
        <f>FLOOR(C43*F13,1)</f>
        <v>101</v>
      </c>
    </row>
    <row r="44">
      <c r="B44" s="2" t="s">
        <v>34</v>
      </c>
      <c r="C44" s="11">
        <f>FLOOR(CEILING(FLOOR(D41*C34,1)*C5,1)/F13,1)</f>
        <v>4</v>
      </c>
      <c r="D44" s="11">
        <f>FLOOR(C44*F13,1)</f>
        <v>1</v>
      </c>
    </row>
    <row r="45">
      <c r="B45" s="2" t="s">
        <v>35</v>
      </c>
      <c r="C45" s="11">
        <f>C43-C44</f>
        <v>400</v>
      </c>
      <c r="D45" s="11">
        <f>FLOOR(C45*F13,1)</f>
        <v>100</v>
      </c>
    </row>
    <row r="46">
      <c r="B46" s="2" t="s">
        <v>36</v>
      </c>
      <c r="C46" s="7"/>
      <c r="D46" s="11">
        <f>(K17-FLOOR(D43*J13,1))/(F23-D41)</f>
        <v>1.00095057</v>
      </c>
    </row>
    <row r="47">
      <c r="B47" s="8"/>
    </row>
  </sheetData>
  <mergeCells count="4">
    <mergeCell ref="E2:I2"/>
    <mergeCell ref="B11:L11"/>
    <mergeCell ref="B19:G19"/>
    <mergeCell ref="B25:F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42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44</v>
      </c>
      <c r="C13" s="6">
        <v>0.0</v>
      </c>
      <c r="D13" s="3">
        <v>109.0</v>
      </c>
      <c r="E13" s="6">
        <f>D13+1</f>
        <v>110</v>
      </c>
      <c r="F13" s="6">
        <v>1.0</v>
      </c>
      <c r="G13" s="6">
        <f t="shared" ref="G13:G16" si="1">FLOOR(E13*F13,1)</f>
        <v>110</v>
      </c>
      <c r="H13" s="6">
        <v>0.7</v>
      </c>
      <c r="I13" s="6">
        <f t="shared" ref="I13:I16" si="2">FLOOR(G13*H13,1)</f>
        <v>77</v>
      </c>
      <c r="J13" s="6">
        <v>0.78</v>
      </c>
      <c r="K13" s="7">
        <f t="shared" ref="K13:K16" si="3">FLOOR(G13*J13,1)</f>
        <v>85</v>
      </c>
      <c r="L13" s="11">
        <f>E13-C43</f>
        <v>3</v>
      </c>
      <c r="N13" s="8" t="s">
        <v>45</v>
      </c>
    </row>
    <row r="14">
      <c r="A14" s="9"/>
      <c r="B14" s="6" t="s">
        <v>16</v>
      </c>
      <c r="C14" s="3">
        <v>300.0</v>
      </c>
      <c r="D14" s="6">
        <v>0.0</v>
      </c>
      <c r="E14" s="6">
        <f>C14-D13</f>
        <v>191</v>
      </c>
      <c r="F14" s="6">
        <f>F13</f>
        <v>1</v>
      </c>
      <c r="G14" s="6">
        <f t="shared" si="1"/>
        <v>191</v>
      </c>
      <c r="H14" s="6">
        <f>H13</f>
        <v>0.7</v>
      </c>
      <c r="I14" s="6">
        <f t="shared" si="2"/>
        <v>133</v>
      </c>
      <c r="J14" s="6">
        <f>J13</f>
        <v>0.78</v>
      </c>
      <c r="K14" s="7">
        <f t="shared" si="3"/>
        <v>148</v>
      </c>
      <c r="L14" s="11">
        <f t="shared" ref="L14:L16" si="4">E14</f>
        <v>191</v>
      </c>
    </row>
    <row r="15">
      <c r="B15" s="2" t="s">
        <v>17</v>
      </c>
      <c r="C15" s="2">
        <v>0.0</v>
      </c>
      <c r="D15" s="2">
        <v>0.0</v>
      </c>
      <c r="E15" s="2">
        <f>C21</f>
        <v>500</v>
      </c>
      <c r="F15" s="2">
        <f>E21</f>
        <v>5</v>
      </c>
      <c r="G15" s="6">
        <f t="shared" si="1"/>
        <v>2500</v>
      </c>
      <c r="H15" s="2">
        <v>0.82</v>
      </c>
      <c r="I15" s="2">
        <f t="shared" si="2"/>
        <v>2050</v>
      </c>
      <c r="J15" s="2">
        <v>0.9</v>
      </c>
      <c r="K15" s="7">
        <f t="shared" si="3"/>
        <v>2250</v>
      </c>
      <c r="L15" s="11">
        <f t="shared" si="4"/>
        <v>500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2801</v>
      </c>
      <c r="H17" s="8"/>
      <c r="I17" s="8">
        <f>SUM(I13:I16)</f>
        <v>2260</v>
      </c>
      <c r="J17" s="8"/>
      <c r="K17" s="8">
        <f>SUM(K13:K16)</f>
        <v>2483</v>
      </c>
    </row>
    <row r="19">
      <c r="B19" s="12" t="s">
        <v>40</v>
      </c>
      <c r="C19" s="13"/>
      <c r="D19" s="13"/>
      <c r="E19" s="13"/>
      <c r="F19" s="13"/>
      <c r="G19" s="14"/>
    </row>
    <row r="20">
      <c r="B20" s="4" t="s">
        <v>20</v>
      </c>
      <c r="C20" s="4" t="s">
        <v>46</v>
      </c>
      <c r="D20" s="4" t="s">
        <v>8</v>
      </c>
      <c r="E20" s="4" t="s">
        <v>9</v>
      </c>
      <c r="F20" s="4" t="s">
        <v>10</v>
      </c>
      <c r="G20" s="4" t="s">
        <v>43</v>
      </c>
      <c r="H20" s="9"/>
    </row>
    <row r="21">
      <c r="A21" s="5" t="s">
        <v>21</v>
      </c>
      <c r="B21" s="6" t="s">
        <v>17</v>
      </c>
      <c r="C21" s="3">
        <v>500.0</v>
      </c>
      <c r="D21" s="6">
        <f>C21+1</f>
        <v>501</v>
      </c>
      <c r="E21" s="3">
        <v>5.0</v>
      </c>
      <c r="F21" s="6">
        <f t="shared" ref="F21:F22" si="5">CEILING(D21*E21,1)</f>
        <v>2505</v>
      </c>
      <c r="G21" s="15">
        <f>D21-C41</f>
        <v>480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2505</v>
      </c>
    </row>
    <row r="24">
      <c r="B24" s="8"/>
      <c r="C24" s="8"/>
      <c r="D24" s="8"/>
      <c r="E24" s="8"/>
    </row>
    <row r="25">
      <c r="B25" s="12" t="s">
        <v>47</v>
      </c>
      <c r="C25" s="13"/>
      <c r="D25" s="13"/>
      <c r="E25" s="13"/>
      <c r="F25" s="14"/>
      <c r="G25" s="16"/>
    </row>
    <row r="26">
      <c r="B26" s="4"/>
      <c r="C26" s="4" t="s">
        <v>48</v>
      </c>
      <c r="D26" s="4" t="s">
        <v>41</v>
      </c>
      <c r="E26" s="4" t="s">
        <v>49</v>
      </c>
      <c r="F26" s="4" t="s">
        <v>43</v>
      </c>
    </row>
    <row r="27">
      <c r="B27" s="6" t="s">
        <v>20</v>
      </c>
      <c r="C27" s="6" t="s">
        <v>17</v>
      </c>
      <c r="D27" s="3">
        <v>32.0</v>
      </c>
      <c r="E27" s="3">
        <v>32.0</v>
      </c>
      <c r="F27" s="15">
        <f>D27-E27+C42</f>
        <v>11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D28+C45</f>
        <v>106</v>
      </c>
      <c r="G28" s="17">
        <f>F28-1</f>
        <v>105</v>
      </c>
      <c r="H28" s="8" t="s">
        <v>50</v>
      </c>
    </row>
    <row r="30">
      <c r="B30" s="2" t="s">
        <v>23</v>
      </c>
      <c r="C30" s="2">
        <f>I17/F23</f>
        <v>0.9021956088</v>
      </c>
    </row>
    <row r="31">
      <c r="B31" s="2" t="s">
        <v>24</v>
      </c>
      <c r="C31" s="2">
        <f>K17/F23</f>
        <v>0.9912175649</v>
      </c>
    </row>
    <row r="32">
      <c r="B32" s="2" t="s">
        <v>25</v>
      </c>
      <c r="C32" s="10">
        <f>G17/F23</f>
        <v>1.118163673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0.02756487026</v>
      </c>
    </row>
    <row r="37">
      <c r="B37" s="10"/>
      <c r="C37" s="2" t="s">
        <v>8</v>
      </c>
      <c r="D37" s="2" t="s">
        <v>10</v>
      </c>
    </row>
    <row r="38">
      <c r="B38" s="2" t="s">
        <v>28</v>
      </c>
      <c r="C38" s="10">
        <f>FLOOR($C$4 * D21,1)</f>
        <v>400</v>
      </c>
      <c r="D38" s="10"/>
    </row>
    <row r="39">
      <c r="B39" s="2" t="s">
        <v>29</v>
      </c>
      <c r="C39" s="6">
        <f>E27</f>
        <v>32</v>
      </c>
      <c r="D39" s="7"/>
    </row>
    <row r="40">
      <c r="B40" s="2" t="s">
        <v>30</v>
      </c>
      <c r="C40" s="10">
        <f>FLOOR(FLOOR(G13/(1+C34),1)/E21,1)</f>
        <v>21</v>
      </c>
      <c r="D40" s="10"/>
    </row>
    <row r="41">
      <c r="B41" s="2" t="s">
        <v>31</v>
      </c>
      <c r="C41" s="11">
        <f>MIN(C38:C40)</f>
        <v>21</v>
      </c>
      <c r="D41" s="11">
        <f>FLOOR(C41*E21,1)</f>
        <v>105</v>
      </c>
    </row>
    <row r="42">
      <c r="B42" s="2" t="s">
        <v>32</v>
      </c>
      <c r="C42" s="11">
        <f>C39-C41</f>
        <v>11</v>
      </c>
      <c r="D42" s="11"/>
    </row>
    <row r="43">
      <c r="B43" s="2" t="s">
        <v>33</v>
      </c>
      <c r="C43" s="11">
        <f>FLOOR(FLOOR(D41*(1+C34),1)/F13,1)</f>
        <v>107</v>
      </c>
      <c r="D43" s="11">
        <f>FLOOR(C43*F13,1)</f>
        <v>107</v>
      </c>
    </row>
    <row r="44">
      <c r="B44" s="2" t="s">
        <v>34</v>
      </c>
      <c r="C44" s="11">
        <f>FLOOR(CEILING(FLOOR(D41*C34,1)*C5,1)/F13,1)</f>
        <v>1</v>
      </c>
      <c r="D44" s="11">
        <f>FLOOR(C44*F13,1)</f>
        <v>1</v>
      </c>
    </row>
    <row r="45">
      <c r="B45" s="2" t="s">
        <v>35</v>
      </c>
      <c r="C45" s="11">
        <f>C43-C44</f>
        <v>106</v>
      </c>
      <c r="D45" s="11">
        <f>FLOOR(C45*F13,1)</f>
        <v>106</v>
      </c>
    </row>
    <row r="46">
      <c r="B46" s="2" t="s">
        <v>36</v>
      </c>
      <c r="C46" s="7"/>
      <c r="D46" s="11">
        <f>(K17-FLOOR(D43*J13,1))/(F23-D41)</f>
        <v>1</v>
      </c>
    </row>
    <row r="47">
      <c r="B47" s="8"/>
    </row>
  </sheetData>
  <mergeCells count="4">
    <mergeCell ref="E2:I2"/>
    <mergeCell ref="B11:L11"/>
    <mergeCell ref="B19:G19"/>
    <mergeCell ref="B25:F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105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E14-F41</f>
        <v>525000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18</v>
      </c>
      <c r="G15" s="6">
        <f t="shared" si="3"/>
        <v>3150</v>
      </c>
      <c r="H15" s="2">
        <v>0.5</v>
      </c>
      <c r="I15" s="2">
        <f t="shared" si="1"/>
        <v>1575</v>
      </c>
      <c r="J15" s="2">
        <v>0.55</v>
      </c>
      <c r="K15" s="7">
        <f t="shared" si="2"/>
        <v>1732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5124</v>
      </c>
      <c r="H16" s="8"/>
      <c r="I16" s="8">
        <f>SUM(I13:I15)</f>
        <v>2759</v>
      </c>
      <c r="J16" s="8"/>
      <c r="K16" s="8">
        <f>SUM(K13:K15)</f>
        <v>3113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18.0</v>
      </c>
      <c r="F20" s="6">
        <f>CEILING(D20*E20,1)</f>
        <v>3168</v>
      </c>
      <c r="G20" s="15">
        <f>D20-C39</f>
        <v>126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3168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50.0</v>
      </c>
      <c r="E25" s="3">
        <v>50.0</v>
      </c>
      <c r="F25" s="15">
        <f>D25-E25+C40</f>
        <v>0</v>
      </c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94</v>
      </c>
      <c r="G26" s="18"/>
    </row>
    <row r="28">
      <c r="B28" s="2" t="s">
        <v>23</v>
      </c>
      <c r="C28" s="2">
        <f>I16/F21</f>
        <v>0.8708964646</v>
      </c>
    </row>
    <row r="29">
      <c r="B29" s="2" t="s">
        <v>24</v>
      </c>
      <c r="C29" s="2">
        <f>K16/F21</f>
        <v>0.9826388889</v>
      </c>
    </row>
    <row r="30">
      <c r="B30" s="2" t="s">
        <v>25</v>
      </c>
      <c r="C30" s="10">
        <f>G16/F21</f>
        <v>1.617424242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0.04472222222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50</v>
      </c>
      <c r="D37" s="7"/>
    </row>
    <row r="38">
      <c r="B38" s="2" t="s">
        <v>30</v>
      </c>
      <c r="C38" s="10">
        <f>FLOOR(FLOOR(FLOOR(E13*F13,1)/(1+C32),1)/E20,1)</f>
        <v>104</v>
      </c>
      <c r="D38" s="10"/>
    </row>
    <row r="39">
      <c r="B39" s="2" t="s">
        <v>31</v>
      </c>
      <c r="C39" s="11">
        <f>MIN(C36:C38)</f>
        <v>50</v>
      </c>
      <c r="D39" s="11">
        <f>FLOOR(C39*E20,1)</f>
        <v>900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FLOOR(FLOOR(D39*(1+C32),1)/F13,1)</f>
        <v>95</v>
      </c>
      <c r="D41" s="11">
        <f>FLOOR(C41*F13,1)</f>
        <v>938</v>
      </c>
      <c r="E41" s="8" t="s">
        <v>55</v>
      </c>
      <c r="F41" s="19">
        <f>C41/E13*E14</f>
        <v>475000</v>
      </c>
    </row>
    <row r="42">
      <c r="B42" s="2" t="s">
        <v>34</v>
      </c>
      <c r="C42" s="11">
        <f>FLOOR(CEILING(FLOOR(D39*C32,1)*C5,1)/F13,1)</f>
        <v>1</v>
      </c>
      <c r="D42" s="11">
        <f>FLOOR(C42*F13,1)</f>
        <v>9</v>
      </c>
    </row>
    <row r="43">
      <c r="B43" s="2" t="s">
        <v>35</v>
      </c>
      <c r="C43" s="11">
        <f>C41-C42</f>
        <v>94</v>
      </c>
      <c r="D43" s="11">
        <f>FLOOR(C43*F13,1)</f>
        <v>928</v>
      </c>
    </row>
    <row r="44">
      <c r="B44" s="2" t="s">
        <v>36</v>
      </c>
      <c r="C44" s="7"/>
      <c r="D44" s="11">
        <f>(K16-FLOOR(D41*J13,1))/(F21-D39)</f>
        <v>1.091710758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80.0</v>
      </c>
      <c r="D13" s="6">
        <v>0.0</v>
      </c>
      <c r="E13" s="6">
        <f>D14</f>
        <v>80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16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80.0</v>
      </c>
      <c r="E14" s="3">
        <v>1000000.0</v>
      </c>
      <c r="F14" s="6">
        <f>(E13*F13)/E14</f>
        <v>0.00078992</v>
      </c>
      <c r="G14" s="6">
        <f t="shared" ref="G14:G15" si="3">FLOOR(E14*F14,1)</f>
        <v>789</v>
      </c>
      <c r="H14" s="6">
        <v>0.6</v>
      </c>
      <c r="I14" s="6">
        <f t="shared" si="1"/>
        <v>473</v>
      </c>
      <c r="J14" s="6">
        <v>0.7</v>
      </c>
      <c r="K14" s="7">
        <f t="shared" si="2"/>
        <v>552</v>
      </c>
      <c r="L14" s="11">
        <f>E14-F41</f>
        <v>200000</v>
      </c>
    </row>
    <row r="15">
      <c r="B15" s="2" t="s">
        <v>17</v>
      </c>
      <c r="C15" s="6">
        <v>0.0</v>
      </c>
      <c r="D15" s="6">
        <v>0.0</v>
      </c>
      <c r="E15" s="2">
        <f>C20</f>
        <v>700</v>
      </c>
      <c r="F15" s="2">
        <f>E20</f>
        <v>20</v>
      </c>
      <c r="G15" s="6">
        <f t="shared" si="3"/>
        <v>14000</v>
      </c>
      <c r="H15" s="2">
        <v>0.82</v>
      </c>
      <c r="I15" s="2">
        <f t="shared" si="1"/>
        <v>11480</v>
      </c>
      <c r="J15" s="2">
        <v>0.9</v>
      </c>
      <c r="K15" s="7">
        <f t="shared" si="2"/>
        <v>12600</v>
      </c>
      <c r="L15" s="11">
        <f>E15</f>
        <v>700</v>
      </c>
    </row>
    <row r="16">
      <c r="B16" s="8"/>
      <c r="D16" s="8"/>
      <c r="E16" s="8"/>
      <c r="F16" s="8"/>
      <c r="G16" s="8">
        <f>SUM(G13:G15)</f>
        <v>14789</v>
      </c>
      <c r="H16" s="8"/>
      <c r="I16" s="8">
        <f>SUM(I13:I15)</f>
        <v>11953</v>
      </c>
      <c r="J16" s="8"/>
      <c r="K16" s="8">
        <f>SUM(K13:K15)</f>
        <v>13152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17</v>
      </c>
      <c r="C20" s="3">
        <v>700.0</v>
      </c>
      <c r="D20" s="6">
        <f>C20+1</f>
        <v>701</v>
      </c>
      <c r="E20" s="3">
        <v>20.0</v>
      </c>
      <c r="F20" s="6">
        <f>CEILING(D20*E20,1)</f>
        <v>14020</v>
      </c>
      <c r="G20" s="15">
        <f>D20-C39</f>
        <v>671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14020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30.0</v>
      </c>
      <c r="E25" s="3">
        <v>30.0</v>
      </c>
      <c r="F25" s="15">
        <f>D25-E25+C40</f>
        <v>0</v>
      </c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63</v>
      </c>
      <c r="G26" s="18"/>
    </row>
    <row r="28">
      <c r="B28" s="2" t="s">
        <v>23</v>
      </c>
      <c r="C28" s="2">
        <f>I16/F21</f>
        <v>0.8525677603</v>
      </c>
    </row>
    <row r="29">
      <c r="B29" s="2" t="s">
        <v>24</v>
      </c>
      <c r="C29" s="2">
        <f>K16/F21</f>
        <v>0.9380884451</v>
      </c>
    </row>
    <row r="30">
      <c r="B30" s="2" t="s">
        <v>25</v>
      </c>
      <c r="C30" s="10">
        <f>G16/F21</f>
        <v>1.054850214</v>
      </c>
    </row>
    <row r="31">
      <c r="B31" s="2" t="s">
        <v>26</v>
      </c>
      <c r="C31" s="10">
        <f>MAX(MIN(C30-1,C9),C8)</f>
        <v>0.05485021398</v>
      </c>
    </row>
    <row r="32">
      <c r="B32" s="2" t="s">
        <v>27</v>
      </c>
      <c r="C32" s="10">
        <f>MIN(C6+(C7*(1-C29)),C31)</f>
        <v>0.05485021398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560</v>
      </c>
      <c r="D36" s="10"/>
    </row>
    <row r="37">
      <c r="B37" s="2" t="s">
        <v>29</v>
      </c>
      <c r="C37" s="6">
        <f>E25</f>
        <v>30</v>
      </c>
      <c r="D37" s="7"/>
    </row>
    <row r="38">
      <c r="B38" s="2" t="s">
        <v>30</v>
      </c>
      <c r="C38" s="10">
        <f>FLOOR(FLOOR(FLOOR(E13*F13,1)/(1+C32),1)/E20,1)</f>
        <v>37</v>
      </c>
      <c r="D38" s="10"/>
    </row>
    <row r="39">
      <c r="B39" s="2" t="s">
        <v>31</v>
      </c>
      <c r="C39" s="11">
        <f>MIN(C36:C38)</f>
        <v>30</v>
      </c>
      <c r="D39" s="11">
        <f>FLOOR(C39*E20,1)</f>
        <v>600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FLOOR(FLOOR(D39*(1+C32),1)/F13,1)</f>
        <v>64</v>
      </c>
      <c r="D41" s="11">
        <f>FLOOR(C41*F13,1)</f>
        <v>631</v>
      </c>
      <c r="E41" s="8" t="s">
        <v>55</v>
      </c>
      <c r="F41" s="19">
        <f>C41/E13*E14</f>
        <v>800000</v>
      </c>
    </row>
    <row r="42">
      <c r="B42" s="2" t="s">
        <v>34</v>
      </c>
      <c r="C42" s="11">
        <f>FLOOR(CEILING(FLOOR(D39*C32,1)*C5,1)/F13,1)</f>
        <v>1</v>
      </c>
      <c r="D42" s="11">
        <f>FLOOR(C42*F13,1)</f>
        <v>9</v>
      </c>
    </row>
    <row r="43">
      <c r="B43" s="2" t="s">
        <v>35</v>
      </c>
      <c r="C43" s="11">
        <f>C41-C42</f>
        <v>63</v>
      </c>
      <c r="D43" s="11">
        <f>FLOOR(C43*F13,1)</f>
        <v>622</v>
      </c>
    </row>
    <row r="44">
      <c r="B44" s="2" t="s">
        <v>36</v>
      </c>
      <c r="C44" s="7"/>
      <c r="D44" s="11">
        <f>(K16-FLOOR(D41*J13,1))/(F21-D39)</f>
        <v>0.9480625931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