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q Price" sheetId="1" r:id="rId4"/>
    <sheet state="visible" name="Staked Astro Lp" sheetId="2" r:id="rId5"/>
    <sheet state="visible" name="Copy of Liq Price" sheetId="3" r:id="rId6"/>
  </sheets>
  <definedNames/>
  <calcPr/>
</workbook>
</file>

<file path=xl/sharedStrings.xml><?xml version="1.0" encoding="utf-8"?>
<sst xmlns="http://schemas.openxmlformats.org/spreadsheetml/2006/main" count="134" uniqueCount="52">
  <si>
    <t>Collateral</t>
  </si>
  <si>
    <t>Amnt</t>
  </si>
  <si>
    <t>Price</t>
  </si>
  <si>
    <t>Mkt Value</t>
  </si>
  <si>
    <t>LiqLTV</t>
  </si>
  <si>
    <t>Adj MktVal</t>
  </si>
  <si>
    <t>Liq Price</t>
  </si>
  <si>
    <t>USDC</t>
  </si>
  <si>
    <t>closing_fee</t>
  </si>
  <si>
    <t>TIA</t>
  </si>
  <si>
    <t>Perp</t>
  </si>
  <si>
    <t>Direction</t>
  </si>
  <si>
    <t>Amount</t>
  </si>
  <si>
    <t>Entry Price</t>
  </si>
  <si>
    <t>Cur Price</t>
  </si>
  <si>
    <t>Cur Exposure</t>
  </si>
  <si>
    <t>UnPnL Fund</t>
  </si>
  <si>
    <t>UnPnL Closng</t>
  </si>
  <si>
    <t>Perp LiqLTV</t>
  </si>
  <si>
    <t>MktVal Num</t>
  </si>
  <si>
    <t>MktVal Den</t>
  </si>
  <si>
    <t>UnPnL Price</t>
  </si>
  <si>
    <t>ATOM-USD</t>
  </si>
  <si>
    <t>Long</t>
  </si>
  <si>
    <t>(Long)</t>
  </si>
  <si>
    <t>DYDX-USD</t>
  </si>
  <si>
    <t>Short</t>
  </si>
  <si>
    <t>(Short)</t>
  </si>
  <si>
    <t>Debt</t>
  </si>
  <si>
    <t>OSMO</t>
  </si>
  <si>
    <t>Collateral:</t>
  </si>
  <si>
    <t>Debt:</t>
  </si>
  <si>
    <t>Perps Num:</t>
  </si>
  <si>
    <t>Perps Den:</t>
  </si>
  <si>
    <t>Health Factor:</t>
  </si>
  <si>
    <t>Position:</t>
  </si>
  <si>
    <t>Net Worth:</t>
  </si>
  <si>
    <t>Leverage:</t>
  </si>
  <si>
    <r>
      <rPr>
        <rFont val="Arial"/>
        <b/>
        <color theme="1"/>
      </rPr>
      <t>Liquidation Price (Long)</t>
    </r>
    <r>
      <rPr>
        <rFont val="Arial"/>
        <color theme="1"/>
      </rPr>
      <t xml:space="preserve"> = (Debt + Perps Den - Cur Exposure*Perp LiqLTV - Collateral - Perps Den) / (Amount * Per LiqLTV)</t>
    </r>
  </si>
  <si>
    <r>
      <rPr>
        <rFont val="Arial"/>
        <b/>
        <color theme="1"/>
      </rPr>
      <t>Liquidation Price (Short)</t>
    </r>
    <r>
      <rPr>
        <rFont val="Arial"/>
        <color theme="1"/>
      </rPr>
      <t xml:space="preserve"> = (Collateral + Perps Num - Cur Exposure*(2 - Perp LiqLTV) - Debt - Perps Den) / (Amount * (2 - Per LiqLTV))</t>
    </r>
  </si>
  <si>
    <r>
      <rPr>
        <rFont val="Arial"/>
        <b/>
        <color theme="1"/>
      </rPr>
      <t>Liquidation Price (Spot)</t>
    </r>
    <r>
      <rPr>
        <rFont val="Arial"/>
        <color theme="1"/>
      </rPr>
      <t xml:space="preserve"> = (Debt + Perps Den - RWA(t-x) - Perps Num) / (Amntx*LiqLTVx)</t>
    </r>
  </si>
  <si>
    <r>
      <rPr>
        <rFont val="Arial"/>
        <b/>
        <color theme="1"/>
      </rPr>
      <t>Liquidation Price (Debt)</t>
    </r>
    <r>
      <rPr>
        <rFont val="Arial"/>
        <color theme="1"/>
      </rPr>
      <t xml:space="preserve"> = (RWA(t) + Perps Num - Perps Den - Debt(t-x) / (Amnt(x))</t>
    </r>
  </si>
  <si>
    <t>Astro LP</t>
  </si>
  <si>
    <t>Dai</t>
  </si>
  <si>
    <r>
      <rPr>
        <rFont val="Arial"/>
        <b/>
        <color theme="1"/>
      </rPr>
      <t>Liquidation Price (Long)</t>
    </r>
    <r>
      <rPr>
        <rFont val="Arial"/>
        <color theme="1"/>
      </rPr>
      <t xml:space="preserve"> = (Debt + Perps Den - Cur Exposure*Perp LiqLTV - Collateral - Perps Den) / (Amount * Per LiqLTV)</t>
    </r>
  </si>
  <si>
    <r>
      <rPr>
        <rFont val="Arial"/>
        <b/>
        <color theme="1"/>
      </rPr>
      <t>Liquidation Price (Short)</t>
    </r>
    <r>
      <rPr>
        <rFont val="Arial"/>
        <color theme="1"/>
      </rPr>
      <t xml:space="preserve"> = (Collateral + Perps Num - Cur Exposure*(2 - Perp LiqLTV) - Debt - Perps Den) / (Amount * (2 - Per LiqLTV))</t>
    </r>
  </si>
  <si>
    <r>
      <rPr>
        <rFont val="Arial"/>
        <b/>
        <color theme="1"/>
      </rPr>
      <t>Liquidation Price (Spot)</t>
    </r>
    <r>
      <rPr>
        <rFont val="Arial"/>
        <color theme="1"/>
      </rPr>
      <t xml:space="preserve"> = (Debt + Perps Den - RWA(t-x) - Perps Num) / (Amntx*LiqLTVx)</t>
    </r>
  </si>
  <si>
    <r>
      <rPr>
        <rFont val="Arial"/>
        <b/>
        <color theme="1"/>
      </rPr>
      <t>Liquidation Price (Debt)</t>
    </r>
    <r>
      <rPr>
        <rFont val="Arial"/>
        <color theme="1"/>
      </rPr>
      <t xml:space="preserve"> = (RWA(t) + Perps Num - Perps Den - Debt(t-x) / (Amnt(x))</t>
    </r>
  </si>
  <si>
    <r>
      <rPr>
        <rFont val="Arial"/>
        <b/>
        <color theme="1"/>
      </rPr>
      <t>Liquidation Price (Long)</t>
    </r>
    <r>
      <rPr>
        <rFont val="Arial"/>
        <color theme="1"/>
      </rPr>
      <t xml:space="preserve"> = (Debt + Perps Den - Cur Exposure*Perp LiqLTV - Collateral - Perps Den) / (Amount * Per LiqLTV)</t>
    </r>
  </si>
  <si>
    <r>
      <rPr>
        <rFont val="Arial"/>
        <b/>
        <color theme="1"/>
      </rPr>
      <t>Liquidation Price (Short)</t>
    </r>
    <r>
      <rPr>
        <rFont val="Arial"/>
        <color theme="1"/>
      </rPr>
      <t xml:space="preserve"> = (Collateral + Perps Num - Cur Exposure*(2 - Perp LiqLTV) - Debt - Perps Den) / (Amount * (2 - Per LiqLTV))</t>
    </r>
  </si>
  <si>
    <r>
      <rPr>
        <rFont val="Arial"/>
        <b/>
        <color theme="1"/>
      </rPr>
      <t>Liquidation Price (Spot)</t>
    </r>
    <r>
      <rPr>
        <rFont val="Arial"/>
        <color theme="1"/>
      </rPr>
      <t xml:space="preserve"> = (Debt + Perps Den - RWA(t-x) - Perps Num) / (Amntx*LiqLTVx)</t>
    </r>
  </si>
  <si>
    <r>
      <rPr>
        <rFont val="Arial"/>
        <b/>
        <color theme="1"/>
      </rPr>
      <t>Liquidation Price (Debt)</t>
    </r>
    <r>
      <rPr>
        <rFont val="Arial"/>
        <color theme="1"/>
      </rPr>
      <t xml:space="preserve"> = (RWA(t) + Perps Num - Perps Den - Debt(t-x) / (Amnt(x))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</si>
</sst>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&quot;$&quot;#,##0.00"/>
    <numFmt numFmtId="165" formatCode="&quot;$&quot;#,##0.00000"/>
    <numFmt numFmtId="166" formatCode="&quot;$&quot;#,##0.0000"/>
    <numFmt numFmtId="167" formatCode="&quot;$&quot;#,##0.00000000"/>
    <numFmt numFmtId="168" formatCode="&quot;$&quot;#,##0.000000"/>
    <numFmt numFmtId="169" formatCode="&quot;$&quot;#,##0.0000000000000"/>
    <numFmt numFmtId="170" formatCode="0.0000000000000000000000"/>
    <numFmt numFmtId="171" formatCode="0.000000000000"/>
    <numFmt numFmtId="172" formatCode="#,##0.0000000000"/>
    <numFmt numFmtId="173" formatCode="0.0000000000000"/>
    <numFmt numFmtId="174" formatCode="&quot;$&quot;#,##0"/>
    <numFmt numFmtId="175" formatCode="&quot;$&quot;#,##0.0000000"/>
    <numFmt numFmtId="176" formatCode="#,##0.00000000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2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2" fontId="2" numFmtId="9" xfId="0" applyAlignment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0" fillId="0" fontId="1" numFmtId="0" xfId="0" applyFont="1"/>
    <xf borderId="0" fillId="0" fontId="2" numFmtId="10" xfId="0" applyFont="1" applyNumberFormat="1"/>
    <xf borderId="0" fillId="2" fontId="1" numFmtId="0" xfId="0" applyAlignment="1" applyFont="1">
      <alignment horizontal="center"/>
    </xf>
    <xf borderId="0" fillId="2" fontId="2" numFmtId="166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0" fillId="0" fontId="2" numFmtId="168" xfId="0" applyAlignment="1" applyFont="1" applyNumberFormat="1">
      <alignment horizontal="center"/>
    </xf>
    <xf borderId="0" fillId="0" fontId="2" numFmtId="169" xfId="0" applyAlignment="1" applyFont="1" applyNumberFormat="1">
      <alignment horizontal="center"/>
    </xf>
    <xf borderId="0" fillId="0" fontId="2" numFmtId="0" xfId="0" applyFont="1"/>
    <xf borderId="0" fillId="3" fontId="3" numFmtId="0" xfId="0" applyFill="1" applyFont="1"/>
    <xf borderId="0" fillId="0" fontId="2" numFmtId="170" xfId="0" applyFont="1" applyNumberFormat="1"/>
    <xf borderId="0" fillId="4" fontId="2" numFmtId="165" xfId="0" applyAlignment="1" applyFill="1" applyFont="1" applyNumberFormat="1">
      <alignment horizontal="center"/>
    </xf>
    <xf borderId="0" fillId="0" fontId="2" numFmtId="171" xfId="0" applyFont="1" applyNumberFormat="1"/>
    <xf borderId="0" fillId="0" fontId="2" numFmtId="172" xfId="0" applyFont="1" applyNumberFormat="1"/>
    <xf borderId="0" fillId="0" fontId="2" numFmtId="173" xfId="0" applyFont="1" applyNumberFormat="1"/>
    <xf borderId="0" fillId="0" fontId="2" numFmtId="174" xfId="0" applyFont="1" applyNumberFormat="1"/>
    <xf borderId="0" fillId="0" fontId="1" numFmtId="175" xfId="0" applyFont="1" applyNumberFormat="1"/>
    <xf borderId="0" fillId="0" fontId="2" numFmtId="176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2" numFmtId="165" xfId="0" applyFont="1" applyNumberFormat="1"/>
    <xf borderId="0" fillId="0" fontId="2" numFmtId="169" xfId="0" applyFont="1" applyNumberFormat="1"/>
    <xf borderId="0" fillId="0" fontId="2" numFmtId="164" xfId="0" applyFont="1" applyNumberFormat="1"/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9" xfId="0" applyAlignment="1" applyFont="1" applyNumberForma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4" fontId="2" numFmtId="164" xfId="0" applyAlignment="1" applyFont="1" applyNumberFormat="1">
      <alignment horizontal="center"/>
    </xf>
    <xf borderId="0" fillId="0" fontId="2" numFmtId="166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11</xdr:row>
      <xdr:rowOff>76200</xdr:rowOff>
    </xdr:from>
    <xdr:ext cx="5686425" cy="1762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8</xdr:row>
      <xdr:rowOff>76200</xdr:rowOff>
    </xdr:from>
    <xdr:ext cx="5686425" cy="1762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11</xdr:row>
      <xdr:rowOff>76200</xdr:rowOff>
    </xdr:from>
    <xdr:ext cx="5686425" cy="1762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1.25"/>
    <col customWidth="1" min="3" max="3" width="16.88"/>
    <col customWidth="1" min="4" max="4" width="11.38"/>
    <col customWidth="1" min="5" max="5" width="10.38"/>
    <col customWidth="1" min="6" max="6" width="13.25"/>
    <col customWidth="1" min="7" max="7" width="16.0"/>
    <col customWidth="1" min="8" max="8" width="14.0"/>
    <col customWidth="1" min="10" max="10" width="15.0"/>
    <col customWidth="1" min="13" max="13" width="25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3">
        <v>1000.0</v>
      </c>
      <c r="C2" s="4">
        <v>1.0</v>
      </c>
      <c r="D2" s="5">
        <f t="shared" ref="D2:D3" si="1">B2*C2</f>
        <v>1000</v>
      </c>
      <c r="E2" s="6">
        <v>0.85</v>
      </c>
      <c r="F2" s="5">
        <f t="shared" ref="F2:F3" si="2">D2*E2</f>
        <v>850</v>
      </c>
      <c r="G2" s="7">
        <f>($B$14+$B$16-($B$13-F2)-$B$15)/FLOOR(B2*E2,1)</f>
        <v>0.5891764706</v>
      </c>
      <c r="I2" s="8" t="s">
        <v>8</v>
      </c>
      <c r="J2" s="9">
        <v>2.0E-4</v>
      </c>
    </row>
    <row r="3" ht="15.75" customHeight="1">
      <c r="A3" s="2" t="s">
        <v>9</v>
      </c>
      <c r="B3" s="3">
        <v>150.0</v>
      </c>
      <c r="C3" s="4">
        <v>16.0</v>
      </c>
      <c r="D3" s="5">
        <f t="shared" si="1"/>
        <v>2400</v>
      </c>
      <c r="E3" s="6">
        <v>0.35</v>
      </c>
      <c r="F3" s="5">
        <f t="shared" si="2"/>
        <v>840</v>
      </c>
      <c r="G3" s="7">
        <f>($B$14+$B$16-($B$13-F3)-$B$15)/(B3*E3)</f>
        <v>9.348571429</v>
      </c>
    </row>
    <row r="4" ht="15.75" customHeight="1">
      <c r="A4" s="2"/>
      <c r="B4" s="2"/>
      <c r="C4" s="5"/>
      <c r="D4" s="2"/>
      <c r="E4" s="2"/>
      <c r="F4" s="2"/>
      <c r="G4" s="2"/>
    </row>
    <row r="5" ht="15.75" customHeight="1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0" t="s">
        <v>6</v>
      </c>
    </row>
    <row r="6" ht="15.75" customHeight="1">
      <c r="A6" s="2" t="s">
        <v>22</v>
      </c>
      <c r="B6" s="3" t="s">
        <v>23</v>
      </c>
      <c r="C6" s="3">
        <v>300.0</v>
      </c>
      <c r="D6" s="11">
        <v>10.0</v>
      </c>
      <c r="E6" s="11">
        <v>12.0</v>
      </c>
      <c r="F6" s="12">
        <f t="shared" ref="F6:F7" si="3">C6*E6</f>
        <v>3600</v>
      </c>
      <c r="G6" s="4">
        <v>-725.0</v>
      </c>
      <c r="H6" s="13">
        <f>-F6*J2</f>
        <v>-0.72</v>
      </c>
      <c r="I6" s="6">
        <v>0.85</v>
      </c>
      <c r="J6" s="14">
        <f>F6*(I6-J2)+MAX(0,G6)*I6</f>
        <v>3059.28</v>
      </c>
      <c r="K6" s="12">
        <f>C6*D6-MIN(G6,0)</f>
        <v>3725</v>
      </c>
      <c r="L6" s="5">
        <f>F6-C6*D6</f>
        <v>600</v>
      </c>
      <c r="M6" s="15">
        <f>(B14+B16-B13-B15+J6)/(C6*(I6-J2))</f>
        <v>10.63026594</v>
      </c>
      <c r="N6" s="16" t="s">
        <v>24</v>
      </c>
      <c r="Q6" s="17"/>
    </row>
    <row r="7" ht="15.75" customHeight="1">
      <c r="A7" s="2" t="s">
        <v>25</v>
      </c>
      <c r="B7" s="3" t="s">
        <v>26</v>
      </c>
      <c r="C7" s="3">
        <v>500.0</v>
      </c>
      <c r="D7" s="4">
        <v>2.7</v>
      </c>
      <c r="E7" s="4">
        <v>3.3</v>
      </c>
      <c r="F7" s="5">
        <f t="shared" si="3"/>
        <v>1650</v>
      </c>
      <c r="G7" s="4">
        <v>425.0</v>
      </c>
      <c r="H7" s="13">
        <f>-J2*F7</f>
        <v>-0.33</v>
      </c>
      <c r="I7" s="6">
        <v>0.8</v>
      </c>
      <c r="J7" s="14">
        <f>C7*D7+MAX(0,G7)*I7</f>
        <v>1690</v>
      </c>
      <c r="K7" s="5">
        <f>F7*(2-I7)-MIN(0,G7)-H7</f>
        <v>1980.33</v>
      </c>
      <c r="L7" s="5">
        <f>(C7*D7)-F7</f>
        <v>-300</v>
      </c>
      <c r="M7" s="15">
        <f>(B13+B15-B14-B16+F7*(2-I7+J2))/(C7*(2-I7+J2))</f>
        <v>3.881903016</v>
      </c>
      <c r="N7" s="16" t="s">
        <v>27</v>
      </c>
      <c r="Q7" s="17"/>
    </row>
    <row r="8" ht="15.75" customHeight="1">
      <c r="A8" s="1"/>
      <c r="C8" s="2"/>
      <c r="D8" s="2"/>
      <c r="E8" s="2"/>
      <c r="F8" s="2"/>
      <c r="G8" s="2"/>
    </row>
    <row r="9" ht="15.75" customHeight="1">
      <c r="A9" s="1" t="s">
        <v>28</v>
      </c>
      <c r="B9" s="1" t="s">
        <v>1</v>
      </c>
      <c r="C9" s="1" t="s">
        <v>2</v>
      </c>
      <c r="D9" s="1" t="s">
        <v>3</v>
      </c>
      <c r="E9" s="1" t="s">
        <v>6</v>
      </c>
      <c r="G9" s="2"/>
      <c r="M9" s="18"/>
    </row>
    <row r="10" ht="15.75" customHeight="1">
      <c r="A10" s="2" t="s">
        <v>29</v>
      </c>
      <c r="B10" s="3">
        <v>285.0</v>
      </c>
      <c r="C10" s="4">
        <v>1.35</v>
      </c>
      <c r="D10" s="5">
        <f>B10*C10</f>
        <v>384.75</v>
      </c>
      <c r="E10" s="19">
        <f>(B13+B15-B16-(B14-D10))/B10</f>
        <v>2.575263158</v>
      </c>
      <c r="G10" s="2"/>
      <c r="J10" s="20"/>
    </row>
    <row r="11" ht="15.75" customHeight="1">
      <c r="J11" s="21"/>
    </row>
    <row r="12" ht="15.75" customHeight="1">
      <c r="C12" s="22"/>
    </row>
    <row r="13" ht="15.75" customHeight="1">
      <c r="A13" s="1" t="s">
        <v>30</v>
      </c>
      <c r="B13" s="12">
        <f>SUM(F2:F3)</f>
        <v>1690</v>
      </c>
      <c r="C13" s="23"/>
      <c r="D13" s="24"/>
    </row>
    <row r="14" ht="15.75" customHeight="1">
      <c r="A14" s="1" t="s">
        <v>31</v>
      </c>
      <c r="B14" s="12">
        <f>D10</f>
        <v>384.75</v>
      </c>
      <c r="C14" s="23"/>
      <c r="D14" s="24"/>
    </row>
    <row r="15" ht="15.75" customHeight="1">
      <c r="A15" s="1" t="s">
        <v>32</v>
      </c>
      <c r="B15" s="12">
        <f>SUM(J6:J7)</f>
        <v>4749.28</v>
      </c>
      <c r="C15" s="23">
        <v>5070.53</v>
      </c>
      <c r="D15" s="24"/>
    </row>
    <row r="16" ht="15.75" customHeight="1">
      <c r="A16" s="1" t="s">
        <v>33</v>
      </c>
      <c r="B16" s="12">
        <f>SUM(K6:K7)</f>
        <v>5705.33</v>
      </c>
      <c r="C16" s="23">
        <v>5345.27</v>
      </c>
      <c r="D16" s="24"/>
    </row>
    <row r="17" ht="15.75" customHeight="1"/>
    <row r="18" ht="15.75" customHeight="1">
      <c r="A18" s="1" t="s">
        <v>34</v>
      </c>
      <c r="B18" s="25">
        <f>(B13+B15)/(B14+B16)</f>
        <v>1.057339148</v>
      </c>
    </row>
    <row r="19" ht="15.75" customHeight="1">
      <c r="A19" s="1"/>
    </row>
    <row r="20" ht="15.75" customHeight="1">
      <c r="A20" s="1" t="s">
        <v>35</v>
      </c>
      <c r="B20" s="5">
        <f>SUM(D2:D3)+SUM(F6:F7)+SUM(G6:G7)+SUM(H6:H7)+SUM(L6:L7)</f>
        <v>8648.95</v>
      </c>
    </row>
    <row r="21" ht="15.75" customHeight="1">
      <c r="A21" s="1" t="s">
        <v>36</v>
      </c>
      <c r="B21" s="5">
        <f>SUM(D2:D3)-B14+SUM(G6:G7)+SUM(H6:H7)+SUM(L6:L7)</f>
        <v>3014.2</v>
      </c>
    </row>
    <row r="22" ht="15.75" customHeight="1"/>
    <row r="23" ht="15.75" customHeight="1">
      <c r="A23" s="1" t="s">
        <v>37</v>
      </c>
      <c r="B23" s="26">
        <f>B20/B21</f>
        <v>2.8694015</v>
      </c>
    </row>
    <row r="24" ht="15.75" customHeight="1">
      <c r="D24" s="16" t="s">
        <v>38</v>
      </c>
    </row>
    <row r="25" ht="15.75" customHeight="1">
      <c r="D25" s="16" t="s">
        <v>39</v>
      </c>
    </row>
    <row r="26" ht="15.75" customHeight="1"/>
    <row r="27" ht="15.75" customHeight="1">
      <c r="D27" s="16" t="s">
        <v>40</v>
      </c>
    </row>
    <row r="28" ht="15.75" customHeight="1">
      <c r="D28" s="16" t="s">
        <v>41</v>
      </c>
    </row>
    <row r="29" ht="15.75" customHeight="1"/>
    <row r="30" ht="15.75" customHeight="1"/>
    <row r="31" ht="15.75" customHeight="1"/>
    <row r="32" ht="15.75" customHeight="1"/>
    <row r="33" ht="15.75" customHeight="1">
      <c r="F33" s="27"/>
      <c r="G33" s="27"/>
    </row>
    <row r="34" ht="15.75" customHeight="1">
      <c r="G34" s="28"/>
    </row>
    <row r="35" ht="15.75" customHeight="1"/>
    <row r="36" ht="15.75" customHeight="1">
      <c r="G36" s="2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1.25"/>
    <col customWidth="1" min="3" max="3" width="16.88"/>
    <col customWidth="1" min="4" max="4" width="11.38"/>
    <col customWidth="1" min="5" max="5" width="10.38"/>
    <col customWidth="1" min="6" max="6" width="13.25"/>
    <col customWidth="1" min="7" max="7" width="18.75"/>
    <col customWidth="1" min="8" max="8" width="14.0"/>
    <col customWidth="1" min="10" max="10" width="15.0"/>
    <col customWidth="1" min="13" max="13" width="25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30" t="s">
        <v>42</v>
      </c>
      <c r="B2" s="31">
        <v>1.8E9</v>
      </c>
      <c r="C2" s="4">
        <v>1.0</v>
      </c>
      <c r="D2" s="5">
        <f>B2*C2</f>
        <v>1800000000</v>
      </c>
      <c r="E2" s="32">
        <v>0.85</v>
      </c>
      <c r="F2" s="5">
        <f>D2*E2</f>
        <v>1530000000</v>
      </c>
      <c r="G2" s="7">
        <f>($B$11+$B$13-($B$10-F2)-$B$12)/FLOOR(B2*E2,1)</f>
        <v>0.2458439216</v>
      </c>
      <c r="I2" s="8" t="s">
        <v>8</v>
      </c>
      <c r="J2" s="9">
        <v>2.0E-4</v>
      </c>
    </row>
    <row r="3" ht="15.75" customHeight="1">
      <c r="A3" s="2"/>
      <c r="B3" s="2"/>
      <c r="C3" s="5"/>
      <c r="D3" s="2"/>
      <c r="E3" s="2"/>
      <c r="F3" s="2"/>
      <c r="G3" s="2"/>
    </row>
    <row r="4" ht="15.75" customHeight="1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0" t="s">
        <v>6</v>
      </c>
    </row>
    <row r="5" ht="15.75" customHeight="1">
      <c r="A5" s="1"/>
      <c r="C5" s="2"/>
      <c r="D5" s="2"/>
      <c r="E5" s="2"/>
      <c r="F5" s="2"/>
      <c r="G5" s="2"/>
    </row>
    <row r="6" ht="15.75" customHeight="1">
      <c r="A6" s="1" t="s">
        <v>28</v>
      </c>
      <c r="B6" s="1" t="s">
        <v>1</v>
      </c>
      <c r="C6" s="1" t="s">
        <v>2</v>
      </c>
      <c r="D6" s="1" t="s">
        <v>3</v>
      </c>
      <c r="E6" s="1" t="s">
        <v>6</v>
      </c>
      <c r="G6" s="2"/>
      <c r="M6" s="18"/>
    </row>
    <row r="7" ht="15.75" customHeight="1">
      <c r="A7" s="30" t="s">
        <v>43</v>
      </c>
      <c r="B7" s="31">
        <v>1.2E9</v>
      </c>
      <c r="C7" s="33">
        <v>0.313451</v>
      </c>
      <c r="D7" s="5">
        <f>B7*C7</f>
        <v>376141200</v>
      </c>
      <c r="E7" s="34">
        <f>(B10+B12-B13-(B11-D7))/B7</f>
        <v>1.275</v>
      </c>
      <c r="G7" s="2"/>
      <c r="J7" s="20"/>
    </row>
    <row r="8" ht="15.75" customHeight="1">
      <c r="J8" s="21"/>
    </row>
    <row r="9" ht="15.75" customHeight="1">
      <c r="C9" s="22"/>
    </row>
    <row r="10" ht="15.75" customHeight="1">
      <c r="A10" s="1" t="s">
        <v>30</v>
      </c>
      <c r="B10" s="12">
        <f>SUM(F2)</f>
        <v>1530000000</v>
      </c>
      <c r="C10" s="23"/>
      <c r="D10" s="24"/>
    </row>
    <row r="11" ht="15.75" customHeight="1">
      <c r="A11" s="1" t="s">
        <v>31</v>
      </c>
      <c r="B11" s="12">
        <f>D7</f>
        <v>376141200</v>
      </c>
      <c r="C11" s="23"/>
      <c r="D11" s="24"/>
    </row>
    <row r="12" ht="15.75" customHeight="1">
      <c r="A12" s="1" t="s">
        <v>32</v>
      </c>
      <c r="B12" s="35">
        <v>0.0</v>
      </c>
      <c r="C12" s="23">
        <v>5070.53</v>
      </c>
      <c r="D12" s="24"/>
    </row>
    <row r="13" ht="15.75" customHeight="1">
      <c r="A13" s="1" t="s">
        <v>33</v>
      </c>
      <c r="B13" s="35">
        <v>0.0</v>
      </c>
      <c r="C13" s="23">
        <v>5345.27</v>
      </c>
      <c r="D13" s="24"/>
    </row>
    <row r="14" ht="15.75" customHeight="1"/>
    <row r="15" ht="15.75" customHeight="1">
      <c r="A15" s="1" t="s">
        <v>34</v>
      </c>
      <c r="B15" s="25">
        <f>(B10+B12)/(B11+B13)</f>
        <v>4.067621415</v>
      </c>
    </row>
    <row r="16" ht="15.75" customHeight="1">
      <c r="A16" s="1"/>
    </row>
    <row r="17" ht="15.75" customHeight="1">
      <c r="A17" s="1" t="s">
        <v>35</v>
      </c>
      <c r="B17" s="5" t="str">
        <f>SUM(D2)+SUM(#REF!)+SUM(#REF!)+SUM(#REF!)+SUM(#REF!)</f>
        <v>#REF!</v>
      </c>
    </row>
    <row r="18" ht="15.75" customHeight="1">
      <c r="A18" s="1" t="s">
        <v>36</v>
      </c>
      <c r="B18" s="5" t="str">
        <f>SUM(D2)-B11+SUM(#REF!)+SUM(#REF!)+SUM(#REF!)</f>
        <v>#REF!</v>
      </c>
    </row>
    <row r="19" ht="15.75" customHeight="1"/>
    <row r="20" ht="15.75" customHeight="1">
      <c r="A20" s="1" t="s">
        <v>37</v>
      </c>
      <c r="B20" s="26" t="str">
        <f>B17/B18</f>
        <v>#REF!</v>
      </c>
    </row>
    <row r="21" ht="15.75" customHeight="1">
      <c r="D21" s="16" t="s">
        <v>44</v>
      </c>
    </row>
    <row r="22" ht="15.75" customHeight="1">
      <c r="D22" s="16" t="s">
        <v>45</v>
      </c>
    </row>
    <row r="23" ht="15.75" customHeight="1"/>
    <row r="24" ht="15.75" customHeight="1">
      <c r="D24" s="16" t="s">
        <v>46</v>
      </c>
    </row>
    <row r="25" ht="15.75" customHeight="1">
      <c r="D25" s="16" t="s">
        <v>47</v>
      </c>
    </row>
    <row r="26" ht="15.75" customHeight="1"/>
    <row r="27" ht="15.75" customHeight="1"/>
    <row r="28" ht="15.75" customHeight="1"/>
    <row r="29" ht="15.75" customHeight="1"/>
    <row r="30" ht="15.75" customHeight="1">
      <c r="F30" s="27"/>
      <c r="G30" s="27"/>
    </row>
    <row r="31" ht="15.75" customHeight="1">
      <c r="G31" s="28"/>
    </row>
    <row r="32" ht="15.75" customHeight="1"/>
    <row r="33" ht="15.75" customHeight="1">
      <c r="G33" s="29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1.25"/>
    <col customWidth="1" min="3" max="3" width="16.88"/>
    <col customWidth="1" min="4" max="4" width="11.38"/>
    <col customWidth="1" min="5" max="5" width="10.38"/>
    <col customWidth="1" min="6" max="6" width="13.25"/>
    <col customWidth="1" min="7" max="7" width="11.25"/>
    <col customWidth="1" min="8" max="8" width="14.0"/>
    <col customWidth="1" min="10" max="10" width="1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3">
        <v>1000.0</v>
      </c>
      <c r="C2" s="4">
        <v>1.0</v>
      </c>
      <c r="D2" s="5">
        <f t="shared" ref="D2:D3" si="1">B2*C2</f>
        <v>1000</v>
      </c>
      <c r="E2" s="6">
        <v>0.85</v>
      </c>
      <c r="F2" s="5">
        <f t="shared" ref="F2:F3" si="2">D2*E2</f>
        <v>850</v>
      </c>
      <c r="G2" s="4">
        <f t="shared" ref="G2:G3" si="3">($B$14+$B$16-($B$13-F2)-$B$15)/(B2*E2)</f>
        <v>0.5246323529</v>
      </c>
      <c r="I2" s="8" t="s">
        <v>8</v>
      </c>
      <c r="J2" s="9">
        <v>7.5E-4</v>
      </c>
    </row>
    <row r="3" ht="15.75" customHeight="1">
      <c r="A3" s="2" t="s">
        <v>9</v>
      </c>
      <c r="B3" s="3">
        <v>150.0</v>
      </c>
      <c r="C3" s="4">
        <v>16.0</v>
      </c>
      <c r="D3" s="5">
        <f t="shared" si="1"/>
        <v>2400</v>
      </c>
      <c r="E3" s="6">
        <v>0.35</v>
      </c>
      <c r="F3" s="5">
        <f t="shared" si="2"/>
        <v>840</v>
      </c>
      <c r="G3" s="4">
        <f t="shared" si="3"/>
        <v>8.303571429</v>
      </c>
    </row>
    <row r="4" ht="15.75" customHeight="1">
      <c r="A4" s="2"/>
      <c r="B4" s="2"/>
      <c r="C4" s="5"/>
      <c r="D4" s="2"/>
      <c r="E4" s="2"/>
      <c r="F4" s="2"/>
      <c r="G4" s="2"/>
    </row>
    <row r="5" ht="15.75" customHeight="1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0" t="s">
        <v>6</v>
      </c>
    </row>
    <row r="6" ht="15.75" customHeight="1">
      <c r="A6" s="2" t="s">
        <v>22</v>
      </c>
      <c r="B6" s="3" t="s">
        <v>23</v>
      </c>
      <c r="C6" s="3">
        <v>300.0</v>
      </c>
      <c r="D6" s="4">
        <v>10.0</v>
      </c>
      <c r="E6" s="4">
        <v>12.0</v>
      </c>
      <c r="F6" s="5">
        <f t="shared" ref="F6:F7" si="4">C6*E6</f>
        <v>3600</v>
      </c>
      <c r="G6" s="4">
        <f>-725*E2</f>
        <v>-616.25</v>
      </c>
      <c r="H6" s="13">
        <f>-F6*J2</f>
        <v>-2.7</v>
      </c>
      <c r="I6" s="6">
        <v>0.85</v>
      </c>
      <c r="J6" s="5">
        <f>(MAX(0,G6)+F6)*I6+H6</f>
        <v>3057.3</v>
      </c>
      <c r="K6" s="5">
        <f>C6*D6-MIN(G6,0)</f>
        <v>3616.25</v>
      </c>
      <c r="L6" s="5">
        <f>F6-C6*D6</f>
        <v>600</v>
      </c>
      <c r="M6" s="5">
        <f>(B14+B16-B13-B15+J6)/(C6*(I6-J2))</f>
        <v>10.4140418</v>
      </c>
      <c r="N6" s="16" t="s">
        <v>24</v>
      </c>
      <c r="O6" s="29">
        <f t="shared" ref="O6:O7" si="5">G6+H6+L6</f>
        <v>-18.95</v>
      </c>
    </row>
    <row r="7" ht="15.75" customHeight="1">
      <c r="A7" s="2" t="s">
        <v>25</v>
      </c>
      <c r="B7" s="3" t="s">
        <v>26</v>
      </c>
      <c r="C7" s="3">
        <v>500.0</v>
      </c>
      <c r="D7" s="4">
        <v>2.7</v>
      </c>
      <c r="E7" s="4">
        <v>3.3</v>
      </c>
      <c r="F7" s="5">
        <f t="shared" si="4"/>
        <v>1650</v>
      </c>
      <c r="G7" s="4">
        <f>425*E2</f>
        <v>361.25</v>
      </c>
      <c r="H7" s="13">
        <f>-J2*F7</f>
        <v>-1.2375</v>
      </c>
      <c r="I7" s="6">
        <v>0.8</v>
      </c>
      <c r="J7" s="5">
        <f>C7*D7+MAX(0,G7)*I7</f>
        <v>1639</v>
      </c>
      <c r="K7" s="5">
        <f>F7*(2-I7)-MIN(0,G7)-H7</f>
        <v>1981.2375</v>
      </c>
      <c r="L7" s="5">
        <f>(C7*D7)-F7</f>
        <v>-300</v>
      </c>
      <c r="M7" s="5">
        <f>(B13+B15-B14-B16+F7*(2-I7+J2))/(C7*(2-I7+J2))</f>
        <v>3.973016864</v>
      </c>
      <c r="N7" s="16" t="s">
        <v>27</v>
      </c>
      <c r="O7" s="29">
        <f t="shared" si="5"/>
        <v>60.0125</v>
      </c>
    </row>
    <row r="8" ht="15.75" customHeight="1">
      <c r="A8" s="1"/>
      <c r="C8" s="2"/>
      <c r="D8" s="2"/>
      <c r="E8" s="2"/>
      <c r="F8" s="2"/>
      <c r="G8" s="2"/>
    </row>
    <row r="9" ht="15.75" customHeight="1">
      <c r="A9" s="1" t="s">
        <v>28</v>
      </c>
      <c r="B9" s="1" t="s">
        <v>1</v>
      </c>
      <c r="C9" s="1" t="s">
        <v>2</v>
      </c>
      <c r="D9" s="1" t="s">
        <v>3</v>
      </c>
      <c r="E9" s="1" t="s">
        <v>6</v>
      </c>
      <c r="G9" s="2"/>
    </row>
    <row r="10" ht="15.75" customHeight="1">
      <c r="A10" s="2" t="s">
        <v>29</v>
      </c>
      <c r="B10" s="3">
        <v>285.0</v>
      </c>
      <c r="C10" s="4">
        <v>1.35</v>
      </c>
      <c r="D10" s="5">
        <f>B10*C10</f>
        <v>384.75</v>
      </c>
      <c r="E10" s="34">
        <f>(B13+B15-B16-(B14-D10))/B10</f>
        <v>2.767763158</v>
      </c>
      <c r="G10" s="2"/>
      <c r="J10" s="20"/>
    </row>
    <row r="11" ht="15.75" customHeight="1">
      <c r="J11" s="21"/>
    </row>
    <row r="12" ht="15.75" customHeight="1">
      <c r="C12" s="22"/>
    </row>
    <row r="13" ht="15.75" customHeight="1">
      <c r="A13" s="1" t="s">
        <v>30</v>
      </c>
      <c r="B13" s="12">
        <f>SUM(F2:F3)</f>
        <v>1690</v>
      </c>
      <c r="C13" s="23"/>
      <c r="D13" s="24"/>
    </row>
    <row r="14" ht="15.75" customHeight="1">
      <c r="A14" s="1" t="s">
        <v>31</v>
      </c>
      <c r="B14" s="12">
        <f>D10</f>
        <v>384.75</v>
      </c>
      <c r="C14" s="23"/>
      <c r="D14" s="24"/>
    </row>
    <row r="15" ht="15.75" customHeight="1">
      <c r="A15" s="1" t="s">
        <v>32</v>
      </c>
      <c r="B15" s="12">
        <f>SUM(J6:J7)</f>
        <v>4696.3</v>
      </c>
      <c r="C15" s="23">
        <v>5070.53</v>
      </c>
      <c r="D15" s="24"/>
    </row>
    <row r="16" ht="15.75" customHeight="1">
      <c r="A16" s="1" t="s">
        <v>33</v>
      </c>
      <c r="B16" s="12">
        <f>SUM(K6:K7)</f>
        <v>5597.4875</v>
      </c>
      <c r="C16" s="23">
        <v>5345.27</v>
      </c>
      <c r="D16" s="24"/>
    </row>
    <row r="17" ht="15.75" customHeight="1"/>
    <row r="18" ht="15.75" customHeight="1">
      <c r="A18" s="1" t="s">
        <v>34</v>
      </c>
      <c r="B18" s="25">
        <f>(B13+B15)/(B14+B16)</f>
        <v>1.067543708</v>
      </c>
    </row>
    <row r="19" ht="15.75" customHeight="1">
      <c r="A19" s="1"/>
    </row>
    <row r="20" ht="15.75" customHeight="1">
      <c r="A20" s="1" t="s">
        <v>35</v>
      </c>
      <c r="B20" s="5">
        <f>SUM(D2:D3)+SUM(F6:F7)+SUM(G6:G7)+SUM(H6:H7)+SUM(L6:L7)</f>
        <v>8691.0625</v>
      </c>
    </row>
    <row r="21" ht="15.75" customHeight="1">
      <c r="A21" s="1" t="s">
        <v>36</v>
      </c>
      <c r="B21" s="5">
        <f>SUM(D2:D3)-B14+SUM(G6:G7)+SUM(H6:H7)+SUM(L6:L7)</f>
        <v>3056.3125</v>
      </c>
    </row>
    <row r="22" ht="15.75" customHeight="1"/>
    <row r="23" ht="15.75" customHeight="1">
      <c r="A23" s="1" t="s">
        <v>37</v>
      </c>
      <c r="B23" s="26">
        <f>B20/B21</f>
        <v>2.843643279</v>
      </c>
    </row>
    <row r="24" ht="15.75" customHeight="1">
      <c r="D24" s="16" t="s">
        <v>48</v>
      </c>
    </row>
    <row r="25" ht="15.75" customHeight="1">
      <c r="D25" s="16" t="s">
        <v>49</v>
      </c>
    </row>
    <row r="26" ht="15.75" customHeight="1"/>
    <row r="27" ht="15.75" customHeight="1">
      <c r="D27" s="16" t="s">
        <v>50</v>
      </c>
    </row>
    <row r="28" ht="15.75" customHeight="1">
      <c r="D28" s="16" t="s">
        <v>51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>
      <c r="C35" s="16">
        <f>600076623/(394195430576275000*0.78)*10000000000000</f>
        <v>19516.43637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