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1" sheetId="1" r:id="rId4"/>
    <sheet state="visible" name="Existing Long" sheetId="2" r:id="rId5"/>
    <sheet state="visible" name="New Postion" sheetId="3" r:id="rId6"/>
    <sheet state="hidden" name="maxLeverageLast" sheetId="4" r:id="rId7"/>
    <sheet state="hidden" name="maxLeverage_new" sheetId="5" r:id="rId8"/>
    <sheet state="visible" name="Liquidation" sheetId="6" r:id="rId9"/>
  </sheets>
  <definedNames>
    <definedName name="debt">maxLeverageLast!$D$39</definedName>
    <definedName name="LTVusdc">maxLeverageLast!$C$8</definedName>
    <definedName localSheetId="0" name="netUPnLLong">'Example 1'!$D$69</definedName>
    <definedName localSheetId="4" name="solver_opt">maxLeverage_new!$F$105</definedName>
    <definedName localSheetId="2" name="totalRWA">'New Postion'!$D$49</definedName>
    <definedName localSheetId="2" name="openingFee">'New Postion'!$D$13</definedName>
    <definedName localSheetId="3" name="solver_lhs4">maxLeverageLast!$D$38</definedName>
    <definedName localSheetId="2" name="solver_lhs3">'New Postion'!$D$37</definedName>
    <definedName localSheetId="1" name="LTVusdc">'Existing Long'!$C$8</definedName>
    <definedName localSheetId="1" name="solver_lhs2">'Existing Long'!$D$32</definedName>
    <definedName localSheetId="0" name="solver_adj">'Example 1'!$D$38</definedName>
    <definedName localSheetId="2" name="skew">'New Postion'!$D$20</definedName>
    <definedName name="skew">maxLeverageLast!$D$20</definedName>
    <definedName localSheetId="2" name="debt">'New Postion'!$D$39</definedName>
    <definedName localSheetId="1" name="closingFee">'Existing Long'!$D$14</definedName>
    <definedName name="closingFee">maxLeverageLast!$D$14</definedName>
    <definedName localSheetId="4" name="solver_lhs4">maxLeverage_new!$D$21</definedName>
    <definedName name="skewScale">maxLeverageLast!$D$15</definedName>
    <definedName localSheetId="1" name="LTVperp">'Existing Long'!$E$6</definedName>
    <definedName localSheetId="0" name="netUPnLShort">'Example 1'!$E$69</definedName>
    <definedName localSheetId="1" name="priceOracle">'Existing Long'!$D$19</definedName>
    <definedName localSheetId="3" name="solver_lhs3">maxLeverageLast!$D$37</definedName>
    <definedName localSheetId="0" name="solver_lhs4">'Example 1'!$D$38</definedName>
    <definedName name="totalRWA">maxLeverageLast!$D$49</definedName>
    <definedName localSheetId="5" name="solver_lhs2">Liquidation!$D$5</definedName>
    <definedName localSheetId="2" name="solver_lhs1">'New Postion'!$D$102</definedName>
    <definedName localSheetId="2" name="solver_adj">'New Postion'!$D$38</definedName>
    <definedName localSheetId="1" name="skew">'Existing Long'!$D$20</definedName>
    <definedName localSheetId="2" name="netUPnLShort">'New Postion'!$E$69</definedName>
    <definedName localSheetId="1" name="totalRWA">'Existing Long'!$D$49</definedName>
    <definedName name="priceOracle">maxLeverageLast!$D$19</definedName>
    <definedName localSheetId="3" name="solver_adj">maxLeverageLast!$D$38</definedName>
    <definedName localSheetId="1" name="netUPnLShort">'Existing Long'!$E$69</definedName>
    <definedName localSheetId="2" name="LTVperp">'New Postion'!$E$6</definedName>
    <definedName localSheetId="2" name="priceOracle">'New Postion'!$D$19</definedName>
    <definedName localSheetId="0" name="closingFee">'Example 1'!$D$14</definedName>
    <definedName localSheetId="4" name="solver_lhs2">maxLeverage_new!$D$17</definedName>
    <definedName name="netUPnLShort">maxLeverageLast!$E$69</definedName>
    <definedName localSheetId="1" name="usdcCollateral">'Existing Long'!$D$28</definedName>
    <definedName name="netUPnLLong">maxLeverageLast!$D$69</definedName>
    <definedName localSheetId="3" name="solver_lhs1">maxLeverageLast!$D$102</definedName>
    <definedName localSheetId="3" name="solver_lhs2">maxLeverageLast!$D$32</definedName>
    <definedName localSheetId="4" name="solver_lhs1">maxLeverage_new!$D$16</definedName>
    <definedName localSheetId="0" name="solver_lhs3">'Example 1'!$D$37</definedName>
    <definedName name="usdcCollateral">maxLeverageLast!$D$28</definedName>
    <definedName localSheetId="5" name="solver_lhs1">Liquidation!$D$11</definedName>
    <definedName localSheetId="1" name="openingFee">'Existing Long'!$D$13</definedName>
    <definedName localSheetId="0" name="priceOracle">'Example 1'!$D$19</definedName>
    <definedName localSheetId="0" name="solver_opt">'Example 1'!$D$117</definedName>
    <definedName localSheetId="5" name="solver_lhs3">Liquidation!$D$6</definedName>
    <definedName localSheetId="0" name="skew">'Example 1'!$D$20</definedName>
    <definedName localSheetId="0" name="solver_lhs2">'Example 1'!$D$32</definedName>
    <definedName localSheetId="2" name="LTVusdc">'New Postion'!$C$8</definedName>
    <definedName localSheetId="1" name="netUPnLLong">'Existing Long'!$D$69</definedName>
    <definedName localSheetId="4" name="solver_lhs3">maxLeverage_new!$D$20</definedName>
    <definedName localSheetId="0" name="LTVperp">'Example 1'!$E$6</definedName>
    <definedName localSheetId="2" name="usdcCollateral">'New Postion'!$D$28</definedName>
    <definedName localSheetId="0" name="LTVusdc">'Example 1'!$C$8</definedName>
    <definedName localSheetId="2" name="solver_lhs2">'New Postion'!$D$32</definedName>
    <definedName localSheetId="0" name="debt">'Example 1'!$D$39</definedName>
    <definedName localSheetId="1" name="solver_lhs4">'Existing Long'!$D$38</definedName>
    <definedName localSheetId="0" name="totalRWA">'Example 1'!$D$49</definedName>
    <definedName localSheetId="2" name="netUPnLLong">'New Postion'!$D$69</definedName>
    <definedName localSheetId="2" name="closingFee">'New Postion'!$D$14</definedName>
    <definedName localSheetId="0" name="solver_lhs1">'Example 1'!$D$102</definedName>
    <definedName localSheetId="1" name="solver_lhs3">'Existing Long'!$D$37</definedName>
    <definedName localSheetId="1" name="solver_opt">'Existing Long'!$D$117</definedName>
    <definedName localSheetId="5" name="solver_opt">Liquidation!$D$20</definedName>
    <definedName localSheetId="3" name="solver_opt">maxLeverageLast!$D$117</definedName>
    <definedName localSheetId="0" name="skewScale">'Example 1'!$D$15</definedName>
    <definedName localSheetId="0" name="openingFee">'Example 1'!$D$13</definedName>
    <definedName localSheetId="1" name="skewScale">'Existing Long'!$D$15</definedName>
    <definedName localSheetId="0" name="usdcCollateral">'Example 1'!$D$28</definedName>
    <definedName localSheetId="1" name="debt">'Existing Long'!$D$39</definedName>
    <definedName name="LTVperp">maxLeverageLast!$E$6</definedName>
    <definedName localSheetId="2" name="solver_opt">'New Postion'!$D$117</definedName>
    <definedName localSheetId="1" name="solver_lhs1">'Existing Long'!$D$102</definedName>
    <definedName name="openingFee">maxLeverageLast!$D$13</definedName>
    <definedName localSheetId="2" name="skewScale">'New Postion'!$D$15</definedName>
    <definedName localSheetId="2" name="solver_lhs4">'New Postion'!$D$38</definedName>
    <definedName localSheetId="1" name="solver_adj">'Existing Long'!$D$38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2">
      <text>
        <t xml:space="preserve">Tatyana Pashinskaya:
Can become negative so we should use formula for longs always
</t>
      </text>
    </comment>
  </commentList>
</comments>
</file>

<file path=xl/sharedStrings.xml><?xml version="1.0" encoding="utf-8"?>
<sst xmlns="http://schemas.openxmlformats.org/spreadsheetml/2006/main" count="1493" uniqueCount="163">
  <si>
    <t>Perps Max Leverage Calculation</t>
  </si>
  <si>
    <t>All parameters are arbitrary!</t>
  </si>
  <si>
    <t>Risk Parameters:</t>
  </si>
  <si>
    <t>Token</t>
  </si>
  <si>
    <t>maxLTV</t>
  </si>
  <si>
    <t>liqLTV</t>
  </si>
  <si>
    <t>maxLTVperp</t>
  </si>
  <si>
    <t>liqLTVperp</t>
  </si>
  <si>
    <t>maxLeverage</t>
  </si>
  <si>
    <t>ETH</t>
  </si>
  <si>
    <t>OSMO</t>
  </si>
  <si>
    <t>USDC</t>
  </si>
  <si>
    <t>ATOM</t>
  </si>
  <si>
    <t>Market Parameters</t>
  </si>
  <si>
    <t>Parameter</t>
  </si>
  <si>
    <t>Units</t>
  </si>
  <si>
    <t>Value</t>
  </si>
  <si>
    <t>openingFee</t>
  </si>
  <si>
    <t>%</t>
  </si>
  <si>
    <t>closingFee</t>
  </si>
  <si>
    <t>skewScale</t>
  </si>
  <si>
    <t>tkn</t>
  </si>
  <si>
    <t>Current Market State</t>
  </si>
  <si>
    <t>oraclePrice</t>
  </si>
  <si>
    <t>$</t>
  </si>
  <si>
    <t>skew</t>
  </si>
  <si>
    <t>Initial Credit Account</t>
  </si>
  <si>
    <t>Initial Portfolio:</t>
  </si>
  <si>
    <t>USDC Collateral:</t>
  </si>
  <si>
    <t>Debt</t>
  </si>
  <si>
    <t>MaxLTV</t>
  </si>
  <si>
    <t>RWA</t>
  </si>
  <si>
    <t>Other Collateral:</t>
  </si>
  <si>
    <t>Collateral</t>
  </si>
  <si>
    <t>Total</t>
  </si>
  <si>
    <t>Debt:</t>
  </si>
  <si>
    <t>Summary:</t>
  </si>
  <si>
    <t>Metric</t>
  </si>
  <si>
    <t>usdcCollateral</t>
  </si>
  <si>
    <t>otherCollateral</t>
  </si>
  <si>
    <t>totalCollateral</t>
  </si>
  <si>
    <t>debt</t>
  </si>
  <si>
    <t>usdcCollateralRWA</t>
  </si>
  <si>
    <t>otherCollateralRWA</t>
  </si>
  <si>
    <t>totalRWA</t>
  </si>
  <si>
    <t>Existing Perp Position:</t>
  </si>
  <si>
    <t>Long</t>
  </si>
  <si>
    <t>Short</t>
  </si>
  <si>
    <t>q</t>
  </si>
  <si>
    <t>executionPriceOpening</t>
  </si>
  <si>
    <t>executionPriceClosing</t>
  </si>
  <si>
    <t>unrealizedFunding</t>
  </si>
  <si>
    <t>unrealizedFunding+</t>
  </si>
  <si>
    <t>unrealizedFunding-</t>
  </si>
  <si>
    <t>unrealizedPricePnL</t>
  </si>
  <si>
    <t>UPnL+</t>
  </si>
  <si>
    <t>UPnL-</t>
  </si>
  <si>
    <t>positionValue0</t>
  </si>
  <si>
    <t>positoinValuet</t>
  </si>
  <si>
    <t>positionValuetRWA</t>
  </si>
  <si>
    <t>unrealizedFundingRWA</t>
  </si>
  <si>
    <t>toNumeratorHF</t>
  </si>
  <si>
    <t>toDenominatorHF</t>
  </si>
  <si>
    <t>netUPnL</t>
  </si>
  <si>
    <t>Initial HF:</t>
  </si>
  <si>
    <t>Quantity</t>
  </si>
  <si>
    <t>Value at MaxLTV</t>
  </si>
  <si>
    <t>toNumeratorOther</t>
  </si>
  <si>
    <t>toNumeratorPerp</t>
  </si>
  <si>
    <t>toDenominatorOther</t>
  </si>
  <si>
    <t>toDenominatorPerp</t>
  </si>
  <si>
    <t>numeratorHF</t>
  </si>
  <si>
    <t>denominatorHF</t>
  </si>
  <si>
    <t>HF</t>
  </si>
  <si>
    <t>-</t>
  </si>
  <si>
    <t>Initial CR:</t>
  </si>
  <si>
    <t>totalAssets</t>
  </si>
  <si>
    <t>totalDebt</t>
  </si>
  <si>
    <t>freeCollateral</t>
  </si>
  <si>
    <t>CR</t>
  </si>
  <si>
    <t>HF after UPnL Settlement</t>
  </si>
  <si>
    <t>UPnLtoSettle</t>
  </si>
  <si>
    <t>usdcDebt</t>
  </si>
  <si>
    <t>otherDebt</t>
  </si>
  <si>
    <t>positionValuet</t>
  </si>
  <si>
    <t>qMax per HF calculation:</t>
  </si>
  <si>
    <t>C+</t>
  </si>
  <si>
    <t>C-</t>
  </si>
  <si>
    <t>C_delta</t>
  </si>
  <si>
    <t>z</t>
  </si>
  <si>
    <t>c_add (c)</t>
  </si>
  <si>
    <t>na</t>
  </si>
  <si>
    <t>a</t>
  </si>
  <si>
    <t>b</t>
  </si>
  <si>
    <t>c</t>
  </si>
  <si>
    <t>D</t>
  </si>
  <si>
    <t>qMax</t>
  </si>
  <si>
    <t>Sanity Check: HF at qMax should be=1</t>
  </si>
  <si>
    <t>positionSize (q)</t>
  </si>
  <si>
    <t>deltaq</t>
  </si>
  <si>
    <t>premium/discountOpening</t>
  </si>
  <si>
    <t>premium/discountOpening_delta</t>
  </si>
  <si>
    <t>priceMIOpen_delta</t>
  </si>
  <si>
    <t>priceMIOpen</t>
  </si>
  <si>
    <t>We assume that opening fee is always added to the debt, however actually it should be subtracted from the USDC balance (if its nonzero)</t>
  </si>
  <si>
    <t>HF after perp:</t>
  </si>
  <si>
    <t>MaxLeverage:</t>
  </si>
  <si>
    <t>leverage</t>
  </si>
  <si>
    <t>Market Constraints</t>
  </si>
  <si>
    <t>qMax per OI calculation:</t>
  </si>
  <si>
    <t>Qlong (long OI)</t>
  </si>
  <si>
    <t>Qshort (short OI)</t>
  </si>
  <si>
    <t>maxSkewLong</t>
  </si>
  <si>
    <t>maxSkewShort</t>
  </si>
  <si>
    <t>QmaxLong</t>
  </si>
  <si>
    <t>QmaxShort</t>
  </si>
  <si>
    <t>QmaxLong-QLong</t>
  </si>
  <si>
    <t>QmaxShort-QShort</t>
  </si>
  <si>
    <t>maxSkewLong-Skew</t>
  </si>
  <si>
    <t>maxSkewShort+Skew</t>
  </si>
  <si>
    <t>b_add</t>
  </si>
  <si>
    <t>c_add</t>
  </si>
  <si>
    <t>Sanity Check: HF at qMax should be &gt;=1</t>
  </si>
  <si>
    <t>Market Input Risk Parameters:</t>
  </si>
  <si>
    <t>Assets</t>
  </si>
  <si>
    <t>LiqLTV</t>
  </si>
  <si>
    <t>Value at LiqLTV</t>
  </si>
  <si>
    <t>Initial Risk Metrics:</t>
  </si>
  <si>
    <t>Initial Risk Metrics (with breakdown):</t>
  </si>
  <si>
    <t>riskWeightedFreeCollateral</t>
  </si>
  <si>
    <t>ratio</t>
  </si>
  <si>
    <t>maxLeverage Approximate</t>
  </si>
  <si>
    <t>it works only wo market impact</t>
  </si>
  <si>
    <t>Max Leverage Calculation</t>
  </si>
  <si>
    <t>market</t>
  </si>
  <si>
    <t>direction</t>
  </si>
  <si>
    <t>long</t>
  </si>
  <si>
    <t>short</t>
  </si>
  <si>
    <t>perpMaxLTV</t>
  </si>
  <si>
    <t>perpLiqLTV</t>
  </si>
  <si>
    <t>perpMaxLeverage</t>
  </si>
  <si>
    <t>Final qMax:</t>
  </si>
  <si>
    <t>qMaxHF</t>
  </si>
  <si>
    <t>qMaxSkew</t>
  </si>
  <si>
    <t>qMaxOI</t>
  </si>
  <si>
    <t>this is the final output</t>
  </si>
  <si>
    <t>premium/discountClosing</t>
  </si>
  <si>
    <t>priceMIClose</t>
  </si>
  <si>
    <t>this is actual max leverage</t>
  </si>
  <si>
    <t>repay debt</t>
  </si>
  <si>
    <t>receive collateral</t>
  </si>
  <si>
    <t>Perp Position Before:</t>
  </si>
  <si>
    <t>dF</t>
  </si>
  <si>
    <t>DTRproposed</t>
  </si>
  <si>
    <t>DTR</t>
  </si>
  <si>
    <t>d</t>
  </si>
  <si>
    <t>dq</t>
  </si>
  <si>
    <t>signUPnL</t>
  </si>
  <si>
    <t>signDirection</t>
  </si>
  <si>
    <t>Perp Position After:</t>
  </si>
  <si>
    <t>skew_after</t>
  </si>
  <si>
    <t>Approximate Solution</t>
  </si>
  <si>
    <t>netUPnLperQ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</si>
</sst>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7">
    <numFmt numFmtId="164" formatCode="_-* #,##0.000000_-;\-* #,##0.000000_-;_-* &quot;-&quot;??.0000_-;_-@"/>
    <numFmt numFmtId="165" formatCode="_-* #,##0.00_-;\-* #,##0.00_-;_-* &quot;-&quot;??_-;_-@"/>
    <numFmt numFmtId="166" formatCode="_-* #,##0_-;\-* #,##0_-;_-* &quot;-&quot;??_-;_-@"/>
    <numFmt numFmtId="167" formatCode="_-* #,##0.00000_-;\-* #,##0.00000_-;_-* &quot;-&quot;??_-;_-@"/>
    <numFmt numFmtId="168" formatCode="_-* #,##0.00\ _₽_-;\-* #,##0.00\ _₽_-;_-* &quot;-&quot;??\ _₽_-;_-@"/>
    <numFmt numFmtId="169" formatCode="_-* #,##0.0_-;\-* #,##0.0_-;_-* &quot;-&quot;??_-;_-@"/>
    <numFmt numFmtId="170" formatCode="_-* #,##0.00_-;\-* #,##0.00_-;_-* &quot;-&quot;??.00_-;_-@"/>
    <numFmt numFmtId="171" formatCode="_-* #,##0.000_-;\-* #,##0.000_-;_-* &quot;-&quot;??.000_-;_-@"/>
    <numFmt numFmtId="172" formatCode="_-* #,##0.000_-;\-* #,##0.000_-;_-* &quot;-&quot;??_-;_-@"/>
    <numFmt numFmtId="173" formatCode="_-* #,##0.0000_-;\-* #,##0.0000_-;_-* &quot;-&quot;??_-;_-@"/>
    <numFmt numFmtId="174" formatCode="_-* #,##0.0000000000000_-;\-* #,##0.0000000000000_-;_-* &quot;-&quot;??.000000000_-;_-@"/>
    <numFmt numFmtId="175" formatCode="0.00000"/>
    <numFmt numFmtId="176" formatCode="_-* #,##0.0000_-;\-* #,##0.0000_-;_-* &quot;-&quot;??.00_-;_-@"/>
    <numFmt numFmtId="177" formatCode="_-* #,##0.00000_-;\-* #,##0.00000_-;_-* &quot;-&quot;??.00000_-;_-@"/>
    <numFmt numFmtId="178" formatCode="_-* #,##0.00000_-;\-* #,##0.00000_-;_-* &quot;-&quot;??.000_-;_-@"/>
    <numFmt numFmtId="179" formatCode="_-* #,##0.0000\ _₽_-;\-* #,##0.0000\ _₽_-;_-* &quot;-&quot;??.00\ _₽_-;_-@"/>
    <numFmt numFmtId="180" formatCode="_-* #,##0.000000\ _₽_-;\-* #,##0.000000\ _₽_-;_-* &quot;-&quot;??\ _₽_-;_-@"/>
    <numFmt numFmtId="181" formatCode="_-* #,##0.0000000\ _₽_-;\-* #,##0.0000000\ _₽_-;_-* &quot;-&quot;??\ _₽_-;_-@"/>
    <numFmt numFmtId="182" formatCode="_-* #,##0\ _₽_-;\-* #,##0\ _₽_-;_-* &quot;-&quot;??\ _₽_-;_-@"/>
    <numFmt numFmtId="183" formatCode="_-* #,##0.00000000_-;\-* #,##0.00000000_-;_-* &quot;-&quot;??_-;_-@"/>
    <numFmt numFmtId="184" formatCode="_-* #,##0.000000000_-;\-* #,##0.000000000_-;_-* &quot;-&quot;??_-;_-@"/>
    <numFmt numFmtId="185" formatCode="0.0000000000"/>
    <numFmt numFmtId="186" formatCode="0.00000000000"/>
    <numFmt numFmtId="187" formatCode="_-* #,##0.0000_-;\-* #,##0.0000_-;_-* &quot;-&quot;??.0000_-;_-@"/>
    <numFmt numFmtId="188" formatCode="_-* #,##0.000000_-;\-* #,##0.000000_-;_-* &quot;-&quot;??_-;_-@"/>
    <numFmt numFmtId="189" formatCode="0.000000"/>
    <numFmt numFmtId="190" formatCode="_-* #,##0.000\ _₽_-;\-* #,##0.000\ _₽_-;_-* &quot;-&quot;??\ _₽_-;_-@"/>
  </numFmts>
  <fonts count="11">
    <font>
      <sz val="11.0"/>
      <color theme="1"/>
      <name val="Calibri"/>
      <scheme val="minor"/>
    </font>
    <font>
      <b/>
      <sz val="18.0"/>
      <color theme="1"/>
      <name val="Calibri"/>
    </font>
    <font>
      <i/>
      <sz val="11.0"/>
      <color theme="5"/>
      <name val="Calibri"/>
    </font>
    <font>
      <b/>
      <sz val="11.0"/>
      <color theme="1"/>
      <name val="Calibri"/>
    </font>
    <font>
      <b/>
      <sz val="11.0"/>
      <color theme="0"/>
      <name val="Calibri"/>
    </font>
    <font>
      <sz val="11.0"/>
      <color theme="1"/>
      <name val="Calibri"/>
    </font>
    <font>
      <b/>
      <sz val="16.0"/>
      <color theme="1"/>
      <name val="Calibri"/>
    </font>
    <font>
      <sz val="11.0"/>
      <color rgb="FFFF0000"/>
      <name val="Calibri"/>
    </font>
    <font>
      <color theme="1"/>
      <name val="Calibri"/>
    </font>
    <font>
      <sz val="9.0"/>
      <color rgb="FF000000"/>
      <name val="Arial"/>
    </font>
    <font>
      <b/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/>
    </xf>
    <xf borderId="2" fillId="0" fontId="5" numFmtId="0" xfId="0" applyBorder="1" applyFont="1"/>
    <xf borderId="3" fillId="3" fontId="5" numFmtId="0" xfId="0" applyBorder="1" applyFill="1" applyFont="1"/>
    <xf borderId="4" fillId="3" fontId="5" numFmtId="0" xfId="0" applyBorder="1" applyFont="1"/>
    <xf borderId="0" fillId="0" fontId="5" numFmtId="164" xfId="0" applyFont="1" applyNumberFormat="1"/>
    <xf borderId="0" fillId="0" fontId="5" numFmtId="165" xfId="0" applyFont="1" applyNumberFormat="1"/>
    <xf borderId="5" fillId="3" fontId="5" numFmtId="0" xfId="0" applyBorder="1" applyFont="1"/>
    <xf borderId="6" fillId="0" fontId="5" numFmtId="0" xfId="0" applyBorder="1" applyFont="1"/>
    <xf borderId="7" fillId="3" fontId="5" numFmtId="0" xfId="0" applyBorder="1" applyFont="1"/>
    <xf borderId="8" fillId="3" fontId="5" numFmtId="0" xfId="0" applyBorder="1" applyFont="1"/>
    <xf borderId="9" fillId="0" fontId="5" numFmtId="0" xfId="0" applyBorder="1" applyFont="1"/>
    <xf borderId="10" fillId="3" fontId="5" numFmtId="0" xfId="0" applyBorder="1" applyFont="1"/>
    <xf borderId="11" fillId="2" fontId="4" numFmtId="0" xfId="0" applyAlignment="1" applyBorder="1" applyFont="1">
      <alignment horizontal="center"/>
    </xf>
    <xf borderId="12" fillId="2" fontId="4" numFmtId="0" xfId="0" applyAlignment="1" applyBorder="1" applyFont="1">
      <alignment horizontal="center"/>
    </xf>
    <xf borderId="13" fillId="0" fontId="5" numFmtId="0" xfId="0" applyBorder="1" applyFont="1"/>
    <xf borderId="14" fillId="0" fontId="5" numFmtId="0" xfId="0" applyBorder="1" applyFont="1"/>
    <xf borderId="15" fillId="3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0" fillId="3" fontId="5" numFmtId="166" xfId="0" applyBorder="1" applyFont="1" applyNumberFormat="1"/>
    <xf borderId="0" fillId="0" fontId="5" numFmtId="0" xfId="0" applyFont="1"/>
    <xf borderId="0" fillId="0" fontId="5" numFmtId="166" xfId="0" applyFont="1" applyNumberFormat="1"/>
    <xf borderId="18" fillId="0" fontId="5" numFmtId="0" xfId="0" applyBorder="1" applyFont="1"/>
    <xf borderId="15" fillId="3" fontId="5" numFmtId="166" xfId="0" applyBorder="1" applyFont="1" applyNumberFormat="1"/>
    <xf borderId="0" fillId="0" fontId="6" numFmtId="0" xfId="0" applyFont="1"/>
    <xf borderId="15" fillId="2" fontId="4" numFmtId="0" xfId="0" applyAlignment="1" applyBorder="1" applyFont="1">
      <alignment horizontal="center"/>
    </xf>
    <xf borderId="8" fillId="3" fontId="5" numFmtId="166" xfId="0" applyBorder="1" applyFont="1" applyNumberFormat="1"/>
    <xf borderId="9" fillId="0" fontId="5" numFmtId="166" xfId="0" applyBorder="1" applyFont="1" applyNumberFormat="1"/>
    <xf borderId="19" fillId="0" fontId="5" numFmtId="166" xfId="0" applyBorder="1" applyFont="1" applyNumberFormat="1"/>
    <xf borderId="0" fillId="0" fontId="3" numFmtId="166" xfId="0" applyFont="1" applyNumberFormat="1"/>
    <xf borderId="20" fillId="3" fontId="5" numFmtId="166" xfId="0" applyBorder="1" applyFont="1" applyNumberFormat="1"/>
    <xf borderId="21" fillId="0" fontId="5" numFmtId="166" xfId="0" applyBorder="1" applyFont="1" applyNumberFormat="1"/>
    <xf borderId="22" fillId="0" fontId="5" numFmtId="166" xfId="0" applyBorder="1" applyFont="1" applyNumberFormat="1"/>
    <xf borderId="23" fillId="0" fontId="3" numFmtId="166" xfId="0" applyBorder="1" applyFont="1" applyNumberFormat="1"/>
    <xf borderId="24" fillId="0" fontId="3" numFmtId="0" xfId="0" applyBorder="1" applyFont="1"/>
    <xf borderId="21" fillId="0" fontId="3" numFmtId="166" xfId="0" applyBorder="1" applyFont="1" applyNumberFormat="1"/>
    <xf borderId="22" fillId="0" fontId="3" numFmtId="166" xfId="0" applyBorder="1" applyFont="1" applyNumberFormat="1"/>
    <xf borderId="5" fillId="3" fontId="5" numFmtId="166" xfId="0" applyBorder="1" applyFont="1" applyNumberFormat="1"/>
    <xf borderId="23" fillId="0" fontId="3" numFmtId="0" xfId="0" applyBorder="1" applyFont="1"/>
    <xf borderId="25" fillId="0" fontId="5" numFmtId="166" xfId="0" applyBorder="1" applyFont="1" applyNumberFormat="1"/>
    <xf borderId="0" fillId="0" fontId="5" numFmtId="167" xfId="0" applyFont="1" applyNumberFormat="1"/>
    <xf borderId="0" fillId="0" fontId="5" numFmtId="168" xfId="0" applyFont="1" applyNumberFormat="1"/>
    <xf borderId="1" fillId="3" fontId="5" numFmtId="169" xfId="0" applyBorder="1" applyFont="1" applyNumberFormat="1"/>
    <xf borderId="26" fillId="3" fontId="5" numFmtId="170" xfId="0" applyBorder="1" applyFont="1" applyNumberFormat="1"/>
    <xf borderId="26" fillId="3" fontId="5" numFmtId="166" xfId="0" applyBorder="1" applyFont="1" applyNumberFormat="1"/>
    <xf borderId="16" fillId="0" fontId="5" numFmtId="171" xfId="0" applyBorder="1" applyFont="1" applyNumberFormat="1"/>
    <xf borderId="16" fillId="0" fontId="5" numFmtId="165" xfId="0" applyBorder="1" applyFont="1" applyNumberFormat="1"/>
    <xf borderId="16" fillId="0" fontId="5" numFmtId="166" xfId="0" applyBorder="1" applyFont="1" applyNumberFormat="1"/>
    <xf borderId="0" fillId="0" fontId="5" numFmtId="172" xfId="0" applyFont="1" applyNumberFormat="1"/>
    <xf borderId="16" fillId="0" fontId="5" numFmtId="173" xfId="0" applyBorder="1" applyFont="1" applyNumberFormat="1"/>
    <xf borderId="14" fillId="0" fontId="5" numFmtId="166" xfId="0" applyBorder="1" applyFont="1" applyNumberFormat="1"/>
    <xf borderId="17" fillId="0" fontId="5" numFmtId="166" xfId="0" applyBorder="1" applyFont="1" applyNumberFormat="1"/>
    <xf borderId="24" fillId="0" fontId="3" numFmtId="166" xfId="0" applyBorder="1" applyFont="1" applyNumberFormat="1"/>
    <xf borderId="25" fillId="0" fontId="5" numFmtId="165" xfId="0" applyBorder="1" applyFont="1" applyNumberFormat="1"/>
    <xf borderId="22" fillId="0" fontId="3" numFmtId="174" xfId="0" applyBorder="1" applyFont="1" applyNumberFormat="1"/>
    <xf borderId="22" fillId="0" fontId="3" numFmtId="173" xfId="0" applyBorder="1" applyFont="1" applyNumberFormat="1"/>
    <xf borderId="14" fillId="0" fontId="5" numFmtId="165" xfId="0" applyBorder="1" applyFont="1" applyNumberFormat="1"/>
    <xf borderId="24" fillId="0" fontId="3" numFmtId="165" xfId="0" applyBorder="1" applyFont="1" applyNumberFormat="1"/>
    <xf borderId="0" fillId="0" fontId="7" numFmtId="0" xfId="0" applyFont="1"/>
    <xf borderId="14" fillId="0" fontId="5" numFmtId="167" xfId="0" applyBorder="1" applyFont="1" applyNumberFormat="1"/>
    <xf borderId="16" fillId="0" fontId="5" numFmtId="167" xfId="0" applyBorder="1" applyFont="1" applyNumberFormat="1"/>
    <xf borderId="23" fillId="0" fontId="5" numFmtId="0" xfId="0" applyBorder="1" applyFont="1"/>
    <xf borderId="24" fillId="0" fontId="5" numFmtId="0" xfId="0" applyBorder="1" applyFont="1"/>
    <xf borderId="24" fillId="0" fontId="5" numFmtId="167" xfId="0" applyBorder="1" applyFont="1" applyNumberFormat="1"/>
    <xf borderId="24" fillId="0" fontId="3" numFmtId="167" xfId="0" applyBorder="1" applyFont="1" applyNumberFormat="1"/>
    <xf borderId="13" fillId="0" fontId="7" numFmtId="0" xfId="0" applyBorder="1" applyFont="1"/>
    <xf borderId="14" fillId="0" fontId="7" numFmtId="0" xfId="0" applyBorder="1" applyFont="1"/>
    <xf borderId="18" fillId="0" fontId="7" numFmtId="167" xfId="0" applyBorder="1" applyFont="1" applyNumberFormat="1"/>
    <xf borderId="27" fillId="0" fontId="7" numFmtId="167" xfId="0" applyBorder="1" applyFont="1" applyNumberFormat="1"/>
    <xf borderId="6" fillId="0" fontId="7" numFmtId="0" xfId="0" applyBorder="1" applyFont="1"/>
    <xf borderId="17" fillId="0" fontId="7" numFmtId="0" xfId="0" applyBorder="1" applyFont="1"/>
    <xf borderId="9" fillId="0" fontId="7" numFmtId="167" xfId="0" applyBorder="1" applyFont="1" applyNumberFormat="1"/>
    <xf borderId="19" fillId="0" fontId="7" numFmtId="167" xfId="0" applyBorder="1" applyFont="1" applyNumberFormat="1"/>
    <xf borderId="20" fillId="2" fontId="4" numFmtId="0" xfId="0" applyAlignment="1" applyBorder="1" applyFont="1">
      <alignment horizontal="center"/>
    </xf>
    <xf borderId="24" fillId="2" fontId="4" numFmtId="0" xfId="0" applyAlignment="1" applyBorder="1" applyFont="1">
      <alignment horizontal="center"/>
    </xf>
    <xf borderId="2" fillId="0" fontId="5" numFmtId="166" xfId="0" applyBorder="1" applyFont="1" applyNumberFormat="1"/>
    <xf borderId="0" fillId="0" fontId="8" numFmtId="175" xfId="0" applyFont="1" applyNumberFormat="1"/>
    <xf borderId="0" fillId="0" fontId="8" numFmtId="176" xfId="0" applyFont="1" applyNumberFormat="1"/>
    <xf borderId="2" fillId="0" fontId="5" numFmtId="170" xfId="0" applyBorder="1" applyFont="1" applyNumberFormat="1"/>
    <xf borderId="2" fillId="0" fontId="5" numFmtId="177" xfId="0" applyBorder="1" applyFont="1" applyNumberFormat="1"/>
    <xf borderId="2" fillId="0" fontId="5" numFmtId="173" xfId="0" applyBorder="1" applyFont="1" applyNumberFormat="1"/>
    <xf borderId="2" fillId="0" fontId="5" numFmtId="178" xfId="0" applyBorder="1" applyFont="1" applyNumberFormat="1"/>
    <xf borderId="16" fillId="0" fontId="5" numFmtId="179" xfId="0" applyBorder="1" applyFont="1" applyNumberFormat="1"/>
    <xf borderId="2" fillId="0" fontId="5" numFmtId="171" xfId="0" applyBorder="1" applyFont="1" applyNumberFormat="1"/>
    <xf borderId="17" fillId="0" fontId="5" numFmtId="168" xfId="0" applyBorder="1" applyFont="1" applyNumberFormat="1"/>
    <xf borderId="23" fillId="0" fontId="3" numFmtId="164" xfId="0" applyBorder="1" applyFont="1" applyNumberFormat="1"/>
    <xf borderId="24" fillId="0" fontId="3" numFmtId="180" xfId="0" applyBorder="1" applyFont="1" applyNumberFormat="1"/>
    <xf borderId="0" fillId="0" fontId="5" numFmtId="181" xfId="0" applyFont="1" applyNumberFormat="1"/>
    <xf borderId="0" fillId="0" fontId="5" numFmtId="182" xfId="0" applyFont="1" applyNumberFormat="1"/>
    <xf borderId="13" fillId="0" fontId="5" numFmtId="165" xfId="0" applyBorder="1" applyFont="1" applyNumberFormat="1"/>
    <xf borderId="2" fillId="0" fontId="5" numFmtId="165" xfId="0" applyBorder="1" applyFont="1" applyNumberFormat="1"/>
    <xf borderId="2" fillId="0" fontId="5" numFmtId="183" xfId="0" applyBorder="1" applyFont="1" applyNumberFormat="1"/>
    <xf borderId="16" fillId="0" fontId="5" numFmtId="183" xfId="0" applyBorder="1" applyFont="1" applyNumberFormat="1"/>
    <xf borderId="16" fillId="0" fontId="5" numFmtId="184" xfId="0" applyBorder="1" applyFont="1" applyNumberFormat="1"/>
    <xf borderId="0" fillId="0" fontId="8" numFmtId="0" xfId="0" applyFont="1"/>
    <xf borderId="2" fillId="0" fontId="3" numFmtId="0" xfId="0" applyBorder="1" applyFont="1"/>
    <xf borderId="2" fillId="0" fontId="7" numFmtId="185" xfId="0" applyBorder="1" applyFont="1" applyNumberFormat="1"/>
    <xf borderId="16" fillId="0" fontId="7" numFmtId="185" xfId="0" applyBorder="1" applyFont="1" applyNumberFormat="1"/>
    <xf borderId="2" fillId="0" fontId="7" numFmtId="186" xfId="0" applyBorder="1" applyFont="1" applyNumberFormat="1"/>
    <xf borderId="16" fillId="0" fontId="7" numFmtId="186" xfId="0" applyBorder="1" applyFont="1" applyNumberFormat="1"/>
    <xf borderId="6" fillId="0" fontId="7" numFmtId="167" xfId="0" applyBorder="1" applyFont="1" applyNumberFormat="1"/>
    <xf borderId="17" fillId="0" fontId="7" numFmtId="167" xfId="0" applyBorder="1" applyFont="1" applyNumberFormat="1"/>
    <xf borderId="0" fillId="0" fontId="7" numFmtId="167" xfId="0" applyFont="1" applyNumberFormat="1"/>
    <xf borderId="0" fillId="0" fontId="7" numFmtId="165" xfId="0" applyFont="1" applyNumberFormat="1"/>
    <xf borderId="3" fillId="3" fontId="5" numFmtId="166" xfId="0" applyBorder="1" applyFont="1" applyNumberFormat="1"/>
    <xf borderId="1" fillId="3" fontId="5" numFmtId="166" xfId="0" applyBorder="1" applyFont="1" applyNumberFormat="1"/>
    <xf borderId="7" fillId="3" fontId="5" numFmtId="166" xfId="0" applyBorder="1" applyFont="1" applyNumberFormat="1"/>
    <xf borderId="28" fillId="3" fontId="5" numFmtId="166" xfId="0" applyBorder="1" applyFont="1" applyNumberFormat="1"/>
    <xf borderId="13" fillId="0" fontId="5" numFmtId="166" xfId="0" applyBorder="1" applyFont="1" applyNumberFormat="1"/>
    <xf borderId="6" fillId="0" fontId="5" numFmtId="166" xfId="0" applyBorder="1" applyFont="1" applyNumberFormat="1"/>
    <xf borderId="10" fillId="3" fontId="5" numFmtId="166" xfId="0" applyAlignment="1" applyBorder="1" applyFont="1" applyNumberFormat="1">
      <alignment readingOrder="0"/>
    </xf>
    <xf borderId="1" fillId="3" fontId="5" numFmtId="169" xfId="0" applyAlignment="1" applyBorder="1" applyFont="1" applyNumberFormat="1">
      <alignment readingOrder="0"/>
    </xf>
    <xf borderId="16" fillId="0" fontId="5" numFmtId="170" xfId="0" applyBorder="1" applyFont="1" applyNumberFormat="1"/>
    <xf borderId="26" fillId="3" fontId="5" numFmtId="166" xfId="0" applyAlignment="1" applyBorder="1" applyFont="1" applyNumberFormat="1">
      <alignment readingOrder="0"/>
    </xf>
    <xf borderId="0" fillId="4" fontId="9" numFmtId="0" xfId="0" applyAlignment="1" applyFill="1" applyFont="1">
      <alignment horizontal="left"/>
    </xf>
    <xf borderId="2" fillId="0" fontId="5" numFmtId="187" xfId="0" applyBorder="1" applyFont="1" applyNumberFormat="1"/>
    <xf borderId="15" fillId="3" fontId="5" numFmtId="10" xfId="0" applyBorder="1" applyFont="1" applyNumberFormat="1"/>
    <xf borderId="5" fillId="3" fontId="5" numFmtId="10" xfId="0" applyBorder="1" applyFont="1" applyNumberFormat="1"/>
    <xf borderId="0" fillId="0" fontId="8" numFmtId="165" xfId="0" applyFont="1" applyNumberFormat="1"/>
    <xf borderId="16" fillId="0" fontId="5" numFmtId="180" xfId="0" applyBorder="1" applyFont="1" applyNumberFormat="1"/>
    <xf borderId="0" fillId="0" fontId="5" numFmtId="180" xfId="0" applyFont="1" applyNumberFormat="1"/>
    <xf borderId="16" fillId="0" fontId="5" numFmtId="168" xfId="0" applyBorder="1" applyFont="1" applyNumberFormat="1"/>
    <xf borderId="23" fillId="0" fontId="3" numFmtId="165" xfId="0" applyBorder="1" applyFont="1" applyNumberFormat="1"/>
    <xf borderId="0" fillId="0" fontId="3" numFmtId="168" xfId="0" applyFont="1" applyNumberFormat="1"/>
    <xf borderId="4" fillId="3" fontId="5" numFmtId="166" xfId="0" applyBorder="1" applyFont="1" applyNumberFormat="1"/>
    <xf borderId="17" fillId="0" fontId="5" numFmtId="165" xfId="0" applyBorder="1" applyFont="1" applyNumberFormat="1"/>
    <xf borderId="6" fillId="0" fontId="7" numFmtId="165" xfId="0" applyBorder="1" applyFont="1" applyNumberFormat="1"/>
    <xf borderId="17" fillId="0" fontId="7" numFmtId="165" xfId="0" applyBorder="1" applyFont="1" applyNumberFormat="1"/>
    <xf borderId="25" fillId="0" fontId="3" numFmtId="0" xfId="0" applyBorder="1" applyFont="1"/>
    <xf borderId="2" fillId="0" fontId="5" numFmtId="10" xfId="0" applyBorder="1" applyFont="1" applyNumberFormat="1"/>
    <xf borderId="25" fillId="0" fontId="5" numFmtId="10" xfId="0" applyBorder="1" applyFont="1" applyNumberFormat="1"/>
    <xf borderId="25" fillId="0" fontId="5" numFmtId="0" xfId="0" applyBorder="1" applyFont="1"/>
    <xf borderId="3" fillId="3" fontId="5" numFmtId="10" xfId="0" applyBorder="1" applyFont="1" applyNumberFormat="1"/>
    <xf borderId="18" fillId="0" fontId="5" numFmtId="166" xfId="0" applyBorder="1" applyFont="1" applyNumberFormat="1"/>
    <xf borderId="27" fillId="0" fontId="5" numFmtId="166" xfId="0" applyBorder="1" applyFont="1" applyNumberFormat="1"/>
    <xf borderId="29" fillId="2" fontId="4" numFmtId="0" xfId="0" applyAlignment="1" applyBorder="1" applyFont="1">
      <alignment horizontal="center"/>
    </xf>
    <xf borderId="2" fillId="0" fontId="5" numFmtId="188" xfId="0" applyBorder="1" applyFont="1" applyNumberFormat="1"/>
    <xf borderId="25" fillId="0" fontId="5" numFmtId="181" xfId="0" applyBorder="1" applyFont="1" applyNumberFormat="1"/>
    <xf borderId="25" fillId="0" fontId="5" numFmtId="168" xfId="0" applyBorder="1" applyFont="1" applyNumberFormat="1"/>
    <xf borderId="22" fillId="0" fontId="3" numFmtId="168" xfId="0" applyBorder="1" applyFont="1" applyNumberFormat="1"/>
    <xf borderId="0" fillId="0" fontId="5" numFmtId="10" xfId="0" applyFont="1" applyNumberFormat="1"/>
    <xf borderId="0" fillId="0" fontId="10" numFmtId="0" xfId="0" applyFont="1"/>
    <xf borderId="27" fillId="0" fontId="5" numFmtId="165" xfId="0" applyBorder="1" applyFont="1" applyNumberFormat="1"/>
    <xf borderId="2" fillId="0" fontId="5" numFmtId="184" xfId="0" applyBorder="1" applyFont="1" applyNumberFormat="1"/>
    <xf borderId="25" fillId="0" fontId="5" numFmtId="184" xfId="0" applyBorder="1" applyFont="1" applyNumberFormat="1"/>
    <xf borderId="25" fillId="0" fontId="7" numFmtId="189" xfId="0" applyBorder="1" applyFont="1" applyNumberFormat="1"/>
    <xf borderId="25" fillId="0" fontId="7" numFmtId="186" xfId="0" applyBorder="1" applyFont="1" applyNumberFormat="1"/>
    <xf borderId="26" fillId="3" fontId="5" numFmtId="0" xfId="0" applyBorder="1" applyFont="1"/>
    <xf borderId="6" fillId="0" fontId="3" numFmtId="0" xfId="0" applyBorder="1" applyFont="1"/>
    <xf borderId="17" fillId="0" fontId="3" numFmtId="0" xfId="0" applyBorder="1" applyFont="1"/>
    <xf borderId="17" fillId="0" fontId="3" numFmtId="166" xfId="0" applyBorder="1" applyFont="1" applyNumberFormat="1"/>
    <xf borderId="2" fillId="0" fontId="5" numFmtId="168" xfId="0" applyBorder="1" applyFont="1" applyNumberFormat="1"/>
    <xf borderId="6" fillId="0" fontId="5" numFmtId="168" xfId="0" applyBorder="1" applyFont="1" applyNumberFormat="1"/>
    <xf borderId="14" fillId="0" fontId="5" numFmtId="168" xfId="0" applyBorder="1" applyFont="1" applyNumberFormat="1"/>
    <xf borderId="16" fillId="0" fontId="5" numFmtId="190" xfId="0" applyBorder="1" applyFont="1" applyNumberFormat="1"/>
    <xf borderId="17" fillId="0" fontId="5" numFmtId="190" xfId="0" applyBorder="1" applyFont="1" applyNumberFormat="1"/>
    <xf borderId="14" fillId="0" fontId="5" numFmtId="169" xfId="0" applyBorder="1" applyFont="1" applyNumberFormat="1"/>
    <xf borderId="0" fillId="0" fontId="7" numFmtId="183" xfId="0" applyFont="1" applyNumberFormat="1"/>
    <xf borderId="0" fillId="0" fontId="7" numFmtId="17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29"/>
    <col customWidth="1" min="3" max="3" width="7.86"/>
    <col customWidth="1" min="4" max="8" width="17.86"/>
    <col customWidth="1" min="9" max="9" width="19.57"/>
  </cols>
  <sheetData>
    <row r="1">
      <c r="B1" s="1" t="s">
        <v>0</v>
      </c>
    </row>
    <row r="2">
      <c r="B2" s="2" t="s">
        <v>1</v>
      </c>
    </row>
    <row r="4">
      <c r="B4" s="3" t="s">
        <v>2</v>
      </c>
    </row>
    <row r="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>
      <c r="B6" s="5" t="s">
        <v>9</v>
      </c>
      <c r="C6" s="6">
        <v>0.8</v>
      </c>
      <c r="D6" s="7">
        <v>0.82</v>
      </c>
      <c r="E6" s="8">
        <f>(1-1/G6)</f>
        <v>0.9333333333</v>
      </c>
      <c r="F6" s="9">
        <f>E6+0.02</f>
        <v>0.9533333333</v>
      </c>
      <c r="G6" s="10">
        <v>15.0</v>
      </c>
    </row>
    <row r="7">
      <c r="B7" s="5" t="s">
        <v>10</v>
      </c>
      <c r="C7" s="6">
        <v>0.75</v>
      </c>
      <c r="D7" s="7">
        <v>0.77</v>
      </c>
      <c r="G7" s="10"/>
    </row>
    <row r="8">
      <c r="B8" s="5" t="s">
        <v>11</v>
      </c>
      <c r="C8" s="6">
        <v>0.85</v>
      </c>
      <c r="D8" s="7">
        <v>0.87</v>
      </c>
      <c r="G8" s="10"/>
    </row>
    <row r="9">
      <c r="B9" s="11" t="s">
        <v>12</v>
      </c>
      <c r="C9" s="12">
        <v>0.75</v>
      </c>
      <c r="D9" s="13">
        <v>0.77</v>
      </c>
      <c r="E9" s="14"/>
      <c r="F9" s="14"/>
      <c r="G9" s="15"/>
    </row>
    <row r="11">
      <c r="B11" s="3" t="s">
        <v>13</v>
      </c>
    </row>
    <row r="12">
      <c r="B12" s="16" t="s">
        <v>14</v>
      </c>
      <c r="C12" s="4" t="s">
        <v>15</v>
      </c>
      <c r="D12" s="17" t="s">
        <v>16</v>
      </c>
    </row>
    <row r="13">
      <c r="B13" s="18" t="s">
        <v>17</v>
      </c>
      <c r="C13" s="19" t="s">
        <v>18</v>
      </c>
      <c r="D13" s="20">
        <v>0.2</v>
      </c>
    </row>
    <row r="14">
      <c r="B14" s="5" t="s">
        <v>19</v>
      </c>
      <c r="C14" s="21" t="s">
        <v>18</v>
      </c>
      <c r="D14" s="10">
        <v>0.003</v>
      </c>
    </row>
    <row r="15">
      <c r="B15" s="11" t="s">
        <v>20</v>
      </c>
      <c r="C15" s="22" t="s">
        <v>21</v>
      </c>
      <c r="D15" s="23">
        <v>1.0E9</v>
      </c>
    </row>
    <row r="16">
      <c r="B16" s="24"/>
      <c r="C16" s="24"/>
      <c r="D16" s="25"/>
    </row>
    <row r="17">
      <c r="B17" s="3" t="s">
        <v>22</v>
      </c>
      <c r="C17" s="24"/>
      <c r="D17" s="25"/>
    </row>
    <row r="18">
      <c r="B18" s="16" t="s">
        <v>14</v>
      </c>
      <c r="C18" s="4" t="s">
        <v>15</v>
      </c>
      <c r="D18" s="17" t="s">
        <v>16</v>
      </c>
    </row>
    <row r="19">
      <c r="B19" s="18" t="s">
        <v>23</v>
      </c>
      <c r="C19" s="26" t="s">
        <v>24</v>
      </c>
      <c r="D19" s="27">
        <v>2000.0</v>
      </c>
    </row>
    <row r="20">
      <c r="B20" s="11" t="s">
        <v>25</v>
      </c>
      <c r="C20" s="14" t="s">
        <v>21</v>
      </c>
      <c r="D20" s="23">
        <f>D155-D156</f>
        <v>0</v>
      </c>
    </row>
    <row r="21" ht="15.75" customHeight="1">
      <c r="B21" s="24"/>
      <c r="C21" s="24"/>
    </row>
    <row r="22" ht="15.75" customHeight="1">
      <c r="B22" s="28" t="s">
        <v>26</v>
      </c>
    </row>
    <row r="23" ht="15.75" customHeight="1">
      <c r="B23" s="28"/>
    </row>
    <row r="24" ht="15.75" customHeight="1">
      <c r="B24" s="3" t="s">
        <v>27</v>
      </c>
    </row>
    <row r="25" ht="15.75" customHeight="1">
      <c r="B25" s="3"/>
    </row>
    <row r="26" ht="15.75" customHeight="1">
      <c r="B26" s="3" t="s">
        <v>28</v>
      </c>
    </row>
    <row r="27" ht="15.75" customHeight="1">
      <c r="B27" s="16" t="s">
        <v>29</v>
      </c>
      <c r="C27" s="4" t="s">
        <v>15</v>
      </c>
      <c r="D27" s="17" t="s">
        <v>16</v>
      </c>
      <c r="E27" s="17" t="s">
        <v>30</v>
      </c>
      <c r="F27" s="29" t="s">
        <v>31</v>
      </c>
    </row>
    <row r="28" ht="15.75" customHeight="1">
      <c r="B28" s="11" t="s">
        <v>11</v>
      </c>
      <c r="C28" s="22" t="s">
        <v>24</v>
      </c>
      <c r="D28" s="30">
        <v>5.0E7</v>
      </c>
      <c r="E28" s="31">
        <f>VLOOKUP(B28,B6:G9,2,0)</f>
        <v>0.85</v>
      </c>
      <c r="F28" s="32">
        <f>D28*E28</f>
        <v>42500000</v>
      </c>
    </row>
    <row r="29" ht="15.75" customHeight="1">
      <c r="B29" s="24"/>
      <c r="C29" s="24"/>
      <c r="D29" s="25"/>
      <c r="E29" s="25"/>
      <c r="F29" s="33"/>
    </row>
    <row r="30" ht="15.75" customHeight="1">
      <c r="B30" s="3" t="s">
        <v>32</v>
      </c>
    </row>
    <row r="31" ht="15.75" customHeight="1">
      <c r="B31" s="16" t="s">
        <v>33</v>
      </c>
      <c r="C31" s="4" t="s">
        <v>15</v>
      </c>
      <c r="D31" s="17" t="s">
        <v>16</v>
      </c>
      <c r="E31" s="17" t="s">
        <v>30</v>
      </c>
      <c r="F31" s="17" t="s">
        <v>31</v>
      </c>
    </row>
    <row r="32" ht="15.75" customHeight="1">
      <c r="B32" s="11" t="s">
        <v>10</v>
      </c>
      <c r="C32" s="22" t="s">
        <v>24</v>
      </c>
      <c r="D32" s="34">
        <v>1.0E9</v>
      </c>
      <c r="E32" s="35">
        <f>VLOOKUP(B32,B7:G10,2,0)</f>
        <v>0.75</v>
      </c>
      <c r="F32" s="36">
        <f>D32*E32</f>
        <v>750000000</v>
      </c>
    </row>
    <row r="33" ht="15.75" customHeight="1">
      <c r="A33" s="25"/>
      <c r="B33" s="37" t="s">
        <v>34</v>
      </c>
      <c r="C33" s="38" t="s">
        <v>24</v>
      </c>
      <c r="D33" s="37">
        <f>D32</f>
        <v>1000000000</v>
      </c>
      <c r="E33" s="39"/>
      <c r="F33" s="40">
        <f>F32</f>
        <v>750000000</v>
      </c>
    </row>
    <row r="34" ht="15.75" customHeight="1">
      <c r="A34" s="25"/>
      <c r="B34" s="25"/>
      <c r="D34" s="33"/>
      <c r="E34" s="25"/>
      <c r="F34" s="33"/>
    </row>
    <row r="35" ht="15.75" customHeight="1">
      <c r="A35" s="25"/>
      <c r="B35" s="3" t="s">
        <v>35</v>
      </c>
      <c r="D35" s="33"/>
      <c r="E35" s="25"/>
      <c r="F35" s="25"/>
    </row>
    <row r="36" ht="15.75" customHeight="1">
      <c r="B36" s="16" t="s">
        <v>29</v>
      </c>
      <c r="C36" s="4" t="s">
        <v>15</v>
      </c>
      <c r="D36" s="17" t="s">
        <v>16</v>
      </c>
      <c r="E36" s="25"/>
      <c r="F36" s="25"/>
      <c r="G36" s="25"/>
      <c r="H36" s="25"/>
    </row>
    <row r="37" ht="15.75" customHeight="1">
      <c r="B37" s="5" t="s">
        <v>11</v>
      </c>
      <c r="C37" s="21" t="s">
        <v>24</v>
      </c>
      <c r="D37" s="41">
        <v>1000000.0</v>
      </c>
      <c r="E37" s="25"/>
      <c r="F37" s="25"/>
      <c r="G37" s="25"/>
      <c r="H37" s="25"/>
    </row>
    <row r="38" ht="15.75" customHeight="1">
      <c r="B38" s="11" t="s">
        <v>12</v>
      </c>
      <c r="C38" s="22" t="s">
        <v>24</v>
      </c>
      <c r="D38" s="23">
        <v>1000000.0</v>
      </c>
      <c r="E38" s="25"/>
      <c r="F38" s="25"/>
      <c r="G38" s="25"/>
      <c r="H38" s="25"/>
    </row>
    <row r="39" ht="15.75" customHeight="1">
      <c r="B39" s="42" t="s">
        <v>34</v>
      </c>
      <c r="C39" s="38" t="s">
        <v>24</v>
      </c>
      <c r="D39" s="40">
        <f>SUM(D37:D38)</f>
        <v>2000000</v>
      </c>
      <c r="E39" s="25"/>
      <c r="F39" s="25"/>
      <c r="G39" s="25"/>
      <c r="H39" s="25"/>
    </row>
    <row r="40" ht="15.75" customHeight="1">
      <c r="B40" s="24"/>
      <c r="C40" s="24"/>
      <c r="D40" s="33"/>
      <c r="E40" s="25"/>
      <c r="F40" s="25"/>
      <c r="G40" s="25"/>
      <c r="H40" s="25"/>
    </row>
    <row r="41" ht="15.75" customHeight="1">
      <c r="B41" s="3" t="s">
        <v>36</v>
      </c>
      <c r="C41" s="24"/>
      <c r="D41" s="33"/>
      <c r="E41" s="25"/>
      <c r="F41" s="25"/>
      <c r="G41" s="25"/>
      <c r="H41" s="25"/>
    </row>
    <row r="42" ht="15.75" customHeight="1">
      <c r="B42" s="16" t="s">
        <v>37</v>
      </c>
      <c r="C42" s="4" t="s">
        <v>15</v>
      </c>
      <c r="D42" s="29" t="s">
        <v>16</v>
      </c>
      <c r="E42" s="25"/>
      <c r="F42" s="25"/>
      <c r="G42" s="25"/>
      <c r="H42" s="25"/>
      <c r="I42" s="25"/>
    </row>
    <row r="43" ht="15.75" customHeight="1">
      <c r="B43" s="5" t="s">
        <v>38</v>
      </c>
      <c r="C43" s="21" t="s">
        <v>24</v>
      </c>
      <c r="D43" s="43">
        <f>D28</f>
        <v>50000000</v>
      </c>
      <c r="E43" s="25"/>
      <c r="F43" s="25"/>
      <c r="G43" s="25"/>
      <c r="H43" s="25"/>
      <c r="I43" s="25"/>
    </row>
    <row r="44" ht="15.75" customHeight="1">
      <c r="B44" s="5" t="s">
        <v>39</v>
      </c>
      <c r="C44" s="21" t="s">
        <v>24</v>
      </c>
      <c r="D44" s="43">
        <f>D33</f>
        <v>1000000000</v>
      </c>
      <c r="E44" s="25"/>
      <c r="F44" s="25"/>
      <c r="G44" s="25"/>
      <c r="H44" s="25"/>
    </row>
    <row r="45" ht="15.75" customHeight="1">
      <c r="B45" s="5" t="s">
        <v>40</v>
      </c>
      <c r="C45" s="21" t="s">
        <v>24</v>
      </c>
      <c r="D45" s="43">
        <f>D44+D43</f>
        <v>1050000000</v>
      </c>
      <c r="E45" s="25"/>
      <c r="F45" s="25"/>
      <c r="G45" s="25"/>
      <c r="H45" s="25"/>
      <c r="I45" s="25"/>
    </row>
    <row r="46" ht="15.75" customHeight="1">
      <c r="B46" s="5" t="s">
        <v>41</v>
      </c>
      <c r="C46" s="21" t="s">
        <v>24</v>
      </c>
      <c r="D46" s="43">
        <f>'Example 1'!debt</f>
        <v>2000000</v>
      </c>
      <c r="E46" s="25"/>
      <c r="F46" s="25"/>
      <c r="G46" s="25"/>
      <c r="H46" s="25"/>
    </row>
    <row r="47" ht="15.75" customHeight="1">
      <c r="B47" s="5" t="s">
        <v>42</v>
      </c>
      <c r="C47" s="21" t="s">
        <v>24</v>
      </c>
      <c r="D47" s="43">
        <f>F28</f>
        <v>42500000</v>
      </c>
      <c r="E47" s="25"/>
      <c r="F47" s="25"/>
      <c r="G47" s="25"/>
      <c r="H47" s="25"/>
    </row>
    <row r="48" ht="15.75" customHeight="1">
      <c r="B48" s="5" t="s">
        <v>43</v>
      </c>
      <c r="C48" s="21" t="s">
        <v>24</v>
      </c>
      <c r="D48" s="43">
        <f>F33</f>
        <v>750000000</v>
      </c>
      <c r="E48" s="25"/>
      <c r="F48" s="25"/>
      <c r="G48" s="25"/>
      <c r="H48" s="25"/>
      <c r="I48" s="44"/>
    </row>
    <row r="49" ht="15.75" customHeight="1">
      <c r="B49" s="11" t="s">
        <v>44</v>
      </c>
      <c r="C49" s="22" t="s">
        <v>24</v>
      </c>
      <c r="D49" s="32">
        <f>D48+D47</f>
        <v>792500000</v>
      </c>
      <c r="E49" s="25"/>
      <c r="F49" s="25"/>
      <c r="G49" s="25"/>
      <c r="H49" s="25"/>
      <c r="I49" s="44"/>
    </row>
    <row r="50" ht="15.75" customHeight="1">
      <c r="B50" s="24"/>
      <c r="C50" s="24"/>
      <c r="D50" s="33"/>
      <c r="E50" s="25"/>
      <c r="F50" s="25"/>
      <c r="G50" s="25"/>
      <c r="H50" s="25"/>
      <c r="I50" s="44"/>
    </row>
    <row r="51" ht="15.75" customHeight="1">
      <c r="B51" s="24"/>
      <c r="C51" s="24"/>
      <c r="D51" s="33"/>
      <c r="E51" s="25"/>
      <c r="F51" s="25"/>
      <c r="G51" s="25"/>
      <c r="H51" s="25"/>
    </row>
    <row r="52" ht="15.75" customHeight="1">
      <c r="B52" s="3" t="s">
        <v>45</v>
      </c>
      <c r="C52" s="24"/>
      <c r="D52" s="33" t="s">
        <v>46</v>
      </c>
      <c r="E52" s="33" t="s">
        <v>47</v>
      </c>
      <c r="F52" s="25"/>
      <c r="G52" s="25"/>
      <c r="H52" s="25"/>
      <c r="I52" s="45"/>
    </row>
    <row r="53" ht="15.75" customHeight="1">
      <c r="B53" s="16" t="s">
        <v>37</v>
      </c>
      <c r="C53" s="4" t="s">
        <v>15</v>
      </c>
      <c r="D53" s="4" t="s">
        <v>16</v>
      </c>
      <c r="E53" s="29" t="s">
        <v>16</v>
      </c>
      <c r="F53" s="25"/>
      <c r="G53" s="25"/>
      <c r="H53" s="25"/>
      <c r="I53" s="45"/>
    </row>
    <row r="54" ht="14.25" customHeight="1">
      <c r="B54" s="18" t="s">
        <v>48</v>
      </c>
      <c r="C54" s="19" t="s">
        <v>21</v>
      </c>
      <c r="D54" s="46">
        <v>5000000.0</v>
      </c>
      <c r="E54" s="46">
        <v>-1000000.0</v>
      </c>
      <c r="F54" s="25"/>
      <c r="G54" s="25"/>
      <c r="H54" s="25"/>
    </row>
    <row r="55" ht="15.75" customHeight="1">
      <c r="B55" s="5" t="s">
        <v>49</v>
      </c>
      <c r="C55" s="21" t="s">
        <v>24</v>
      </c>
      <c r="D55" s="47">
        <v>1999.0</v>
      </c>
      <c r="E55" s="48">
        <v>1999.0</v>
      </c>
      <c r="F55" s="25"/>
      <c r="G55" s="25"/>
      <c r="H55" s="25"/>
      <c r="I55" s="25"/>
    </row>
    <row r="56" ht="15.75" customHeight="1">
      <c r="B56" s="5" t="s">
        <v>50</v>
      </c>
      <c r="C56" s="21" t="s">
        <v>24</v>
      </c>
      <c r="D56" s="49">
        <f>'Example 1'!priceOracle*(1+('Example 1'!skew-D54/2)/'Example 1'!skewScale)</f>
        <v>1995</v>
      </c>
      <c r="E56" s="50">
        <f>'Example 1'!priceOracle*(1+('Example 1'!skew-E54/2)/'Example 1'!skewScale)</f>
        <v>2001</v>
      </c>
      <c r="F56" s="25"/>
      <c r="G56" s="25"/>
      <c r="H56" s="25"/>
      <c r="I56" s="25"/>
    </row>
    <row r="57" ht="15.75" customHeight="1">
      <c r="B57" s="5" t="s">
        <v>51</v>
      </c>
      <c r="C57" s="21" t="s">
        <v>24</v>
      </c>
      <c r="D57" s="48">
        <v>-25.0</v>
      </c>
      <c r="E57" s="48">
        <f>D57</f>
        <v>-25</v>
      </c>
      <c r="F57" s="25"/>
      <c r="G57" s="25"/>
      <c r="H57" s="25"/>
      <c r="I57" s="25"/>
    </row>
    <row r="58" ht="15.75" customHeight="1">
      <c r="B58" s="5" t="s">
        <v>52</v>
      </c>
      <c r="C58" s="21" t="s">
        <v>24</v>
      </c>
      <c r="D58" s="51">
        <f t="shared" ref="D58:E58" si="1">MAX(D57,0)</f>
        <v>0</v>
      </c>
      <c r="E58" s="51">
        <f t="shared" si="1"/>
        <v>0</v>
      </c>
      <c r="F58" s="25"/>
      <c r="G58" s="25"/>
      <c r="H58" s="25"/>
      <c r="I58" s="52"/>
    </row>
    <row r="59" ht="15.75" customHeight="1">
      <c r="B59" s="5" t="s">
        <v>53</v>
      </c>
      <c r="C59" s="21" t="s">
        <v>24</v>
      </c>
      <c r="D59" s="51">
        <f t="shared" ref="D59:E59" si="2">-MIN(D57,0)</f>
        <v>25</v>
      </c>
      <c r="E59" s="51">
        <f t="shared" si="2"/>
        <v>25</v>
      </c>
      <c r="F59" s="25"/>
      <c r="G59" s="25"/>
      <c r="H59" s="25"/>
      <c r="I59" s="52"/>
    </row>
    <row r="60" ht="15.75" customHeight="1">
      <c r="B60" s="5" t="s">
        <v>54</v>
      </c>
      <c r="C60" s="21" t="s">
        <v>24</v>
      </c>
      <c r="D60" s="50">
        <f t="shared" ref="D60:E60" si="3">D54*(D56-D55)</f>
        <v>-20000000</v>
      </c>
      <c r="E60" s="53">
        <f t="shared" si="3"/>
        <v>-2000000</v>
      </c>
      <c r="F60" s="25"/>
      <c r="G60" s="25"/>
      <c r="H60" s="25"/>
      <c r="I60" s="25"/>
    </row>
    <row r="61" ht="15.75" customHeight="1">
      <c r="B61" s="5" t="s">
        <v>55</v>
      </c>
      <c r="C61" s="21" t="s">
        <v>24</v>
      </c>
      <c r="D61" s="51">
        <f t="shared" ref="D61:E61" si="4">MAX(D60,0)</f>
        <v>0</v>
      </c>
      <c r="E61" s="51">
        <f t="shared" si="4"/>
        <v>0</v>
      </c>
      <c r="F61" s="25"/>
      <c r="G61" s="25"/>
      <c r="H61" s="25"/>
      <c r="I61" s="25"/>
    </row>
    <row r="62" ht="15.75" customHeight="1">
      <c r="B62" s="5" t="s">
        <v>56</v>
      </c>
      <c r="C62" s="21" t="s">
        <v>24</v>
      </c>
      <c r="D62" s="51">
        <f t="shared" ref="D62:E62" si="5">-MIN(D60,0)</f>
        <v>20000000</v>
      </c>
      <c r="E62" s="51">
        <f t="shared" si="5"/>
        <v>2000000</v>
      </c>
      <c r="F62" s="25"/>
      <c r="G62" s="25"/>
      <c r="H62" s="25"/>
      <c r="I62" s="25"/>
    </row>
    <row r="63" ht="15.75" customHeight="1">
      <c r="B63" s="5" t="s">
        <v>57</v>
      </c>
      <c r="C63" s="21" t="s">
        <v>24</v>
      </c>
      <c r="D63" s="51">
        <f>D54*D55</f>
        <v>9995000000</v>
      </c>
      <c r="E63" s="51">
        <f>ABS(E54)*E55</f>
        <v>1999000000</v>
      </c>
      <c r="F63" s="25"/>
      <c r="G63" s="25"/>
      <c r="H63" s="25"/>
      <c r="I63" s="25"/>
    </row>
    <row r="64" ht="15.75" customHeight="1">
      <c r="B64" s="5" t="s">
        <v>58</v>
      </c>
      <c r="C64" s="21" t="s">
        <v>24</v>
      </c>
      <c r="D64" s="51">
        <f>D54*D56</f>
        <v>9975000000</v>
      </c>
      <c r="E64" s="51">
        <f>ABS(E54)*E56</f>
        <v>2001000000</v>
      </c>
      <c r="F64" s="25"/>
      <c r="G64" s="25"/>
      <c r="H64" s="25"/>
      <c r="I64" s="25"/>
    </row>
    <row r="65" ht="15.75" customHeight="1">
      <c r="B65" s="18" t="s">
        <v>59</v>
      </c>
      <c r="C65" s="19" t="s">
        <v>24</v>
      </c>
      <c r="D65" s="54">
        <f>D64*('Example 1'!LTVperp-'Example 1'!closingFee)</f>
        <v>9280075000</v>
      </c>
      <c r="E65" s="54">
        <f>E64*(2-'Example 1'!LTVperp+'Example 1'!closingFee)</f>
        <v>2140403000</v>
      </c>
      <c r="F65" s="25"/>
      <c r="G65" s="25"/>
      <c r="H65" s="25"/>
      <c r="I65" s="25"/>
    </row>
    <row r="66" ht="15.75" customHeight="1">
      <c r="B66" s="5" t="s">
        <v>60</v>
      </c>
      <c r="C66" s="21" t="s">
        <v>24</v>
      </c>
      <c r="D66" s="51">
        <f>D58*'Example 1'!LTVusdc</f>
        <v>0</v>
      </c>
      <c r="E66" s="51">
        <f>E58*'Example 1'!LTVusdc</f>
        <v>0</v>
      </c>
      <c r="F66" s="25"/>
      <c r="G66" s="25"/>
      <c r="H66" s="25"/>
      <c r="I66" s="25"/>
    </row>
    <row r="67" ht="15.75" customHeight="1">
      <c r="B67" s="5" t="s">
        <v>61</v>
      </c>
      <c r="C67" s="21" t="s">
        <v>24</v>
      </c>
      <c r="D67" s="51">
        <f>D65+D66</f>
        <v>9280075000</v>
      </c>
      <c r="E67" s="43">
        <f>E63+E66</f>
        <v>1999000000</v>
      </c>
      <c r="F67" s="25"/>
      <c r="G67" s="25"/>
      <c r="H67" s="25"/>
      <c r="I67" s="25"/>
    </row>
    <row r="68" ht="15.75" customHeight="1">
      <c r="B68" s="11" t="s">
        <v>62</v>
      </c>
      <c r="C68" s="22" t="s">
        <v>24</v>
      </c>
      <c r="D68" s="55">
        <f>D63+D59</f>
        <v>9995000025</v>
      </c>
      <c r="E68" s="32">
        <f>E65+E59</f>
        <v>2140403025</v>
      </c>
      <c r="F68" s="25"/>
      <c r="G68" s="25"/>
      <c r="H68" s="25"/>
      <c r="I68" s="25"/>
    </row>
    <row r="69" ht="15.75" customHeight="1">
      <c r="B69" s="42" t="s">
        <v>63</v>
      </c>
      <c r="C69" s="38" t="s">
        <v>24</v>
      </c>
      <c r="D69" s="56">
        <f t="shared" ref="D69:E69" si="6">D57+D60</f>
        <v>-20000025</v>
      </c>
      <c r="E69" s="40">
        <f t="shared" si="6"/>
        <v>-2000025</v>
      </c>
      <c r="F69" s="25"/>
      <c r="G69" s="25"/>
      <c r="H69" s="25"/>
      <c r="I69" s="25"/>
    </row>
    <row r="70" ht="15.75" customHeight="1">
      <c r="B70" s="3"/>
      <c r="C70" s="3"/>
      <c r="D70" s="3"/>
    </row>
    <row r="71" ht="15.75" customHeight="1">
      <c r="B71" s="3" t="s">
        <v>64</v>
      </c>
      <c r="C71" s="3"/>
      <c r="D71" s="33" t="s">
        <v>46</v>
      </c>
      <c r="E71" s="33" t="s">
        <v>47</v>
      </c>
    </row>
    <row r="72" ht="15.75" customHeight="1">
      <c r="B72" s="16" t="s">
        <v>65</v>
      </c>
      <c r="C72" s="4" t="s">
        <v>15</v>
      </c>
      <c r="D72" s="17" t="s">
        <v>66</v>
      </c>
      <c r="E72" s="17" t="s">
        <v>66</v>
      </c>
    </row>
    <row r="73" ht="15.75" customHeight="1">
      <c r="B73" s="5" t="s">
        <v>67</v>
      </c>
      <c r="C73" s="21" t="s">
        <v>24</v>
      </c>
      <c r="D73" s="57">
        <f>D49</f>
        <v>792500000</v>
      </c>
      <c r="E73" s="50">
        <f>D73</f>
        <v>792500000</v>
      </c>
      <c r="H73" s="25"/>
    </row>
    <row r="74" ht="15.75" customHeight="1">
      <c r="B74" s="5" t="s">
        <v>68</v>
      </c>
      <c r="C74" s="21" t="s">
        <v>24</v>
      </c>
      <c r="D74" s="57">
        <f t="shared" ref="D74:E74" si="7">D67</f>
        <v>9280075000</v>
      </c>
      <c r="E74" s="57">
        <f t="shared" si="7"/>
        <v>1999000000</v>
      </c>
      <c r="H74" s="25"/>
    </row>
    <row r="75" ht="15.75" customHeight="1">
      <c r="B75" s="5" t="s">
        <v>69</v>
      </c>
      <c r="C75" s="21" t="s">
        <v>24</v>
      </c>
      <c r="D75" s="57">
        <f>D46</f>
        <v>2000000</v>
      </c>
      <c r="E75" s="57">
        <f>D75</f>
        <v>2000000</v>
      </c>
    </row>
    <row r="76" ht="15.75" customHeight="1">
      <c r="B76" s="5" t="s">
        <v>70</v>
      </c>
      <c r="C76" s="21" t="s">
        <v>24</v>
      </c>
      <c r="D76" s="57">
        <f t="shared" ref="D76:E76" si="8">D68</f>
        <v>9995000025</v>
      </c>
      <c r="E76" s="57">
        <f t="shared" si="8"/>
        <v>2140403025</v>
      </c>
    </row>
    <row r="77" ht="15.75" customHeight="1">
      <c r="B77" s="5" t="s">
        <v>71</v>
      </c>
      <c r="C77" s="21" t="s">
        <v>24</v>
      </c>
      <c r="D77" s="57">
        <f t="shared" ref="D77:E77" si="9">D73+D74</f>
        <v>10072575000</v>
      </c>
      <c r="E77" s="57">
        <f t="shared" si="9"/>
        <v>2791500000</v>
      </c>
    </row>
    <row r="78" ht="15.75" customHeight="1">
      <c r="B78" s="5" t="s">
        <v>72</v>
      </c>
      <c r="C78" s="21" t="s">
        <v>24</v>
      </c>
      <c r="D78" s="57">
        <f t="shared" ref="D78:E78" si="10">D75+D76</f>
        <v>9997000025</v>
      </c>
      <c r="E78" s="57">
        <f t="shared" si="10"/>
        <v>2142403025</v>
      </c>
    </row>
    <row r="79" ht="15.75" customHeight="1">
      <c r="B79" s="37" t="s">
        <v>73</v>
      </c>
      <c r="C79" s="56" t="s">
        <v>74</v>
      </c>
      <c r="D79" s="58">
        <f t="shared" ref="D79:E79" si="11">D77/D78</f>
        <v>1.007559765</v>
      </c>
      <c r="E79" s="59">
        <f t="shared" si="11"/>
        <v>1.302976129</v>
      </c>
      <c r="H79" s="25"/>
    </row>
    <row r="80" ht="15.75" customHeight="1">
      <c r="B80" s="25"/>
      <c r="C80" s="25"/>
      <c r="D80" s="25"/>
      <c r="E80" s="25"/>
      <c r="F80" s="25"/>
      <c r="G80" s="25"/>
      <c r="H80" s="25"/>
    </row>
    <row r="81" ht="15.75" customHeight="1">
      <c r="B81" s="3" t="s">
        <v>75</v>
      </c>
    </row>
    <row r="82" ht="15.75" customHeight="1">
      <c r="B82" s="16" t="s">
        <v>65</v>
      </c>
      <c r="C82" s="4" t="s">
        <v>15</v>
      </c>
      <c r="D82" s="29" t="s">
        <v>16</v>
      </c>
      <c r="E82" s="29" t="s">
        <v>16</v>
      </c>
    </row>
    <row r="83" ht="15.75" customHeight="1">
      <c r="B83" s="18" t="s">
        <v>76</v>
      </c>
      <c r="C83" s="19" t="s">
        <v>24</v>
      </c>
      <c r="D83" s="60">
        <f t="shared" ref="D83:E83" si="12">$D$45+MAX(0,D69)</f>
        <v>1050000000</v>
      </c>
      <c r="E83" s="60">
        <f t="shared" si="12"/>
        <v>1050000000</v>
      </c>
    </row>
    <row r="84" ht="15.75" customHeight="1">
      <c r="B84" s="5" t="s">
        <v>77</v>
      </c>
      <c r="C84" s="21" t="s">
        <v>24</v>
      </c>
      <c r="D84" s="50">
        <f>'Example 1'!debt-MIN(0,D69)</f>
        <v>22000025</v>
      </c>
      <c r="E84" s="50">
        <f>'Example 1'!debt-MIN(0,E69)</f>
        <v>4000025</v>
      </c>
    </row>
    <row r="85" ht="15.75" customHeight="1">
      <c r="B85" s="5" t="s">
        <v>78</v>
      </c>
      <c r="C85" s="21" t="s">
        <v>24</v>
      </c>
      <c r="D85" s="50">
        <f t="shared" ref="D85:E85" si="13">D83-D84</f>
        <v>1027999975</v>
      </c>
      <c r="E85" s="50">
        <f t="shared" si="13"/>
        <v>1045999975</v>
      </c>
    </row>
    <row r="86" ht="15.75" customHeight="1">
      <c r="B86" s="42" t="s">
        <v>79</v>
      </c>
      <c r="C86" s="38" t="s">
        <v>74</v>
      </c>
      <c r="D86" s="61">
        <f t="shared" ref="D86:E86" si="14">D83/D84</f>
        <v>47.72721849</v>
      </c>
      <c r="E86" s="61">
        <f t="shared" si="14"/>
        <v>262.4983594</v>
      </c>
    </row>
    <row r="87" ht="15.75" customHeight="1">
      <c r="B87" s="24"/>
      <c r="C87" s="24"/>
      <c r="D87" s="9"/>
    </row>
    <row r="88" ht="15.75" customHeight="1">
      <c r="D88" s="9"/>
      <c r="E88" s="9"/>
    </row>
    <row r="89" ht="15.75" customHeight="1">
      <c r="B89" s="3" t="s">
        <v>80</v>
      </c>
      <c r="C89" s="62"/>
      <c r="D89" s="33" t="s">
        <v>46</v>
      </c>
      <c r="E89" s="33" t="s">
        <v>47</v>
      </c>
    </row>
    <row r="90" ht="15.75" customHeight="1">
      <c r="B90" s="16" t="s">
        <v>65</v>
      </c>
      <c r="C90" s="4" t="s">
        <v>15</v>
      </c>
      <c r="D90" s="17" t="s">
        <v>66</v>
      </c>
      <c r="E90" s="17" t="s">
        <v>66</v>
      </c>
    </row>
    <row r="91" ht="15.75" customHeight="1">
      <c r="B91" s="5" t="s">
        <v>81</v>
      </c>
      <c r="C91" s="21" t="s">
        <v>24</v>
      </c>
      <c r="D91" s="50">
        <f t="shared" ref="D91:E91" si="15">D69</f>
        <v>-20000025</v>
      </c>
      <c r="E91" s="50">
        <f t="shared" si="15"/>
        <v>-2000025</v>
      </c>
    </row>
    <row r="92" ht="15.75" customHeight="1">
      <c r="B92" s="5" t="s">
        <v>38</v>
      </c>
      <c r="C92" s="21" t="s">
        <v>24</v>
      </c>
      <c r="D92" s="50">
        <f>MAX('Example 1'!usdcCollateral+D91,0)</f>
        <v>29999975</v>
      </c>
      <c r="E92" s="50">
        <f>MAX('Example 1'!usdcCollateral+E91,0)</f>
        <v>47999975</v>
      </c>
    </row>
    <row r="93" ht="15.75" customHeight="1">
      <c r="B93" s="5" t="s">
        <v>82</v>
      </c>
      <c r="C93" s="21" t="s">
        <v>24</v>
      </c>
      <c r="D93" s="50">
        <f>-MIN('Example 1'!usdcCollateral+D91,0)</f>
        <v>0</v>
      </c>
      <c r="E93" s="50">
        <f>-MIN('Example 1'!usdcCollateral+E91,0)</f>
        <v>0</v>
      </c>
    </row>
    <row r="94" ht="15.75" customHeight="1">
      <c r="B94" s="5" t="s">
        <v>42</v>
      </c>
      <c r="C94" s="21" t="s">
        <v>24</v>
      </c>
      <c r="D94" s="50">
        <f>D92*'Example 1'!LTVusdc</f>
        <v>25499978.75</v>
      </c>
      <c r="E94" s="50">
        <f>E92*'Example 1'!LTVusdc</f>
        <v>40799978.75</v>
      </c>
    </row>
    <row r="95" ht="15.75" customHeight="1">
      <c r="B95" s="5" t="s">
        <v>43</v>
      </c>
      <c r="C95" s="21" t="s">
        <v>24</v>
      </c>
      <c r="D95" s="50">
        <f>D48</f>
        <v>750000000</v>
      </c>
      <c r="E95" s="50">
        <f t="shared" ref="E95:E96" si="16">D95</f>
        <v>750000000</v>
      </c>
    </row>
    <row r="96" ht="15.75" customHeight="1">
      <c r="B96" s="5" t="s">
        <v>83</v>
      </c>
      <c r="C96" s="21" t="s">
        <v>24</v>
      </c>
      <c r="D96" s="50">
        <f>D39</f>
        <v>2000000</v>
      </c>
      <c r="E96" s="50">
        <f t="shared" si="16"/>
        <v>2000000</v>
      </c>
    </row>
    <row r="97" ht="15.75" customHeight="1">
      <c r="B97" s="18" t="s">
        <v>57</v>
      </c>
      <c r="C97" s="19" t="s">
        <v>24</v>
      </c>
      <c r="D97" s="63">
        <f>D54*D56</f>
        <v>9975000000</v>
      </c>
      <c r="E97" s="63">
        <f>ABS(E54)*E56</f>
        <v>2001000000</v>
      </c>
    </row>
    <row r="98" ht="15.75" customHeight="1">
      <c r="B98" s="5" t="s">
        <v>84</v>
      </c>
      <c r="C98" s="21" t="s">
        <v>24</v>
      </c>
      <c r="D98" s="64">
        <f t="shared" ref="D98:E98" si="17">D97</f>
        <v>9975000000</v>
      </c>
      <c r="E98" s="64">
        <f t="shared" si="17"/>
        <v>2001000000</v>
      </c>
    </row>
    <row r="99" ht="15.75" customHeight="1">
      <c r="B99" s="65" t="s">
        <v>59</v>
      </c>
      <c r="C99" s="66" t="s">
        <v>24</v>
      </c>
      <c r="D99" s="67">
        <f>D98*('Example 1'!LTVperp-'Example 1'!closingFee)</f>
        <v>9280075000</v>
      </c>
      <c r="E99" s="67">
        <f>E98*(2-'Example 1'!LTVperp+'Example 1'!closingFee)</f>
        <v>2140403000</v>
      </c>
    </row>
    <row r="100" ht="15.75" customHeight="1">
      <c r="B100" s="5" t="s">
        <v>71</v>
      </c>
      <c r="C100" s="21" t="s">
        <v>24</v>
      </c>
      <c r="D100" s="64">
        <f>D94+D95+D99</f>
        <v>10055574979</v>
      </c>
      <c r="E100" s="64">
        <f>E94+E95+E97</f>
        <v>2791799979</v>
      </c>
    </row>
    <row r="101" ht="15.75" customHeight="1">
      <c r="B101" s="5" t="s">
        <v>72</v>
      </c>
      <c r="C101" s="21" t="s">
        <v>24</v>
      </c>
      <c r="D101" s="64">
        <f>D93+D96+D97</f>
        <v>9977000000</v>
      </c>
      <c r="E101" s="64">
        <f>E93+E96+E99</f>
        <v>2142403000</v>
      </c>
    </row>
    <row r="102" ht="15.75" customHeight="1">
      <c r="B102" s="42" t="s">
        <v>73</v>
      </c>
      <c r="C102" s="38" t="s">
        <v>74</v>
      </c>
      <c r="D102" s="68">
        <f t="shared" ref="D102:E102" si="18">D100/D101</f>
        <v>1.007875612</v>
      </c>
      <c r="E102" s="68">
        <f t="shared" si="18"/>
        <v>1.303116164</v>
      </c>
    </row>
    <row r="103" ht="15.75" customHeight="1">
      <c r="B103" s="69" t="s">
        <v>43</v>
      </c>
      <c r="C103" s="70" t="s">
        <v>24</v>
      </c>
      <c r="D103" s="71">
        <f t="shared" ref="D103:E103" si="19">D95+D94</f>
        <v>775499978.8</v>
      </c>
      <c r="E103" s="72">
        <f t="shared" si="19"/>
        <v>790799978.8</v>
      </c>
    </row>
    <row r="104" ht="15.75" customHeight="1">
      <c r="B104" s="73" t="s">
        <v>83</v>
      </c>
      <c r="C104" s="74" t="s">
        <v>24</v>
      </c>
      <c r="D104" s="75">
        <f t="shared" ref="D104:E104" si="20">D96+D93</f>
        <v>2000000</v>
      </c>
      <c r="E104" s="76">
        <f t="shared" si="20"/>
        <v>2000000</v>
      </c>
    </row>
    <row r="105" ht="15.75" customHeight="1"/>
    <row r="106" ht="15.75" customHeight="1">
      <c r="B106" s="3" t="s">
        <v>85</v>
      </c>
    </row>
    <row r="107" ht="15.75" customHeight="1">
      <c r="B107" s="77" t="s">
        <v>65</v>
      </c>
      <c r="C107" s="78" t="s">
        <v>15</v>
      </c>
      <c r="D107" s="77" t="s">
        <v>46</v>
      </c>
      <c r="E107" s="78" t="s">
        <v>47</v>
      </c>
    </row>
    <row r="108" ht="15.75" customHeight="1">
      <c r="B108" s="5" t="s">
        <v>86</v>
      </c>
      <c r="C108" s="21" t="s">
        <v>24</v>
      </c>
      <c r="D108" s="79">
        <f>MAX('Example 1'!netUPnLLong+'Example 1'!usdcCollateral,0)</f>
        <v>29999975</v>
      </c>
      <c r="E108" s="54">
        <f>MAX('Example 1'!netUPnLShort+'Example 1'!usdcCollateral,0)</f>
        <v>47999975</v>
      </c>
      <c r="F108" s="80"/>
    </row>
    <row r="109" ht="15.75" customHeight="1">
      <c r="B109" s="5" t="s">
        <v>87</v>
      </c>
      <c r="C109" s="21" t="s">
        <v>24</v>
      </c>
      <c r="D109" s="79">
        <f>-MIN('Example 1'!netUPnLLong+'Example 1'!usdcCollateral,0)</f>
        <v>0</v>
      </c>
      <c r="E109" s="51">
        <f>-MIN('Example 1'!netUPnLShort+'Example 1'!usdcCollateral,0)</f>
        <v>0</v>
      </c>
      <c r="F109" s="81"/>
      <c r="I109" s="45"/>
    </row>
    <row r="110" ht="15.75" customHeight="1">
      <c r="B110" s="5" t="s">
        <v>88</v>
      </c>
      <c r="C110" s="21" t="s">
        <v>24</v>
      </c>
      <c r="D110" s="82">
        <f>D108*'Example 1'!LTVusdc-D109</f>
        <v>25499978.75</v>
      </c>
      <c r="E110" s="51">
        <f>E108*'Example 1'!LTVusdc-E109</f>
        <v>40799978.75</v>
      </c>
      <c r="F110" s="45"/>
      <c r="H110" s="45"/>
      <c r="I110" s="45"/>
    </row>
    <row r="111" ht="15.75" customHeight="1">
      <c r="B111" s="5" t="s">
        <v>89</v>
      </c>
      <c r="C111" s="21" t="s">
        <v>74</v>
      </c>
      <c r="D111" s="83">
        <f>'Example 1'!LTVperp-'Example 1'!closingFee-'Example 1'!openingFee-1</f>
        <v>-0.2696666667</v>
      </c>
      <c r="E111" s="51">
        <f>'Example 1'!LTVperp-'Example 1'!closingFee-'Example 1'!openingFee-1</f>
        <v>-0.2696666667</v>
      </c>
      <c r="F111" s="45"/>
      <c r="H111" s="45"/>
      <c r="I111" s="45"/>
    </row>
    <row r="112" ht="15.75" customHeight="1">
      <c r="B112" s="5" t="s">
        <v>90</v>
      </c>
      <c r="C112" s="21" t="s">
        <v>91</v>
      </c>
      <c r="D112" s="84">
        <f>'Example 1'!priceOracle*ABS(D54)*'Example 1'!openingFee*(1+'Example 1'!skew/'Example 1'!skewScale-D54/2/'Example 1'!skewScale)</f>
        <v>1995000000</v>
      </c>
      <c r="E112" s="53">
        <f>'Example 1'!priceOracle*ABS(E54)*'Example 1'!openingFee*(1+'Example 1'!skew/'Example 1'!skewScale-E54/2/'Example 1'!skewScale)</f>
        <v>400200000</v>
      </c>
      <c r="H112" s="45"/>
      <c r="I112" s="45"/>
    </row>
    <row r="113" ht="15.75" customHeight="1">
      <c r="B113" s="5" t="s">
        <v>92</v>
      </c>
      <c r="C113" s="21" t="s">
        <v>91</v>
      </c>
      <c r="D113" s="85">
        <f>'Example 1'!priceOracle/2/'Example 1'!skewScale*D111</f>
        <v>-0.0000002696666667</v>
      </c>
      <c r="E113" s="86">
        <f>-'Example 1'!priceOracle/2/'Example 1'!skewScale*('Example 1'!LTVperp-'Example 1'!openingFee-'Example 1'!closingFee-1)</f>
        <v>0.0000002696666667</v>
      </c>
      <c r="H113" s="45"/>
      <c r="I113" s="45"/>
    </row>
    <row r="114" ht="15.75" customHeight="1">
      <c r="B114" s="5" t="s">
        <v>93</v>
      </c>
      <c r="C114" s="21" t="s">
        <v>91</v>
      </c>
      <c r="D114" s="87">
        <f>'Example 1'!priceOracle*D111*(1+'Example 1'!skew/'Example 1'!skewScale-D54/'Example 1'!skewScale)</f>
        <v>-536.6366667</v>
      </c>
      <c r="E114" s="51">
        <f>'Example 1'!priceOracle*E111*(1+'Example 1'!skew/'Example 1'!skewScale-E54/'Example 1'!skewScale)</f>
        <v>-539.8726667</v>
      </c>
      <c r="F114" s="45"/>
      <c r="H114" s="45"/>
      <c r="I114" s="45"/>
    </row>
    <row r="115" ht="15.75" customHeight="1">
      <c r="B115" s="5" t="s">
        <v>94</v>
      </c>
      <c r="C115" s="21" t="s">
        <v>91</v>
      </c>
      <c r="D115" s="87">
        <f>D48-'Example 1'!debt+D110+D112</f>
        <v>2768499979</v>
      </c>
      <c r="E115" s="51">
        <f>D48-'Example 1'!debt+E110+E112</f>
        <v>1188999979</v>
      </c>
      <c r="F115" s="45"/>
      <c r="G115" s="45"/>
      <c r="H115" s="45"/>
    </row>
    <row r="116" ht="15.75" customHeight="1">
      <c r="B116" s="5" t="s">
        <v>95</v>
      </c>
      <c r="C116" s="21" t="s">
        <v>91</v>
      </c>
      <c r="D116" s="79">
        <f t="shared" ref="D116:E116" si="21">D114^2-4*D113*D115</f>
        <v>290965.2007</v>
      </c>
      <c r="E116" s="88">
        <f t="shared" si="21"/>
        <v>290179.9616</v>
      </c>
      <c r="F116" s="45"/>
      <c r="G116" s="45"/>
    </row>
    <row r="117" ht="15.75" customHeight="1">
      <c r="B117" s="42" t="s">
        <v>96</v>
      </c>
      <c r="C117" s="38" t="s">
        <v>21</v>
      </c>
      <c r="D117" s="89">
        <f>(-D114-SQRT(D116))/2/D113</f>
        <v>5145678.472</v>
      </c>
      <c r="E117" s="90">
        <f>-(-E114-SQRT(E116))/2/E113</f>
        <v>-2204799.279</v>
      </c>
      <c r="F117" s="91"/>
    </row>
    <row r="118" ht="15.75" customHeight="1">
      <c r="I118" s="92"/>
    </row>
    <row r="119" ht="15.75" customHeight="1">
      <c r="A119" s="45"/>
      <c r="C119" s="45"/>
      <c r="D119" s="45"/>
      <c r="E119" s="45"/>
      <c r="F119" s="45"/>
      <c r="G119" s="45"/>
      <c r="H119" s="45"/>
    </row>
    <row r="120" ht="15.75" customHeight="1">
      <c r="A120" s="45"/>
      <c r="B120" s="3" t="s">
        <v>97</v>
      </c>
      <c r="D120" s="3" t="s">
        <v>46</v>
      </c>
      <c r="E120" s="3" t="s">
        <v>47</v>
      </c>
    </row>
    <row r="121" ht="15.75" customHeight="1">
      <c r="A121" s="45"/>
      <c r="B121" s="77" t="s">
        <v>65</v>
      </c>
      <c r="C121" s="78" t="s">
        <v>15</v>
      </c>
      <c r="D121" s="77" t="s">
        <v>4</v>
      </c>
      <c r="E121" s="78" t="s">
        <v>4</v>
      </c>
    </row>
    <row r="122" ht="15.75" customHeight="1">
      <c r="B122" s="18" t="s">
        <v>98</v>
      </c>
      <c r="C122" s="19" t="s">
        <v>21</v>
      </c>
      <c r="D122" s="93">
        <f t="shared" ref="D122:E122" si="22">D117</f>
        <v>5145678.472</v>
      </c>
      <c r="E122" s="60">
        <f t="shared" si="22"/>
        <v>-2204799.279</v>
      </c>
    </row>
    <row r="123" ht="15.75" customHeight="1">
      <c r="B123" s="5" t="s">
        <v>99</v>
      </c>
      <c r="C123" s="21" t="s">
        <v>21</v>
      </c>
      <c r="D123" s="94">
        <f t="shared" ref="D123:E123" si="23">D122-D54</f>
        <v>145678.4719</v>
      </c>
      <c r="E123" s="50">
        <f t="shared" si="23"/>
        <v>-1204799.279</v>
      </c>
    </row>
    <row r="124" ht="15.75" customHeight="1">
      <c r="B124" s="5" t="s">
        <v>100</v>
      </c>
      <c r="C124" s="21" t="s">
        <v>18</v>
      </c>
      <c r="D124" s="95">
        <f>1+('Example 1'!skew+D123-D122/2)/'Example 1'!skewScale</f>
        <v>0.9975728392</v>
      </c>
      <c r="E124" s="96">
        <f>1+('Example 1'!skew+E123-E122/2)/'Example 1'!skewScale</f>
        <v>0.9998976004</v>
      </c>
    </row>
    <row r="125" ht="15.75" customHeight="1">
      <c r="B125" s="5" t="s">
        <v>101</v>
      </c>
      <c r="C125" s="21" t="s">
        <v>18</v>
      </c>
      <c r="D125" s="95">
        <f>1+('Example 1'!skew+D123/2)/'Example 1'!skewScale</f>
        <v>1.000072839</v>
      </c>
      <c r="E125" s="97">
        <f>1+('Example 1'!skew+E123/2)/'Example 1'!skewScale</f>
        <v>0.9993976004</v>
      </c>
    </row>
    <row r="126" ht="15.75" customHeight="1">
      <c r="B126" s="5" t="s">
        <v>102</v>
      </c>
      <c r="C126" s="21" t="s">
        <v>24</v>
      </c>
      <c r="D126" s="94">
        <f>'Example 1'!priceOracle*D125</f>
        <v>2000.145678</v>
      </c>
      <c r="E126" s="50">
        <f>'Example 1'!priceOracle*E125</f>
        <v>1998.795201</v>
      </c>
    </row>
    <row r="127" ht="15.75" customHeight="1">
      <c r="B127" s="5" t="s">
        <v>103</v>
      </c>
      <c r="C127" s="21" t="s">
        <v>24</v>
      </c>
      <c r="D127" s="94">
        <f>'Example 1'!priceOracle*D124</f>
        <v>1995.145678</v>
      </c>
      <c r="E127" s="50">
        <f>'Example 1'!priceOracle*E124</f>
        <v>1999.795201</v>
      </c>
    </row>
    <row r="128" ht="15.75" customHeight="1">
      <c r="B128" s="5"/>
      <c r="C128" s="21"/>
      <c r="D128" s="5"/>
      <c r="E128" s="21"/>
    </row>
    <row r="129" ht="15.75" customHeight="1">
      <c r="B129" s="5" t="s">
        <v>57</v>
      </c>
      <c r="C129" s="21" t="s">
        <v>24</v>
      </c>
      <c r="D129" s="50">
        <f t="shared" ref="D129:E129" si="24">ABS(D122)*D127</f>
        <v>10266378166</v>
      </c>
      <c r="E129" s="50">
        <f t="shared" si="24"/>
        <v>4409147016</v>
      </c>
    </row>
    <row r="130" ht="15.75" customHeight="1">
      <c r="B130" s="5" t="s">
        <v>84</v>
      </c>
      <c r="C130" s="21" t="s">
        <v>24</v>
      </c>
      <c r="D130" s="50">
        <f t="shared" ref="D130:E130" si="25">ABS(D122)*D127</f>
        <v>10266378166</v>
      </c>
      <c r="E130" s="50">
        <f t="shared" si="25"/>
        <v>4409147016</v>
      </c>
    </row>
    <row r="131" ht="15.75" customHeight="1">
      <c r="B131" s="5"/>
      <c r="C131" s="21"/>
      <c r="D131" s="5"/>
      <c r="E131" s="21"/>
    </row>
    <row r="132" ht="15.75" customHeight="1">
      <c r="B132" s="5" t="s">
        <v>17</v>
      </c>
      <c r="C132" s="21" t="s">
        <v>24</v>
      </c>
      <c r="D132" s="50">
        <f>ABS(D123)*'Example 1'!openingFee*D126</f>
        <v>58275633.19</v>
      </c>
      <c r="E132" s="50">
        <f>ABS(E123)*'Example 1'!openingFee*E126</f>
        <v>481629403.3</v>
      </c>
      <c r="F132" s="98" t="s">
        <v>104</v>
      </c>
    </row>
    <row r="133" ht="15.75" customHeight="1">
      <c r="B133" s="5" t="s">
        <v>19</v>
      </c>
      <c r="C133" s="21" t="s">
        <v>24</v>
      </c>
      <c r="D133" s="94">
        <f>D130*D14</f>
        <v>30799134.5</v>
      </c>
      <c r="E133" s="50">
        <f>E130*'Example 1'!closingFee</f>
        <v>13227441.05</v>
      </c>
    </row>
    <row r="134" ht="15.75" customHeight="1">
      <c r="B134" s="5"/>
      <c r="C134" s="21"/>
      <c r="D134" s="94"/>
      <c r="E134" s="50"/>
    </row>
    <row r="135" ht="15.75" customHeight="1">
      <c r="B135" s="5" t="s">
        <v>61</v>
      </c>
      <c r="C135" s="21" t="s">
        <v>24</v>
      </c>
      <c r="D135" s="94">
        <f>D130*('Example 1'!LTVperp-'Example 1'!closingFee)</f>
        <v>9551153820</v>
      </c>
      <c r="E135" s="50">
        <f>E129</f>
        <v>4409147016</v>
      </c>
    </row>
    <row r="136" ht="15.75" customHeight="1">
      <c r="B136" s="5" t="s">
        <v>62</v>
      </c>
      <c r="C136" s="21" t="s">
        <v>24</v>
      </c>
      <c r="D136" s="94">
        <f>D129+D132</f>
        <v>10324653799</v>
      </c>
      <c r="E136" s="50">
        <f>E130*(2-'Example 1'!LTVperp+'Example 1'!closingFee)+E132</f>
        <v>5197946995</v>
      </c>
      <c r="I136" s="25"/>
    </row>
    <row r="137" ht="15.75" customHeight="1">
      <c r="B137" s="5"/>
      <c r="C137" s="21"/>
      <c r="D137" s="5"/>
      <c r="E137" s="21"/>
      <c r="I137" s="25"/>
    </row>
    <row r="138" ht="15.75" customHeight="1">
      <c r="B138" s="99" t="s">
        <v>105</v>
      </c>
      <c r="C138" s="21"/>
      <c r="D138" s="5"/>
      <c r="E138" s="21"/>
      <c r="I138" s="45"/>
    </row>
    <row r="139" ht="15.75" customHeight="1">
      <c r="B139" s="5" t="s">
        <v>71</v>
      </c>
      <c r="C139" s="21" t="s">
        <v>24</v>
      </c>
      <c r="D139" s="94">
        <f t="shared" ref="D139:E139" si="26">D103+D135</f>
        <v>10326653799</v>
      </c>
      <c r="E139" s="50">
        <f t="shared" si="26"/>
        <v>5199946995</v>
      </c>
    </row>
    <row r="140" ht="15.75" customHeight="1">
      <c r="B140" s="5" t="s">
        <v>72</v>
      </c>
      <c r="C140" s="21" t="s">
        <v>24</v>
      </c>
      <c r="D140" s="94">
        <f t="shared" ref="D140:E140" si="27">D104+D136</f>
        <v>10326653799</v>
      </c>
      <c r="E140" s="50">
        <f t="shared" si="27"/>
        <v>5199946995</v>
      </c>
      <c r="I140" s="45"/>
    </row>
    <row r="141" ht="15.75" customHeight="1">
      <c r="B141" s="5" t="s">
        <v>73</v>
      </c>
      <c r="C141" s="21"/>
      <c r="D141" s="100">
        <f t="shared" ref="D141:E141" si="28">D139/D140</f>
        <v>1</v>
      </c>
      <c r="E141" s="101">
        <f t="shared" si="28"/>
        <v>1</v>
      </c>
      <c r="I141" s="9"/>
    </row>
    <row r="142" ht="15.75" customHeight="1">
      <c r="B142" s="5"/>
      <c r="C142" s="21"/>
      <c r="D142" s="102"/>
      <c r="E142" s="103"/>
      <c r="I142" s="9"/>
    </row>
    <row r="143" ht="15.75" customHeight="1">
      <c r="B143" s="99" t="s">
        <v>106</v>
      </c>
      <c r="C143" s="21"/>
      <c r="D143" s="5"/>
      <c r="E143" s="21"/>
    </row>
    <row r="144" ht="15.75" customHeight="1">
      <c r="B144" s="5" t="s">
        <v>57</v>
      </c>
      <c r="C144" s="21" t="s">
        <v>24</v>
      </c>
      <c r="D144" s="94">
        <f t="shared" ref="D144:E144" si="29">D129</f>
        <v>10266378166</v>
      </c>
      <c r="E144" s="50">
        <f t="shared" si="29"/>
        <v>4409147016</v>
      </c>
    </row>
    <row r="145" ht="15.75" customHeight="1">
      <c r="B145" s="5" t="s">
        <v>78</v>
      </c>
      <c r="C145" s="21" t="s">
        <v>24</v>
      </c>
      <c r="D145" s="94">
        <f>$D$85-D132-D133</f>
        <v>938925207.3</v>
      </c>
      <c r="E145" s="50">
        <f>$E$85-E132-E133</f>
        <v>551143130.7</v>
      </c>
    </row>
    <row r="146" ht="15.75" customHeight="1">
      <c r="B146" s="73" t="s">
        <v>107</v>
      </c>
      <c r="C146" s="74"/>
      <c r="D146" s="104">
        <f t="shared" ref="D146:E146" si="30">D144/D145</f>
        <v>10.934181</v>
      </c>
      <c r="E146" s="105">
        <f t="shared" si="30"/>
        <v>8.000003576</v>
      </c>
    </row>
    <row r="147" ht="15.75" customHeight="1">
      <c r="D147" s="91"/>
      <c r="G147" s="91"/>
      <c r="H147" s="91"/>
      <c r="I147" s="9"/>
    </row>
    <row r="148" ht="15.75" customHeight="1">
      <c r="I148" s="9"/>
    </row>
    <row r="149" ht="15.75" customHeight="1"/>
    <row r="150" ht="15.75" customHeight="1"/>
    <row r="151" ht="15.75" customHeight="1">
      <c r="B151" s="28" t="s">
        <v>108</v>
      </c>
      <c r="C151" s="62"/>
      <c r="D151" s="106"/>
      <c r="E151" s="107"/>
    </row>
    <row r="152" ht="15.75" customHeight="1"/>
    <row r="153" ht="15.75" customHeight="1">
      <c r="B153" s="3" t="s">
        <v>109</v>
      </c>
      <c r="D153" s="3" t="s">
        <v>46</v>
      </c>
      <c r="E153" s="3" t="s">
        <v>47</v>
      </c>
    </row>
    <row r="154" ht="15.75" customHeight="1">
      <c r="B154" s="77" t="s">
        <v>65</v>
      </c>
      <c r="C154" s="78" t="s">
        <v>15</v>
      </c>
      <c r="D154" s="17" t="s">
        <v>66</v>
      </c>
      <c r="E154" s="4" t="s">
        <v>66</v>
      </c>
    </row>
    <row r="155" ht="15.75" customHeight="1">
      <c r="B155" s="5" t="s">
        <v>110</v>
      </c>
      <c r="C155" s="21" t="s">
        <v>21</v>
      </c>
      <c r="D155" s="108">
        <v>50.0</v>
      </c>
      <c r="E155" s="109">
        <f t="shared" ref="E155:E161" si="31">D155</f>
        <v>50</v>
      </c>
    </row>
    <row r="156" ht="15.75" customHeight="1">
      <c r="B156" s="5" t="s">
        <v>111</v>
      </c>
      <c r="C156" s="21" t="s">
        <v>21</v>
      </c>
      <c r="D156" s="108">
        <v>50.0</v>
      </c>
      <c r="E156" s="48">
        <f t="shared" si="31"/>
        <v>50</v>
      </c>
    </row>
    <row r="157" ht="15.75" customHeight="1">
      <c r="B157" s="5" t="s">
        <v>112</v>
      </c>
      <c r="C157" s="21" t="s">
        <v>21</v>
      </c>
      <c r="D157" s="108">
        <v>35000.0</v>
      </c>
      <c r="E157" s="48">
        <f t="shared" si="31"/>
        <v>35000</v>
      </c>
    </row>
    <row r="158" ht="15.75" customHeight="1">
      <c r="B158" s="5" t="s">
        <v>113</v>
      </c>
      <c r="C158" s="21" t="s">
        <v>21</v>
      </c>
      <c r="D158" s="108">
        <v>35000.0</v>
      </c>
      <c r="E158" s="48">
        <f t="shared" si="31"/>
        <v>35000</v>
      </c>
    </row>
    <row r="159" ht="15.75" customHeight="1">
      <c r="B159" s="5" t="s">
        <v>114</v>
      </c>
      <c r="C159" s="21" t="s">
        <v>21</v>
      </c>
      <c r="D159" s="108">
        <v>70000.0</v>
      </c>
      <c r="E159" s="48">
        <f t="shared" si="31"/>
        <v>70000</v>
      </c>
    </row>
    <row r="160" ht="15.75" customHeight="1">
      <c r="B160" s="5" t="s">
        <v>115</v>
      </c>
      <c r="C160" s="21" t="s">
        <v>21</v>
      </c>
      <c r="D160" s="108">
        <v>70000.0</v>
      </c>
      <c r="E160" s="48">
        <f t="shared" si="31"/>
        <v>70000</v>
      </c>
    </row>
    <row r="161" ht="15.75" customHeight="1">
      <c r="B161" s="11" t="s">
        <v>20</v>
      </c>
      <c r="C161" s="22" t="s">
        <v>21</v>
      </c>
      <c r="D161" s="110">
        <f>D15</f>
        <v>1000000000</v>
      </c>
      <c r="E161" s="111">
        <f t="shared" si="31"/>
        <v>1000000000</v>
      </c>
    </row>
    <row r="162" ht="15.75" customHeight="1">
      <c r="B162" s="18" t="s">
        <v>116</v>
      </c>
      <c r="C162" s="19" t="s">
        <v>21</v>
      </c>
      <c r="D162" s="112">
        <f t="shared" ref="D162:E162" si="32">D159-D155</f>
        <v>69950</v>
      </c>
      <c r="E162" s="54">
        <f t="shared" si="32"/>
        <v>69950</v>
      </c>
    </row>
    <row r="163" ht="15.75" customHeight="1">
      <c r="B163" s="5" t="s">
        <v>117</v>
      </c>
      <c r="C163" s="21" t="s">
        <v>21</v>
      </c>
      <c r="D163" s="79">
        <f t="shared" ref="D163:E163" si="33">D160-D156</f>
        <v>69950</v>
      </c>
      <c r="E163" s="51">
        <f t="shared" si="33"/>
        <v>69950</v>
      </c>
    </row>
    <row r="164" ht="15.75" customHeight="1">
      <c r="B164" s="5" t="s">
        <v>118</v>
      </c>
      <c r="C164" s="21" t="s">
        <v>21</v>
      </c>
      <c r="D164" s="79">
        <f t="shared" ref="D164:E164" si="34">D157-D20</f>
        <v>35000</v>
      </c>
      <c r="E164" s="51">
        <f t="shared" si="34"/>
        <v>35000</v>
      </c>
    </row>
    <row r="165" ht="15.75" customHeight="1">
      <c r="B165" s="11" t="s">
        <v>119</v>
      </c>
      <c r="C165" s="22" t="s">
        <v>21</v>
      </c>
      <c r="D165" s="113">
        <f t="shared" ref="D165:E165" si="35">D158+D20</f>
        <v>35000</v>
      </c>
      <c r="E165" s="55">
        <f t="shared" si="35"/>
        <v>35000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29"/>
    <col customWidth="1" min="3" max="3" width="7.86"/>
    <col customWidth="1" min="4" max="8" width="17.86"/>
    <col customWidth="1" min="9" max="9" width="19.57"/>
  </cols>
  <sheetData>
    <row r="1">
      <c r="B1" s="1" t="s">
        <v>0</v>
      </c>
    </row>
    <row r="2">
      <c r="B2" s="2" t="s">
        <v>1</v>
      </c>
    </row>
    <row r="4">
      <c r="B4" s="3" t="s">
        <v>2</v>
      </c>
    </row>
    <row r="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>
      <c r="B6" s="5" t="s">
        <v>9</v>
      </c>
      <c r="C6" s="6">
        <v>0.8</v>
      </c>
      <c r="D6" s="7">
        <v>0.82</v>
      </c>
      <c r="E6" s="8">
        <f>(1-1/G6)</f>
        <v>0.9333333333</v>
      </c>
      <c r="F6" s="9">
        <f>E6+0.02</f>
        <v>0.9533333333</v>
      </c>
      <c r="G6" s="10">
        <v>15.0</v>
      </c>
    </row>
    <row r="7">
      <c r="B7" s="5" t="s">
        <v>10</v>
      </c>
      <c r="C7" s="6">
        <v>0.75</v>
      </c>
      <c r="D7" s="7">
        <v>0.77</v>
      </c>
      <c r="G7" s="10"/>
    </row>
    <row r="8">
      <c r="B8" s="5" t="s">
        <v>11</v>
      </c>
      <c r="C8" s="6">
        <v>0.85</v>
      </c>
      <c r="D8" s="7">
        <v>0.87</v>
      </c>
      <c r="G8" s="10"/>
    </row>
    <row r="9">
      <c r="B9" s="11" t="s">
        <v>12</v>
      </c>
      <c r="C9" s="12">
        <v>0.75</v>
      </c>
      <c r="D9" s="13">
        <v>0.77</v>
      </c>
      <c r="E9" s="14"/>
      <c r="F9" s="14"/>
      <c r="G9" s="15"/>
    </row>
    <row r="11">
      <c r="B11" s="3" t="s">
        <v>13</v>
      </c>
    </row>
    <row r="12">
      <c r="B12" s="16" t="s">
        <v>14</v>
      </c>
      <c r="C12" s="4" t="s">
        <v>15</v>
      </c>
      <c r="D12" s="17" t="s">
        <v>16</v>
      </c>
    </row>
    <row r="13">
      <c r="B13" s="18" t="s">
        <v>17</v>
      </c>
      <c r="C13" s="19" t="s">
        <v>18</v>
      </c>
      <c r="D13" s="20">
        <v>0.2</v>
      </c>
    </row>
    <row r="14">
      <c r="B14" s="5" t="s">
        <v>19</v>
      </c>
      <c r="C14" s="21" t="s">
        <v>18</v>
      </c>
      <c r="D14" s="10">
        <v>0.003</v>
      </c>
    </row>
    <row r="15">
      <c r="B15" s="11" t="s">
        <v>20</v>
      </c>
      <c r="C15" s="22" t="s">
        <v>21</v>
      </c>
      <c r="D15" s="114">
        <v>1.0E15</v>
      </c>
    </row>
    <row r="16">
      <c r="B16" s="24"/>
      <c r="C16" s="24"/>
      <c r="D16" s="25"/>
    </row>
    <row r="17">
      <c r="B17" s="3" t="s">
        <v>22</v>
      </c>
      <c r="C17" s="24"/>
      <c r="D17" s="25"/>
    </row>
    <row r="18">
      <c r="B18" s="16" t="s">
        <v>14</v>
      </c>
      <c r="C18" s="4" t="s">
        <v>15</v>
      </c>
      <c r="D18" s="17" t="s">
        <v>16</v>
      </c>
    </row>
    <row r="19">
      <c r="B19" s="18" t="s">
        <v>23</v>
      </c>
      <c r="C19" s="26" t="s">
        <v>24</v>
      </c>
      <c r="D19" s="27">
        <v>2000.0</v>
      </c>
    </row>
    <row r="20">
      <c r="B20" s="11" t="s">
        <v>25</v>
      </c>
      <c r="C20" s="14" t="s">
        <v>21</v>
      </c>
      <c r="D20" s="23">
        <f>D155-D156</f>
        <v>-400000000</v>
      </c>
    </row>
    <row r="21" ht="15.75" customHeight="1">
      <c r="B21" s="24"/>
      <c r="C21" s="24"/>
    </row>
    <row r="22" ht="15.75" customHeight="1">
      <c r="B22" s="28" t="s">
        <v>26</v>
      </c>
    </row>
    <row r="23" ht="15.75" customHeight="1">
      <c r="B23" s="28"/>
    </row>
    <row r="24" ht="15.75" customHeight="1">
      <c r="B24" s="3" t="s">
        <v>27</v>
      </c>
    </row>
    <row r="25" ht="15.75" customHeight="1">
      <c r="B25" s="3"/>
    </row>
    <row r="26" ht="15.75" customHeight="1">
      <c r="B26" s="3" t="s">
        <v>28</v>
      </c>
    </row>
    <row r="27" ht="15.75" customHeight="1">
      <c r="B27" s="16" t="s">
        <v>29</v>
      </c>
      <c r="C27" s="4" t="s">
        <v>15</v>
      </c>
      <c r="D27" s="17" t="s">
        <v>16</v>
      </c>
      <c r="E27" s="17" t="s">
        <v>30</v>
      </c>
      <c r="F27" s="29" t="s">
        <v>31</v>
      </c>
    </row>
    <row r="28" ht="15.75" customHeight="1">
      <c r="B28" s="11" t="s">
        <v>11</v>
      </c>
      <c r="C28" s="22" t="s">
        <v>21</v>
      </c>
      <c r="D28" s="30">
        <v>5.0E7</v>
      </c>
      <c r="E28" s="31">
        <f>VLOOKUP(B28,B6:G9,2,0)</f>
        <v>0.85</v>
      </c>
      <c r="F28" s="32">
        <f>D28*E28</f>
        <v>42500000</v>
      </c>
    </row>
    <row r="29" ht="15.75" customHeight="1">
      <c r="B29" s="24"/>
      <c r="C29" s="24"/>
      <c r="D29" s="25"/>
      <c r="E29" s="25"/>
      <c r="F29" s="33"/>
    </row>
    <row r="30" ht="15.75" customHeight="1">
      <c r="B30" s="3" t="s">
        <v>32</v>
      </c>
    </row>
    <row r="31" ht="15.75" customHeight="1">
      <c r="B31" s="16" t="s">
        <v>33</v>
      </c>
      <c r="C31" s="4" t="s">
        <v>15</v>
      </c>
      <c r="D31" s="17" t="s">
        <v>16</v>
      </c>
      <c r="E31" s="17" t="s">
        <v>30</v>
      </c>
      <c r="F31" s="17" t="s">
        <v>31</v>
      </c>
    </row>
    <row r="32" ht="15.75" customHeight="1">
      <c r="B32" s="11" t="s">
        <v>10</v>
      </c>
      <c r="C32" s="22" t="s">
        <v>21</v>
      </c>
      <c r="D32" s="34">
        <v>1.0E9</v>
      </c>
      <c r="E32" s="35">
        <f>VLOOKUP(B32,B7:G10,2,0)</f>
        <v>0.75</v>
      </c>
      <c r="F32" s="36">
        <f>D32*E32</f>
        <v>750000000</v>
      </c>
    </row>
    <row r="33" ht="15.75" customHeight="1">
      <c r="A33" s="25"/>
      <c r="B33" s="37" t="s">
        <v>34</v>
      </c>
      <c r="C33" s="38" t="s">
        <v>21</v>
      </c>
      <c r="D33" s="37">
        <f>D32</f>
        <v>1000000000</v>
      </c>
      <c r="E33" s="39"/>
      <c r="F33" s="40">
        <f>F32</f>
        <v>750000000</v>
      </c>
    </row>
    <row r="34" ht="15.75" customHeight="1">
      <c r="A34" s="25"/>
      <c r="B34" s="25"/>
      <c r="D34" s="33"/>
      <c r="E34" s="25"/>
      <c r="F34" s="33"/>
    </row>
    <row r="35" ht="15.75" customHeight="1">
      <c r="A35" s="25"/>
      <c r="B35" s="3" t="s">
        <v>35</v>
      </c>
      <c r="D35" s="33"/>
      <c r="E35" s="25"/>
      <c r="F35" s="25"/>
    </row>
    <row r="36" ht="15.75" customHeight="1">
      <c r="B36" s="16" t="s">
        <v>29</v>
      </c>
      <c r="C36" s="4" t="s">
        <v>15</v>
      </c>
      <c r="D36" s="17" t="s">
        <v>16</v>
      </c>
      <c r="E36" s="25"/>
      <c r="F36" s="25"/>
      <c r="G36" s="25"/>
      <c r="H36" s="25"/>
    </row>
    <row r="37" ht="15.75" customHeight="1">
      <c r="B37" s="5" t="s">
        <v>11</v>
      </c>
      <c r="C37" s="21" t="s">
        <v>24</v>
      </c>
      <c r="D37" s="41">
        <v>1000000.0</v>
      </c>
      <c r="E37" s="25"/>
      <c r="F37" s="25"/>
      <c r="G37" s="25"/>
      <c r="H37" s="25"/>
    </row>
    <row r="38" ht="15.75" customHeight="1">
      <c r="B38" s="11" t="s">
        <v>12</v>
      </c>
      <c r="C38" s="22" t="s">
        <v>24</v>
      </c>
      <c r="D38" s="23">
        <v>1000000.0</v>
      </c>
      <c r="E38" s="25"/>
      <c r="F38" s="25"/>
      <c r="G38" s="25"/>
      <c r="H38" s="25"/>
    </row>
    <row r="39" ht="15.75" customHeight="1">
      <c r="B39" s="42" t="s">
        <v>34</v>
      </c>
      <c r="C39" s="38" t="s">
        <v>24</v>
      </c>
      <c r="D39" s="40">
        <f>SUM(D37:D38)</f>
        <v>2000000</v>
      </c>
      <c r="E39" s="25"/>
      <c r="F39" s="25"/>
      <c r="G39" s="25"/>
      <c r="H39" s="25"/>
    </row>
    <row r="40" ht="15.75" customHeight="1">
      <c r="B40" s="24"/>
      <c r="C40" s="24"/>
      <c r="D40" s="33"/>
      <c r="E40" s="25"/>
      <c r="F40" s="25"/>
      <c r="G40" s="25"/>
      <c r="H40" s="25"/>
    </row>
    <row r="41" ht="15.75" customHeight="1">
      <c r="B41" s="3" t="s">
        <v>36</v>
      </c>
      <c r="C41" s="24"/>
      <c r="D41" s="33"/>
      <c r="E41" s="25"/>
      <c r="F41" s="25"/>
      <c r="G41" s="25"/>
      <c r="H41" s="25"/>
    </row>
    <row r="42" ht="15.75" customHeight="1">
      <c r="B42" s="16" t="s">
        <v>37</v>
      </c>
      <c r="C42" s="4" t="s">
        <v>15</v>
      </c>
      <c r="D42" s="29" t="s">
        <v>16</v>
      </c>
      <c r="E42" s="25"/>
      <c r="F42" s="25"/>
      <c r="G42" s="25"/>
      <c r="H42" s="25"/>
      <c r="I42" s="25"/>
    </row>
    <row r="43" ht="15.75" customHeight="1">
      <c r="B43" s="5" t="s">
        <v>38</v>
      </c>
      <c r="C43" s="21" t="s">
        <v>24</v>
      </c>
      <c r="D43" s="43">
        <f>D28</f>
        <v>50000000</v>
      </c>
      <c r="E43" s="25"/>
      <c r="F43" s="25"/>
      <c r="G43" s="25"/>
      <c r="H43" s="25"/>
      <c r="I43" s="25"/>
    </row>
    <row r="44" ht="15.75" customHeight="1">
      <c r="B44" s="5" t="s">
        <v>39</v>
      </c>
      <c r="C44" s="21" t="s">
        <v>24</v>
      </c>
      <c r="D44" s="43">
        <f>D33</f>
        <v>1000000000</v>
      </c>
      <c r="E44" s="25"/>
      <c r="F44" s="25"/>
      <c r="G44" s="25"/>
      <c r="H44" s="25"/>
    </row>
    <row r="45" ht="15.75" customHeight="1">
      <c r="B45" s="5" t="s">
        <v>40</v>
      </c>
      <c r="C45" s="21" t="s">
        <v>24</v>
      </c>
      <c r="D45" s="43">
        <f>D44+D43</f>
        <v>1050000000</v>
      </c>
      <c r="E45" s="25"/>
      <c r="F45" s="25"/>
      <c r="G45" s="25"/>
      <c r="H45" s="25"/>
      <c r="I45" s="25"/>
    </row>
    <row r="46" ht="15.75" customHeight="1">
      <c r="B46" s="5" t="s">
        <v>41</v>
      </c>
      <c r="C46" s="21" t="s">
        <v>24</v>
      </c>
      <c r="D46" s="43">
        <f>'Existing Long'!debt</f>
        <v>2000000</v>
      </c>
      <c r="E46" s="25"/>
      <c r="F46" s="25"/>
      <c r="G46" s="25"/>
      <c r="H46" s="25"/>
    </row>
    <row r="47" ht="15.75" customHeight="1">
      <c r="B47" s="5" t="s">
        <v>42</v>
      </c>
      <c r="C47" s="21" t="s">
        <v>24</v>
      </c>
      <c r="D47" s="43">
        <f>F28</f>
        <v>42500000</v>
      </c>
      <c r="E47" s="25"/>
      <c r="F47" s="25"/>
      <c r="G47" s="25"/>
      <c r="H47" s="25"/>
    </row>
    <row r="48" ht="15.75" customHeight="1">
      <c r="B48" s="5" t="s">
        <v>43</v>
      </c>
      <c r="C48" s="21" t="s">
        <v>24</v>
      </c>
      <c r="D48" s="43">
        <f>F33</f>
        <v>750000000</v>
      </c>
      <c r="E48" s="25"/>
      <c r="F48" s="25"/>
      <c r="G48" s="25"/>
      <c r="H48" s="25"/>
      <c r="I48" s="44"/>
    </row>
    <row r="49" ht="15.75" customHeight="1">
      <c r="B49" s="11" t="s">
        <v>44</v>
      </c>
      <c r="C49" s="22" t="s">
        <v>24</v>
      </c>
      <c r="D49" s="32">
        <f>D48+D47</f>
        <v>792500000</v>
      </c>
      <c r="E49" s="25"/>
      <c r="F49" s="25"/>
      <c r="G49" s="25"/>
      <c r="H49" s="25"/>
      <c r="I49" s="44"/>
    </row>
    <row r="50" ht="15.75" customHeight="1">
      <c r="B50" s="24"/>
      <c r="C50" s="24"/>
      <c r="D50" s="33"/>
      <c r="E50" s="25"/>
      <c r="F50" s="25"/>
      <c r="G50" s="25"/>
      <c r="H50" s="25"/>
      <c r="I50" s="44"/>
    </row>
    <row r="51" ht="15.75" customHeight="1">
      <c r="B51" s="24"/>
      <c r="C51" s="24"/>
      <c r="D51" s="33"/>
      <c r="E51" s="25"/>
      <c r="F51" s="25"/>
      <c r="G51" s="25"/>
      <c r="H51" s="25"/>
    </row>
    <row r="52" ht="15.75" customHeight="1">
      <c r="B52" s="3" t="s">
        <v>45</v>
      </c>
      <c r="C52" s="24"/>
      <c r="D52" s="33" t="s">
        <v>46</v>
      </c>
      <c r="E52" s="33" t="s">
        <v>47</v>
      </c>
      <c r="F52" s="25"/>
      <c r="G52" s="25"/>
      <c r="H52" s="25"/>
      <c r="I52" s="45"/>
    </row>
    <row r="53" ht="15.75" customHeight="1">
      <c r="B53" s="16" t="s">
        <v>37</v>
      </c>
      <c r="C53" s="4" t="s">
        <v>15</v>
      </c>
      <c r="D53" s="4" t="s">
        <v>16</v>
      </c>
      <c r="E53" s="29" t="s">
        <v>16</v>
      </c>
      <c r="F53" s="25"/>
      <c r="G53" s="25"/>
      <c r="H53" s="25"/>
      <c r="I53" s="45"/>
    </row>
    <row r="54" ht="14.25" customHeight="1">
      <c r="B54" s="18" t="s">
        <v>48</v>
      </c>
      <c r="C54" s="19" t="s">
        <v>21</v>
      </c>
      <c r="D54" s="46">
        <v>500000.0</v>
      </c>
      <c r="E54" s="115">
        <v>500000.0</v>
      </c>
      <c r="F54" s="25"/>
      <c r="G54" s="25"/>
      <c r="H54" s="25"/>
    </row>
    <row r="55" ht="15.75" customHeight="1">
      <c r="B55" s="5" t="s">
        <v>49</v>
      </c>
      <c r="C55" s="21" t="s">
        <v>24</v>
      </c>
      <c r="D55" s="47">
        <v>1999.0</v>
      </c>
      <c r="E55" s="48">
        <v>1999.0</v>
      </c>
      <c r="F55" s="25"/>
      <c r="G55" s="25"/>
      <c r="H55" s="25"/>
      <c r="I55" s="25"/>
    </row>
    <row r="56" ht="15.75" customHeight="1">
      <c r="B56" s="5" t="s">
        <v>50</v>
      </c>
      <c r="C56" s="21" t="s">
        <v>24</v>
      </c>
      <c r="D56" s="116">
        <f>'Existing Long'!priceOracle*(1+('Existing Long'!skew-D54/2)/'Existing Long'!skewScale)</f>
        <v>1999.9992</v>
      </c>
      <c r="E56" s="50">
        <f>'Existing Long'!priceOracle*(1+('Existing Long'!skew-E54/2)/'Existing Long'!skewScale)</f>
        <v>1999.9992</v>
      </c>
      <c r="F56" s="25"/>
      <c r="G56" s="25"/>
      <c r="H56" s="25"/>
      <c r="I56" s="25"/>
    </row>
    <row r="57" ht="15.75" customHeight="1">
      <c r="B57" s="5" t="s">
        <v>51</v>
      </c>
      <c r="C57" s="21" t="s">
        <v>24</v>
      </c>
      <c r="D57" s="117">
        <v>500000.0</v>
      </c>
      <c r="E57" s="48">
        <f>D57</f>
        <v>500000</v>
      </c>
      <c r="F57" s="25"/>
      <c r="G57" s="25"/>
      <c r="H57" s="25"/>
      <c r="I57" s="25"/>
    </row>
    <row r="58" ht="15.75" customHeight="1">
      <c r="B58" s="5" t="s">
        <v>52</v>
      </c>
      <c r="C58" s="21" t="s">
        <v>24</v>
      </c>
      <c r="D58" s="51">
        <f t="shared" ref="D58:E58" si="1">MAX(D57,0)</f>
        <v>500000</v>
      </c>
      <c r="E58" s="51">
        <f t="shared" si="1"/>
        <v>500000</v>
      </c>
      <c r="F58" s="25"/>
      <c r="G58" s="25"/>
      <c r="H58" s="25"/>
      <c r="I58" s="52"/>
    </row>
    <row r="59" ht="15.75" customHeight="1">
      <c r="B59" s="5" t="s">
        <v>53</v>
      </c>
      <c r="C59" s="21" t="s">
        <v>24</v>
      </c>
      <c r="D59" s="51">
        <f t="shared" ref="D59:E59" si="2">-MIN(D57,0)</f>
        <v>0</v>
      </c>
      <c r="E59" s="51">
        <f t="shared" si="2"/>
        <v>0</v>
      </c>
      <c r="F59" s="25"/>
      <c r="G59" s="25"/>
      <c r="H59" s="25"/>
      <c r="I59" s="52"/>
    </row>
    <row r="60" ht="15.75" customHeight="1">
      <c r="B60" s="5" t="s">
        <v>54</v>
      </c>
      <c r="C60" s="21" t="s">
        <v>24</v>
      </c>
      <c r="D60" s="49">
        <f>(D54)*(D56-D55)</f>
        <v>499599.75</v>
      </c>
      <c r="E60" s="53">
        <f>E54*(E56-E55)</f>
        <v>499599.75</v>
      </c>
      <c r="F60" s="25"/>
      <c r="G60" s="25"/>
      <c r="H60" s="25"/>
      <c r="I60" s="25"/>
    </row>
    <row r="61" ht="15.75" customHeight="1">
      <c r="B61" s="5" t="s">
        <v>55</v>
      </c>
      <c r="C61" s="21" t="s">
        <v>24</v>
      </c>
      <c r="D61" s="116">
        <f t="shared" ref="D61:E61" si="3">MAX(D60,0)</f>
        <v>499599.75</v>
      </c>
      <c r="E61" s="51">
        <f t="shared" si="3"/>
        <v>499599.75</v>
      </c>
      <c r="F61" s="25"/>
      <c r="G61" s="25"/>
      <c r="H61" s="25"/>
      <c r="I61" s="25"/>
    </row>
    <row r="62" ht="15.75" customHeight="1">
      <c r="B62" s="5" t="s">
        <v>56</v>
      </c>
      <c r="C62" s="21" t="s">
        <v>24</v>
      </c>
      <c r="D62" s="51">
        <f t="shared" ref="D62:E62" si="4">-MIN(D60,0)</f>
        <v>0</v>
      </c>
      <c r="E62" s="51">
        <f t="shared" si="4"/>
        <v>0</v>
      </c>
      <c r="F62" s="25"/>
      <c r="G62" s="25"/>
      <c r="H62" s="25"/>
      <c r="I62" s="25"/>
    </row>
    <row r="63" ht="15.75" customHeight="1">
      <c r="B63" s="5" t="s">
        <v>57</v>
      </c>
      <c r="C63" s="21" t="s">
        <v>24</v>
      </c>
      <c r="D63" s="51">
        <f>D54*D55</f>
        <v>999500000</v>
      </c>
      <c r="E63" s="51">
        <f>ABS(E54)*E55</f>
        <v>999500000</v>
      </c>
      <c r="F63" s="25"/>
      <c r="G63" s="25"/>
      <c r="H63" s="25"/>
      <c r="I63" s="25"/>
    </row>
    <row r="64" ht="15.75" customHeight="1">
      <c r="B64" s="5" t="s">
        <v>58</v>
      </c>
      <c r="C64" s="21" t="s">
        <v>24</v>
      </c>
      <c r="D64" s="51">
        <f>D54*D56</f>
        <v>999999599.8</v>
      </c>
      <c r="E64" s="51">
        <f>ABS(E54)*E56</f>
        <v>999999599.8</v>
      </c>
      <c r="F64" s="25"/>
      <c r="G64" s="25"/>
      <c r="H64" s="25"/>
      <c r="I64" s="25"/>
    </row>
    <row r="65" ht="15.75" customHeight="1">
      <c r="B65" s="18" t="s">
        <v>59</v>
      </c>
      <c r="C65" s="19" t="s">
        <v>24</v>
      </c>
      <c r="D65" s="54">
        <f>D64*('Existing Long'!LTVperp-'Existing Long'!closingFee)</f>
        <v>930332961</v>
      </c>
      <c r="E65" s="54">
        <f>E64*(2-'Existing Long'!LTVperp+'Existing Long'!closingFee)</f>
        <v>1069666239</v>
      </c>
      <c r="F65" s="25"/>
      <c r="G65" s="25"/>
      <c r="H65" s="25"/>
      <c r="I65" s="25"/>
    </row>
    <row r="66" ht="15.75" customHeight="1">
      <c r="B66" s="5" t="s">
        <v>60</v>
      </c>
      <c r="C66" s="21" t="s">
        <v>24</v>
      </c>
      <c r="D66" s="51">
        <f>D58*'Existing Long'!LTVusdc</f>
        <v>425000</v>
      </c>
      <c r="E66" s="51">
        <f>E58*'Existing Long'!LTVusdc</f>
        <v>425000</v>
      </c>
      <c r="F66" s="25"/>
      <c r="G66" s="25"/>
      <c r="H66" s="25"/>
      <c r="I66" s="25"/>
    </row>
    <row r="67" ht="15.75" customHeight="1">
      <c r="B67" s="5" t="s">
        <v>61</v>
      </c>
      <c r="C67" s="21" t="s">
        <v>24</v>
      </c>
      <c r="D67" s="51">
        <f>D65+D66</f>
        <v>930757961</v>
      </c>
      <c r="E67" s="43">
        <f>E63+E66</f>
        <v>999925000</v>
      </c>
      <c r="F67" s="25"/>
      <c r="G67" s="25"/>
      <c r="H67" s="25"/>
      <c r="I67" s="25"/>
    </row>
    <row r="68" ht="15.75" customHeight="1">
      <c r="B68" s="11" t="s">
        <v>62</v>
      </c>
      <c r="C68" s="22" t="s">
        <v>24</v>
      </c>
      <c r="D68" s="55">
        <f>D63+D59</f>
        <v>999500000</v>
      </c>
      <c r="E68" s="32">
        <f>E65+E59</f>
        <v>1069666239</v>
      </c>
      <c r="F68" s="25"/>
      <c r="G68" s="25"/>
      <c r="H68" s="25"/>
      <c r="I68" s="25"/>
    </row>
    <row r="69" ht="15.75" customHeight="1">
      <c r="B69" s="42" t="s">
        <v>63</v>
      </c>
      <c r="C69" s="38" t="s">
        <v>24</v>
      </c>
      <c r="D69" s="56">
        <f t="shared" ref="D69:E69" si="5">D57+D60</f>
        <v>999599.75</v>
      </c>
      <c r="E69" s="40">
        <f t="shared" si="5"/>
        <v>999599.75</v>
      </c>
      <c r="F69" s="25"/>
      <c r="G69" s="25"/>
      <c r="H69" s="25"/>
      <c r="I69" s="25"/>
    </row>
    <row r="70" ht="15.75" customHeight="1">
      <c r="B70" s="3"/>
      <c r="C70" s="3"/>
      <c r="D70" s="3"/>
    </row>
    <row r="71" ht="15.75" customHeight="1">
      <c r="B71" s="3" t="s">
        <v>64</v>
      </c>
      <c r="C71" s="3"/>
      <c r="D71" s="33" t="s">
        <v>46</v>
      </c>
      <c r="E71" s="33" t="s">
        <v>47</v>
      </c>
    </row>
    <row r="72" ht="15.75" customHeight="1">
      <c r="B72" s="16" t="s">
        <v>65</v>
      </c>
      <c r="C72" s="4" t="s">
        <v>15</v>
      </c>
      <c r="D72" s="17" t="s">
        <v>66</v>
      </c>
      <c r="E72" s="17" t="s">
        <v>66</v>
      </c>
    </row>
    <row r="73" ht="15.75" customHeight="1">
      <c r="B73" s="5" t="s">
        <v>67</v>
      </c>
      <c r="C73" s="21" t="s">
        <v>24</v>
      </c>
      <c r="D73" s="57">
        <f>D49</f>
        <v>792500000</v>
      </c>
      <c r="E73" s="50">
        <f>D73</f>
        <v>792500000</v>
      </c>
      <c r="H73" s="25"/>
    </row>
    <row r="74" ht="15.75" customHeight="1">
      <c r="B74" s="5" t="s">
        <v>68</v>
      </c>
      <c r="C74" s="21" t="s">
        <v>24</v>
      </c>
      <c r="D74" s="57">
        <f t="shared" ref="D74:E74" si="6">D67</f>
        <v>930757961</v>
      </c>
      <c r="E74" s="57">
        <f t="shared" si="6"/>
        <v>999925000</v>
      </c>
      <c r="H74" s="25"/>
    </row>
    <row r="75" ht="15.75" customHeight="1">
      <c r="B75" s="5" t="s">
        <v>69</v>
      </c>
      <c r="C75" s="21" t="s">
        <v>24</v>
      </c>
      <c r="D75" s="57">
        <f>D46</f>
        <v>2000000</v>
      </c>
      <c r="E75" s="57">
        <f>D75</f>
        <v>2000000</v>
      </c>
    </row>
    <row r="76" ht="15.75" customHeight="1">
      <c r="B76" s="5" t="s">
        <v>70</v>
      </c>
      <c r="C76" s="21" t="s">
        <v>24</v>
      </c>
      <c r="D76" s="57">
        <f t="shared" ref="D76:E76" si="7">D68</f>
        <v>999500000</v>
      </c>
      <c r="E76" s="57">
        <f t="shared" si="7"/>
        <v>1069666239</v>
      </c>
    </row>
    <row r="77" ht="15.75" customHeight="1">
      <c r="B77" s="5" t="s">
        <v>71</v>
      </c>
      <c r="C77" s="21" t="s">
        <v>24</v>
      </c>
      <c r="D77" s="57">
        <f t="shared" ref="D77:E77" si="8">D73+D74</f>
        <v>1723257961</v>
      </c>
      <c r="E77" s="57">
        <f t="shared" si="8"/>
        <v>1792425000</v>
      </c>
    </row>
    <row r="78" ht="15.75" customHeight="1">
      <c r="B78" s="5" t="s">
        <v>72</v>
      </c>
      <c r="C78" s="21" t="s">
        <v>24</v>
      </c>
      <c r="D78" s="57">
        <f t="shared" ref="D78:E78" si="9">D75+D76</f>
        <v>1001500000</v>
      </c>
      <c r="E78" s="57">
        <f t="shared" si="9"/>
        <v>1071666239</v>
      </c>
    </row>
    <row r="79" ht="15.75" customHeight="1">
      <c r="B79" s="37" t="s">
        <v>73</v>
      </c>
      <c r="C79" s="56" t="s">
        <v>74</v>
      </c>
      <c r="D79" s="58">
        <f t="shared" ref="D79:E79" si="10">D77/D78</f>
        <v>1.720676946</v>
      </c>
      <c r="E79" s="59">
        <f t="shared" si="10"/>
        <v>1.672558989</v>
      </c>
      <c r="H79" s="25"/>
    </row>
    <row r="80" ht="15.75" customHeight="1">
      <c r="B80" s="25"/>
      <c r="C80" s="25"/>
      <c r="D80" s="25"/>
      <c r="E80" s="25"/>
      <c r="F80" s="25"/>
      <c r="G80" s="25"/>
      <c r="H80" s="25"/>
    </row>
    <row r="81" ht="15.75" customHeight="1">
      <c r="B81" s="3" t="s">
        <v>75</v>
      </c>
    </row>
    <row r="82" ht="15.75" customHeight="1">
      <c r="B82" s="16" t="s">
        <v>65</v>
      </c>
      <c r="C82" s="4" t="s">
        <v>15</v>
      </c>
      <c r="D82" s="29" t="s">
        <v>16</v>
      </c>
      <c r="E82" s="29" t="s">
        <v>16</v>
      </c>
    </row>
    <row r="83" ht="15.75" customHeight="1">
      <c r="B83" s="18" t="s">
        <v>76</v>
      </c>
      <c r="C83" s="19" t="s">
        <v>24</v>
      </c>
      <c r="D83" s="60">
        <f t="shared" ref="D83:E83" si="11">$D$45+MAX(0,D69)</f>
        <v>1050999600</v>
      </c>
      <c r="E83" s="60">
        <f t="shared" si="11"/>
        <v>1050999600</v>
      </c>
    </row>
    <row r="84" ht="15.75" customHeight="1">
      <c r="B84" s="5" t="s">
        <v>77</v>
      </c>
      <c r="C84" s="21" t="s">
        <v>24</v>
      </c>
      <c r="D84" s="50">
        <f>'Existing Long'!debt-MIN(0,D69)</f>
        <v>2000000</v>
      </c>
      <c r="E84" s="50">
        <f>'Existing Long'!debt-MIN(0,E69)</f>
        <v>2000000</v>
      </c>
    </row>
    <row r="85" ht="15.75" customHeight="1">
      <c r="B85" s="5" t="s">
        <v>78</v>
      </c>
      <c r="C85" s="21" t="s">
        <v>24</v>
      </c>
      <c r="D85" s="50">
        <f t="shared" ref="D85:E85" si="12">D83-D84</f>
        <v>1048999600</v>
      </c>
      <c r="E85" s="50">
        <f t="shared" si="12"/>
        <v>1048999600</v>
      </c>
    </row>
    <row r="86" ht="15.75" customHeight="1">
      <c r="B86" s="42" t="s">
        <v>79</v>
      </c>
      <c r="C86" s="38" t="s">
        <v>74</v>
      </c>
      <c r="D86" s="61">
        <f t="shared" ref="D86:E86" si="13">D83/D84</f>
        <v>525.4997999</v>
      </c>
      <c r="E86" s="61">
        <f t="shared" si="13"/>
        <v>525.4997999</v>
      </c>
    </row>
    <row r="87" ht="15.75" customHeight="1">
      <c r="B87" s="24"/>
      <c r="C87" s="24"/>
      <c r="D87" s="9"/>
    </row>
    <row r="88" ht="15.75" customHeight="1">
      <c r="D88" s="9"/>
      <c r="E88" s="9"/>
    </row>
    <row r="89" ht="15.75" customHeight="1">
      <c r="B89" s="3" t="s">
        <v>80</v>
      </c>
      <c r="C89" s="62"/>
      <c r="D89" s="33" t="s">
        <v>46</v>
      </c>
      <c r="E89" s="33" t="s">
        <v>47</v>
      </c>
    </row>
    <row r="90" ht="15.75" customHeight="1">
      <c r="B90" s="16" t="s">
        <v>65</v>
      </c>
      <c r="C90" s="4" t="s">
        <v>15</v>
      </c>
      <c r="D90" s="17" t="s">
        <v>66</v>
      </c>
      <c r="E90" s="17" t="s">
        <v>66</v>
      </c>
    </row>
    <row r="91" ht="15.75" customHeight="1">
      <c r="B91" s="5" t="s">
        <v>81</v>
      </c>
      <c r="C91" s="21" t="s">
        <v>24</v>
      </c>
      <c r="D91" s="50">
        <f t="shared" ref="D91:E91" si="14">D69</f>
        <v>999599.75</v>
      </c>
      <c r="E91" s="50">
        <f t="shared" si="14"/>
        <v>999599.75</v>
      </c>
    </row>
    <row r="92" ht="15.75" customHeight="1">
      <c r="B92" s="5" t="s">
        <v>38</v>
      </c>
      <c r="C92" s="21" t="s">
        <v>24</v>
      </c>
      <c r="D92" s="50">
        <f>MAX('Existing Long'!usdcCollateral+D91,0)</f>
        <v>50999599.75</v>
      </c>
      <c r="E92" s="50">
        <f>MAX('Existing Long'!usdcCollateral+E91,0)</f>
        <v>50999599.75</v>
      </c>
    </row>
    <row r="93" ht="15.75" customHeight="1">
      <c r="B93" s="5" t="s">
        <v>82</v>
      </c>
      <c r="C93" s="21" t="s">
        <v>24</v>
      </c>
      <c r="D93" s="50">
        <f>-MIN('Existing Long'!usdcCollateral+D91,0)</f>
        <v>0</v>
      </c>
      <c r="E93" s="50">
        <f>-MIN('Existing Long'!usdcCollateral+E91,0)</f>
        <v>0</v>
      </c>
    </row>
    <row r="94" ht="15.75" customHeight="1">
      <c r="B94" s="5" t="s">
        <v>42</v>
      </c>
      <c r="C94" s="21" t="s">
        <v>24</v>
      </c>
      <c r="D94" s="50">
        <f>D92*'Existing Long'!LTVusdc</f>
        <v>43349659.79</v>
      </c>
      <c r="E94" s="50">
        <f>E92*'Existing Long'!LTVusdc</f>
        <v>43349659.79</v>
      </c>
    </row>
    <row r="95" ht="15.75" customHeight="1">
      <c r="B95" s="5" t="s">
        <v>43</v>
      </c>
      <c r="C95" s="21" t="s">
        <v>24</v>
      </c>
      <c r="D95" s="50">
        <f>D48</f>
        <v>750000000</v>
      </c>
      <c r="E95" s="50">
        <f t="shared" ref="E95:E96" si="15">D95</f>
        <v>750000000</v>
      </c>
    </row>
    <row r="96" ht="15.75" customHeight="1">
      <c r="B96" s="5" t="s">
        <v>83</v>
      </c>
      <c r="C96" s="21" t="s">
        <v>24</v>
      </c>
      <c r="D96" s="50">
        <f>D39</f>
        <v>2000000</v>
      </c>
      <c r="E96" s="50">
        <f t="shared" si="15"/>
        <v>2000000</v>
      </c>
    </row>
    <row r="97" ht="15.75" customHeight="1">
      <c r="B97" s="18" t="s">
        <v>57</v>
      </c>
      <c r="C97" s="19" t="s">
        <v>24</v>
      </c>
      <c r="D97" s="63">
        <f>D54*D56</f>
        <v>999999599.8</v>
      </c>
      <c r="E97" s="63">
        <f>ABS(E54)*E56</f>
        <v>999999599.8</v>
      </c>
    </row>
    <row r="98" ht="15.75" customHeight="1">
      <c r="B98" s="5" t="s">
        <v>84</v>
      </c>
      <c r="C98" s="21" t="s">
        <v>24</v>
      </c>
      <c r="D98" s="64">
        <f t="shared" ref="D98:E98" si="16">D97</f>
        <v>999999599.8</v>
      </c>
      <c r="E98" s="64">
        <f t="shared" si="16"/>
        <v>999999599.8</v>
      </c>
    </row>
    <row r="99" ht="15.75" customHeight="1">
      <c r="B99" s="65" t="s">
        <v>59</v>
      </c>
      <c r="C99" s="66" t="s">
        <v>24</v>
      </c>
      <c r="D99" s="67">
        <f>D98*('Existing Long'!LTVperp-'Existing Long'!closingFee)</f>
        <v>930332961</v>
      </c>
      <c r="E99" s="67">
        <f>E98*(2-'Existing Long'!LTVperp+'Existing Long'!closingFee)</f>
        <v>1069666239</v>
      </c>
    </row>
    <row r="100" ht="15.75" customHeight="1">
      <c r="B100" s="5" t="s">
        <v>71</v>
      </c>
      <c r="C100" s="21" t="s">
        <v>24</v>
      </c>
      <c r="D100" s="64">
        <f>D94+D95+D99</f>
        <v>1723682621</v>
      </c>
      <c r="E100" s="64">
        <f>E94+E95+E97</f>
        <v>1793349260</v>
      </c>
    </row>
    <row r="101" ht="15.75" customHeight="1">
      <c r="B101" s="5" t="s">
        <v>72</v>
      </c>
      <c r="C101" s="21" t="s">
        <v>24</v>
      </c>
      <c r="D101" s="64">
        <f>D93+D96+D97</f>
        <v>1001999600</v>
      </c>
      <c r="E101" s="64">
        <f>E93+E96+E99</f>
        <v>1071666239</v>
      </c>
    </row>
    <row r="102" ht="15.75" customHeight="1">
      <c r="B102" s="42" t="s">
        <v>73</v>
      </c>
      <c r="C102" s="38" t="s">
        <v>74</v>
      </c>
      <c r="D102" s="68">
        <f t="shared" ref="D102:E102" si="17">D100/D101</f>
        <v>1.720242824</v>
      </c>
      <c r="E102" s="68">
        <f t="shared" si="17"/>
        <v>1.673421439</v>
      </c>
    </row>
    <row r="103" ht="15.75" customHeight="1">
      <c r="B103" s="69" t="s">
        <v>43</v>
      </c>
      <c r="C103" s="70" t="s">
        <v>24</v>
      </c>
      <c r="D103" s="71">
        <f t="shared" ref="D103:E103" si="18">D95+D94</f>
        <v>793349659.8</v>
      </c>
      <c r="E103" s="72">
        <f t="shared" si="18"/>
        <v>793349659.8</v>
      </c>
    </row>
    <row r="104" ht="15.75" customHeight="1">
      <c r="B104" s="73" t="s">
        <v>83</v>
      </c>
      <c r="C104" s="74" t="s">
        <v>24</v>
      </c>
      <c r="D104" s="75">
        <f t="shared" ref="D104:E104" si="19">D96+D93</f>
        <v>2000000</v>
      </c>
      <c r="E104" s="76">
        <f t="shared" si="19"/>
        <v>2000000</v>
      </c>
    </row>
    <row r="105" ht="15.75" customHeight="1"/>
    <row r="106" ht="15.75" customHeight="1">
      <c r="B106" s="3" t="s">
        <v>85</v>
      </c>
    </row>
    <row r="107" ht="15.75" customHeight="1">
      <c r="B107" s="77" t="s">
        <v>65</v>
      </c>
      <c r="C107" s="78" t="s">
        <v>15</v>
      </c>
      <c r="D107" s="77" t="s">
        <v>46</v>
      </c>
      <c r="E107" s="78" t="s">
        <v>47</v>
      </c>
    </row>
    <row r="108" ht="15.75" customHeight="1">
      <c r="B108" s="5" t="s">
        <v>86</v>
      </c>
      <c r="C108" s="21" t="s">
        <v>24</v>
      </c>
      <c r="D108" s="79">
        <f>MAX('Existing Long'!netUPnLLong+'Existing Long'!usdcCollateral,0)</f>
        <v>50999599.75</v>
      </c>
      <c r="E108" s="54">
        <f>MAX('Existing Long'!netUPnLShort+'Existing Long'!usdcCollateral,0)</f>
        <v>50999599.75</v>
      </c>
      <c r="F108" s="80"/>
    </row>
    <row r="109" ht="15.75" customHeight="1">
      <c r="B109" s="5" t="s">
        <v>87</v>
      </c>
      <c r="C109" s="21" t="s">
        <v>24</v>
      </c>
      <c r="D109" s="82">
        <f>-MIN('Existing Long'!netUPnLLong+'Existing Long'!usdcCollateral,0)</f>
        <v>0</v>
      </c>
      <c r="E109" s="51">
        <f>-MIN('Existing Long'!netUPnLShort+'Existing Long'!usdcCollateral,0)</f>
        <v>0</v>
      </c>
      <c r="F109" s="81"/>
      <c r="I109" s="45"/>
    </row>
    <row r="110" ht="15.75" customHeight="1">
      <c r="B110" s="5" t="s">
        <v>88</v>
      </c>
      <c r="C110" s="21" t="s">
        <v>24</v>
      </c>
      <c r="D110" s="82">
        <f>D108*'Existing Long'!LTVusdc-D109</f>
        <v>43349659.79</v>
      </c>
      <c r="E110" s="51">
        <f>E108*'Existing Long'!LTVusdc-E109</f>
        <v>43349659.79</v>
      </c>
      <c r="F110" s="45"/>
      <c r="H110" s="45"/>
      <c r="I110" s="45"/>
    </row>
    <row r="111" ht="15.75" customHeight="1">
      <c r="B111" s="5" t="s">
        <v>89</v>
      </c>
      <c r="C111" s="21" t="s">
        <v>74</v>
      </c>
      <c r="D111" s="83">
        <f>'Existing Long'!LTVperp-'Existing Long'!closingFee-'Existing Long'!openingFee-1</f>
        <v>-0.2696666667</v>
      </c>
      <c r="E111" s="51">
        <f>'Existing Long'!LTVperp-'Existing Long'!closingFee-'Existing Long'!openingFee-1</f>
        <v>-0.2696666667</v>
      </c>
      <c r="F111" s="45"/>
      <c r="H111" s="45"/>
      <c r="I111" s="45"/>
    </row>
    <row r="112" ht="15.75" customHeight="1">
      <c r="B112" s="5" t="s">
        <v>90</v>
      </c>
      <c r="C112" s="21" t="s">
        <v>91</v>
      </c>
      <c r="D112" s="84">
        <f>'Existing Long'!priceOracle*ABS(D54)*'Existing Long'!openingFee*(1+'Existing Long'!skew/'Existing Long'!skewScale-D54/2/'Existing Long'!skewScale)</f>
        <v>199999920</v>
      </c>
      <c r="E112" s="53">
        <f>'Existing Long'!priceOracle*ABS(E54)*'Existing Long'!openingFee*(1+'Existing Long'!skew/'Existing Long'!skewScale-E54/2/'Existing Long'!skewScale)</f>
        <v>199999920</v>
      </c>
      <c r="H112" s="45"/>
      <c r="I112" s="45"/>
    </row>
    <row r="113" ht="15.75" customHeight="1">
      <c r="B113" s="5" t="s">
        <v>92</v>
      </c>
      <c r="C113" s="21" t="s">
        <v>91</v>
      </c>
      <c r="D113" s="85">
        <f>'Existing Long'!priceOracle/2/'Existing Long'!skewScale*D111</f>
        <v>0</v>
      </c>
      <c r="E113" s="86">
        <f>-'Existing Long'!priceOracle/2/'Existing Long'!skewScale*('Existing Long'!LTVperp-'Existing Long'!openingFee-'Existing Long'!closingFee-1)</f>
        <v>0</v>
      </c>
      <c r="G113" s="118"/>
      <c r="H113" s="45"/>
      <c r="I113" s="45"/>
    </row>
    <row r="114" ht="15.75" customHeight="1">
      <c r="B114" s="5" t="s">
        <v>93</v>
      </c>
      <c r="C114" s="21" t="s">
        <v>91</v>
      </c>
      <c r="D114" s="87">
        <f>'Existing Long'!priceOracle*D111*(1+('Existing Long'!skew/'Existing Long'!skewScale)-D54/'Existing Long'!skewScale)</f>
        <v>-539.3331173</v>
      </c>
      <c r="E114" s="49">
        <f>'Existing Long'!priceOracle*E111*(1+'Existing Long'!skew/'Existing Long'!skewScale-E54/'Existing Long'!skewScale)</f>
        <v>-539.3331173</v>
      </c>
      <c r="F114" s="45"/>
      <c r="G114" s="118"/>
      <c r="H114" s="45"/>
      <c r="I114" s="45"/>
    </row>
    <row r="115" ht="15.75" customHeight="1">
      <c r="B115" s="5" t="s">
        <v>94</v>
      </c>
      <c r="C115" s="21" t="s">
        <v>91</v>
      </c>
      <c r="D115" s="87">
        <f>D48-'Existing Long'!debt+D110+D112</f>
        <v>991349579.7</v>
      </c>
      <c r="E115" s="51">
        <f>D48-'Existing Long'!debt+E110+E112</f>
        <v>991349579.7</v>
      </c>
      <c r="F115" s="45"/>
      <c r="G115" s="45"/>
      <c r="H115" s="45"/>
    </row>
    <row r="116" ht="15.75" customHeight="1">
      <c r="B116" s="5" t="s">
        <v>95</v>
      </c>
      <c r="C116" s="21" t="s">
        <v>91</v>
      </c>
      <c r="D116" s="79">
        <f t="shared" ref="D116:E116" si="20">D114^2-4*D113*D115</f>
        <v>290880.2125</v>
      </c>
      <c r="E116" s="88">
        <f t="shared" si="20"/>
        <v>290880.2104</v>
      </c>
      <c r="F116" s="45"/>
      <c r="G116" s="45"/>
    </row>
    <row r="117" ht="15.75" customHeight="1">
      <c r="B117" s="42" t="s">
        <v>96</v>
      </c>
      <c r="C117" s="38" t="s">
        <v>21</v>
      </c>
      <c r="D117" s="89">
        <f>(-D114-SQRT(D116))/2/D113</f>
        <v>1838102.634</v>
      </c>
      <c r="E117" s="90">
        <f>-(-E114-SQRT(E116))/2/E113</f>
        <v>-1838102.423</v>
      </c>
      <c r="F117" s="91"/>
    </row>
    <row r="118" ht="15.75" customHeight="1">
      <c r="D118" s="98">
        <f>-(D114+SQRT(D116))/(2*D113)</f>
        <v>1838102.634</v>
      </c>
      <c r="I118" s="92"/>
    </row>
    <row r="119" ht="15.75" customHeight="1">
      <c r="A119" s="45"/>
      <c r="C119" s="45"/>
      <c r="D119" s="45"/>
      <c r="E119" s="45"/>
      <c r="F119" s="45"/>
      <c r="G119" s="45"/>
      <c r="H119" s="45"/>
    </row>
    <row r="120" ht="15.75" customHeight="1">
      <c r="A120" s="45"/>
      <c r="B120" s="3" t="s">
        <v>97</v>
      </c>
      <c r="D120" s="3" t="s">
        <v>46</v>
      </c>
      <c r="E120" s="3" t="s">
        <v>47</v>
      </c>
    </row>
    <row r="121" ht="15.75" customHeight="1">
      <c r="A121" s="45"/>
      <c r="B121" s="77" t="s">
        <v>65</v>
      </c>
      <c r="C121" s="78" t="s">
        <v>15</v>
      </c>
      <c r="D121" s="77" t="s">
        <v>4</v>
      </c>
      <c r="E121" s="78" t="s">
        <v>4</v>
      </c>
    </row>
    <row r="122" ht="15.75" customHeight="1">
      <c r="B122" s="18" t="s">
        <v>98</v>
      </c>
      <c r="C122" s="19" t="s">
        <v>21</v>
      </c>
      <c r="D122" s="93">
        <f t="shared" ref="D122:E122" si="21">D117</f>
        <v>1838102.634</v>
      </c>
      <c r="E122" s="60">
        <f t="shared" si="21"/>
        <v>-1838102.423</v>
      </c>
    </row>
    <row r="123" ht="15.75" customHeight="1">
      <c r="B123" s="5" t="s">
        <v>99</v>
      </c>
      <c r="C123" s="21" t="s">
        <v>21</v>
      </c>
      <c r="D123" s="94">
        <f t="shared" ref="D123:E123" si="22">D122-D54</f>
        <v>1338102.634</v>
      </c>
      <c r="E123" s="50">
        <f t="shared" si="22"/>
        <v>-2338102.423</v>
      </c>
    </row>
    <row r="124" ht="15.75" customHeight="1">
      <c r="B124" s="5" t="s">
        <v>100</v>
      </c>
      <c r="C124" s="21" t="s">
        <v>18</v>
      </c>
      <c r="D124" s="95">
        <f>1+('Existing Long'!skew+D123-D122/2)/'Existing Long'!skewScale</f>
        <v>0.9999996004</v>
      </c>
      <c r="E124" s="96">
        <f>1+('Existing Long'!skew+E123-E122/2)/'Existing Long'!skewScale</f>
        <v>0.9999995986</v>
      </c>
    </row>
    <row r="125" ht="15.75" customHeight="1">
      <c r="B125" s="5" t="s">
        <v>101</v>
      </c>
      <c r="C125" s="21" t="s">
        <v>18</v>
      </c>
      <c r="D125" s="95">
        <f>1+('Existing Long'!skew+D123/2)/'Existing Long'!skewScale</f>
        <v>0.9999996007</v>
      </c>
      <c r="E125" s="97">
        <f>1+('Existing Long'!skew+E123/2)/'Existing Long'!skewScale</f>
        <v>0.9999995988</v>
      </c>
    </row>
    <row r="126" ht="15.75" customHeight="1">
      <c r="B126" s="5" t="s">
        <v>102</v>
      </c>
      <c r="C126" s="21" t="s">
        <v>24</v>
      </c>
      <c r="D126" s="94">
        <f>'Existing Long'!priceOracle*D125</f>
        <v>1999.999201</v>
      </c>
      <c r="E126" s="50">
        <f>'Existing Long'!priceOracle*E125</f>
        <v>1999.999198</v>
      </c>
    </row>
    <row r="127" ht="15.75" customHeight="1">
      <c r="B127" s="5" t="s">
        <v>103</v>
      </c>
      <c r="C127" s="21" t="s">
        <v>24</v>
      </c>
      <c r="D127" s="94">
        <f>'Existing Long'!priceOracle*D124</f>
        <v>1999.999201</v>
      </c>
      <c r="E127" s="50">
        <f>'Existing Long'!priceOracle*E124</f>
        <v>1999.999197</v>
      </c>
    </row>
    <row r="128" ht="15.75" customHeight="1">
      <c r="B128" s="5"/>
      <c r="C128" s="21"/>
      <c r="D128" s="5"/>
      <c r="E128" s="21"/>
    </row>
    <row r="129" ht="15.75" customHeight="1">
      <c r="B129" s="5" t="s">
        <v>57</v>
      </c>
      <c r="C129" s="21" t="s">
        <v>24</v>
      </c>
      <c r="D129" s="50">
        <f t="shared" ref="D129:E129" si="23">ABS(D122)*D127</f>
        <v>3676203800</v>
      </c>
      <c r="E129" s="50">
        <f t="shared" si="23"/>
        <v>3676203371</v>
      </c>
    </row>
    <row r="130" ht="15.75" customHeight="1">
      <c r="B130" s="5" t="s">
        <v>84</v>
      </c>
      <c r="C130" s="21" t="s">
        <v>24</v>
      </c>
      <c r="D130" s="50">
        <f t="shared" ref="D130:E130" si="24">ABS(D122)*D127</f>
        <v>3676203800</v>
      </c>
      <c r="E130" s="50">
        <f t="shared" si="24"/>
        <v>3676203371</v>
      </c>
    </row>
    <row r="131" ht="15.75" customHeight="1">
      <c r="B131" s="5"/>
      <c r="C131" s="21"/>
      <c r="D131" s="5"/>
      <c r="E131" s="21"/>
    </row>
    <row r="132" ht="15.75" customHeight="1">
      <c r="B132" s="5" t="s">
        <v>17</v>
      </c>
      <c r="C132" s="21" t="s">
        <v>24</v>
      </c>
      <c r="D132" s="50">
        <f>ABS(D123)*'Existing Long'!openingFee*D126</f>
        <v>535240840</v>
      </c>
      <c r="E132" s="50">
        <f>ABS(E123)*'Existing Long'!openingFee*E126</f>
        <v>935240594.2</v>
      </c>
      <c r="F132" s="98" t="s">
        <v>104</v>
      </c>
    </row>
    <row r="133" ht="15.75" customHeight="1">
      <c r="B133" s="5" t="s">
        <v>19</v>
      </c>
      <c r="C133" s="21" t="s">
        <v>24</v>
      </c>
      <c r="D133" s="94">
        <f>D130*D14</f>
        <v>11028611.4</v>
      </c>
      <c r="E133" s="50">
        <f>E130*'Existing Long'!closingFee</f>
        <v>11028610.11</v>
      </c>
    </row>
    <row r="134" ht="15.75" customHeight="1">
      <c r="B134" s="5"/>
      <c r="C134" s="21"/>
      <c r="D134" s="94"/>
      <c r="E134" s="50"/>
    </row>
    <row r="135" ht="15.75" customHeight="1">
      <c r="B135" s="5" t="s">
        <v>61</v>
      </c>
      <c r="C135" s="21" t="s">
        <v>24</v>
      </c>
      <c r="D135" s="94">
        <f>D130*('Existing Long'!LTVperp-'Existing Long'!closingFee)</f>
        <v>3420094935</v>
      </c>
      <c r="E135" s="50">
        <f>E129</f>
        <v>3676203371</v>
      </c>
    </row>
    <row r="136" ht="15.75" customHeight="1">
      <c r="B136" s="5" t="s">
        <v>62</v>
      </c>
      <c r="C136" s="21" t="s">
        <v>24</v>
      </c>
      <c r="D136" s="94">
        <f>D129+D132</f>
        <v>4211444640</v>
      </c>
      <c r="E136" s="50">
        <f>E130*(2-'Existing Long'!LTVperp+'Existing Long'!closingFee)+E132</f>
        <v>4867552800</v>
      </c>
      <c r="I136" s="25"/>
    </row>
    <row r="137" ht="15.75" customHeight="1">
      <c r="B137" s="5"/>
      <c r="C137" s="21"/>
      <c r="D137" s="5"/>
      <c r="E137" s="21"/>
      <c r="I137" s="25"/>
    </row>
    <row r="138" ht="15.75" customHeight="1">
      <c r="B138" s="99" t="s">
        <v>105</v>
      </c>
      <c r="C138" s="21"/>
      <c r="D138" s="5"/>
      <c r="E138" s="21"/>
      <c r="I138" s="45"/>
    </row>
    <row r="139" ht="15.75" customHeight="1">
      <c r="B139" s="5" t="s">
        <v>71</v>
      </c>
      <c r="C139" s="21" t="s">
        <v>24</v>
      </c>
      <c r="D139" s="94">
        <f t="shared" ref="D139:E139" si="25">D103+D135</f>
        <v>4213444595</v>
      </c>
      <c r="E139" s="50">
        <f t="shared" si="25"/>
        <v>4469553031</v>
      </c>
    </row>
    <row r="140" ht="15.75" customHeight="1">
      <c r="B140" s="5" t="s">
        <v>72</v>
      </c>
      <c r="C140" s="21" t="s">
        <v>24</v>
      </c>
      <c r="D140" s="94">
        <f t="shared" ref="D140:E140" si="26">D104+D136</f>
        <v>4213444640</v>
      </c>
      <c r="E140" s="50">
        <f t="shared" si="26"/>
        <v>4869552800</v>
      </c>
      <c r="I140" s="45"/>
    </row>
    <row r="141" ht="15.75" customHeight="1">
      <c r="B141" s="5" t="s">
        <v>73</v>
      </c>
      <c r="C141" s="21"/>
      <c r="D141" s="100">
        <f t="shared" ref="D141:E141" si="27">D139/D140</f>
        <v>0.9999999893</v>
      </c>
      <c r="E141" s="101">
        <f t="shared" si="27"/>
        <v>0.9178569808</v>
      </c>
      <c r="I141" s="9"/>
    </row>
    <row r="142" ht="15.75" customHeight="1">
      <c r="B142" s="5"/>
      <c r="C142" s="21"/>
      <c r="D142" s="102"/>
      <c r="E142" s="103"/>
      <c r="I142" s="9"/>
    </row>
    <row r="143" ht="15.75" customHeight="1">
      <c r="B143" s="99" t="s">
        <v>106</v>
      </c>
      <c r="C143" s="21"/>
      <c r="D143" s="5"/>
      <c r="E143" s="21"/>
    </row>
    <row r="144" ht="15.75" customHeight="1">
      <c r="B144" s="5" t="s">
        <v>57</v>
      </c>
      <c r="C144" s="21" t="s">
        <v>24</v>
      </c>
      <c r="D144" s="94">
        <f t="shared" ref="D144:E144" si="28">D129</f>
        <v>3676203800</v>
      </c>
      <c r="E144" s="50">
        <f t="shared" si="28"/>
        <v>3676203371</v>
      </c>
    </row>
    <row r="145" ht="15.75" customHeight="1">
      <c r="B145" s="5" t="s">
        <v>78</v>
      </c>
      <c r="C145" s="21" t="s">
        <v>24</v>
      </c>
      <c r="D145" s="94">
        <f>$D$85-D132-D133</f>
        <v>502730148.4</v>
      </c>
      <c r="E145" s="50">
        <f>$E$85-E132-E133</f>
        <v>102730395.4</v>
      </c>
    </row>
    <row r="146" ht="15.75" customHeight="1">
      <c r="B146" s="73" t="s">
        <v>107</v>
      </c>
      <c r="C146" s="74"/>
      <c r="D146" s="104">
        <f t="shared" ref="D146:E146" si="29">D144/D145</f>
        <v>7.312479292</v>
      </c>
      <c r="E146" s="105">
        <f t="shared" si="29"/>
        <v>35.78496272</v>
      </c>
    </row>
    <row r="147" ht="15.75" customHeight="1">
      <c r="D147" s="91"/>
      <c r="G147" s="91"/>
      <c r="H147" s="91"/>
      <c r="I147" s="9"/>
    </row>
    <row r="148" ht="15.75" customHeight="1">
      <c r="I148" s="9"/>
    </row>
    <row r="149" ht="15.75" customHeight="1"/>
    <row r="150" ht="15.75" customHeight="1"/>
    <row r="151" ht="15.75" customHeight="1">
      <c r="B151" s="28" t="s">
        <v>108</v>
      </c>
      <c r="C151" s="62"/>
      <c r="D151" s="106"/>
      <c r="E151" s="107"/>
    </row>
    <row r="152" ht="15.75" customHeight="1"/>
    <row r="153" ht="15.75" customHeight="1">
      <c r="B153" s="3" t="s">
        <v>109</v>
      </c>
      <c r="D153" s="3" t="s">
        <v>46</v>
      </c>
      <c r="E153" s="3" t="s">
        <v>47</v>
      </c>
    </row>
    <row r="154" ht="15.75" customHeight="1">
      <c r="B154" s="77" t="s">
        <v>65</v>
      </c>
      <c r="C154" s="78" t="s">
        <v>15</v>
      </c>
      <c r="D154" s="17" t="s">
        <v>66</v>
      </c>
      <c r="E154" s="4" t="s">
        <v>66</v>
      </c>
    </row>
    <row r="155" ht="15.75" customHeight="1">
      <c r="B155" s="5" t="s">
        <v>110</v>
      </c>
      <c r="C155" s="21" t="s">
        <v>21</v>
      </c>
      <c r="D155" s="108">
        <v>1.0E8</v>
      </c>
      <c r="E155" s="109">
        <f t="shared" ref="E155:E161" si="30">D155</f>
        <v>100000000</v>
      </c>
    </row>
    <row r="156" ht="15.75" customHeight="1">
      <c r="B156" s="5" t="s">
        <v>111</v>
      </c>
      <c r="C156" s="21" t="s">
        <v>21</v>
      </c>
      <c r="D156" s="108">
        <v>5.0E8</v>
      </c>
      <c r="E156" s="48">
        <f t="shared" si="30"/>
        <v>500000000</v>
      </c>
    </row>
    <row r="157" ht="15.75" customHeight="1">
      <c r="B157" s="5" t="s">
        <v>112</v>
      </c>
      <c r="C157" s="21" t="s">
        <v>21</v>
      </c>
      <c r="D157" s="108">
        <v>35000.0</v>
      </c>
      <c r="E157" s="48">
        <f t="shared" si="30"/>
        <v>35000</v>
      </c>
    </row>
    <row r="158" ht="15.75" customHeight="1">
      <c r="B158" s="5" t="s">
        <v>113</v>
      </c>
      <c r="C158" s="21" t="s">
        <v>21</v>
      </c>
      <c r="D158" s="108">
        <v>35000.0</v>
      </c>
      <c r="E158" s="48">
        <f t="shared" si="30"/>
        <v>35000</v>
      </c>
    </row>
    <row r="159" ht="15.75" customHeight="1">
      <c r="B159" s="5" t="s">
        <v>114</v>
      </c>
      <c r="C159" s="21" t="s">
        <v>21</v>
      </c>
      <c r="D159" s="108">
        <v>70000.0</v>
      </c>
      <c r="E159" s="48">
        <f t="shared" si="30"/>
        <v>70000</v>
      </c>
    </row>
    <row r="160" ht="15.75" customHeight="1">
      <c r="B160" s="5" t="s">
        <v>115</v>
      </c>
      <c r="C160" s="21" t="s">
        <v>21</v>
      </c>
      <c r="D160" s="108">
        <v>70000.0</v>
      </c>
      <c r="E160" s="48">
        <f t="shared" si="30"/>
        <v>70000</v>
      </c>
    </row>
    <row r="161" ht="15.75" customHeight="1">
      <c r="B161" s="11" t="s">
        <v>20</v>
      </c>
      <c r="C161" s="22" t="s">
        <v>21</v>
      </c>
      <c r="D161" s="110">
        <f>D15</f>
        <v>1E+15</v>
      </c>
      <c r="E161" s="111">
        <f t="shared" si="30"/>
        <v>1E+15</v>
      </c>
    </row>
    <row r="162" ht="15.75" customHeight="1">
      <c r="B162" s="18" t="s">
        <v>116</v>
      </c>
      <c r="C162" s="19" t="s">
        <v>21</v>
      </c>
      <c r="D162" s="112">
        <f t="shared" ref="D162:E162" si="31">D159-D155</f>
        <v>-99930000</v>
      </c>
      <c r="E162" s="54">
        <f t="shared" si="31"/>
        <v>-99930000</v>
      </c>
    </row>
    <row r="163" ht="15.75" customHeight="1">
      <c r="B163" s="5" t="s">
        <v>117</v>
      </c>
      <c r="C163" s="21" t="s">
        <v>21</v>
      </c>
      <c r="D163" s="79">
        <f t="shared" ref="D163:E163" si="32">D160-D156</f>
        <v>-499930000</v>
      </c>
      <c r="E163" s="51">
        <f t="shared" si="32"/>
        <v>-499930000</v>
      </c>
    </row>
    <row r="164" ht="15.75" customHeight="1">
      <c r="B164" s="5" t="s">
        <v>118</v>
      </c>
      <c r="C164" s="21" t="s">
        <v>21</v>
      </c>
      <c r="D164" s="79">
        <f t="shared" ref="D164:E164" si="33">D157-D20</f>
        <v>400035000</v>
      </c>
      <c r="E164" s="51">
        <f t="shared" si="33"/>
        <v>35000</v>
      </c>
    </row>
    <row r="165" ht="15.75" customHeight="1">
      <c r="B165" s="11" t="s">
        <v>119</v>
      </c>
      <c r="C165" s="22" t="s">
        <v>21</v>
      </c>
      <c r="D165" s="113">
        <f t="shared" ref="D165:E165" si="34">D158+D20</f>
        <v>-399965000</v>
      </c>
      <c r="E165" s="55">
        <f t="shared" si="34"/>
        <v>35000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29"/>
    <col customWidth="1" min="3" max="3" width="7.86"/>
    <col customWidth="1" min="4" max="8" width="17.86"/>
    <col customWidth="1" min="9" max="9" width="19.57"/>
  </cols>
  <sheetData>
    <row r="1">
      <c r="B1" s="1" t="s">
        <v>0</v>
      </c>
    </row>
    <row r="2">
      <c r="B2" s="2" t="s">
        <v>1</v>
      </c>
    </row>
    <row r="4">
      <c r="B4" s="3" t="s">
        <v>2</v>
      </c>
    </row>
    <row r="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>
      <c r="B6" s="5" t="s">
        <v>9</v>
      </c>
      <c r="C6" s="6">
        <v>0.8</v>
      </c>
      <c r="D6" s="7">
        <v>0.82</v>
      </c>
      <c r="E6" s="8">
        <f>(1-1/G6)</f>
        <v>0.9333333333</v>
      </c>
      <c r="F6" s="9">
        <f>E6+0.02</f>
        <v>0.9533333333</v>
      </c>
      <c r="G6" s="10">
        <v>15.0</v>
      </c>
    </row>
    <row r="7">
      <c r="B7" s="5" t="s">
        <v>10</v>
      </c>
      <c r="C7" s="6">
        <v>0.75</v>
      </c>
      <c r="D7" s="7">
        <v>0.77</v>
      </c>
      <c r="G7" s="10"/>
    </row>
    <row r="8">
      <c r="B8" s="5" t="s">
        <v>11</v>
      </c>
      <c r="C8" s="6">
        <v>0.85</v>
      </c>
      <c r="D8" s="7">
        <v>0.87</v>
      </c>
      <c r="G8" s="10"/>
    </row>
    <row r="9">
      <c r="B9" s="11" t="s">
        <v>12</v>
      </c>
      <c r="C9" s="12">
        <v>0.75</v>
      </c>
      <c r="D9" s="13">
        <v>0.77</v>
      </c>
      <c r="E9" s="14"/>
      <c r="F9" s="14"/>
      <c r="G9" s="15"/>
    </row>
    <row r="11">
      <c r="B11" s="3" t="s">
        <v>13</v>
      </c>
    </row>
    <row r="12">
      <c r="B12" s="16" t="s">
        <v>14</v>
      </c>
      <c r="C12" s="4" t="s">
        <v>15</v>
      </c>
      <c r="D12" s="17" t="s">
        <v>16</v>
      </c>
    </row>
    <row r="13">
      <c r="B13" s="18" t="s">
        <v>17</v>
      </c>
      <c r="C13" s="19" t="s">
        <v>18</v>
      </c>
      <c r="D13" s="20">
        <v>0.2</v>
      </c>
    </row>
    <row r="14">
      <c r="B14" s="5" t="s">
        <v>19</v>
      </c>
      <c r="C14" s="21" t="s">
        <v>18</v>
      </c>
      <c r="D14" s="10">
        <v>0.003</v>
      </c>
    </row>
    <row r="15">
      <c r="B15" s="11" t="s">
        <v>20</v>
      </c>
      <c r="C15" s="22" t="s">
        <v>21</v>
      </c>
      <c r="D15" s="114">
        <v>1.0E15</v>
      </c>
    </row>
    <row r="16">
      <c r="B16" s="24"/>
      <c r="C16" s="24"/>
      <c r="D16" s="25"/>
    </row>
    <row r="17">
      <c r="B17" s="3" t="s">
        <v>22</v>
      </c>
      <c r="C17" s="24"/>
      <c r="D17" s="25"/>
    </row>
    <row r="18">
      <c r="B18" s="16" t="s">
        <v>14</v>
      </c>
      <c r="C18" s="4" t="s">
        <v>15</v>
      </c>
      <c r="D18" s="17" t="s">
        <v>16</v>
      </c>
    </row>
    <row r="19">
      <c r="B19" s="18" t="s">
        <v>23</v>
      </c>
      <c r="C19" s="26" t="s">
        <v>24</v>
      </c>
      <c r="D19" s="27">
        <v>2000.0</v>
      </c>
    </row>
    <row r="20">
      <c r="B20" s="11" t="s">
        <v>25</v>
      </c>
      <c r="C20" s="14" t="s">
        <v>21</v>
      </c>
      <c r="D20" s="23">
        <f>D155-D156</f>
        <v>-400000000</v>
      </c>
    </row>
    <row r="21" ht="15.75" customHeight="1">
      <c r="B21" s="24"/>
      <c r="C21" s="24"/>
    </row>
    <row r="22" ht="15.75" customHeight="1">
      <c r="B22" s="28" t="s">
        <v>26</v>
      </c>
    </row>
    <row r="23" ht="15.75" customHeight="1">
      <c r="B23" s="28"/>
    </row>
    <row r="24" ht="15.75" customHeight="1">
      <c r="B24" s="3" t="s">
        <v>27</v>
      </c>
    </row>
    <row r="25" ht="15.75" customHeight="1">
      <c r="B25" s="3"/>
    </row>
    <row r="26" ht="15.75" customHeight="1">
      <c r="B26" s="3" t="s">
        <v>28</v>
      </c>
    </row>
    <row r="27" ht="15.75" customHeight="1">
      <c r="B27" s="16" t="s">
        <v>29</v>
      </c>
      <c r="C27" s="4" t="s">
        <v>15</v>
      </c>
      <c r="D27" s="17" t="s">
        <v>16</v>
      </c>
      <c r="E27" s="17" t="s">
        <v>30</v>
      </c>
      <c r="F27" s="29" t="s">
        <v>31</v>
      </c>
    </row>
    <row r="28" ht="15.75" customHeight="1">
      <c r="B28" s="11" t="s">
        <v>11</v>
      </c>
      <c r="C28" s="22" t="s">
        <v>24</v>
      </c>
      <c r="D28" s="30">
        <v>5.0E7</v>
      </c>
      <c r="E28" s="31">
        <f>VLOOKUP(B28,B6:G9,2,0)</f>
        <v>0.85</v>
      </c>
      <c r="F28" s="32">
        <f>D28*E28</f>
        <v>42500000</v>
      </c>
    </row>
    <row r="29" ht="15.75" customHeight="1">
      <c r="B29" s="24"/>
      <c r="C29" s="24"/>
      <c r="D29" s="25"/>
      <c r="E29" s="25"/>
      <c r="F29" s="33"/>
    </row>
    <row r="30" ht="15.75" customHeight="1">
      <c r="B30" s="3" t="s">
        <v>32</v>
      </c>
    </row>
    <row r="31" ht="15.75" customHeight="1">
      <c r="B31" s="16" t="s">
        <v>33</v>
      </c>
      <c r="C31" s="4" t="s">
        <v>15</v>
      </c>
      <c r="D31" s="17" t="s">
        <v>16</v>
      </c>
      <c r="E31" s="17" t="s">
        <v>30</v>
      </c>
      <c r="F31" s="17" t="s">
        <v>31</v>
      </c>
    </row>
    <row r="32" ht="15.75" customHeight="1">
      <c r="B32" s="11" t="s">
        <v>10</v>
      </c>
      <c r="C32" s="22" t="s">
        <v>24</v>
      </c>
      <c r="D32" s="34">
        <v>1.0E9</v>
      </c>
      <c r="E32" s="35">
        <f>VLOOKUP(B32,B7:G10,2,0)</f>
        <v>0.75</v>
      </c>
      <c r="F32" s="36">
        <f>D32*E32</f>
        <v>750000000</v>
      </c>
    </row>
    <row r="33" ht="15.75" customHeight="1">
      <c r="A33" s="25"/>
      <c r="B33" s="37" t="s">
        <v>34</v>
      </c>
      <c r="C33" s="38" t="s">
        <v>24</v>
      </c>
      <c r="D33" s="37">
        <f>D32</f>
        <v>1000000000</v>
      </c>
      <c r="E33" s="39"/>
      <c r="F33" s="40">
        <f>F32</f>
        <v>750000000</v>
      </c>
    </row>
    <row r="34" ht="15.75" customHeight="1">
      <c r="A34" s="25"/>
      <c r="B34" s="25"/>
      <c r="D34" s="33"/>
      <c r="E34" s="25"/>
      <c r="F34" s="33"/>
    </row>
    <row r="35" ht="15.75" customHeight="1">
      <c r="A35" s="25"/>
      <c r="B35" s="3" t="s">
        <v>35</v>
      </c>
      <c r="D35" s="33"/>
      <c r="E35" s="25"/>
      <c r="F35" s="25"/>
    </row>
    <row r="36" ht="15.75" customHeight="1">
      <c r="B36" s="16" t="s">
        <v>29</v>
      </c>
      <c r="C36" s="4" t="s">
        <v>15</v>
      </c>
      <c r="D36" s="17" t="s">
        <v>16</v>
      </c>
      <c r="E36" s="25"/>
      <c r="F36" s="25"/>
      <c r="G36" s="25"/>
      <c r="H36" s="25"/>
    </row>
    <row r="37" ht="15.75" customHeight="1">
      <c r="B37" s="5" t="s">
        <v>11</v>
      </c>
      <c r="C37" s="21" t="s">
        <v>24</v>
      </c>
      <c r="D37" s="41">
        <v>1000000.0</v>
      </c>
      <c r="E37" s="25"/>
      <c r="F37" s="25"/>
      <c r="G37" s="25"/>
      <c r="H37" s="25"/>
    </row>
    <row r="38" ht="15.75" customHeight="1">
      <c r="B38" s="11" t="s">
        <v>12</v>
      </c>
      <c r="C38" s="22" t="s">
        <v>24</v>
      </c>
      <c r="D38" s="23">
        <v>1000000.0</v>
      </c>
      <c r="E38" s="25"/>
      <c r="F38" s="25"/>
      <c r="G38" s="25"/>
      <c r="H38" s="25"/>
    </row>
    <row r="39" ht="15.75" customHeight="1">
      <c r="B39" s="42" t="s">
        <v>34</v>
      </c>
      <c r="C39" s="38" t="s">
        <v>24</v>
      </c>
      <c r="D39" s="40">
        <f>SUM(D37:D38)</f>
        <v>2000000</v>
      </c>
      <c r="E39" s="25"/>
      <c r="F39" s="25"/>
      <c r="G39" s="25"/>
      <c r="H39" s="25"/>
    </row>
    <row r="40" ht="15.75" customHeight="1">
      <c r="B40" s="24"/>
      <c r="C40" s="24"/>
      <c r="D40" s="33"/>
      <c r="E40" s="25"/>
      <c r="F40" s="25"/>
      <c r="G40" s="25"/>
      <c r="H40" s="25"/>
    </row>
    <row r="41" ht="15.75" customHeight="1">
      <c r="B41" s="3" t="s">
        <v>36</v>
      </c>
      <c r="C41" s="24"/>
      <c r="D41" s="33"/>
      <c r="E41" s="25"/>
      <c r="F41" s="25"/>
      <c r="G41" s="25"/>
      <c r="H41" s="25"/>
    </row>
    <row r="42" ht="15.75" customHeight="1">
      <c r="B42" s="16" t="s">
        <v>37</v>
      </c>
      <c r="C42" s="4" t="s">
        <v>15</v>
      </c>
      <c r="D42" s="29" t="s">
        <v>16</v>
      </c>
      <c r="E42" s="25"/>
      <c r="F42" s="25"/>
      <c r="G42" s="25"/>
      <c r="H42" s="25"/>
      <c r="I42" s="25"/>
    </row>
    <row r="43" ht="15.75" customHeight="1">
      <c r="B43" s="5" t="s">
        <v>38</v>
      </c>
      <c r="C43" s="21" t="s">
        <v>24</v>
      </c>
      <c r="D43" s="43">
        <f>D28</f>
        <v>50000000</v>
      </c>
      <c r="E43" s="25"/>
      <c r="F43" s="25"/>
      <c r="G43" s="25"/>
      <c r="H43" s="25"/>
      <c r="I43" s="25"/>
    </row>
    <row r="44" ht="15.75" customHeight="1">
      <c r="B44" s="5" t="s">
        <v>39</v>
      </c>
      <c r="C44" s="21" t="s">
        <v>24</v>
      </c>
      <c r="D44" s="43">
        <f>D33</f>
        <v>1000000000</v>
      </c>
      <c r="E44" s="25"/>
      <c r="F44" s="25"/>
      <c r="G44" s="25"/>
      <c r="H44" s="25"/>
    </row>
    <row r="45" ht="15.75" customHeight="1">
      <c r="B45" s="5" t="s">
        <v>40</v>
      </c>
      <c r="C45" s="21" t="s">
        <v>24</v>
      </c>
      <c r="D45" s="43">
        <f>D44+D43</f>
        <v>1050000000</v>
      </c>
      <c r="E45" s="25"/>
      <c r="F45" s="25"/>
      <c r="G45" s="25"/>
      <c r="H45" s="25"/>
      <c r="I45" s="25"/>
    </row>
    <row r="46" ht="15.75" customHeight="1">
      <c r="B46" s="5" t="s">
        <v>41</v>
      </c>
      <c r="C46" s="21" t="s">
        <v>24</v>
      </c>
      <c r="D46" s="43">
        <f>'New Postion'!debt</f>
        <v>2000000</v>
      </c>
      <c r="E46" s="25"/>
      <c r="F46" s="25"/>
      <c r="G46" s="25"/>
      <c r="H46" s="25"/>
    </row>
    <row r="47" ht="15.75" customHeight="1">
      <c r="B47" s="5" t="s">
        <v>42</v>
      </c>
      <c r="C47" s="21" t="s">
        <v>24</v>
      </c>
      <c r="D47" s="43">
        <f>F28</f>
        <v>42500000</v>
      </c>
      <c r="E47" s="25"/>
      <c r="F47" s="25"/>
      <c r="G47" s="25"/>
      <c r="H47" s="25"/>
    </row>
    <row r="48" ht="15.75" customHeight="1">
      <c r="B48" s="5" t="s">
        <v>43</v>
      </c>
      <c r="C48" s="21" t="s">
        <v>24</v>
      </c>
      <c r="D48" s="43">
        <f>F33</f>
        <v>750000000</v>
      </c>
      <c r="E48" s="25"/>
      <c r="F48" s="25"/>
      <c r="G48" s="25"/>
      <c r="H48" s="25"/>
      <c r="I48" s="44"/>
    </row>
    <row r="49" ht="15.75" customHeight="1">
      <c r="B49" s="11" t="s">
        <v>44</v>
      </c>
      <c r="C49" s="22" t="s">
        <v>24</v>
      </c>
      <c r="D49" s="32">
        <f>D48+D47</f>
        <v>792500000</v>
      </c>
      <c r="E49" s="25"/>
      <c r="F49" s="25"/>
      <c r="G49" s="25"/>
      <c r="H49" s="25"/>
      <c r="I49" s="44"/>
    </row>
    <row r="50" ht="15.75" customHeight="1">
      <c r="B50" s="24"/>
      <c r="C50" s="24"/>
      <c r="D50" s="33"/>
      <c r="E50" s="25"/>
      <c r="F50" s="25"/>
      <c r="G50" s="25"/>
      <c r="H50" s="25"/>
      <c r="I50" s="44"/>
    </row>
    <row r="51" ht="15.75" customHeight="1">
      <c r="B51" s="24"/>
      <c r="C51" s="24"/>
      <c r="D51" s="33"/>
      <c r="E51" s="25"/>
      <c r="F51" s="25"/>
      <c r="G51" s="25"/>
      <c r="H51" s="25"/>
    </row>
    <row r="52" ht="15.75" customHeight="1">
      <c r="B52" s="3" t="s">
        <v>45</v>
      </c>
      <c r="C52" s="24"/>
      <c r="D52" s="33" t="s">
        <v>46</v>
      </c>
      <c r="E52" s="33" t="s">
        <v>47</v>
      </c>
      <c r="F52" s="25"/>
      <c r="G52" s="25"/>
      <c r="H52" s="25"/>
      <c r="I52" s="45"/>
    </row>
    <row r="53" ht="15.75" customHeight="1">
      <c r="B53" s="16" t="s">
        <v>37</v>
      </c>
      <c r="C53" s="4" t="s">
        <v>15</v>
      </c>
      <c r="D53" s="4" t="s">
        <v>16</v>
      </c>
      <c r="E53" s="29" t="s">
        <v>16</v>
      </c>
      <c r="F53" s="25"/>
      <c r="G53" s="25"/>
      <c r="H53" s="25"/>
      <c r="I53" s="45"/>
    </row>
    <row r="54" ht="14.25" customHeight="1">
      <c r="B54" s="18" t="s">
        <v>48</v>
      </c>
      <c r="C54" s="19" t="s">
        <v>21</v>
      </c>
      <c r="D54" s="46">
        <v>0.0</v>
      </c>
      <c r="E54" s="46">
        <v>0.0</v>
      </c>
      <c r="F54" s="25"/>
      <c r="G54" s="25"/>
      <c r="H54" s="25"/>
    </row>
    <row r="55" ht="15.75" customHeight="1">
      <c r="B55" s="5" t="s">
        <v>49</v>
      </c>
      <c r="C55" s="21" t="s">
        <v>24</v>
      </c>
      <c r="D55" s="48">
        <v>2000.0</v>
      </c>
      <c r="E55" s="48">
        <v>1999.0</v>
      </c>
      <c r="F55" s="25"/>
      <c r="G55" s="25"/>
      <c r="H55" s="25"/>
      <c r="I55" s="25"/>
    </row>
    <row r="56" ht="15.75" customHeight="1">
      <c r="B56" s="5" t="s">
        <v>50</v>
      </c>
      <c r="C56" s="21" t="s">
        <v>24</v>
      </c>
      <c r="D56" s="51">
        <f>'New Postion'!priceOracle*(1+('New Postion'!skew-D54/2)/'New Postion'!skewScale)</f>
        <v>1999.9992</v>
      </c>
      <c r="E56" s="50">
        <f>'New Postion'!priceOracle*(1+('New Postion'!skew-E54/2)/'New Postion'!skewScale)</f>
        <v>1999.9992</v>
      </c>
      <c r="F56" s="25"/>
      <c r="G56" s="25"/>
      <c r="H56" s="25"/>
      <c r="I56" s="25"/>
    </row>
    <row r="57" ht="15.75" customHeight="1">
      <c r="B57" s="5" t="s">
        <v>51</v>
      </c>
      <c r="C57" s="21" t="s">
        <v>24</v>
      </c>
      <c r="D57" s="48">
        <v>0.0</v>
      </c>
      <c r="E57" s="48">
        <f>D57</f>
        <v>0</v>
      </c>
      <c r="F57" s="25"/>
      <c r="G57" s="25"/>
      <c r="H57" s="25"/>
      <c r="I57" s="25"/>
    </row>
    <row r="58" ht="15.75" customHeight="1">
      <c r="B58" s="5" t="s">
        <v>52</v>
      </c>
      <c r="C58" s="21" t="s">
        <v>24</v>
      </c>
      <c r="D58" s="51">
        <f t="shared" ref="D58:E58" si="1">MAX(D57,0)</f>
        <v>0</v>
      </c>
      <c r="E58" s="51">
        <f t="shared" si="1"/>
        <v>0</v>
      </c>
      <c r="F58" s="25"/>
      <c r="G58" s="25"/>
      <c r="H58" s="25"/>
      <c r="I58" s="52"/>
    </row>
    <row r="59" ht="15.75" customHeight="1">
      <c r="B59" s="5" t="s">
        <v>53</v>
      </c>
      <c r="C59" s="21" t="s">
        <v>24</v>
      </c>
      <c r="D59" s="51">
        <f t="shared" ref="D59:E59" si="2">-MIN(D57,0)</f>
        <v>0</v>
      </c>
      <c r="E59" s="51">
        <f t="shared" si="2"/>
        <v>0</v>
      </c>
      <c r="F59" s="25"/>
      <c r="G59" s="25"/>
      <c r="H59" s="25"/>
      <c r="I59" s="52"/>
    </row>
    <row r="60" ht="15.75" customHeight="1">
      <c r="B60" s="5" t="s">
        <v>54</v>
      </c>
      <c r="C60" s="21" t="s">
        <v>24</v>
      </c>
      <c r="D60" s="53">
        <f t="shared" ref="D60:E60" si="3">D54*(D56-D55)</f>
        <v>0</v>
      </c>
      <c r="E60" s="53">
        <f t="shared" si="3"/>
        <v>0</v>
      </c>
      <c r="F60" s="25"/>
      <c r="G60" s="25"/>
      <c r="H60" s="25"/>
      <c r="I60" s="25"/>
    </row>
    <row r="61" ht="15.75" customHeight="1">
      <c r="B61" s="5" t="s">
        <v>55</v>
      </c>
      <c r="C61" s="21" t="s">
        <v>24</v>
      </c>
      <c r="D61" s="51">
        <f t="shared" ref="D61:E61" si="4">MAX(D60,0)</f>
        <v>0</v>
      </c>
      <c r="E61" s="51">
        <f t="shared" si="4"/>
        <v>0</v>
      </c>
      <c r="F61" s="25"/>
      <c r="G61" s="25"/>
      <c r="H61" s="25"/>
      <c r="I61" s="25"/>
    </row>
    <row r="62" ht="15.75" customHeight="1">
      <c r="B62" s="5" t="s">
        <v>56</v>
      </c>
      <c r="C62" s="21" t="s">
        <v>24</v>
      </c>
      <c r="D62" s="51">
        <f t="shared" ref="D62:E62" si="5">-MIN(D60,0)</f>
        <v>0</v>
      </c>
      <c r="E62" s="51">
        <f t="shared" si="5"/>
        <v>0</v>
      </c>
      <c r="F62" s="25"/>
      <c r="G62" s="25"/>
      <c r="H62" s="25"/>
      <c r="I62" s="25"/>
    </row>
    <row r="63" ht="15.75" customHeight="1">
      <c r="B63" s="5" t="s">
        <v>57</v>
      </c>
      <c r="C63" s="21" t="s">
        <v>24</v>
      </c>
      <c r="D63" s="51">
        <f>D54*D55</f>
        <v>0</v>
      </c>
      <c r="E63" s="51">
        <f>ABS(E54)*E55</f>
        <v>0</v>
      </c>
      <c r="F63" s="25"/>
      <c r="G63" s="25"/>
      <c r="H63" s="25"/>
      <c r="I63" s="25"/>
    </row>
    <row r="64" ht="15.75" customHeight="1">
      <c r="B64" s="5" t="s">
        <v>58</v>
      </c>
      <c r="C64" s="21" t="s">
        <v>24</v>
      </c>
      <c r="D64" s="51">
        <f>D54*D56</f>
        <v>0</v>
      </c>
      <c r="E64" s="51">
        <f>ABS(E54)*E56</f>
        <v>0</v>
      </c>
      <c r="F64" s="25"/>
      <c r="G64" s="25"/>
      <c r="H64" s="25"/>
      <c r="I64" s="25"/>
    </row>
    <row r="65" ht="15.75" customHeight="1">
      <c r="B65" s="18" t="s">
        <v>59</v>
      </c>
      <c r="C65" s="19" t="s">
        <v>24</v>
      </c>
      <c r="D65" s="54">
        <f>D64*('New Postion'!LTVperp-'New Postion'!closingFee)</f>
        <v>0</v>
      </c>
      <c r="E65" s="54">
        <f>E64*(2-'New Postion'!LTVperp+'New Postion'!closingFee)</f>
        <v>0</v>
      </c>
      <c r="F65" s="25"/>
      <c r="G65" s="25"/>
      <c r="H65" s="25"/>
      <c r="I65" s="25"/>
    </row>
    <row r="66" ht="15.75" customHeight="1">
      <c r="B66" s="5" t="s">
        <v>60</v>
      </c>
      <c r="C66" s="21" t="s">
        <v>24</v>
      </c>
      <c r="D66" s="51">
        <f>D58*'New Postion'!LTVusdc</f>
        <v>0</v>
      </c>
      <c r="E66" s="51">
        <f>E58*'New Postion'!LTVusdc</f>
        <v>0</v>
      </c>
      <c r="F66" s="25"/>
      <c r="G66" s="25"/>
      <c r="H66" s="25"/>
      <c r="I66" s="25"/>
    </row>
    <row r="67" ht="15.75" customHeight="1">
      <c r="B67" s="5" t="s">
        <v>61</v>
      </c>
      <c r="C67" s="21" t="s">
        <v>24</v>
      </c>
      <c r="D67" s="51">
        <f>D65+D66</f>
        <v>0</v>
      </c>
      <c r="E67" s="43">
        <f>E63+E66</f>
        <v>0</v>
      </c>
      <c r="F67" s="25"/>
      <c r="G67" s="25"/>
      <c r="H67" s="25"/>
      <c r="I67" s="25"/>
    </row>
    <row r="68" ht="15.75" customHeight="1">
      <c r="B68" s="11" t="s">
        <v>62</v>
      </c>
      <c r="C68" s="22" t="s">
        <v>24</v>
      </c>
      <c r="D68" s="55">
        <f>D63+D59</f>
        <v>0</v>
      </c>
      <c r="E68" s="32">
        <f>E65+E59</f>
        <v>0</v>
      </c>
      <c r="F68" s="25"/>
      <c r="G68" s="25"/>
      <c r="H68" s="25"/>
      <c r="I68" s="25"/>
    </row>
    <row r="69" ht="15.75" customHeight="1">
      <c r="B69" s="42" t="s">
        <v>63</v>
      </c>
      <c r="C69" s="38" t="s">
        <v>24</v>
      </c>
      <c r="D69" s="56">
        <f t="shared" ref="D69:E69" si="6">D57+D60</f>
        <v>0</v>
      </c>
      <c r="E69" s="40">
        <f t="shared" si="6"/>
        <v>0</v>
      </c>
      <c r="F69" s="25"/>
      <c r="G69" s="25"/>
      <c r="H69" s="25"/>
      <c r="I69" s="25"/>
    </row>
    <row r="70" ht="15.75" customHeight="1">
      <c r="B70" s="3"/>
      <c r="C70" s="3"/>
      <c r="D70" s="3"/>
    </row>
    <row r="71" ht="15.75" customHeight="1">
      <c r="B71" s="3" t="s">
        <v>64</v>
      </c>
      <c r="C71" s="3"/>
      <c r="D71" s="33" t="s">
        <v>46</v>
      </c>
      <c r="E71" s="33" t="s">
        <v>47</v>
      </c>
    </row>
    <row r="72" ht="15.75" customHeight="1">
      <c r="B72" s="16" t="s">
        <v>65</v>
      </c>
      <c r="C72" s="4" t="s">
        <v>15</v>
      </c>
      <c r="D72" s="17" t="s">
        <v>66</v>
      </c>
      <c r="E72" s="17" t="s">
        <v>66</v>
      </c>
    </row>
    <row r="73" ht="15.75" customHeight="1">
      <c r="B73" s="5" t="s">
        <v>67</v>
      </c>
      <c r="C73" s="21" t="s">
        <v>24</v>
      </c>
      <c r="D73" s="57">
        <f>D49</f>
        <v>792500000</v>
      </c>
      <c r="E73" s="50">
        <f>D73</f>
        <v>792500000</v>
      </c>
      <c r="H73" s="25"/>
    </row>
    <row r="74" ht="15.75" customHeight="1">
      <c r="B74" s="5" t="s">
        <v>68</v>
      </c>
      <c r="C74" s="21" t="s">
        <v>24</v>
      </c>
      <c r="D74" s="57">
        <f t="shared" ref="D74:E74" si="7">D67</f>
        <v>0</v>
      </c>
      <c r="E74" s="57">
        <f t="shared" si="7"/>
        <v>0</v>
      </c>
      <c r="H74" s="25"/>
    </row>
    <row r="75" ht="15.75" customHeight="1">
      <c r="B75" s="5" t="s">
        <v>69</v>
      </c>
      <c r="C75" s="21" t="s">
        <v>24</v>
      </c>
      <c r="D75" s="57">
        <f>D46</f>
        <v>2000000</v>
      </c>
      <c r="E75" s="57">
        <f>D75</f>
        <v>2000000</v>
      </c>
    </row>
    <row r="76" ht="15.75" customHeight="1">
      <c r="B76" s="5" t="s">
        <v>70</v>
      </c>
      <c r="C76" s="21" t="s">
        <v>24</v>
      </c>
      <c r="D76" s="57">
        <f t="shared" ref="D76:E76" si="8">D68</f>
        <v>0</v>
      </c>
      <c r="E76" s="57">
        <f t="shared" si="8"/>
        <v>0</v>
      </c>
    </row>
    <row r="77" ht="15.75" customHeight="1">
      <c r="B77" s="5" t="s">
        <v>71</v>
      </c>
      <c r="C77" s="21" t="s">
        <v>24</v>
      </c>
      <c r="D77" s="57">
        <f t="shared" ref="D77:E77" si="9">D73+D74</f>
        <v>792500000</v>
      </c>
      <c r="E77" s="57">
        <f t="shared" si="9"/>
        <v>792500000</v>
      </c>
    </row>
    <row r="78" ht="15.75" customHeight="1">
      <c r="B78" s="5" t="s">
        <v>72</v>
      </c>
      <c r="C78" s="21" t="s">
        <v>24</v>
      </c>
      <c r="D78" s="57">
        <f t="shared" ref="D78:E78" si="10">D75+D76</f>
        <v>2000000</v>
      </c>
      <c r="E78" s="57">
        <f t="shared" si="10"/>
        <v>2000000</v>
      </c>
    </row>
    <row r="79" ht="15.75" customHeight="1">
      <c r="B79" s="37" t="s">
        <v>73</v>
      </c>
      <c r="C79" s="56" t="s">
        <v>74</v>
      </c>
      <c r="D79" s="58">
        <f t="shared" ref="D79:E79" si="11">D77/D78</f>
        <v>396.25</v>
      </c>
      <c r="E79" s="59">
        <f t="shared" si="11"/>
        <v>396.25</v>
      </c>
      <c r="H79" s="25"/>
    </row>
    <row r="80" ht="15.75" customHeight="1">
      <c r="B80" s="25"/>
      <c r="C80" s="25"/>
      <c r="D80" s="25"/>
      <c r="E80" s="25"/>
      <c r="F80" s="25"/>
      <c r="G80" s="25"/>
      <c r="H80" s="25"/>
    </row>
    <row r="81" ht="15.75" customHeight="1">
      <c r="B81" s="3" t="s">
        <v>75</v>
      </c>
    </row>
    <row r="82" ht="15.75" customHeight="1">
      <c r="B82" s="16" t="s">
        <v>65</v>
      </c>
      <c r="C82" s="4" t="s">
        <v>15</v>
      </c>
      <c r="D82" s="29" t="s">
        <v>16</v>
      </c>
      <c r="E82" s="29" t="s">
        <v>16</v>
      </c>
    </row>
    <row r="83" ht="15.75" customHeight="1">
      <c r="B83" s="18" t="s">
        <v>76</v>
      </c>
      <c r="C83" s="19" t="s">
        <v>24</v>
      </c>
      <c r="D83" s="60">
        <f t="shared" ref="D83:E83" si="12">$D$45+MAX(0,D69)</f>
        <v>1050000000</v>
      </c>
      <c r="E83" s="60">
        <f t="shared" si="12"/>
        <v>1050000000</v>
      </c>
    </row>
    <row r="84" ht="15.75" customHeight="1">
      <c r="B84" s="5" t="s">
        <v>77</v>
      </c>
      <c r="C84" s="21" t="s">
        <v>24</v>
      </c>
      <c r="D84" s="50">
        <f>'New Postion'!debt-MIN(0,D69)</f>
        <v>2000000</v>
      </c>
      <c r="E84" s="50">
        <f>'New Postion'!debt-MIN(0,E69)</f>
        <v>2000000</v>
      </c>
    </row>
    <row r="85" ht="15.75" customHeight="1">
      <c r="B85" s="5" t="s">
        <v>78</v>
      </c>
      <c r="C85" s="21" t="s">
        <v>24</v>
      </c>
      <c r="D85" s="50">
        <f t="shared" ref="D85:E85" si="13">D83-D84</f>
        <v>1048000000</v>
      </c>
      <c r="E85" s="50">
        <f t="shared" si="13"/>
        <v>1048000000</v>
      </c>
    </row>
    <row r="86" ht="15.75" customHeight="1">
      <c r="B86" s="42" t="s">
        <v>79</v>
      </c>
      <c r="C86" s="38" t="s">
        <v>74</v>
      </c>
      <c r="D86" s="61">
        <f t="shared" ref="D86:E86" si="14">D83/D84</f>
        <v>525</v>
      </c>
      <c r="E86" s="61">
        <f t="shared" si="14"/>
        <v>525</v>
      </c>
    </row>
    <row r="87" ht="15.75" customHeight="1">
      <c r="B87" s="24"/>
      <c r="C87" s="24"/>
      <c r="D87" s="9"/>
    </row>
    <row r="88" ht="15.75" customHeight="1">
      <c r="D88" s="9"/>
      <c r="E88" s="9"/>
    </row>
    <row r="89" ht="15.75" customHeight="1">
      <c r="B89" s="3" t="s">
        <v>80</v>
      </c>
      <c r="C89" s="62"/>
      <c r="D89" s="33" t="s">
        <v>46</v>
      </c>
      <c r="E89" s="33" t="s">
        <v>47</v>
      </c>
    </row>
    <row r="90" ht="15.75" customHeight="1">
      <c r="B90" s="16" t="s">
        <v>65</v>
      </c>
      <c r="C90" s="4" t="s">
        <v>15</v>
      </c>
      <c r="D90" s="17" t="s">
        <v>66</v>
      </c>
      <c r="E90" s="17" t="s">
        <v>66</v>
      </c>
    </row>
    <row r="91" ht="15.75" customHeight="1">
      <c r="B91" s="5" t="s">
        <v>81</v>
      </c>
      <c r="C91" s="21" t="s">
        <v>24</v>
      </c>
      <c r="D91" s="50">
        <f t="shared" ref="D91:E91" si="15">D69</f>
        <v>0</v>
      </c>
      <c r="E91" s="50">
        <f t="shared" si="15"/>
        <v>0</v>
      </c>
    </row>
    <row r="92" ht="15.75" customHeight="1">
      <c r="B92" s="5" t="s">
        <v>38</v>
      </c>
      <c r="C92" s="21" t="s">
        <v>24</v>
      </c>
      <c r="D92" s="50">
        <f>MAX('New Postion'!usdcCollateral+D91,0)</f>
        <v>50000000</v>
      </c>
      <c r="E92" s="50">
        <f>MAX('New Postion'!usdcCollateral+E91,0)</f>
        <v>50000000</v>
      </c>
    </row>
    <row r="93" ht="15.75" customHeight="1">
      <c r="B93" s="5" t="s">
        <v>82</v>
      </c>
      <c r="C93" s="21" t="s">
        <v>24</v>
      </c>
      <c r="D93" s="50">
        <f>-MIN('New Postion'!usdcCollateral+D91,0)</f>
        <v>0</v>
      </c>
      <c r="E93" s="50">
        <f>-MIN('New Postion'!usdcCollateral+E91,0)</f>
        <v>0</v>
      </c>
    </row>
    <row r="94" ht="15.75" customHeight="1">
      <c r="B94" s="5" t="s">
        <v>42</v>
      </c>
      <c r="C94" s="21" t="s">
        <v>24</v>
      </c>
      <c r="D94" s="50">
        <f>D92*'New Postion'!LTVusdc</f>
        <v>42500000</v>
      </c>
      <c r="E94" s="50">
        <f>E92*'New Postion'!LTVusdc</f>
        <v>42500000</v>
      </c>
    </row>
    <row r="95" ht="15.75" customHeight="1">
      <c r="B95" s="5" t="s">
        <v>43</v>
      </c>
      <c r="C95" s="21" t="s">
        <v>24</v>
      </c>
      <c r="D95" s="50">
        <f>D48</f>
        <v>750000000</v>
      </c>
      <c r="E95" s="50">
        <f t="shared" ref="E95:E96" si="16">D95</f>
        <v>750000000</v>
      </c>
    </row>
    <row r="96" ht="15.75" customHeight="1">
      <c r="B96" s="5" t="s">
        <v>83</v>
      </c>
      <c r="C96" s="21" t="s">
        <v>24</v>
      </c>
      <c r="D96" s="50">
        <f>D39</f>
        <v>2000000</v>
      </c>
      <c r="E96" s="50">
        <f t="shared" si="16"/>
        <v>2000000</v>
      </c>
    </row>
    <row r="97" ht="15.75" customHeight="1">
      <c r="B97" s="18" t="s">
        <v>57</v>
      </c>
      <c r="C97" s="19" t="s">
        <v>24</v>
      </c>
      <c r="D97" s="63">
        <f>D54*D56</f>
        <v>0</v>
      </c>
      <c r="E97" s="63">
        <f>ABS(E54)*E56</f>
        <v>0</v>
      </c>
    </row>
    <row r="98" ht="15.75" customHeight="1">
      <c r="B98" s="5" t="s">
        <v>84</v>
      </c>
      <c r="C98" s="21" t="s">
        <v>24</v>
      </c>
      <c r="D98" s="64">
        <f t="shared" ref="D98:E98" si="17">D97</f>
        <v>0</v>
      </c>
      <c r="E98" s="64">
        <f t="shared" si="17"/>
        <v>0</v>
      </c>
    </row>
    <row r="99" ht="15.75" customHeight="1">
      <c r="B99" s="65" t="s">
        <v>59</v>
      </c>
      <c r="C99" s="66" t="s">
        <v>24</v>
      </c>
      <c r="D99" s="67">
        <f>D98*('New Postion'!LTVperp-'New Postion'!closingFee)</f>
        <v>0</v>
      </c>
      <c r="E99" s="67">
        <f>E98*(2-'New Postion'!LTVperp+'New Postion'!closingFee)</f>
        <v>0</v>
      </c>
    </row>
    <row r="100" ht="15.75" customHeight="1">
      <c r="B100" s="5" t="s">
        <v>71</v>
      </c>
      <c r="C100" s="21" t="s">
        <v>24</v>
      </c>
      <c r="D100" s="64">
        <f>D94+D95+D99</f>
        <v>792500000</v>
      </c>
      <c r="E100" s="64">
        <f>E94+E95+E97</f>
        <v>792500000</v>
      </c>
    </row>
    <row r="101" ht="15.75" customHeight="1">
      <c r="B101" s="5" t="s">
        <v>72</v>
      </c>
      <c r="C101" s="21" t="s">
        <v>24</v>
      </c>
      <c r="D101" s="64">
        <f>D93+D96+D97</f>
        <v>2000000</v>
      </c>
      <c r="E101" s="64">
        <f>E93+E96+E99</f>
        <v>2000000</v>
      </c>
    </row>
    <row r="102" ht="15.75" customHeight="1">
      <c r="B102" s="42" t="s">
        <v>73</v>
      </c>
      <c r="C102" s="38" t="s">
        <v>74</v>
      </c>
      <c r="D102" s="68">
        <f t="shared" ref="D102:E102" si="18">D100/D101</f>
        <v>396.25</v>
      </c>
      <c r="E102" s="68">
        <f t="shared" si="18"/>
        <v>396.25</v>
      </c>
    </row>
    <row r="103" ht="15.75" customHeight="1">
      <c r="B103" s="69" t="s">
        <v>43</v>
      </c>
      <c r="C103" s="70" t="s">
        <v>24</v>
      </c>
      <c r="D103" s="71">
        <f t="shared" ref="D103:E103" si="19">D95+D94</f>
        <v>792500000</v>
      </c>
      <c r="E103" s="72">
        <f t="shared" si="19"/>
        <v>792500000</v>
      </c>
    </row>
    <row r="104" ht="15.75" customHeight="1">
      <c r="B104" s="73" t="s">
        <v>83</v>
      </c>
      <c r="C104" s="74" t="s">
        <v>24</v>
      </c>
      <c r="D104" s="75">
        <f t="shared" ref="D104:E104" si="20">D96+D93</f>
        <v>2000000</v>
      </c>
      <c r="E104" s="76">
        <f t="shared" si="20"/>
        <v>2000000</v>
      </c>
    </row>
    <row r="105" ht="15.75" customHeight="1"/>
    <row r="106" ht="15.75" customHeight="1">
      <c r="B106" s="3" t="s">
        <v>85</v>
      </c>
    </row>
    <row r="107" ht="15.75" customHeight="1">
      <c r="B107" s="77" t="s">
        <v>65</v>
      </c>
      <c r="C107" s="78" t="s">
        <v>15</v>
      </c>
      <c r="D107" s="77" t="s">
        <v>46</v>
      </c>
      <c r="E107" s="78" t="s">
        <v>47</v>
      </c>
    </row>
    <row r="108" ht="15.75" customHeight="1">
      <c r="B108" s="5" t="s">
        <v>86</v>
      </c>
      <c r="C108" s="21" t="s">
        <v>24</v>
      </c>
      <c r="D108" s="79">
        <f>MAX('New Postion'!netUPnLLong+'New Postion'!usdcCollateral,0)</f>
        <v>50000000</v>
      </c>
      <c r="E108" s="54">
        <f>MAX('New Postion'!netUPnLShort+'New Postion'!usdcCollateral,0)</f>
        <v>50000000</v>
      </c>
      <c r="F108" s="80"/>
    </row>
    <row r="109" ht="15.75" customHeight="1">
      <c r="B109" s="5" t="s">
        <v>87</v>
      </c>
      <c r="C109" s="21" t="s">
        <v>24</v>
      </c>
      <c r="D109" s="82">
        <f>-MIN('New Postion'!netUPnLLong+'New Postion'!usdcCollateral,0)</f>
        <v>0</v>
      </c>
      <c r="E109" s="51">
        <f>-MIN('New Postion'!netUPnLShort+'New Postion'!usdcCollateral,0)</f>
        <v>0</v>
      </c>
      <c r="F109" s="81"/>
      <c r="I109" s="45"/>
    </row>
    <row r="110" ht="15.75" customHeight="1">
      <c r="B110" s="5" t="s">
        <v>88</v>
      </c>
      <c r="C110" s="21" t="s">
        <v>24</v>
      </c>
      <c r="D110" s="82">
        <f>D108*'New Postion'!LTVusdc-D109</f>
        <v>42500000</v>
      </c>
      <c r="E110" s="51">
        <f>E108*'New Postion'!LTVusdc-E109</f>
        <v>42500000</v>
      </c>
      <c r="F110" s="45"/>
      <c r="H110" s="45"/>
      <c r="I110" s="45"/>
    </row>
    <row r="111" ht="15.75" customHeight="1">
      <c r="B111" s="5" t="s">
        <v>89</v>
      </c>
      <c r="C111" s="21" t="s">
        <v>74</v>
      </c>
      <c r="D111" s="83">
        <f>'New Postion'!LTVperp-'New Postion'!closingFee-'New Postion'!openingFee-1</f>
        <v>-0.2696666667</v>
      </c>
      <c r="E111" s="51">
        <f>'New Postion'!LTVperp-'New Postion'!closingFee-'New Postion'!openingFee-1</f>
        <v>-0.2696666667</v>
      </c>
      <c r="F111" s="45"/>
      <c r="H111" s="45"/>
      <c r="I111" s="45"/>
    </row>
    <row r="112" ht="15.75" customHeight="1">
      <c r="B112" s="5" t="s">
        <v>90</v>
      </c>
      <c r="C112" s="21" t="s">
        <v>91</v>
      </c>
      <c r="D112" s="84">
        <f>'New Postion'!priceOracle*ABS(D54)*'New Postion'!openingFee*(1+'New Postion'!skew/'New Postion'!skewScale-D54/2/'New Postion'!skewScale)</f>
        <v>0</v>
      </c>
      <c r="E112" s="53">
        <f>'New Postion'!priceOracle*ABS(E54)*'New Postion'!openingFee*(1+'New Postion'!skew/'New Postion'!skewScale-E54/2/'New Postion'!skewScale)</f>
        <v>0</v>
      </c>
      <c r="H112" s="45"/>
      <c r="I112" s="45"/>
    </row>
    <row r="113" ht="15.75" customHeight="1">
      <c r="B113" s="5" t="s">
        <v>92</v>
      </c>
      <c r="C113" s="21" t="s">
        <v>91</v>
      </c>
      <c r="D113" s="85">
        <f>'New Postion'!priceOracle/2/'New Postion'!skewScale*D111</f>
        <v>0</v>
      </c>
      <c r="E113" s="86">
        <f>-'New Postion'!priceOracle/2/'New Postion'!skewScale*('New Postion'!LTVperp-'New Postion'!openingFee-'New Postion'!closingFee-1)</f>
        <v>0</v>
      </c>
      <c r="H113" s="45"/>
      <c r="I113" s="45"/>
    </row>
    <row r="114" ht="15.75" customHeight="1">
      <c r="B114" s="5" t="s">
        <v>93</v>
      </c>
      <c r="C114" s="21" t="s">
        <v>91</v>
      </c>
      <c r="D114" s="119">
        <f>'New Postion'!priceOracle*D111*(1+'New Postion'!skew/'New Postion'!skewScale-D54/'New Postion'!skewScale)</f>
        <v>-539.3331176</v>
      </c>
      <c r="E114" s="49">
        <f>'New Postion'!priceOracle*E111*(1+'New Postion'!skew/'New Postion'!skewScale-E54/'New Postion'!skewScale)</f>
        <v>-539.3331176</v>
      </c>
      <c r="F114" s="45"/>
      <c r="H114" s="45"/>
      <c r="I114" s="45"/>
    </row>
    <row r="115" ht="15.75" customHeight="1">
      <c r="B115" s="5" t="s">
        <v>94</v>
      </c>
      <c r="C115" s="21" t="s">
        <v>91</v>
      </c>
      <c r="D115" s="87">
        <f>D48-'New Postion'!debt+D110+D112</f>
        <v>790500000</v>
      </c>
      <c r="E115" s="51">
        <f>D48-'New Postion'!debt+E110+E112</f>
        <v>790500000</v>
      </c>
      <c r="F115" s="45"/>
      <c r="G115" s="45"/>
      <c r="H115" s="45"/>
    </row>
    <row r="116" ht="15.75" customHeight="1">
      <c r="B116" s="5" t="s">
        <v>95</v>
      </c>
      <c r="C116" s="21" t="s">
        <v>91</v>
      </c>
      <c r="D116" s="79">
        <f t="shared" ref="D116:E116" si="21">D114^2-4*D113*D115</f>
        <v>290880.2126</v>
      </c>
      <c r="E116" s="88">
        <f t="shared" si="21"/>
        <v>290880.2109</v>
      </c>
      <c r="F116" s="45"/>
      <c r="G116" s="45"/>
    </row>
    <row r="117" ht="15.75" customHeight="1">
      <c r="B117" s="42" t="s">
        <v>96</v>
      </c>
      <c r="C117" s="38" t="s">
        <v>21</v>
      </c>
      <c r="D117" s="89">
        <f>(-D114-SQRT(D116))/2/D113</f>
        <v>1465698.913</v>
      </c>
      <c r="E117" s="90">
        <f>-(-E114-SQRT(E116))/2/E113</f>
        <v>-1465699.124</v>
      </c>
      <c r="F117" s="91"/>
    </row>
    <row r="118" ht="15.75" customHeight="1">
      <c r="I118" s="92"/>
    </row>
    <row r="119" ht="15.75" customHeight="1">
      <c r="A119" s="45"/>
      <c r="C119" s="45"/>
      <c r="D119" s="45"/>
      <c r="E119" s="45"/>
      <c r="F119" s="45"/>
      <c r="G119" s="45"/>
      <c r="H119" s="45"/>
    </row>
    <row r="120" ht="15.75" customHeight="1">
      <c r="A120" s="45"/>
      <c r="B120" s="3" t="s">
        <v>97</v>
      </c>
      <c r="D120" s="3" t="s">
        <v>46</v>
      </c>
      <c r="E120" s="3" t="s">
        <v>47</v>
      </c>
    </row>
    <row r="121" ht="15.75" customHeight="1">
      <c r="A121" s="45"/>
      <c r="B121" s="77" t="s">
        <v>65</v>
      </c>
      <c r="C121" s="78" t="s">
        <v>15</v>
      </c>
      <c r="D121" s="77" t="s">
        <v>4</v>
      </c>
      <c r="E121" s="78" t="s">
        <v>4</v>
      </c>
    </row>
    <row r="122" ht="15.75" customHeight="1">
      <c r="B122" s="18" t="s">
        <v>98</v>
      </c>
      <c r="C122" s="19" t="s">
        <v>21</v>
      </c>
      <c r="D122" s="93">
        <f t="shared" ref="D122:E122" si="22">D117</f>
        <v>1465698.913</v>
      </c>
      <c r="E122" s="60">
        <f t="shared" si="22"/>
        <v>-1465699.124</v>
      </c>
    </row>
    <row r="123" ht="15.75" customHeight="1">
      <c r="B123" s="5" t="s">
        <v>99</v>
      </c>
      <c r="C123" s="21" t="s">
        <v>21</v>
      </c>
      <c r="D123" s="94">
        <f t="shared" ref="D123:E123" si="23">D122-D54</f>
        <v>1465698.913</v>
      </c>
      <c r="E123" s="50">
        <f t="shared" si="23"/>
        <v>-1465699.124</v>
      </c>
    </row>
    <row r="124" ht="15.75" customHeight="1">
      <c r="B124" s="5" t="s">
        <v>100</v>
      </c>
      <c r="C124" s="21" t="s">
        <v>18</v>
      </c>
      <c r="D124" s="95">
        <f>1+('New Postion'!skew+D123-D122/2)/'New Postion'!skewScale</f>
        <v>0.9999996007</v>
      </c>
      <c r="E124" s="96">
        <f>1+('New Postion'!skew+E123-E122/2)/'New Postion'!skewScale</f>
        <v>0.9999995993</v>
      </c>
    </row>
    <row r="125" ht="15.75" customHeight="1">
      <c r="B125" s="5" t="s">
        <v>101</v>
      </c>
      <c r="C125" s="21" t="s">
        <v>18</v>
      </c>
      <c r="D125" s="95">
        <f>1+('New Postion'!skew+D123/2)/'New Postion'!skewScale</f>
        <v>0.9999996007</v>
      </c>
      <c r="E125" s="97">
        <f>1+('New Postion'!skew+E123/2)/'New Postion'!skewScale</f>
        <v>0.9999995993</v>
      </c>
    </row>
    <row r="126" ht="15.75" customHeight="1">
      <c r="B126" s="5" t="s">
        <v>102</v>
      </c>
      <c r="C126" s="21" t="s">
        <v>24</v>
      </c>
      <c r="D126" s="94">
        <f>'New Postion'!priceOracle*D125</f>
        <v>1999.999201</v>
      </c>
      <c r="E126" s="50">
        <f>'New Postion'!priceOracle*E125</f>
        <v>1999.999199</v>
      </c>
    </row>
    <row r="127" ht="15.75" customHeight="1">
      <c r="B127" s="5" t="s">
        <v>103</v>
      </c>
      <c r="C127" s="21" t="s">
        <v>24</v>
      </c>
      <c r="D127" s="94">
        <f>'New Postion'!priceOracle*D124</f>
        <v>1999.999201</v>
      </c>
      <c r="E127" s="50">
        <f>'New Postion'!priceOracle*E124</f>
        <v>1999.999199</v>
      </c>
    </row>
    <row r="128" ht="15.75" customHeight="1">
      <c r="B128" s="5"/>
      <c r="C128" s="21"/>
      <c r="D128" s="5"/>
      <c r="E128" s="21"/>
    </row>
    <row r="129" ht="15.75" customHeight="1">
      <c r="B129" s="5" t="s">
        <v>57</v>
      </c>
      <c r="C129" s="21" t="s">
        <v>24</v>
      </c>
      <c r="D129" s="50">
        <f t="shared" ref="D129:E129" si="24">ABS(D122)*D127</f>
        <v>2931396655</v>
      </c>
      <c r="E129" s="50">
        <f t="shared" si="24"/>
        <v>2931397073</v>
      </c>
    </row>
    <row r="130" ht="15.75" customHeight="1">
      <c r="B130" s="5" t="s">
        <v>84</v>
      </c>
      <c r="C130" s="21" t="s">
        <v>24</v>
      </c>
      <c r="D130" s="50">
        <f t="shared" ref="D130:E130" si="25">ABS(D122)*D127</f>
        <v>2931396655</v>
      </c>
      <c r="E130" s="50">
        <f t="shared" si="25"/>
        <v>2931397073</v>
      </c>
    </row>
    <row r="131" ht="15.75" customHeight="1">
      <c r="B131" s="5"/>
      <c r="C131" s="21"/>
      <c r="D131" s="5"/>
      <c r="E131" s="21"/>
    </row>
    <row r="132" ht="15.75" customHeight="1">
      <c r="B132" s="5" t="s">
        <v>17</v>
      </c>
      <c r="C132" s="21" t="s">
        <v>24</v>
      </c>
      <c r="D132" s="50">
        <f>ABS(D123)*'New Postion'!openingFee*D126</f>
        <v>586279331.1</v>
      </c>
      <c r="E132" s="50">
        <f>ABS(E123)*'New Postion'!openingFee*E126</f>
        <v>586279414.5</v>
      </c>
      <c r="F132" s="98" t="s">
        <v>104</v>
      </c>
    </row>
    <row r="133" ht="15.75" customHeight="1">
      <c r="B133" s="5" t="s">
        <v>19</v>
      </c>
      <c r="C133" s="21" t="s">
        <v>24</v>
      </c>
      <c r="D133" s="94">
        <f>D130*D14</f>
        <v>8794189.966</v>
      </c>
      <c r="E133" s="50">
        <f>E130*'New Postion'!closingFee</f>
        <v>8794191.218</v>
      </c>
    </row>
    <row r="134" ht="15.75" customHeight="1">
      <c r="B134" s="5"/>
      <c r="C134" s="21"/>
      <c r="D134" s="94"/>
      <c r="E134" s="50"/>
    </row>
    <row r="135" ht="15.75" customHeight="1">
      <c r="B135" s="5" t="s">
        <v>61</v>
      </c>
      <c r="C135" s="21" t="s">
        <v>24</v>
      </c>
      <c r="D135" s="94">
        <f>D130*('New Postion'!LTVperp-'New Postion'!closingFee)</f>
        <v>2727176022</v>
      </c>
      <c r="E135" s="50">
        <f>E129</f>
        <v>2931397073</v>
      </c>
    </row>
    <row r="136" ht="15.75" customHeight="1">
      <c r="B136" s="5" t="s">
        <v>62</v>
      </c>
      <c r="C136" s="21" t="s">
        <v>24</v>
      </c>
      <c r="D136" s="94">
        <f>D129+D132</f>
        <v>3517675986</v>
      </c>
      <c r="E136" s="50">
        <f>E130*(2-'New Postion'!LTVperp+'New Postion'!closingFee)+E132</f>
        <v>3721897150</v>
      </c>
      <c r="I136" s="25"/>
    </row>
    <row r="137" ht="15.75" customHeight="1">
      <c r="B137" s="5"/>
      <c r="C137" s="21"/>
      <c r="D137" s="5"/>
      <c r="E137" s="21"/>
      <c r="I137" s="25"/>
    </row>
    <row r="138" ht="15.75" customHeight="1">
      <c r="B138" s="99" t="s">
        <v>105</v>
      </c>
      <c r="C138" s="21"/>
      <c r="D138" s="5"/>
      <c r="E138" s="21"/>
      <c r="I138" s="45"/>
    </row>
    <row r="139" ht="15.75" customHeight="1">
      <c r="B139" s="5" t="s">
        <v>71</v>
      </c>
      <c r="C139" s="21" t="s">
        <v>24</v>
      </c>
      <c r="D139" s="94">
        <f t="shared" ref="D139:E139" si="26">D103+D135</f>
        <v>3519676022</v>
      </c>
      <c r="E139" s="50">
        <f t="shared" si="26"/>
        <v>3723897073</v>
      </c>
    </row>
    <row r="140" ht="15.75" customHeight="1">
      <c r="B140" s="5" t="s">
        <v>72</v>
      </c>
      <c r="C140" s="21" t="s">
        <v>24</v>
      </c>
      <c r="D140" s="94">
        <f t="shared" ref="D140:E140" si="27">D104+D136</f>
        <v>3519675986</v>
      </c>
      <c r="E140" s="50">
        <f t="shared" si="27"/>
        <v>3723897150</v>
      </c>
      <c r="I140" s="45"/>
    </row>
    <row r="141" ht="15.75" customHeight="1">
      <c r="B141" s="5" t="s">
        <v>73</v>
      </c>
      <c r="C141" s="21"/>
      <c r="D141" s="100">
        <f t="shared" ref="D141:E141" si="28">D139/D140</f>
        <v>1.00000001</v>
      </c>
      <c r="E141" s="101">
        <f t="shared" si="28"/>
        <v>0.9999999793</v>
      </c>
      <c r="I141" s="9"/>
    </row>
    <row r="142" ht="15.75" customHeight="1">
      <c r="B142" s="5"/>
      <c r="C142" s="21"/>
      <c r="D142" s="102"/>
      <c r="E142" s="103"/>
      <c r="I142" s="9"/>
    </row>
    <row r="143" ht="15.75" customHeight="1">
      <c r="B143" s="99" t="s">
        <v>106</v>
      </c>
      <c r="C143" s="21"/>
      <c r="D143" s="5"/>
      <c r="E143" s="21"/>
    </row>
    <row r="144" ht="15.75" customHeight="1">
      <c r="B144" s="5" t="s">
        <v>57</v>
      </c>
      <c r="C144" s="21" t="s">
        <v>24</v>
      </c>
      <c r="D144" s="94">
        <f t="shared" ref="D144:E144" si="29">D129</f>
        <v>2931396655</v>
      </c>
      <c r="E144" s="50">
        <f t="shared" si="29"/>
        <v>2931397073</v>
      </c>
    </row>
    <row r="145" ht="15.75" customHeight="1">
      <c r="B145" s="5" t="s">
        <v>78</v>
      </c>
      <c r="C145" s="21" t="s">
        <v>24</v>
      </c>
      <c r="D145" s="94">
        <f>$D$85-D132-D133</f>
        <v>452926479</v>
      </c>
      <c r="E145" s="50">
        <f>$E$85-E132-E133</f>
        <v>452926394.3</v>
      </c>
    </row>
    <row r="146" ht="15.75" customHeight="1">
      <c r="B146" s="73" t="s">
        <v>107</v>
      </c>
      <c r="C146" s="74"/>
      <c r="D146" s="104">
        <f t="shared" ref="D146:E146" si="30">D144/D145</f>
        <v>6.472124708</v>
      </c>
      <c r="E146" s="105">
        <f t="shared" si="30"/>
        <v>6.47212684</v>
      </c>
    </row>
    <row r="147" ht="15.75" customHeight="1">
      <c r="D147" s="91"/>
      <c r="G147" s="91"/>
      <c r="H147" s="91"/>
      <c r="I147" s="9"/>
    </row>
    <row r="148" ht="15.75" customHeight="1">
      <c r="I148" s="9"/>
    </row>
    <row r="149" ht="15.75" customHeight="1"/>
    <row r="150" ht="15.75" customHeight="1"/>
    <row r="151" ht="15.75" customHeight="1">
      <c r="B151" s="28" t="s">
        <v>108</v>
      </c>
      <c r="C151" s="62"/>
      <c r="D151" s="106"/>
      <c r="E151" s="107"/>
    </row>
    <row r="152" ht="15.75" customHeight="1"/>
    <row r="153" ht="15.75" customHeight="1">
      <c r="B153" s="3" t="s">
        <v>109</v>
      </c>
      <c r="D153" s="3" t="s">
        <v>46</v>
      </c>
      <c r="E153" s="3" t="s">
        <v>47</v>
      </c>
    </row>
    <row r="154" ht="15.75" customHeight="1">
      <c r="B154" s="77" t="s">
        <v>65</v>
      </c>
      <c r="C154" s="78" t="s">
        <v>15</v>
      </c>
      <c r="D154" s="17" t="s">
        <v>66</v>
      </c>
      <c r="E154" s="4" t="s">
        <v>66</v>
      </c>
    </row>
    <row r="155" ht="15.75" customHeight="1">
      <c r="B155" s="5" t="s">
        <v>110</v>
      </c>
      <c r="C155" s="21" t="s">
        <v>21</v>
      </c>
      <c r="D155" s="108">
        <v>1.0E8</v>
      </c>
      <c r="E155" s="109">
        <f t="shared" ref="E155:E161" si="31">D155</f>
        <v>100000000</v>
      </c>
    </row>
    <row r="156" ht="15.75" customHeight="1">
      <c r="B156" s="5" t="s">
        <v>111</v>
      </c>
      <c r="C156" s="21" t="s">
        <v>21</v>
      </c>
      <c r="D156" s="108">
        <v>5.0E8</v>
      </c>
      <c r="E156" s="48">
        <f t="shared" si="31"/>
        <v>500000000</v>
      </c>
    </row>
    <row r="157" ht="15.75" customHeight="1">
      <c r="B157" s="5" t="s">
        <v>112</v>
      </c>
      <c r="C157" s="21" t="s">
        <v>21</v>
      </c>
      <c r="D157" s="108">
        <v>3.5E10</v>
      </c>
      <c r="E157" s="48">
        <f t="shared" si="31"/>
        <v>35000000000</v>
      </c>
    </row>
    <row r="158" ht="15.75" customHeight="1">
      <c r="B158" s="5" t="s">
        <v>113</v>
      </c>
      <c r="C158" s="21" t="s">
        <v>21</v>
      </c>
      <c r="D158" s="108">
        <v>3.5E10</v>
      </c>
      <c r="E158" s="48">
        <f t="shared" si="31"/>
        <v>35000000000</v>
      </c>
    </row>
    <row r="159" ht="15.75" customHeight="1">
      <c r="B159" s="5" t="s">
        <v>114</v>
      </c>
      <c r="C159" s="21" t="s">
        <v>21</v>
      </c>
      <c r="D159" s="108">
        <v>7.0E10</v>
      </c>
      <c r="E159" s="48">
        <f t="shared" si="31"/>
        <v>70000000000</v>
      </c>
    </row>
    <row r="160" ht="15.75" customHeight="1">
      <c r="B160" s="5" t="s">
        <v>115</v>
      </c>
      <c r="C160" s="21" t="s">
        <v>21</v>
      </c>
      <c r="D160" s="108">
        <v>7.0E10</v>
      </c>
      <c r="E160" s="48">
        <f t="shared" si="31"/>
        <v>70000000000</v>
      </c>
    </row>
    <row r="161" ht="15.75" customHeight="1">
      <c r="B161" s="11" t="s">
        <v>20</v>
      </c>
      <c r="C161" s="22" t="s">
        <v>21</v>
      </c>
      <c r="D161" s="110">
        <f>D15</f>
        <v>1E+15</v>
      </c>
      <c r="E161" s="111">
        <f t="shared" si="31"/>
        <v>1E+15</v>
      </c>
    </row>
    <row r="162" ht="15.75" customHeight="1">
      <c r="B162" s="18" t="s">
        <v>116</v>
      </c>
      <c r="C162" s="19" t="s">
        <v>21</v>
      </c>
      <c r="D162" s="112">
        <f t="shared" ref="D162:E162" si="32">D159-D155</f>
        <v>69900000000</v>
      </c>
      <c r="E162" s="54">
        <f t="shared" si="32"/>
        <v>69900000000</v>
      </c>
    </row>
    <row r="163" ht="15.75" customHeight="1">
      <c r="B163" s="5" t="s">
        <v>117</v>
      </c>
      <c r="C163" s="21" t="s">
        <v>21</v>
      </c>
      <c r="D163" s="79">
        <f t="shared" ref="D163:E163" si="33">D160-D156</f>
        <v>69500000000</v>
      </c>
      <c r="E163" s="51">
        <f t="shared" si="33"/>
        <v>69500000000</v>
      </c>
    </row>
    <row r="164" ht="15.75" customHeight="1">
      <c r="B164" s="5" t="s">
        <v>118</v>
      </c>
      <c r="C164" s="21" t="s">
        <v>21</v>
      </c>
      <c r="D164" s="79">
        <f t="shared" ref="D164:E164" si="34">D157-D20</f>
        <v>35400000000</v>
      </c>
      <c r="E164" s="51">
        <f t="shared" si="34"/>
        <v>35000000000</v>
      </c>
    </row>
    <row r="165" ht="15.75" customHeight="1">
      <c r="B165" s="11" t="s">
        <v>119</v>
      </c>
      <c r="C165" s="22" t="s">
        <v>21</v>
      </c>
      <c r="D165" s="113">
        <f t="shared" ref="D165:E165" si="35">D158+D20</f>
        <v>34600000000</v>
      </c>
      <c r="E165" s="55">
        <f t="shared" si="35"/>
        <v>35000000000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29"/>
    <col customWidth="1" min="3" max="3" width="7.86"/>
    <col customWidth="1" min="4" max="8" width="17.86"/>
    <col customWidth="1" min="9" max="9" width="19.57"/>
  </cols>
  <sheetData>
    <row r="1">
      <c r="B1" s="1" t="s">
        <v>0</v>
      </c>
    </row>
    <row r="2">
      <c r="B2" s="2" t="s">
        <v>1</v>
      </c>
    </row>
    <row r="4">
      <c r="B4" s="3" t="s">
        <v>2</v>
      </c>
    </row>
    <row r="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>
      <c r="B6" s="5" t="s">
        <v>9</v>
      </c>
      <c r="C6" s="6">
        <v>0.8</v>
      </c>
      <c r="D6" s="7">
        <v>0.82</v>
      </c>
      <c r="E6" s="9">
        <f>(1-1/G6)</f>
        <v>0.9333333333</v>
      </c>
      <c r="F6" s="9">
        <f>E6+0.02</f>
        <v>0.9533333333</v>
      </c>
      <c r="G6" s="10">
        <v>15.0</v>
      </c>
    </row>
    <row r="7">
      <c r="B7" s="5" t="s">
        <v>10</v>
      </c>
      <c r="C7" s="6">
        <v>0.75</v>
      </c>
      <c r="D7" s="7">
        <v>0.77</v>
      </c>
      <c r="G7" s="10"/>
    </row>
    <row r="8">
      <c r="B8" s="5" t="s">
        <v>11</v>
      </c>
      <c r="C8" s="6">
        <v>0.85</v>
      </c>
      <c r="D8" s="7">
        <v>0.87</v>
      </c>
      <c r="G8" s="10"/>
    </row>
    <row r="9">
      <c r="B9" s="11" t="s">
        <v>12</v>
      </c>
      <c r="C9" s="12">
        <v>0.75</v>
      </c>
      <c r="D9" s="13">
        <v>0.77</v>
      </c>
      <c r="E9" s="14"/>
      <c r="F9" s="14"/>
      <c r="G9" s="15"/>
    </row>
    <row r="11">
      <c r="B11" s="3" t="s">
        <v>13</v>
      </c>
    </row>
    <row r="12">
      <c r="B12" s="16" t="s">
        <v>14</v>
      </c>
      <c r="C12" s="4" t="s">
        <v>15</v>
      </c>
      <c r="D12" s="17" t="s">
        <v>16</v>
      </c>
    </row>
    <row r="13">
      <c r="B13" s="18" t="s">
        <v>17</v>
      </c>
      <c r="C13" s="19" t="s">
        <v>18</v>
      </c>
      <c r="D13" s="120">
        <v>0.2</v>
      </c>
    </row>
    <row r="14">
      <c r="B14" s="5" t="s">
        <v>19</v>
      </c>
      <c r="C14" s="21" t="s">
        <v>18</v>
      </c>
      <c r="D14" s="121">
        <v>0.003</v>
      </c>
    </row>
    <row r="15">
      <c r="B15" s="11" t="s">
        <v>20</v>
      </c>
      <c r="C15" s="22" t="s">
        <v>21</v>
      </c>
      <c r="D15" s="23">
        <v>1000.0</v>
      </c>
    </row>
    <row r="16">
      <c r="B16" s="24"/>
      <c r="C16" s="24"/>
      <c r="D16" s="25"/>
    </row>
    <row r="17">
      <c r="B17" s="3" t="s">
        <v>22</v>
      </c>
      <c r="C17" s="24"/>
      <c r="D17" s="25"/>
    </row>
    <row r="18">
      <c r="B18" s="16" t="s">
        <v>14</v>
      </c>
      <c r="C18" s="4" t="s">
        <v>15</v>
      </c>
      <c r="D18" s="17" t="s">
        <v>16</v>
      </c>
    </row>
    <row r="19">
      <c r="B19" s="18" t="s">
        <v>23</v>
      </c>
      <c r="C19" s="26" t="s">
        <v>24</v>
      </c>
      <c r="D19" s="27">
        <v>2000.0</v>
      </c>
    </row>
    <row r="20">
      <c r="B20" s="11" t="s">
        <v>25</v>
      </c>
      <c r="C20" s="14" t="s">
        <v>21</v>
      </c>
      <c r="D20" s="23">
        <f>D155-D156</f>
        <v>-400</v>
      </c>
    </row>
    <row r="21" ht="15.75" customHeight="1">
      <c r="B21" s="24"/>
      <c r="C21" s="24"/>
    </row>
    <row r="22" ht="15.75" customHeight="1">
      <c r="B22" s="28" t="s">
        <v>26</v>
      </c>
    </row>
    <row r="23" ht="15.75" customHeight="1">
      <c r="B23" s="28"/>
    </row>
    <row r="24" ht="15.75" customHeight="1">
      <c r="B24" s="3" t="s">
        <v>27</v>
      </c>
    </row>
    <row r="25" ht="15.75" customHeight="1">
      <c r="B25" s="3"/>
    </row>
    <row r="26" ht="15.75" customHeight="1">
      <c r="B26" s="3" t="s">
        <v>28</v>
      </c>
    </row>
    <row r="27" ht="15.75" customHeight="1">
      <c r="B27" s="16" t="s">
        <v>29</v>
      </c>
      <c r="C27" s="4" t="s">
        <v>15</v>
      </c>
      <c r="D27" s="17" t="s">
        <v>16</v>
      </c>
      <c r="E27" s="17" t="s">
        <v>30</v>
      </c>
      <c r="F27" s="29" t="s">
        <v>31</v>
      </c>
    </row>
    <row r="28" ht="15.75" customHeight="1">
      <c r="B28" s="11" t="s">
        <v>11</v>
      </c>
      <c r="C28" s="22" t="s">
        <v>24</v>
      </c>
      <c r="D28" s="30">
        <v>50.0</v>
      </c>
      <c r="E28" s="31">
        <f>VLOOKUP(B28,B6:G9,2,0)</f>
        <v>0.85</v>
      </c>
      <c r="F28" s="32">
        <f>D28*E28</f>
        <v>42.5</v>
      </c>
    </row>
    <row r="29" ht="15.75" customHeight="1">
      <c r="B29" s="24"/>
      <c r="C29" s="24"/>
      <c r="D29" s="25"/>
      <c r="E29" s="25"/>
      <c r="F29" s="33"/>
    </row>
    <row r="30" ht="15.75" customHeight="1">
      <c r="B30" s="3" t="s">
        <v>32</v>
      </c>
    </row>
    <row r="31" ht="15.75" customHeight="1">
      <c r="B31" s="16" t="s">
        <v>33</v>
      </c>
      <c r="C31" s="4" t="s">
        <v>15</v>
      </c>
      <c r="D31" s="17" t="s">
        <v>16</v>
      </c>
      <c r="E31" s="17" t="s">
        <v>30</v>
      </c>
      <c r="F31" s="17" t="s">
        <v>31</v>
      </c>
    </row>
    <row r="32" ht="15.75" customHeight="1">
      <c r="B32" s="11" t="s">
        <v>10</v>
      </c>
      <c r="C32" s="22" t="s">
        <v>24</v>
      </c>
      <c r="D32" s="30">
        <v>1000.0</v>
      </c>
      <c r="E32" s="31">
        <f>VLOOKUP(B32,B7:G10,2,0)</f>
        <v>0.75</v>
      </c>
      <c r="F32" s="31">
        <f>D32*E32</f>
        <v>750</v>
      </c>
    </row>
    <row r="33" ht="15.75" customHeight="1">
      <c r="A33" s="25"/>
      <c r="B33" s="37" t="s">
        <v>34</v>
      </c>
      <c r="C33" s="38" t="s">
        <v>24</v>
      </c>
      <c r="D33" s="39">
        <f>D32</f>
        <v>1000</v>
      </c>
      <c r="E33" s="39"/>
      <c r="F33" s="40">
        <f>F32</f>
        <v>750</v>
      </c>
    </row>
    <row r="34" ht="15.75" customHeight="1">
      <c r="A34" s="25"/>
      <c r="B34" s="25"/>
      <c r="D34" s="33"/>
      <c r="E34" s="25"/>
      <c r="F34" s="33"/>
    </row>
    <row r="35" ht="15.75" customHeight="1">
      <c r="A35" s="25"/>
      <c r="B35" s="3" t="s">
        <v>35</v>
      </c>
      <c r="D35" s="33"/>
      <c r="E35" s="25"/>
      <c r="F35" s="25"/>
    </row>
    <row r="36" ht="15.75" customHeight="1">
      <c r="B36" s="16" t="s">
        <v>29</v>
      </c>
      <c r="C36" s="4" t="s">
        <v>15</v>
      </c>
      <c r="D36" s="17" t="s">
        <v>16</v>
      </c>
      <c r="E36" s="25"/>
      <c r="F36" s="25"/>
      <c r="G36" s="25"/>
      <c r="H36" s="25"/>
    </row>
    <row r="37" ht="15.75" customHeight="1">
      <c r="B37" s="5" t="s">
        <v>11</v>
      </c>
      <c r="C37" s="21" t="s">
        <v>24</v>
      </c>
      <c r="D37" s="41">
        <v>1.0</v>
      </c>
      <c r="E37" s="25"/>
      <c r="F37" s="25"/>
      <c r="G37" s="25"/>
      <c r="H37" s="25"/>
    </row>
    <row r="38" ht="15.75" customHeight="1">
      <c r="B38" s="11" t="s">
        <v>12</v>
      </c>
      <c r="C38" s="22" t="s">
        <v>24</v>
      </c>
      <c r="D38" s="23">
        <v>1.0</v>
      </c>
      <c r="E38" s="25"/>
      <c r="F38" s="25"/>
      <c r="G38" s="25"/>
      <c r="H38" s="25"/>
    </row>
    <row r="39" ht="15.75" customHeight="1">
      <c r="B39" s="42" t="s">
        <v>34</v>
      </c>
      <c r="C39" s="38" t="s">
        <v>24</v>
      </c>
      <c r="D39" s="40">
        <f>SUM(D37:D38)</f>
        <v>2</v>
      </c>
      <c r="E39" s="25"/>
      <c r="F39" s="25"/>
      <c r="G39" s="25"/>
      <c r="H39" s="25"/>
    </row>
    <row r="40" ht="15.75" customHeight="1">
      <c r="B40" s="24"/>
      <c r="C40" s="24"/>
      <c r="D40" s="33"/>
      <c r="E40" s="25"/>
      <c r="F40" s="25"/>
      <c r="G40" s="25"/>
      <c r="H40" s="25"/>
    </row>
    <row r="41" ht="15.75" customHeight="1">
      <c r="B41" s="3" t="s">
        <v>36</v>
      </c>
      <c r="C41" s="24"/>
      <c r="D41" s="33"/>
      <c r="E41" s="25"/>
      <c r="F41" s="25"/>
      <c r="G41" s="25"/>
      <c r="H41" s="25"/>
    </row>
    <row r="42" ht="15.75" customHeight="1">
      <c r="B42" s="16" t="s">
        <v>37</v>
      </c>
      <c r="C42" s="4" t="s">
        <v>15</v>
      </c>
      <c r="D42" s="29" t="s">
        <v>16</v>
      </c>
      <c r="E42" s="25"/>
      <c r="F42" s="25"/>
      <c r="G42" s="25"/>
      <c r="H42" s="25"/>
      <c r="I42" s="25"/>
    </row>
    <row r="43" ht="15.75" customHeight="1">
      <c r="B43" s="5" t="s">
        <v>38</v>
      </c>
      <c r="C43" s="21" t="s">
        <v>24</v>
      </c>
      <c r="D43" s="43">
        <f>D28</f>
        <v>50</v>
      </c>
      <c r="E43" s="25"/>
      <c r="F43" s="25"/>
      <c r="G43" s="25"/>
      <c r="H43" s="25"/>
      <c r="I43" s="25"/>
    </row>
    <row r="44" ht="15.75" customHeight="1">
      <c r="B44" s="5" t="s">
        <v>39</v>
      </c>
      <c r="C44" s="21" t="s">
        <v>24</v>
      </c>
      <c r="D44" s="43">
        <f>D33</f>
        <v>1000</v>
      </c>
      <c r="E44" s="25"/>
      <c r="F44" s="25"/>
      <c r="G44" s="25"/>
      <c r="H44" s="25"/>
    </row>
    <row r="45" ht="15.75" customHeight="1">
      <c r="B45" s="5" t="s">
        <v>40</v>
      </c>
      <c r="C45" s="21" t="s">
        <v>24</v>
      </c>
      <c r="D45" s="43">
        <f>D44+D43</f>
        <v>1050</v>
      </c>
      <c r="E45" s="25"/>
      <c r="F45" s="25"/>
      <c r="G45" s="25"/>
      <c r="H45" s="25"/>
      <c r="I45" s="25"/>
    </row>
    <row r="46" ht="15.75" customHeight="1">
      <c r="B46" s="5" t="s">
        <v>41</v>
      </c>
      <c r="C46" s="21" t="s">
        <v>24</v>
      </c>
      <c r="D46" s="43">
        <f>debt</f>
        <v>2</v>
      </c>
      <c r="E46" s="25"/>
      <c r="F46" s="25"/>
      <c r="G46" s="25"/>
      <c r="H46" s="25"/>
    </row>
    <row r="47" ht="15.75" customHeight="1">
      <c r="B47" s="5" t="s">
        <v>42</v>
      </c>
      <c r="C47" s="21" t="s">
        <v>24</v>
      </c>
      <c r="D47" s="43">
        <f>F28</f>
        <v>42.5</v>
      </c>
      <c r="E47" s="25"/>
      <c r="F47" s="25"/>
      <c r="G47" s="25"/>
      <c r="H47" s="25"/>
    </row>
    <row r="48" ht="15.75" customHeight="1">
      <c r="B48" s="5" t="s">
        <v>43</v>
      </c>
      <c r="C48" s="21" t="s">
        <v>24</v>
      </c>
      <c r="D48" s="43">
        <f>F33</f>
        <v>750</v>
      </c>
      <c r="E48" s="25"/>
      <c r="F48" s="25"/>
      <c r="G48" s="25"/>
      <c r="H48" s="25"/>
      <c r="I48" s="44"/>
    </row>
    <row r="49" ht="15.75" customHeight="1">
      <c r="B49" s="11" t="s">
        <v>44</v>
      </c>
      <c r="C49" s="22" t="s">
        <v>24</v>
      </c>
      <c r="D49" s="32">
        <f>D48+D47</f>
        <v>792.5</v>
      </c>
      <c r="E49" s="25"/>
      <c r="F49" s="25"/>
      <c r="G49" s="25"/>
      <c r="H49" s="25"/>
      <c r="I49" s="44"/>
    </row>
    <row r="50" ht="15.75" customHeight="1">
      <c r="B50" s="24"/>
      <c r="C50" s="24"/>
      <c r="D50" s="33"/>
      <c r="E50" s="25"/>
      <c r="F50" s="25"/>
      <c r="G50" s="25"/>
      <c r="H50" s="25"/>
      <c r="I50" s="44"/>
    </row>
    <row r="51" ht="15.75" customHeight="1">
      <c r="B51" s="24"/>
      <c r="C51" s="24"/>
      <c r="D51" s="33"/>
      <c r="E51" s="25"/>
      <c r="F51" s="25"/>
      <c r="G51" s="25"/>
      <c r="H51" s="25"/>
    </row>
    <row r="52" ht="15.75" customHeight="1">
      <c r="B52" s="3" t="s">
        <v>45</v>
      </c>
      <c r="C52" s="24"/>
      <c r="D52" s="33" t="s">
        <v>46</v>
      </c>
      <c r="E52" s="33" t="s">
        <v>47</v>
      </c>
      <c r="F52" s="25"/>
      <c r="G52" s="25"/>
      <c r="H52" s="25"/>
      <c r="I52" s="45"/>
    </row>
    <row r="53" ht="15.75" customHeight="1">
      <c r="B53" s="16" t="s">
        <v>37</v>
      </c>
      <c r="C53" s="4" t="s">
        <v>15</v>
      </c>
      <c r="D53" s="4" t="s">
        <v>16</v>
      </c>
      <c r="E53" s="29" t="s">
        <v>16</v>
      </c>
      <c r="F53" s="25"/>
      <c r="G53" s="25"/>
      <c r="H53" s="25"/>
      <c r="I53" s="45"/>
    </row>
    <row r="54" ht="14.25" customHeight="1">
      <c r="B54" s="18" t="s">
        <v>48</v>
      </c>
      <c r="C54" s="19" t="s">
        <v>21</v>
      </c>
      <c r="D54" s="46">
        <v>0.5</v>
      </c>
      <c r="E54" s="46">
        <v>-1.0</v>
      </c>
      <c r="F54" s="25"/>
      <c r="G54" s="25"/>
      <c r="H54" s="25"/>
    </row>
    <row r="55" ht="15.75" customHeight="1">
      <c r="B55" s="5" t="s">
        <v>49</v>
      </c>
      <c r="C55" s="21" t="s">
        <v>24</v>
      </c>
      <c r="D55" s="48">
        <v>1999.0</v>
      </c>
      <c r="E55" s="48">
        <v>1999.0</v>
      </c>
      <c r="F55" s="25"/>
      <c r="G55" s="25"/>
      <c r="H55" s="25"/>
      <c r="I55" s="25"/>
    </row>
    <row r="56" ht="15.75" customHeight="1">
      <c r="B56" s="5" t="s">
        <v>50</v>
      </c>
      <c r="C56" s="21" t="s">
        <v>24</v>
      </c>
      <c r="D56" s="51">
        <f>priceOracle*(1+(skew-D54/2)/skewScale)</f>
        <v>1199.5</v>
      </c>
      <c r="E56" s="50">
        <f>priceOracle*(1+(skew-E54/2)/skewScale)</f>
        <v>1201</v>
      </c>
      <c r="F56" s="25"/>
      <c r="G56" s="25"/>
      <c r="H56" s="25"/>
      <c r="I56" s="25"/>
    </row>
    <row r="57" ht="15.75" customHeight="1">
      <c r="B57" s="5" t="s">
        <v>51</v>
      </c>
      <c r="C57" s="21" t="s">
        <v>24</v>
      </c>
      <c r="D57" s="48">
        <v>100.0</v>
      </c>
      <c r="E57" s="48">
        <f>D57</f>
        <v>100</v>
      </c>
      <c r="F57" s="25"/>
      <c r="G57" s="25"/>
      <c r="H57" s="25"/>
      <c r="I57" s="25"/>
    </row>
    <row r="58" ht="15.75" customHeight="1">
      <c r="B58" s="5" t="s">
        <v>52</v>
      </c>
      <c r="C58" s="21" t="s">
        <v>24</v>
      </c>
      <c r="D58" s="51">
        <f t="shared" ref="D58:E58" si="1">MAX(D57,0)</f>
        <v>100</v>
      </c>
      <c r="E58" s="51">
        <f t="shared" si="1"/>
        <v>100</v>
      </c>
      <c r="F58" s="25"/>
      <c r="G58" s="25"/>
      <c r="H58" s="25"/>
      <c r="I58" s="52"/>
    </row>
    <row r="59" ht="15.75" customHeight="1">
      <c r="B59" s="5" t="s">
        <v>53</v>
      </c>
      <c r="C59" s="21" t="s">
        <v>24</v>
      </c>
      <c r="D59" s="51">
        <f t="shared" ref="D59:E59" si="2">-MIN(D57,0)</f>
        <v>0</v>
      </c>
      <c r="E59" s="51">
        <f t="shared" si="2"/>
        <v>0</v>
      </c>
      <c r="F59" s="25"/>
      <c r="G59" s="25"/>
      <c r="H59" s="25"/>
      <c r="I59" s="52"/>
    </row>
    <row r="60" ht="15.75" customHeight="1">
      <c r="B60" s="5" t="s">
        <v>54</v>
      </c>
      <c r="C60" s="21" t="s">
        <v>24</v>
      </c>
      <c r="D60" s="53">
        <f t="shared" ref="D60:E60" si="3">D54*(D56-D55)</f>
        <v>-399.75</v>
      </c>
      <c r="E60" s="53">
        <f t="shared" si="3"/>
        <v>798</v>
      </c>
      <c r="F60" s="25"/>
      <c r="G60" s="25"/>
      <c r="H60" s="25"/>
      <c r="I60" s="25"/>
    </row>
    <row r="61" ht="15.75" customHeight="1">
      <c r="B61" s="5" t="s">
        <v>55</v>
      </c>
      <c r="C61" s="21" t="s">
        <v>24</v>
      </c>
      <c r="D61" s="51">
        <f t="shared" ref="D61:E61" si="4">MAX(D60,0)</f>
        <v>0</v>
      </c>
      <c r="E61" s="51">
        <f t="shared" si="4"/>
        <v>798</v>
      </c>
      <c r="F61" s="25"/>
      <c r="G61" s="25"/>
      <c r="H61" s="25"/>
      <c r="I61" s="25"/>
    </row>
    <row r="62" ht="15.75" customHeight="1">
      <c r="B62" s="5" t="s">
        <v>56</v>
      </c>
      <c r="C62" s="21" t="s">
        <v>24</v>
      </c>
      <c r="D62" s="51">
        <f t="shared" ref="D62:E62" si="5">-MIN(D60,0)</f>
        <v>399.75</v>
      </c>
      <c r="E62" s="51">
        <f t="shared" si="5"/>
        <v>0</v>
      </c>
      <c r="F62" s="25"/>
      <c r="G62" s="25"/>
      <c r="H62" s="25"/>
      <c r="I62" s="25"/>
    </row>
    <row r="63" ht="15.75" customHeight="1">
      <c r="B63" s="5" t="s">
        <v>57</v>
      </c>
      <c r="C63" s="21" t="s">
        <v>24</v>
      </c>
      <c r="D63" s="51">
        <f>D54*D55</f>
        <v>999.5</v>
      </c>
      <c r="E63" s="51">
        <f>ABS(E54)*E55</f>
        <v>1999</v>
      </c>
      <c r="F63" s="25"/>
      <c r="G63" s="25"/>
      <c r="H63" s="25"/>
      <c r="I63" s="25"/>
    </row>
    <row r="64" ht="15.75" customHeight="1">
      <c r="B64" s="5" t="s">
        <v>58</v>
      </c>
      <c r="C64" s="21" t="s">
        <v>24</v>
      </c>
      <c r="D64" s="51">
        <f>D54*D56</f>
        <v>599.75</v>
      </c>
      <c r="E64" s="51">
        <f>ABS(E54)*E56</f>
        <v>1201</v>
      </c>
      <c r="F64" s="25"/>
      <c r="G64" s="25"/>
      <c r="H64" s="25"/>
      <c r="I64" s="25"/>
    </row>
    <row r="65" ht="15.75" customHeight="1">
      <c r="B65" s="18" t="s">
        <v>59</v>
      </c>
      <c r="C65" s="19" t="s">
        <v>24</v>
      </c>
      <c r="D65" s="54">
        <f>D64*(LTVperp-closingFee)</f>
        <v>557.9674167</v>
      </c>
      <c r="E65" s="54">
        <f>E64*(2-LTVperp+closingFee)</f>
        <v>1284.669667</v>
      </c>
      <c r="F65" s="25"/>
      <c r="G65" s="25"/>
      <c r="H65" s="25"/>
      <c r="I65" s="25"/>
    </row>
    <row r="66" ht="15.75" customHeight="1">
      <c r="B66" s="5" t="s">
        <v>60</v>
      </c>
      <c r="C66" s="21" t="s">
        <v>24</v>
      </c>
      <c r="D66" s="51">
        <f>D58*LTVusdc</f>
        <v>85</v>
      </c>
      <c r="E66" s="51">
        <f>E58*LTVusdc</f>
        <v>85</v>
      </c>
      <c r="F66" s="25"/>
      <c r="G66" s="25"/>
      <c r="H66" s="25"/>
      <c r="I66" s="25"/>
    </row>
    <row r="67" ht="15.75" customHeight="1">
      <c r="B67" s="5" t="s">
        <v>61</v>
      </c>
      <c r="C67" s="21" t="s">
        <v>24</v>
      </c>
      <c r="D67" s="51">
        <f>D65+D66</f>
        <v>642.9674167</v>
      </c>
      <c r="E67" s="43">
        <f>E63+E66</f>
        <v>2084</v>
      </c>
      <c r="F67" s="25"/>
      <c r="G67" s="25"/>
      <c r="H67" s="25"/>
      <c r="I67" s="25"/>
    </row>
    <row r="68" ht="15.75" customHeight="1">
      <c r="B68" s="11" t="s">
        <v>62</v>
      </c>
      <c r="C68" s="22" t="s">
        <v>24</v>
      </c>
      <c r="D68" s="55">
        <f>D63+D59</f>
        <v>999.5</v>
      </c>
      <c r="E68" s="32">
        <f>E65+E59</f>
        <v>1284.669667</v>
      </c>
      <c r="F68" s="25"/>
      <c r="G68" s="25"/>
      <c r="H68" s="25"/>
      <c r="I68" s="25"/>
    </row>
    <row r="69" ht="15.75" customHeight="1">
      <c r="B69" s="42" t="s">
        <v>63</v>
      </c>
      <c r="C69" s="38" t="s">
        <v>24</v>
      </c>
      <c r="D69" s="56">
        <f t="shared" ref="D69:E69" si="6">D57+D60</f>
        <v>-299.75</v>
      </c>
      <c r="E69" s="40">
        <f t="shared" si="6"/>
        <v>898</v>
      </c>
      <c r="F69" s="25"/>
      <c r="G69" s="25"/>
      <c r="H69" s="25"/>
      <c r="I69" s="25"/>
    </row>
    <row r="70" ht="15.75" customHeight="1">
      <c r="B70" s="3"/>
      <c r="C70" s="3"/>
      <c r="D70" s="3"/>
    </row>
    <row r="71" ht="15.75" customHeight="1">
      <c r="B71" s="3" t="s">
        <v>64</v>
      </c>
      <c r="C71" s="3"/>
      <c r="D71" s="33" t="s">
        <v>46</v>
      </c>
      <c r="E71" s="33" t="s">
        <v>47</v>
      </c>
    </row>
    <row r="72" ht="15.75" customHeight="1">
      <c r="B72" s="16" t="s">
        <v>65</v>
      </c>
      <c r="C72" s="4" t="s">
        <v>15</v>
      </c>
      <c r="D72" s="17" t="s">
        <v>66</v>
      </c>
      <c r="E72" s="17" t="s">
        <v>66</v>
      </c>
    </row>
    <row r="73" ht="15.75" customHeight="1">
      <c r="B73" s="5" t="s">
        <v>67</v>
      </c>
      <c r="C73" s="21" t="s">
        <v>24</v>
      </c>
      <c r="D73" s="57">
        <f>D49</f>
        <v>792.5</v>
      </c>
      <c r="E73" s="50">
        <f>D73</f>
        <v>792.5</v>
      </c>
      <c r="H73" s="25"/>
    </row>
    <row r="74" ht="15.75" customHeight="1">
      <c r="B74" s="5" t="s">
        <v>68</v>
      </c>
      <c r="C74" s="21" t="s">
        <v>24</v>
      </c>
      <c r="D74" s="57">
        <f t="shared" ref="D74:E74" si="7">D67</f>
        <v>642.9674167</v>
      </c>
      <c r="E74" s="57">
        <f t="shared" si="7"/>
        <v>2084</v>
      </c>
      <c r="H74" s="25"/>
    </row>
    <row r="75" ht="15.75" customHeight="1">
      <c r="B75" s="5" t="s">
        <v>69</v>
      </c>
      <c r="C75" s="21" t="s">
        <v>24</v>
      </c>
      <c r="D75" s="57">
        <f>D46</f>
        <v>2</v>
      </c>
      <c r="E75" s="57">
        <f>D75</f>
        <v>2</v>
      </c>
    </row>
    <row r="76" ht="15.75" customHeight="1">
      <c r="B76" s="5" t="s">
        <v>70</v>
      </c>
      <c r="C76" s="21" t="s">
        <v>24</v>
      </c>
      <c r="D76" s="57">
        <f t="shared" ref="D76:E76" si="8">D68</f>
        <v>999.5</v>
      </c>
      <c r="E76" s="57">
        <f t="shared" si="8"/>
        <v>1284.669667</v>
      </c>
    </row>
    <row r="77" ht="15.75" customHeight="1">
      <c r="B77" s="5" t="s">
        <v>71</v>
      </c>
      <c r="C77" s="21" t="s">
        <v>24</v>
      </c>
      <c r="D77" s="57">
        <f t="shared" ref="D77:E77" si="9">D73+D74</f>
        <v>1435.467417</v>
      </c>
      <c r="E77" s="57">
        <f t="shared" si="9"/>
        <v>2876.5</v>
      </c>
    </row>
    <row r="78" ht="15.75" customHeight="1">
      <c r="B78" s="5" t="s">
        <v>72</v>
      </c>
      <c r="C78" s="21" t="s">
        <v>24</v>
      </c>
      <c r="D78" s="57">
        <f t="shared" ref="D78:E78" si="10">D75+D76</f>
        <v>1001.5</v>
      </c>
      <c r="E78" s="57">
        <f t="shared" si="10"/>
        <v>1286.669667</v>
      </c>
    </row>
    <row r="79" ht="15.75" customHeight="1">
      <c r="B79" s="37" t="s">
        <v>73</v>
      </c>
      <c r="C79" s="56" t="s">
        <v>74</v>
      </c>
      <c r="D79" s="59">
        <f t="shared" ref="D79:E79" si="11">D77/D78</f>
        <v>1.433317441</v>
      </c>
      <c r="E79" s="59">
        <f t="shared" si="11"/>
        <v>2.235616549</v>
      </c>
      <c r="H79" s="25"/>
    </row>
    <row r="80" ht="15.75" customHeight="1">
      <c r="B80" s="25"/>
      <c r="C80" s="25"/>
      <c r="D80" s="25"/>
      <c r="E80" s="25"/>
      <c r="F80" s="25"/>
      <c r="G80" s="25"/>
      <c r="H80" s="25"/>
    </row>
    <row r="81" ht="15.75" customHeight="1">
      <c r="B81" s="3" t="s">
        <v>75</v>
      </c>
    </row>
    <row r="82" ht="15.75" customHeight="1">
      <c r="B82" s="16" t="s">
        <v>65</v>
      </c>
      <c r="C82" s="4" t="s">
        <v>15</v>
      </c>
      <c r="D82" s="29" t="s">
        <v>16</v>
      </c>
      <c r="E82" s="29" t="s">
        <v>16</v>
      </c>
    </row>
    <row r="83" ht="15.75" customHeight="1">
      <c r="B83" s="18" t="s">
        <v>76</v>
      </c>
      <c r="C83" s="19" t="s">
        <v>24</v>
      </c>
      <c r="D83" s="60">
        <f t="shared" ref="D83:E83" si="12">$D$45+MAX(0,D69)</f>
        <v>1050</v>
      </c>
      <c r="E83" s="60">
        <f t="shared" si="12"/>
        <v>1948</v>
      </c>
    </row>
    <row r="84" ht="15.75" customHeight="1">
      <c r="B84" s="5" t="s">
        <v>77</v>
      </c>
      <c r="C84" s="21" t="s">
        <v>24</v>
      </c>
      <c r="D84" s="50">
        <f>debt-MIN(0,D69)</f>
        <v>301.75</v>
      </c>
      <c r="E84" s="50">
        <f>debt-MIN(0,E69)</f>
        <v>2</v>
      </c>
    </row>
    <row r="85" ht="15.75" customHeight="1">
      <c r="B85" s="5" t="s">
        <v>78</v>
      </c>
      <c r="C85" s="21" t="s">
        <v>24</v>
      </c>
      <c r="D85" s="50">
        <f t="shared" ref="D85:E85" si="13">D83-D84</f>
        <v>748.25</v>
      </c>
      <c r="E85" s="50">
        <f t="shared" si="13"/>
        <v>1946</v>
      </c>
    </row>
    <row r="86" ht="15.75" customHeight="1">
      <c r="B86" s="42" t="s">
        <v>79</v>
      </c>
      <c r="C86" s="38" t="s">
        <v>74</v>
      </c>
      <c r="D86" s="61">
        <f t="shared" ref="D86:E86" si="14">D83/D84</f>
        <v>3.47970174</v>
      </c>
      <c r="E86" s="61">
        <f t="shared" si="14"/>
        <v>974</v>
      </c>
    </row>
    <row r="87" ht="15.75" customHeight="1">
      <c r="B87" s="24"/>
      <c r="C87" s="24"/>
      <c r="D87" s="9"/>
    </row>
    <row r="88" ht="15.75" customHeight="1">
      <c r="D88" s="9"/>
      <c r="E88" s="9"/>
    </row>
    <row r="89" ht="15.75" customHeight="1">
      <c r="B89" s="3" t="s">
        <v>80</v>
      </c>
      <c r="C89" s="62"/>
      <c r="D89" s="33" t="s">
        <v>46</v>
      </c>
      <c r="E89" s="33" t="s">
        <v>47</v>
      </c>
    </row>
    <row r="90" ht="15.75" customHeight="1">
      <c r="B90" s="16" t="s">
        <v>65</v>
      </c>
      <c r="C90" s="4" t="s">
        <v>15</v>
      </c>
      <c r="D90" s="17" t="s">
        <v>66</v>
      </c>
      <c r="E90" s="17" t="s">
        <v>66</v>
      </c>
    </row>
    <row r="91" ht="15.75" customHeight="1">
      <c r="B91" s="5" t="s">
        <v>81</v>
      </c>
      <c r="C91" s="21" t="s">
        <v>24</v>
      </c>
      <c r="D91" s="50">
        <f t="shared" ref="D91:E91" si="15">D69</f>
        <v>-299.75</v>
      </c>
      <c r="E91" s="50">
        <f t="shared" si="15"/>
        <v>898</v>
      </c>
    </row>
    <row r="92" ht="15.75" customHeight="1">
      <c r="B92" s="5" t="s">
        <v>38</v>
      </c>
      <c r="C92" s="21" t="s">
        <v>24</v>
      </c>
      <c r="D92" s="50">
        <f>MAX(usdcCollateral+D91,0)</f>
        <v>0</v>
      </c>
      <c r="E92" s="50">
        <f>MAX(usdcCollateral+E91,0)</f>
        <v>948</v>
      </c>
    </row>
    <row r="93" ht="15.75" customHeight="1">
      <c r="B93" s="5" t="s">
        <v>82</v>
      </c>
      <c r="C93" s="21" t="s">
        <v>24</v>
      </c>
      <c r="D93" s="50">
        <f>-MIN(usdcCollateral+D91,0)</f>
        <v>249.75</v>
      </c>
      <c r="E93" s="50">
        <f>-MIN(usdcCollateral+E91,0)</f>
        <v>0</v>
      </c>
    </row>
    <row r="94" ht="15.75" customHeight="1">
      <c r="B94" s="5" t="s">
        <v>42</v>
      </c>
      <c r="C94" s="21" t="s">
        <v>24</v>
      </c>
      <c r="D94" s="50">
        <f>D92*LTVusdc</f>
        <v>0</v>
      </c>
      <c r="E94" s="50">
        <f>E92*LTVusdc</f>
        <v>805.8</v>
      </c>
    </row>
    <row r="95" ht="15.75" customHeight="1">
      <c r="B95" s="5" t="s">
        <v>43</v>
      </c>
      <c r="C95" s="21" t="s">
        <v>24</v>
      </c>
      <c r="D95" s="50">
        <f>D48</f>
        <v>750</v>
      </c>
      <c r="E95" s="50">
        <f t="shared" ref="E95:E96" si="16">D95</f>
        <v>750</v>
      </c>
    </row>
    <row r="96" ht="15.75" customHeight="1">
      <c r="B96" s="5" t="s">
        <v>83</v>
      </c>
      <c r="C96" s="21" t="s">
        <v>24</v>
      </c>
      <c r="D96" s="50">
        <f>D39</f>
        <v>2</v>
      </c>
      <c r="E96" s="50">
        <f t="shared" si="16"/>
        <v>2</v>
      </c>
    </row>
    <row r="97" ht="15.75" customHeight="1">
      <c r="B97" s="18" t="s">
        <v>57</v>
      </c>
      <c r="C97" s="19" t="s">
        <v>24</v>
      </c>
      <c r="D97" s="63">
        <f>D54*D56</f>
        <v>599.75</v>
      </c>
      <c r="E97" s="63">
        <f>ABS(E54)*E56</f>
        <v>1201</v>
      </c>
    </row>
    <row r="98" ht="15.75" customHeight="1">
      <c r="B98" s="5" t="s">
        <v>84</v>
      </c>
      <c r="C98" s="21" t="s">
        <v>24</v>
      </c>
      <c r="D98" s="64">
        <f t="shared" ref="D98:E98" si="17">D97</f>
        <v>599.75</v>
      </c>
      <c r="E98" s="64">
        <f t="shared" si="17"/>
        <v>1201</v>
      </c>
    </row>
    <row r="99" ht="15.75" customHeight="1">
      <c r="B99" s="65" t="s">
        <v>59</v>
      </c>
      <c r="C99" s="66" t="s">
        <v>24</v>
      </c>
      <c r="D99" s="67">
        <f>D98*(LTVperp-closingFee)</f>
        <v>557.9674167</v>
      </c>
      <c r="E99" s="67">
        <f>E98*(2-LTVperp+closingFee)</f>
        <v>1284.669667</v>
      </c>
    </row>
    <row r="100" ht="15.75" customHeight="1">
      <c r="B100" s="5" t="s">
        <v>71</v>
      </c>
      <c r="C100" s="21" t="s">
        <v>24</v>
      </c>
      <c r="D100" s="64">
        <f>D94+D95+D99</f>
        <v>1307.967417</v>
      </c>
      <c r="E100" s="64">
        <f>E94+E95+E97</f>
        <v>2756.8</v>
      </c>
    </row>
    <row r="101" ht="15.75" customHeight="1">
      <c r="B101" s="5" t="s">
        <v>72</v>
      </c>
      <c r="C101" s="21" t="s">
        <v>24</v>
      </c>
      <c r="D101" s="64">
        <f>D93+D96+D97</f>
        <v>851.5</v>
      </c>
      <c r="E101" s="64">
        <f>E93+E96+E99</f>
        <v>1286.669667</v>
      </c>
    </row>
    <row r="102" ht="15.75" customHeight="1">
      <c r="B102" s="42" t="s">
        <v>73</v>
      </c>
      <c r="C102" s="38" t="s">
        <v>74</v>
      </c>
      <c r="D102" s="68">
        <f t="shared" ref="D102:E102" si="18">D100/D101</f>
        <v>1.536074476</v>
      </c>
      <c r="E102" s="68">
        <f t="shared" si="18"/>
        <v>2.142585678</v>
      </c>
    </row>
    <row r="103" ht="15.75" customHeight="1">
      <c r="B103" s="69" t="s">
        <v>43</v>
      </c>
      <c r="C103" s="70" t="s">
        <v>24</v>
      </c>
      <c r="D103" s="71">
        <f t="shared" ref="D103:E103" si="19">D95+D94</f>
        <v>750</v>
      </c>
      <c r="E103" s="72">
        <f t="shared" si="19"/>
        <v>1555.8</v>
      </c>
    </row>
    <row r="104" ht="15.75" customHeight="1">
      <c r="B104" s="73" t="s">
        <v>83</v>
      </c>
      <c r="C104" s="74" t="s">
        <v>24</v>
      </c>
      <c r="D104" s="75">
        <f t="shared" ref="D104:E104" si="20">D96+D93</f>
        <v>251.75</v>
      </c>
      <c r="E104" s="76">
        <f t="shared" si="20"/>
        <v>2</v>
      </c>
    </row>
    <row r="105" ht="15.75" customHeight="1"/>
    <row r="106" ht="15.75" customHeight="1">
      <c r="B106" s="3" t="s">
        <v>85</v>
      </c>
    </row>
    <row r="107" ht="15.75" customHeight="1">
      <c r="B107" s="77" t="s">
        <v>65</v>
      </c>
      <c r="C107" s="78" t="s">
        <v>15</v>
      </c>
      <c r="D107" s="77" t="s">
        <v>46</v>
      </c>
      <c r="E107" s="78" t="s">
        <v>47</v>
      </c>
    </row>
    <row r="108" ht="15.75" customHeight="1">
      <c r="B108" s="5" t="s">
        <v>86</v>
      </c>
      <c r="C108" s="21" t="s">
        <v>24</v>
      </c>
      <c r="D108" s="79">
        <f>MAX(netUPnLLong+usdcCollateral,0)</f>
        <v>0</v>
      </c>
      <c r="E108" s="51">
        <f>MAX(netUPnLShort+usdcCollateral,0)</f>
        <v>948</v>
      </c>
      <c r="G108" s="98" t="s">
        <v>89</v>
      </c>
      <c r="H108" s="122">
        <f>LTVperp-openingFee-closingFee-1</f>
        <v>-0.2696666667</v>
      </c>
      <c r="I108" s="122">
        <f>H108</f>
        <v>-0.2696666667</v>
      </c>
    </row>
    <row r="109" ht="15.75" customHeight="1">
      <c r="B109" s="5" t="s">
        <v>87</v>
      </c>
      <c r="C109" s="21" t="s">
        <v>24</v>
      </c>
      <c r="D109" s="79">
        <f>-MIN(netUPnLLong+usdcCollateral,0)</f>
        <v>249.75</v>
      </c>
      <c r="E109" s="51">
        <f>-MIN(netUPnLShort+usdcCollateral,0)</f>
        <v>0</v>
      </c>
      <c r="G109" s="98" t="s">
        <v>92</v>
      </c>
      <c r="H109" s="98">
        <f>-priceOracle*H108/2/skewScale</f>
        <v>0.2696666667</v>
      </c>
      <c r="I109" s="45">
        <f>priceOracle*I108/2/skewScale</f>
        <v>-0.2696666667</v>
      </c>
    </row>
    <row r="110" ht="15.75" customHeight="1">
      <c r="B110" s="5" t="s">
        <v>88</v>
      </c>
      <c r="C110" s="21" t="s">
        <v>24</v>
      </c>
      <c r="D110" s="79">
        <f>D108*LTVusdc-D109</f>
        <v>-249.75</v>
      </c>
      <c r="E110" s="51">
        <f>E108*LTVusdc-E109</f>
        <v>805.8</v>
      </c>
      <c r="F110" s="45"/>
      <c r="G110" s="98" t="s">
        <v>93</v>
      </c>
      <c r="H110" s="45">
        <f>priceOracle*(H108*(1+skew/skewScale)-openingFee*ABS(E54)/skewScale)</f>
        <v>-324</v>
      </c>
      <c r="I110" s="45">
        <f>priceOracle*(H108*(1+skew/skewScale)+openingFee*ABS(E54)/skewScale)</f>
        <v>-323.2</v>
      </c>
    </row>
    <row r="111" ht="15.75" customHeight="1">
      <c r="B111" s="5" t="s">
        <v>120</v>
      </c>
      <c r="C111" s="21" t="s">
        <v>91</v>
      </c>
      <c r="D111" s="79">
        <f>priceOracle*D13*D54/D15</f>
        <v>0.2</v>
      </c>
      <c r="E111" s="123">
        <f>-priceOracle*openingFee*ABS(E54)/skewScale</f>
        <v>-0.4</v>
      </c>
      <c r="F111" s="124"/>
      <c r="G111" s="98" t="s">
        <v>94</v>
      </c>
      <c r="H111" s="45">
        <f>D48-debt+E110+priceOracle*openingFee*ABS(E54)*(1+skew/skewScale+ABS(E54)/2/skewScale)</f>
        <v>1794</v>
      </c>
      <c r="I111" s="45">
        <f>D48-debt+E110+priceOracle*openingFee*ABS(E54)*(1+skew/skewScale-ABS(E54)/2/skewScale)</f>
        <v>1793.6</v>
      </c>
    </row>
    <row r="112" ht="15.75" customHeight="1">
      <c r="B112" s="5" t="s">
        <v>121</v>
      </c>
      <c r="C112" s="21" t="s">
        <v>91</v>
      </c>
      <c r="D112" s="84">
        <f>priceOracle*D54*openingFee*(1+skew/skewScale-D54/2/skewScale)</f>
        <v>119.95</v>
      </c>
      <c r="E112" s="125">
        <f>priceOracle*openingFee*ABS(E54)*(1+skew/skewScale+ABS(E54)/2/skewScale)</f>
        <v>240.2</v>
      </c>
      <c r="G112" s="98" t="s">
        <v>95</v>
      </c>
      <c r="H112" s="45">
        <f t="shared" ref="H112:I112" si="21">H110^2-4*H109*H111</f>
        <v>103040.872</v>
      </c>
      <c r="I112" s="45">
        <f t="shared" si="21"/>
        <v>106392.9365</v>
      </c>
    </row>
    <row r="113" ht="15.75" customHeight="1">
      <c r="B113" s="5" t="s">
        <v>92</v>
      </c>
      <c r="C113" s="21" t="s">
        <v>91</v>
      </c>
      <c r="D113" s="94">
        <f>priceOracle/2/skewScale*(LTVperp-closingFee-openingFee-1)</f>
        <v>-0.2696666667</v>
      </c>
      <c r="E113" s="125">
        <f>-priceOracle/2/skewScale*(LTVperp-openingFee-closingFee-1)</f>
        <v>0.2696666667</v>
      </c>
      <c r="H113" s="45">
        <f t="shared" ref="H113:I113" si="22">-(-H110-SQRT(H112))/2/H109</f>
        <v>-5.562792417</v>
      </c>
      <c r="I113" s="45">
        <f t="shared" si="22"/>
        <v>-5.524044258</v>
      </c>
    </row>
    <row r="114" ht="15.75" customHeight="1">
      <c r="B114" s="5" t="s">
        <v>93</v>
      </c>
      <c r="C114" s="21" t="s">
        <v>91</v>
      </c>
      <c r="D114" s="79">
        <f>priceOracle*(skew/skewScale+1)*(LTVperp-closingFee-openingFee-1)+D111</f>
        <v>-323.4</v>
      </c>
      <c r="E114" s="125">
        <f>priceOracle*(1+skew/skewScale)*(LTVperp-openingFee-closingFee-1)+E111</f>
        <v>-324</v>
      </c>
      <c r="F114" s="45"/>
      <c r="H114" s="45"/>
    </row>
    <row r="115" ht="15.75" customHeight="1">
      <c r="B115" s="5" t="s">
        <v>94</v>
      </c>
      <c r="C115" s="21" t="s">
        <v>91</v>
      </c>
      <c r="D115" s="79">
        <f>D48-debt+D110+D112</f>
        <v>618.2</v>
      </c>
      <c r="E115" s="51">
        <f>D48-debt+E110+E112</f>
        <v>1794</v>
      </c>
      <c r="F115" s="45"/>
      <c r="G115" s="45"/>
      <c r="H115" s="45"/>
    </row>
    <row r="116" ht="15.75" customHeight="1">
      <c r="B116" s="5" t="s">
        <v>95</v>
      </c>
      <c r="C116" s="21" t="s">
        <v>91</v>
      </c>
      <c r="D116" s="79">
        <f t="shared" ref="D116:E116" si="23">D114^2-4*D113*D115</f>
        <v>105254.3917</v>
      </c>
      <c r="E116" s="125">
        <f t="shared" si="23"/>
        <v>103040.872</v>
      </c>
      <c r="F116" s="45"/>
      <c r="G116" s="45"/>
    </row>
    <row r="117" ht="15.75" customHeight="1">
      <c r="B117" s="42" t="s">
        <v>96</v>
      </c>
      <c r="C117" s="38" t="s">
        <v>21</v>
      </c>
      <c r="D117" s="126">
        <f>(-D114-SQRT(D116))/2/D113</f>
        <v>1.908527351</v>
      </c>
      <c r="E117" s="90">
        <f>-(-E114-SQRT(E116))/2/E113</f>
        <v>-5.562792417</v>
      </c>
      <c r="F117" s="91"/>
    </row>
    <row r="118" ht="15.75" customHeight="1">
      <c r="I118" s="92"/>
    </row>
    <row r="119" ht="15.75" customHeight="1">
      <c r="A119" s="45"/>
      <c r="C119" s="45"/>
      <c r="D119" s="45"/>
      <c r="E119" s="45"/>
      <c r="F119" s="45"/>
      <c r="G119" s="45"/>
      <c r="H119" s="45"/>
    </row>
    <row r="120" ht="15.75" customHeight="1">
      <c r="A120" s="45"/>
      <c r="B120" s="127" t="s">
        <v>122</v>
      </c>
      <c r="D120" s="3" t="s">
        <v>46</v>
      </c>
      <c r="E120" s="3" t="s">
        <v>47</v>
      </c>
    </row>
    <row r="121" ht="15.75" customHeight="1">
      <c r="A121" s="45"/>
      <c r="B121" s="77" t="s">
        <v>65</v>
      </c>
      <c r="C121" s="78" t="s">
        <v>15</v>
      </c>
      <c r="D121" s="77" t="s">
        <v>4</v>
      </c>
      <c r="E121" s="78" t="s">
        <v>4</v>
      </c>
    </row>
    <row r="122" ht="15.75" customHeight="1">
      <c r="B122" s="18" t="s">
        <v>98</v>
      </c>
      <c r="C122" s="19" t="s">
        <v>21</v>
      </c>
      <c r="D122" s="93">
        <f t="shared" ref="D122:E122" si="24">D117</f>
        <v>1.908527351</v>
      </c>
      <c r="E122" s="60">
        <f t="shared" si="24"/>
        <v>-5.562792417</v>
      </c>
    </row>
    <row r="123" ht="15.75" customHeight="1">
      <c r="B123" s="5" t="s">
        <v>99</v>
      </c>
      <c r="C123" s="21" t="s">
        <v>21</v>
      </c>
      <c r="D123" s="94">
        <f t="shared" ref="D123:E123" si="25">D122-D54</f>
        <v>1.408527351</v>
      </c>
      <c r="E123" s="50">
        <f t="shared" si="25"/>
        <v>-4.562792417</v>
      </c>
    </row>
    <row r="124" ht="15.75" customHeight="1">
      <c r="B124" s="5" t="s">
        <v>100</v>
      </c>
      <c r="C124" s="21" t="s">
        <v>18</v>
      </c>
      <c r="D124" s="95">
        <f>1+(skew+D122/2)/skewScale</f>
        <v>0.6009542637</v>
      </c>
      <c r="E124" s="96">
        <f>1+(skew+E122/2)/skewScale</f>
        <v>0.5972186038</v>
      </c>
    </row>
    <row r="125" ht="15.75" customHeight="1">
      <c r="B125" s="5" t="s">
        <v>101</v>
      </c>
      <c r="C125" s="21" t="s">
        <v>18</v>
      </c>
      <c r="D125" s="95">
        <f>1+(skew+D123/2)/skewScale</f>
        <v>0.6007042637</v>
      </c>
      <c r="E125" s="97">
        <f>1+(skew+E123/2)/skewScale</f>
        <v>0.5977186038</v>
      </c>
    </row>
    <row r="126" ht="15.75" customHeight="1">
      <c r="B126" s="5" t="s">
        <v>102</v>
      </c>
      <c r="C126" s="21" t="s">
        <v>24</v>
      </c>
      <c r="D126" s="94">
        <f>priceOracle*D125</f>
        <v>1201.408527</v>
      </c>
      <c r="E126" s="50">
        <f>priceOracle*E125</f>
        <v>1195.437208</v>
      </c>
    </row>
    <row r="127" ht="15.75" customHeight="1">
      <c r="B127" s="5" t="s">
        <v>103</v>
      </c>
      <c r="C127" s="21" t="s">
        <v>24</v>
      </c>
      <c r="D127" s="94">
        <f>priceOracle*D124</f>
        <v>1201.908527</v>
      </c>
      <c r="E127" s="50">
        <f>priceOracle*E124</f>
        <v>1194.437208</v>
      </c>
    </row>
    <row r="128" ht="15.75" customHeight="1">
      <c r="B128" s="5"/>
      <c r="C128" s="21"/>
      <c r="D128" s="5"/>
      <c r="E128" s="21"/>
    </row>
    <row r="129" ht="15.75" customHeight="1">
      <c r="B129" s="5" t="s">
        <v>57</v>
      </c>
      <c r="C129" s="21" t="s">
        <v>24</v>
      </c>
      <c r="D129" s="50">
        <f t="shared" ref="D129:E129" si="26">ABS(D122)*D127</f>
        <v>2293.875298</v>
      </c>
      <c r="E129" s="50">
        <f t="shared" si="26"/>
        <v>6644.406241</v>
      </c>
    </row>
    <row r="130" ht="15.75" customHeight="1">
      <c r="B130" s="5" t="s">
        <v>84</v>
      </c>
      <c r="C130" s="21" t="s">
        <v>24</v>
      </c>
      <c r="D130" s="50">
        <f t="shared" ref="D130:E130" si="27">ABS(D122)*D127</f>
        <v>2293.875298</v>
      </c>
      <c r="E130" s="50">
        <f t="shared" si="27"/>
        <v>6644.406241</v>
      </c>
    </row>
    <row r="131" ht="15.75" customHeight="1">
      <c r="B131" s="5"/>
      <c r="C131" s="21"/>
      <c r="D131" s="5"/>
      <c r="E131" s="21"/>
    </row>
    <row r="132" ht="15.75" customHeight="1">
      <c r="B132" s="5" t="s">
        <v>17</v>
      </c>
      <c r="C132" s="21" t="s">
        <v>24</v>
      </c>
      <c r="D132" s="50">
        <f>ABS(D123)*openingFee*D126</f>
        <v>338.4433542</v>
      </c>
      <c r="E132" s="50">
        <f>ABS(E123)*openingFee*E126</f>
        <v>1090.906365</v>
      </c>
      <c r="F132" s="98" t="s">
        <v>104</v>
      </c>
    </row>
    <row r="133" ht="15.75" customHeight="1">
      <c r="B133" s="5" t="s">
        <v>19</v>
      </c>
      <c r="C133" s="21" t="s">
        <v>24</v>
      </c>
      <c r="D133" s="94">
        <f>D130*D14</f>
        <v>6.881625895</v>
      </c>
      <c r="E133" s="50">
        <f>E130*closingFee</f>
        <v>19.93321872</v>
      </c>
    </row>
    <row r="134" ht="15.75" customHeight="1">
      <c r="B134" s="5"/>
      <c r="C134" s="21"/>
      <c r="D134" s="94"/>
      <c r="E134" s="50"/>
    </row>
    <row r="135" ht="15.75" customHeight="1">
      <c r="B135" s="5" t="s">
        <v>61</v>
      </c>
      <c r="C135" s="21" t="s">
        <v>24</v>
      </c>
      <c r="D135" s="94">
        <f>D130*(LTVperp-closingFee)</f>
        <v>2134.068653</v>
      </c>
      <c r="E135" s="50">
        <f>E129</f>
        <v>6644.406241</v>
      </c>
    </row>
    <row r="136" ht="15.75" customHeight="1">
      <c r="B136" s="5" t="s">
        <v>62</v>
      </c>
      <c r="C136" s="21" t="s">
        <v>24</v>
      </c>
      <c r="D136" s="94">
        <f>D129+D132</f>
        <v>2632.318653</v>
      </c>
      <c r="E136" s="50">
        <f>E130*(2-LTVperp+closingFee)+E132</f>
        <v>8198.206241</v>
      </c>
      <c r="I136" s="25"/>
    </row>
    <row r="137" ht="15.75" customHeight="1">
      <c r="B137" s="5"/>
      <c r="C137" s="21"/>
      <c r="D137" s="5"/>
      <c r="E137" s="21"/>
      <c r="I137" s="25"/>
    </row>
    <row r="138" ht="15.75" customHeight="1">
      <c r="B138" s="99" t="s">
        <v>105</v>
      </c>
      <c r="C138" s="21"/>
      <c r="D138" s="5"/>
      <c r="E138" s="21"/>
      <c r="I138" s="45"/>
    </row>
    <row r="139" ht="15.75" customHeight="1">
      <c r="B139" s="5" t="s">
        <v>71</v>
      </c>
      <c r="C139" s="21" t="s">
        <v>24</v>
      </c>
      <c r="D139" s="94">
        <f t="shared" ref="D139:E139" si="28">D103+D135</f>
        <v>2884.068653</v>
      </c>
      <c r="E139" s="50">
        <f t="shared" si="28"/>
        <v>8200.206241</v>
      </c>
    </row>
    <row r="140" ht="15.75" customHeight="1">
      <c r="B140" s="5" t="s">
        <v>72</v>
      </c>
      <c r="C140" s="21" t="s">
        <v>24</v>
      </c>
      <c r="D140" s="94">
        <f t="shared" ref="D140:E140" si="29">D104+D136</f>
        <v>2884.068653</v>
      </c>
      <c r="E140" s="50">
        <f t="shared" si="29"/>
        <v>8200.206241</v>
      </c>
      <c r="I140" s="45"/>
    </row>
    <row r="141" ht="15.75" customHeight="1">
      <c r="B141" s="5" t="s">
        <v>73</v>
      </c>
      <c r="C141" s="21"/>
      <c r="D141" s="100">
        <f t="shared" ref="D141:E141" si="30">D139/D140</f>
        <v>1</v>
      </c>
      <c r="E141" s="101">
        <f t="shared" si="30"/>
        <v>1</v>
      </c>
      <c r="I141" s="9"/>
    </row>
    <row r="142" ht="15.75" customHeight="1">
      <c r="B142" s="5"/>
      <c r="C142" s="21"/>
      <c r="D142" s="102"/>
      <c r="E142" s="103"/>
      <c r="I142" s="9"/>
    </row>
    <row r="143" ht="15.75" customHeight="1">
      <c r="B143" s="99" t="s">
        <v>106</v>
      </c>
      <c r="C143" s="21"/>
      <c r="D143" s="5"/>
      <c r="E143" s="21"/>
    </row>
    <row r="144" ht="15.75" customHeight="1">
      <c r="B144" s="5" t="s">
        <v>57</v>
      </c>
      <c r="C144" s="21" t="s">
        <v>24</v>
      </c>
      <c r="D144" s="94">
        <f t="shared" ref="D144:E144" si="31">D129</f>
        <v>2293.875298</v>
      </c>
      <c r="E144" s="50">
        <f t="shared" si="31"/>
        <v>6644.406241</v>
      </c>
    </row>
    <row r="145" ht="15.75" customHeight="1">
      <c r="B145" s="5" t="s">
        <v>78</v>
      </c>
      <c r="C145" s="21" t="s">
        <v>24</v>
      </c>
      <c r="D145" s="94">
        <f t="shared" ref="D145:E145" si="32">$D$85-D132-D133</f>
        <v>402.9250199</v>
      </c>
      <c r="E145" s="50">
        <f t="shared" si="32"/>
        <v>-362.5895839</v>
      </c>
    </row>
    <row r="146" ht="15.75" customHeight="1">
      <c r="B146" s="73" t="s">
        <v>107</v>
      </c>
      <c r="C146" s="74"/>
      <c r="D146" s="104">
        <f t="shared" ref="D146:E146" si="33">D144/D145</f>
        <v>5.69305748</v>
      </c>
      <c r="E146" s="105">
        <f t="shared" si="33"/>
        <v>-18.32486794</v>
      </c>
    </row>
    <row r="147" ht="15.75" customHeight="1">
      <c r="D147" s="91"/>
      <c r="G147" s="91"/>
      <c r="H147" s="91"/>
      <c r="I147" s="9"/>
    </row>
    <row r="148" ht="15.75" customHeight="1">
      <c r="I148" s="9"/>
    </row>
    <row r="149" ht="15.75" customHeight="1"/>
    <row r="150" ht="15.75" customHeight="1"/>
    <row r="151" ht="15.75" customHeight="1">
      <c r="B151" s="28" t="s">
        <v>108</v>
      </c>
      <c r="C151" s="62"/>
      <c r="D151" s="106"/>
      <c r="E151" s="107"/>
    </row>
    <row r="152" ht="15.75" customHeight="1"/>
    <row r="153" ht="15.75" customHeight="1">
      <c r="B153" s="3" t="s">
        <v>109</v>
      </c>
      <c r="D153" s="3" t="s">
        <v>46</v>
      </c>
      <c r="E153" s="3" t="s">
        <v>47</v>
      </c>
    </row>
    <row r="154" ht="15.75" customHeight="1">
      <c r="B154" s="77" t="s">
        <v>65</v>
      </c>
      <c r="C154" s="78" t="s">
        <v>15</v>
      </c>
      <c r="D154" s="17" t="s">
        <v>66</v>
      </c>
      <c r="E154" s="4" t="s">
        <v>66</v>
      </c>
    </row>
    <row r="155" ht="15.75" customHeight="1">
      <c r="B155" s="5" t="s">
        <v>110</v>
      </c>
      <c r="C155" s="21" t="s">
        <v>21</v>
      </c>
      <c r="D155" s="108">
        <v>100.0</v>
      </c>
      <c r="E155" s="109">
        <f t="shared" ref="E155:E161" si="34">D155</f>
        <v>100</v>
      </c>
    </row>
    <row r="156" ht="15.75" customHeight="1">
      <c r="B156" s="5" t="s">
        <v>111</v>
      </c>
      <c r="C156" s="21" t="s">
        <v>21</v>
      </c>
      <c r="D156" s="108">
        <v>500.0</v>
      </c>
      <c r="E156" s="48">
        <f t="shared" si="34"/>
        <v>500</v>
      </c>
    </row>
    <row r="157" ht="15.75" customHeight="1">
      <c r="B157" s="5" t="s">
        <v>112</v>
      </c>
      <c r="C157" s="21" t="s">
        <v>21</v>
      </c>
      <c r="D157" s="108">
        <v>35000.0</v>
      </c>
      <c r="E157" s="48">
        <f t="shared" si="34"/>
        <v>35000</v>
      </c>
    </row>
    <row r="158" ht="15.75" customHeight="1">
      <c r="B158" s="5" t="s">
        <v>113</v>
      </c>
      <c r="C158" s="21" t="s">
        <v>21</v>
      </c>
      <c r="D158" s="108">
        <v>35000.0</v>
      </c>
      <c r="E158" s="48">
        <f t="shared" si="34"/>
        <v>35000</v>
      </c>
    </row>
    <row r="159" ht="15.75" customHeight="1">
      <c r="B159" s="5" t="s">
        <v>114</v>
      </c>
      <c r="C159" s="21" t="s">
        <v>21</v>
      </c>
      <c r="D159" s="108">
        <v>70000.0</v>
      </c>
      <c r="E159" s="48">
        <f t="shared" si="34"/>
        <v>70000</v>
      </c>
    </row>
    <row r="160" ht="15.75" customHeight="1">
      <c r="B160" s="5" t="s">
        <v>115</v>
      </c>
      <c r="C160" s="21" t="s">
        <v>21</v>
      </c>
      <c r="D160" s="108">
        <v>70000.0</v>
      </c>
      <c r="E160" s="48">
        <f t="shared" si="34"/>
        <v>70000</v>
      </c>
    </row>
    <row r="161" ht="15.75" customHeight="1">
      <c r="B161" s="11" t="s">
        <v>20</v>
      </c>
      <c r="C161" s="22" t="s">
        <v>21</v>
      </c>
      <c r="D161" s="110">
        <f>D15</f>
        <v>1000</v>
      </c>
      <c r="E161" s="111">
        <f t="shared" si="34"/>
        <v>1000</v>
      </c>
    </row>
    <row r="162" ht="15.75" customHeight="1">
      <c r="B162" s="18" t="s">
        <v>116</v>
      </c>
      <c r="C162" s="19" t="s">
        <v>21</v>
      </c>
      <c r="D162" s="112">
        <f t="shared" ref="D162:E162" si="35">D159-D155</f>
        <v>69900</v>
      </c>
      <c r="E162" s="54">
        <f t="shared" si="35"/>
        <v>69900</v>
      </c>
    </row>
    <row r="163" ht="15.75" customHeight="1">
      <c r="B163" s="5" t="s">
        <v>117</v>
      </c>
      <c r="C163" s="21" t="s">
        <v>21</v>
      </c>
      <c r="D163" s="79">
        <f t="shared" ref="D163:E163" si="36">D160-D156</f>
        <v>69500</v>
      </c>
      <c r="E163" s="51">
        <f t="shared" si="36"/>
        <v>69500</v>
      </c>
    </row>
    <row r="164" ht="15.75" customHeight="1">
      <c r="B164" s="5" t="s">
        <v>118</v>
      </c>
      <c r="C164" s="21" t="s">
        <v>21</v>
      </c>
      <c r="D164" s="79">
        <f t="shared" ref="D164:E164" si="37">D157-D20</f>
        <v>35400</v>
      </c>
      <c r="E164" s="51">
        <f t="shared" si="37"/>
        <v>35000</v>
      </c>
    </row>
    <row r="165" ht="15.75" customHeight="1">
      <c r="B165" s="11" t="s">
        <v>119</v>
      </c>
      <c r="C165" s="22" t="s">
        <v>21</v>
      </c>
      <c r="D165" s="113">
        <f t="shared" ref="D165:E165" si="38">D158+D20</f>
        <v>34600</v>
      </c>
      <c r="E165" s="55">
        <f t="shared" si="38"/>
        <v>35000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29"/>
    <col customWidth="1" min="3" max="3" width="7.86"/>
    <col customWidth="1" min="4" max="8" width="17.86"/>
    <col customWidth="1" min="9" max="9" width="19.57"/>
    <col customWidth="1" min="10" max="10" width="26.57"/>
    <col customWidth="1" min="11" max="11" width="25.86"/>
  </cols>
  <sheetData>
    <row r="1">
      <c r="B1" s="1" t="s">
        <v>0</v>
      </c>
    </row>
    <row r="2">
      <c r="B2" s="2" t="s">
        <v>1</v>
      </c>
    </row>
    <row r="4">
      <c r="B4" s="3" t="s">
        <v>123</v>
      </c>
    </row>
    <row r="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>
      <c r="B6" s="5" t="s">
        <v>9</v>
      </c>
      <c r="C6" s="6">
        <v>80.0</v>
      </c>
      <c r="D6" s="7">
        <v>82.0</v>
      </c>
      <c r="E6" s="9">
        <f>(1-1/G6)*100</f>
        <v>93.33333333</v>
      </c>
      <c r="F6" s="9">
        <f>E6+0.02</f>
        <v>93.35333333</v>
      </c>
      <c r="G6" s="10">
        <v>15.0</v>
      </c>
    </row>
    <row r="7">
      <c r="B7" s="5" t="s">
        <v>10</v>
      </c>
      <c r="C7" s="6">
        <v>75.0</v>
      </c>
      <c r="D7" s="7">
        <v>77.0</v>
      </c>
      <c r="G7" s="10"/>
    </row>
    <row r="8">
      <c r="B8" s="5" t="s">
        <v>11</v>
      </c>
      <c r="C8" s="6">
        <v>85.0</v>
      </c>
      <c r="D8" s="7">
        <v>87.0</v>
      </c>
      <c r="G8" s="10"/>
    </row>
    <row r="9">
      <c r="B9" s="11" t="s">
        <v>12</v>
      </c>
      <c r="C9" s="12">
        <v>75.0</v>
      </c>
      <c r="D9" s="13">
        <v>77.0</v>
      </c>
      <c r="E9" s="14"/>
      <c r="F9" s="14"/>
      <c r="G9" s="15"/>
    </row>
    <row r="12">
      <c r="B12" s="28" t="s">
        <v>26</v>
      </c>
    </row>
    <row r="13" ht="15.75" customHeight="1">
      <c r="B13" s="28"/>
    </row>
    <row r="14">
      <c r="B14" s="3" t="s">
        <v>27</v>
      </c>
    </row>
    <row r="15">
      <c r="B15" s="16" t="s">
        <v>124</v>
      </c>
      <c r="C15" s="4" t="s">
        <v>15</v>
      </c>
      <c r="D15" s="17" t="s">
        <v>16</v>
      </c>
      <c r="E15" s="17" t="s">
        <v>30</v>
      </c>
      <c r="F15" s="17" t="s">
        <v>125</v>
      </c>
      <c r="G15" s="17" t="s">
        <v>66</v>
      </c>
      <c r="H15" s="4" t="s">
        <v>126</v>
      </c>
    </row>
    <row r="16">
      <c r="B16" s="5" t="s">
        <v>9</v>
      </c>
      <c r="C16" s="21" t="s">
        <v>24</v>
      </c>
      <c r="D16" s="128">
        <v>50.0</v>
      </c>
      <c r="E16" s="128">
        <f t="shared" ref="E16:E17" si="1">VLOOKUP(B16,B6:G9,2,0)</f>
        <v>80</v>
      </c>
      <c r="F16" s="25">
        <f t="shared" ref="F16:F17" si="2">VLOOKUP(B16,B6:G9,3,0)</f>
        <v>82</v>
      </c>
      <c r="G16" s="25">
        <f t="shared" ref="G16:G17" si="3">D16*E16/100</f>
        <v>40</v>
      </c>
      <c r="H16" s="43">
        <f t="shared" ref="H16:H17" si="4">D16*F16/100</f>
        <v>41</v>
      </c>
    </row>
    <row r="17">
      <c r="B17" s="11" t="s">
        <v>10</v>
      </c>
      <c r="C17" s="22" t="s">
        <v>24</v>
      </c>
      <c r="D17" s="30">
        <v>100.0</v>
      </c>
      <c r="E17" s="30">
        <f t="shared" si="1"/>
        <v>75</v>
      </c>
      <c r="F17" s="31">
        <f t="shared" si="2"/>
        <v>77</v>
      </c>
      <c r="G17" s="31">
        <f t="shared" si="3"/>
        <v>75</v>
      </c>
      <c r="H17" s="32">
        <f t="shared" si="4"/>
        <v>77</v>
      </c>
    </row>
    <row r="18">
      <c r="A18" s="25"/>
      <c r="B18" s="25"/>
      <c r="D18" s="25"/>
      <c r="E18" s="25"/>
      <c r="F18" s="25"/>
      <c r="G18" s="25"/>
      <c r="H18" s="25"/>
    </row>
    <row r="19">
      <c r="B19" s="16" t="s">
        <v>29</v>
      </c>
      <c r="C19" s="4" t="s">
        <v>15</v>
      </c>
      <c r="D19" s="17" t="s">
        <v>16</v>
      </c>
      <c r="E19" s="25"/>
      <c r="F19" s="25"/>
      <c r="G19" s="25"/>
      <c r="H19" s="25"/>
      <c r="K19" s="25"/>
    </row>
    <row r="20">
      <c r="B20" s="5" t="s">
        <v>11</v>
      </c>
      <c r="C20" s="21" t="s">
        <v>24</v>
      </c>
      <c r="D20" s="41">
        <v>10.0</v>
      </c>
      <c r="E20" s="25"/>
      <c r="F20" s="25"/>
      <c r="G20" s="25"/>
      <c r="H20" s="25"/>
    </row>
    <row r="21" ht="15.75" customHeight="1">
      <c r="B21" s="11" t="s">
        <v>12</v>
      </c>
      <c r="C21" s="22" t="s">
        <v>24</v>
      </c>
      <c r="D21" s="23">
        <v>1.0</v>
      </c>
      <c r="E21" s="25"/>
      <c r="F21" s="25"/>
      <c r="G21" s="25"/>
      <c r="H21" s="25"/>
    </row>
    <row r="22" ht="15.75" customHeight="1">
      <c r="B22" s="3"/>
      <c r="C22" s="3"/>
      <c r="D22" s="3"/>
    </row>
    <row r="23" ht="15.75" customHeight="1">
      <c r="B23" s="3" t="s">
        <v>127</v>
      </c>
    </row>
    <row r="24" ht="15.75" customHeight="1">
      <c r="B24" s="16" t="s">
        <v>65</v>
      </c>
      <c r="C24" s="4" t="s">
        <v>15</v>
      </c>
      <c r="D24" s="29" t="s">
        <v>16</v>
      </c>
    </row>
    <row r="25" ht="15.75" customHeight="1">
      <c r="B25" s="18" t="s">
        <v>76</v>
      </c>
      <c r="C25" s="19" t="s">
        <v>24</v>
      </c>
      <c r="D25" s="60">
        <f>D17+D16</f>
        <v>150</v>
      </c>
    </row>
    <row r="26" ht="15.75" customHeight="1">
      <c r="B26" s="5" t="s">
        <v>77</v>
      </c>
      <c r="C26" s="21" t="s">
        <v>24</v>
      </c>
      <c r="D26" s="50">
        <f>D20+D21</f>
        <v>11</v>
      </c>
    </row>
    <row r="27" ht="15.75" customHeight="1">
      <c r="B27" s="5" t="s">
        <v>78</v>
      </c>
      <c r="C27" s="21" t="s">
        <v>24</v>
      </c>
      <c r="D27" s="50">
        <f>D25-D26</f>
        <v>139</v>
      </c>
    </row>
    <row r="28" ht="15.75" customHeight="1">
      <c r="B28" s="11" t="s">
        <v>79</v>
      </c>
      <c r="C28" s="22" t="s">
        <v>74</v>
      </c>
      <c r="D28" s="129">
        <f>D25/D26</f>
        <v>13.63636364</v>
      </c>
    </row>
    <row r="29" ht="15.75" customHeight="1">
      <c r="D29" s="9"/>
      <c r="E29" s="9"/>
    </row>
    <row r="30" ht="15.75" customHeight="1">
      <c r="B30" s="3" t="s">
        <v>128</v>
      </c>
    </row>
    <row r="31" ht="15.75" customHeight="1">
      <c r="B31" s="16" t="s">
        <v>65</v>
      </c>
      <c r="C31" s="4" t="s">
        <v>15</v>
      </c>
      <c r="D31" s="17" t="s">
        <v>66</v>
      </c>
      <c r="E31" s="4" t="s">
        <v>126</v>
      </c>
    </row>
    <row r="32" ht="15.75" customHeight="1">
      <c r="B32" s="5" t="s">
        <v>31</v>
      </c>
      <c r="C32" s="21" t="s">
        <v>24</v>
      </c>
      <c r="D32" s="94">
        <f t="shared" ref="D32:E32" si="5">G17+G16</f>
        <v>115</v>
      </c>
      <c r="E32" s="50">
        <f t="shared" si="5"/>
        <v>118</v>
      </c>
    </row>
    <row r="33" ht="15.75" customHeight="1">
      <c r="B33" s="5" t="s">
        <v>71</v>
      </c>
      <c r="C33" s="21" t="s">
        <v>24</v>
      </c>
      <c r="D33" s="94">
        <f t="shared" ref="D33:E33" si="6">D32</f>
        <v>115</v>
      </c>
      <c r="E33" s="50">
        <f t="shared" si="6"/>
        <v>118</v>
      </c>
    </row>
    <row r="34" ht="15.75" customHeight="1">
      <c r="B34" s="5" t="s">
        <v>72</v>
      </c>
      <c r="C34" s="21" t="s">
        <v>24</v>
      </c>
      <c r="D34" s="94">
        <f>D26</f>
        <v>11</v>
      </c>
      <c r="E34" s="50">
        <f>D26</f>
        <v>11</v>
      </c>
    </row>
    <row r="35" ht="15.75" customHeight="1">
      <c r="B35" s="5" t="s">
        <v>73</v>
      </c>
      <c r="C35" s="21" t="s">
        <v>91</v>
      </c>
      <c r="D35" s="94">
        <f t="shared" ref="D35:E35" si="7">D33/D34</f>
        <v>10.45454545</v>
      </c>
      <c r="E35" s="50">
        <f t="shared" si="7"/>
        <v>10.72727273</v>
      </c>
    </row>
    <row r="36" ht="15.75" customHeight="1">
      <c r="B36" s="5" t="s">
        <v>129</v>
      </c>
      <c r="C36" s="21" t="s">
        <v>24</v>
      </c>
      <c r="D36" s="94">
        <f>D33-D34</f>
        <v>104</v>
      </c>
      <c r="E36" s="50"/>
    </row>
    <row r="37" ht="15.75" customHeight="1">
      <c r="B37" s="5" t="s">
        <v>130</v>
      </c>
      <c r="C37" s="21" t="s">
        <v>18</v>
      </c>
      <c r="D37" s="94">
        <f>D36/D27</f>
        <v>0.7482014388</v>
      </c>
      <c r="E37" s="50"/>
    </row>
    <row r="38" ht="15.75" customHeight="1">
      <c r="B38" s="73" t="s">
        <v>131</v>
      </c>
      <c r="C38" s="74" t="s">
        <v>91</v>
      </c>
      <c r="D38" s="130">
        <f>D37*G6</f>
        <v>11.22302158</v>
      </c>
      <c r="E38" s="131"/>
      <c r="F38" s="98" t="s">
        <v>132</v>
      </c>
    </row>
    <row r="39" ht="15.75" customHeight="1">
      <c r="B39" s="62"/>
      <c r="C39" s="62"/>
      <c r="D39" s="106"/>
      <c r="E39" s="107"/>
    </row>
    <row r="40" ht="15.75" customHeight="1">
      <c r="B40" s="62"/>
      <c r="C40" s="62"/>
      <c r="D40" s="106"/>
      <c r="E40" s="107"/>
    </row>
    <row r="41" ht="15.75" customHeight="1">
      <c r="B41" s="28" t="s">
        <v>133</v>
      </c>
      <c r="C41" s="62"/>
      <c r="D41" s="106"/>
      <c r="E41" s="107"/>
    </row>
    <row r="42" ht="15.75" customHeight="1"/>
    <row r="43" ht="15.75" customHeight="1">
      <c r="B43" s="3" t="s">
        <v>109</v>
      </c>
      <c r="D43" s="3" t="s">
        <v>46</v>
      </c>
      <c r="E43" s="3" t="s">
        <v>46</v>
      </c>
      <c r="F43" s="3" t="s">
        <v>47</v>
      </c>
      <c r="G43" s="3" t="s">
        <v>47</v>
      </c>
    </row>
    <row r="44" ht="15.75" customHeight="1">
      <c r="B44" s="77" t="s">
        <v>65</v>
      </c>
      <c r="C44" s="78" t="s">
        <v>15</v>
      </c>
      <c r="D44" s="17" t="s">
        <v>66</v>
      </c>
      <c r="E44" s="4" t="s">
        <v>126</v>
      </c>
      <c r="F44" s="17" t="s">
        <v>66</v>
      </c>
      <c r="G44" s="4" t="s">
        <v>126</v>
      </c>
    </row>
    <row r="45" ht="15.75" customHeight="1">
      <c r="B45" s="5" t="s">
        <v>134</v>
      </c>
      <c r="C45" s="21" t="s">
        <v>91</v>
      </c>
      <c r="D45" s="6" t="s">
        <v>9</v>
      </c>
      <c r="E45" s="10" t="s">
        <v>9</v>
      </c>
      <c r="F45" s="6" t="s">
        <v>9</v>
      </c>
      <c r="G45" s="10" t="s">
        <v>9</v>
      </c>
    </row>
    <row r="46" ht="15.75" customHeight="1">
      <c r="B46" s="5" t="s">
        <v>135</v>
      </c>
      <c r="C46" s="21" t="s">
        <v>91</v>
      </c>
      <c r="D46" s="99" t="s">
        <v>136</v>
      </c>
      <c r="E46" s="132" t="s">
        <v>136</v>
      </c>
      <c r="F46" s="99" t="s">
        <v>137</v>
      </c>
      <c r="G46" s="132" t="s">
        <v>137</v>
      </c>
    </row>
    <row r="47" ht="15.75" customHeight="1">
      <c r="B47" s="5" t="s">
        <v>138</v>
      </c>
      <c r="C47" s="21" t="s">
        <v>18</v>
      </c>
      <c r="D47" s="133">
        <f t="shared" ref="D47:G47" si="8">VLOOKUP($E$45,$B$6:$G$9,4,0)/100</f>
        <v>0.9333333333</v>
      </c>
      <c r="E47" s="134">
        <f t="shared" si="8"/>
        <v>0.9333333333</v>
      </c>
      <c r="F47" s="133">
        <f t="shared" si="8"/>
        <v>0.9333333333</v>
      </c>
      <c r="G47" s="134">
        <f t="shared" si="8"/>
        <v>0.9333333333</v>
      </c>
    </row>
    <row r="48" ht="15.75" customHeight="1">
      <c r="B48" s="5" t="s">
        <v>139</v>
      </c>
      <c r="C48" s="21" t="s">
        <v>18</v>
      </c>
      <c r="D48" s="133">
        <f>D47</f>
        <v>0.9333333333</v>
      </c>
      <c r="E48" s="134">
        <f>VLOOKUP($E$45,$B$6:$G$9,5,0)/100</f>
        <v>0.9335333333</v>
      </c>
      <c r="F48" s="133">
        <f>F47</f>
        <v>0.9333333333</v>
      </c>
      <c r="G48" s="134">
        <f>VLOOKUP($E$45,$B$6:$G$9,5,0)/100</f>
        <v>0.9335333333</v>
      </c>
      <c r="I48" s="25"/>
      <c r="J48" s="25"/>
    </row>
    <row r="49" ht="15.75" customHeight="1">
      <c r="B49" s="5" t="s">
        <v>140</v>
      </c>
      <c r="C49" s="21" t="s">
        <v>91</v>
      </c>
      <c r="D49" s="5">
        <f t="shared" ref="D49:G49" si="9">VLOOKUP($E$45,$B$6:$G$9,6,0)</f>
        <v>15</v>
      </c>
      <c r="E49" s="135">
        <f t="shared" si="9"/>
        <v>15</v>
      </c>
      <c r="F49" s="5">
        <f t="shared" si="9"/>
        <v>15</v>
      </c>
      <c r="G49" s="135">
        <f t="shared" si="9"/>
        <v>15</v>
      </c>
      <c r="J49" s="25"/>
    </row>
    <row r="50" ht="15.75" customHeight="1">
      <c r="B50" s="5" t="s">
        <v>17</v>
      </c>
      <c r="C50" s="21" t="s">
        <v>18</v>
      </c>
      <c r="D50" s="136">
        <v>3.0E-4</v>
      </c>
      <c r="E50" s="121">
        <v>3.0E-4</v>
      </c>
      <c r="F50" s="136">
        <v>3.0E-4</v>
      </c>
      <c r="G50" s="121">
        <v>3.0E-4</v>
      </c>
    </row>
    <row r="51" ht="15.75" customHeight="1">
      <c r="B51" s="5" t="s">
        <v>19</v>
      </c>
      <c r="C51" s="21" t="s">
        <v>18</v>
      </c>
      <c r="D51" s="136">
        <v>3.0E-4</v>
      </c>
      <c r="E51" s="121">
        <v>3.0E-4</v>
      </c>
      <c r="F51" s="136">
        <v>3.0E-4</v>
      </c>
      <c r="G51" s="121">
        <v>3.0E-4</v>
      </c>
    </row>
    <row r="52" ht="15.75" customHeight="1">
      <c r="B52" s="5" t="s">
        <v>23</v>
      </c>
      <c r="C52" s="21" t="s">
        <v>24</v>
      </c>
      <c r="D52" s="108">
        <v>2000.0</v>
      </c>
      <c r="E52" s="41">
        <v>2000.0</v>
      </c>
      <c r="F52" s="108">
        <v>2000.0</v>
      </c>
      <c r="G52" s="41">
        <v>2000.0</v>
      </c>
    </row>
    <row r="53" ht="15.75" customHeight="1">
      <c r="B53" s="18" t="s">
        <v>25</v>
      </c>
      <c r="C53" s="19" t="s">
        <v>21</v>
      </c>
      <c r="D53" s="112">
        <f>D54-D55</f>
        <v>-400</v>
      </c>
      <c r="E53" s="137">
        <f t="shared" ref="E53:E60" si="11">D53</f>
        <v>-400</v>
      </c>
      <c r="F53" s="112">
        <f t="shared" ref="F53:G53" si="10">D53</f>
        <v>-400</v>
      </c>
      <c r="G53" s="138">
        <f t="shared" si="10"/>
        <v>-400</v>
      </c>
    </row>
    <row r="54" ht="15.75" customHeight="1">
      <c r="B54" s="5" t="s">
        <v>110</v>
      </c>
      <c r="C54" s="21" t="s">
        <v>21</v>
      </c>
      <c r="D54" s="108">
        <v>100.0</v>
      </c>
      <c r="E54" s="128">
        <f t="shared" si="11"/>
        <v>100</v>
      </c>
      <c r="F54" s="108">
        <f t="shared" ref="F54:G54" si="12">D54</f>
        <v>100</v>
      </c>
      <c r="G54" s="41">
        <f t="shared" si="12"/>
        <v>100</v>
      </c>
    </row>
    <row r="55" ht="15.75" customHeight="1">
      <c r="B55" s="5" t="s">
        <v>111</v>
      </c>
      <c r="C55" s="21" t="s">
        <v>21</v>
      </c>
      <c r="D55" s="108">
        <v>500.0</v>
      </c>
      <c r="E55" s="128">
        <f t="shared" si="11"/>
        <v>500</v>
      </c>
      <c r="F55" s="108">
        <f t="shared" ref="F55:G55" si="13">D55</f>
        <v>500</v>
      </c>
      <c r="G55" s="41">
        <f t="shared" si="13"/>
        <v>500</v>
      </c>
    </row>
    <row r="56" ht="15.75" customHeight="1">
      <c r="B56" s="5" t="s">
        <v>112</v>
      </c>
      <c r="C56" s="21" t="s">
        <v>21</v>
      </c>
      <c r="D56" s="108">
        <v>35000.0</v>
      </c>
      <c r="E56" s="128">
        <f t="shared" si="11"/>
        <v>35000</v>
      </c>
      <c r="F56" s="108">
        <f t="shared" ref="F56:G56" si="14">D56</f>
        <v>35000</v>
      </c>
      <c r="G56" s="41">
        <f t="shared" si="14"/>
        <v>35000</v>
      </c>
    </row>
    <row r="57" ht="15.75" customHeight="1">
      <c r="B57" s="5" t="s">
        <v>113</v>
      </c>
      <c r="C57" s="21" t="s">
        <v>21</v>
      </c>
      <c r="D57" s="108">
        <v>35000.0</v>
      </c>
      <c r="E57" s="128">
        <f t="shared" si="11"/>
        <v>35000</v>
      </c>
      <c r="F57" s="108">
        <f t="shared" ref="F57:G57" si="15">D57</f>
        <v>35000</v>
      </c>
      <c r="G57" s="41">
        <f t="shared" si="15"/>
        <v>35000</v>
      </c>
    </row>
    <row r="58" ht="15.75" customHeight="1">
      <c r="B58" s="5" t="s">
        <v>114</v>
      </c>
      <c r="C58" s="21" t="s">
        <v>21</v>
      </c>
      <c r="D58" s="108">
        <v>70000.0</v>
      </c>
      <c r="E58" s="128">
        <f t="shared" si="11"/>
        <v>70000</v>
      </c>
      <c r="F58" s="108">
        <f t="shared" ref="F58:G58" si="16">D58</f>
        <v>70000</v>
      </c>
      <c r="G58" s="41">
        <f t="shared" si="16"/>
        <v>70000</v>
      </c>
    </row>
    <row r="59" ht="15.75" customHeight="1">
      <c r="B59" s="5" t="s">
        <v>115</v>
      </c>
      <c r="C59" s="21" t="s">
        <v>21</v>
      </c>
      <c r="D59" s="108">
        <v>70000.0</v>
      </c>
      <c r="E59" s="128">
        <f t="shared" si="11"/>
        <v>70000</v>
      </c>
      <c r="F59" s="108">
        <f t="shared" ref="F59:G59" si="17">D59</f>
        <v>70000</v>
      </c>
      <c r="G59" s="41">
        <f t="shared" si="17"/>
        <v>70000</v>
      </c>
    </row>
    <row r="60" ht="15.75" customHeight="1">
      <c r="B60" s="11" t="s">
        <v>20</v>
      </c>
      <c r="C60" s="22" t="s">
        <v>21</v>
      </c>
      <c r="D60" s="110">
        <v>1000000.0</v>
      </c>
      <c r="E60" s="30">
        <f t="shared" si="11"/>
        <v>1000000</v>
      </c>
      <c r="F60" s="110">
        <f t="shared" ref="F60:G60" si="18">D60</f>
        <v>1000000</v>
      </c>
      <c r="G60" s="23">
        <f t="shared" si="18"/>
        <v>1000000</v>
      </c>
    </row>
    <row r="61" ht="15.75" customHeight="1">
      <c r="B61" s="18" t="s">
        <v>116</v>
      </c>
      <c r="C61" s="19" t="s">
        <v>21</v>
      </c>
      <c r="D61" s="112">
        <f t="shared" ref="D61:G61" si="19">D58-D54</f>
        <v>69900</v>
      </c>
      <c r="E61" s="138">
        <f t="shared" si="19"/>
        <v>69900</v>
      </c>
      <c r="F61" s="79">
        <f t="shared" si="19"/>
        <v>69900</v>
      </c>
      <c r="G61" s="43">
        <f t="shared" si="19"/>
        <v>69900</v>
      </c>
    </row>
    <row r="62" ht="15.75" customHeight="1">
      <c r="B62" s="5" t="s">
        <v>117</v>
      </c>
      <c r="C62" s="21" t="s">
        <v>21</v>
      </c>
      <c r="D62" s="79">
        <f t="shared" ref="D62:G62" si="20">D59-D55</f>
        <v>69500</v>
      </c>
      <c r="E62" s="43">
        <f t="shared" si="20"/>
        <v>69500</v>
      </c>
      <c r="F62" s="79">
        <f t="shared" si="20"/>
        <v>69500</v>
      </c>
      <c r="G62" s="43">
        <f t="shared" si="20"/>
        <v>69500</v>
      </c>
    </row>
    <row r="63" ht="15.75" customHeight="1">
      <c r="B63" s="5" t="s">
        <v>118</v>
      </c>
      <c r="C63" s="21" t="s">
        <v>21</v>
      </c>
      <c r="D63" s="79">
        <f t="shared" ref="D63:G63" si="21">D56-D53</f>
        <v>35400</v>
      </c>
      <c r="E63" s="43">
        <f t="shared" si="21"/>
        <v>35400</v>
      </c>
      <c r="F63" s="79">
        <f t="shared" si="21"/>
        <v>35400</v>
      </c>
      <c r="G63" s="43">
        <f t="shared" si="21"/>
        <v>35400</v>
      </c>
    </row>
    <row r="64" ht="15.75" customHeight="1">
      <c r="B64" s="11" t="s">
        <v>119</v>
      </c>
      <c r="C64" s="22" t="s">
        <v>21</v>
      </c>
      <c r="D64" s="113">
        <f t="shared" ref="D64:G64" si="22">D57+D53</f>
        <v>34600</v>
      </c>
      <c r="E64" s="32">
        <f t="shared" si="22"/>
        <v>34600</v>
      </c>
      <c r="F64" s="113">
        <f t="shared" si="22"/>
        <v>34600</v>
      </c>
      <c r="G64" s="32">
        <f t="shared" si="22"/>
        <v>34600</v>
      </c>
    </row>
    <row r="65" ht="15.75" customHeight="1"/>
    <row r="66" ht="15.75" customHeight="1"/>
    <row r="67" ht="15.75" customHeight="1">
      <c r="B67" s="3" t="s">
        <v>85</v>
      </c>
      <c r="I67" s="9"/>
    </row>
    <row r="68" ht="15.75" customHeight="1">
      <c r="B68" s="77" t="s">
        <v>65</v>
      </c>
      <c r="C68" s="78" t="s">
        <v>15</v>
      </c>
      <c r="D68" s="77" t="s">
        <v>46</v>
      </c>
      <c r="E68" s="139" t="s">
        <v>47</v>
      </c>
    </row>
    <row r="69" ht="15.75" customHeight="1">
      <c r="B69" s="5" t="s">
        <v>92</v>
      </c>
      <c r="C69" s="21" t="s">
        <v>91</v>
      </c>
      <c r="D69" s="140">
        <f>D52/2/D60*(D47-D50-D51-1)</f>
        <v>-0.00006726666667</v>
      </c>
      <c r="E69" s="141">
        <f>-F52/2/F60*(F47-F50-F51-1)</f>
        <v>0.00006726666667</v>
      </c>
    </row>
    <row r="70" ht="15.75" customHeight="1">
      <c r="B70" s="5" t="s">
        <v>93</v>
      </c>
      <c r="C70" s="21" t="s">
        <v>91</v>
      </c>
      <c r="D70" s="79">
        <f>D52*(D53/D60+1)*(D47-D50-D51-1)</f>
        <v>-134.47952</v>
      </c>
      <c r="E70" s="142">
        <f>F52*(F53/F60+1)*(F47-F50-F51-1)</f>
        <v>-134.47952</v>
      </c>
      <c r="J70" s="9"/>
    </row>
    <row r="71" ht="15.75" customHeight="1">
      <c r="B71" s="5" t="s">
        <v>94</v>
      </c>
      <c r="C71" s="21" t="s">
        <v>91</v>
      </c>
      <c r="D71" s="79">
        <f t="shared" ref="D71:E71" si="23">$D$36</f>
        <v>104</v>
      </c>
      <c r="E71" s="43">
        <f t="shared" si="23"/>
        <v>104</v>
      </c>
    </row>
    <row r="72" ht="15.75" customHeight="1">
      <c r="B72" s="5" t="s">
        <v>95</v>
      </c>
      <c r="C72" s="21" t="s">
        <v>91</v>
      </c>
      <c r="D72" s="79">
        <f t="shared" ref="D72:E72" si="24">D70^2-4*D69*D71</f>
        <v>18084.76928</v>
      </c>
      <c r="E72" s="142">
        <f t="shared" si="24"/>
        <v>18084.71332</v>
      </c>
      <c r="J72" s="25"/>
    </row>
    <row r="73" ht="15.75" customHeight="1">
      <c r="B73" s="42" t="s">
        <v>96</v>
      </c>
      <c r="C73" s="38" t="s">
        <v>21</v>
      </c>
      <c r="D73" s="126">
        <f t="shared" ref="D73:E73" si="25">(-D70-SQRT(D72))/2/D69</f>
        <v>0.7733516581</v>
      </c>
      <c r="E73" s="143">
        <f t="shared" si="25"/>
        <v>0.7733522564</v>
      </c>
      <c r="F73" s="62"/>
      <c r="H73" s="62"/>
      <c r="J73" s="25"/>
    </row>
    <row r="74" ht="15.75" customHeight="1">
      <c r="D74" s="25"/>
      <c r="G74" s="25"/>
    </row>
    <row r="75" ht="15.75" customHeight="1">
      <c r="I75" s="92"/>
    </row>
    <row r="76" ht="15.75" customHeight="1">
      <c r="B76" s="3" t="s">
        <v>141</v>
      </c>
      <c r="I76" s="92"/>
    </row>
    <row r="77" ht="15.75" customHeight="1">
      <c r="B77" s="77" t="s">
        <v>65</v>
      </c>
      <c r="C77" s="78" t="s">
        <v>15</v>
      </c>
      <c r="D77" s="77" t="s">
        <v>46</v>
      </c>
      <c r="E77" s="139" t="s">
        <v>47</v>
      </c>
    </row>
    <row r="78" ht="15.75" customHeight="1">
      <c r="B78" s="5" t="s">
        <v>142</v>
      </c>
      <c r="C78" s="21" t="s">
        <v>21</v>
      </c>
      <c r="D78" s="79">
        <f>D73</f>
        <v>0.7733516581</v>
      </c>
      <c r="E78" s="43">
        <f>D73</f>
        <v>0.7733516581</v>
      </c>
    </row>
    <row r="79" ht="15.75" customHeight="1">
      <c r="B79" s="5" t="s">
        <v>143</v>
      </c>
      <c r="C79" s="21" t="s">
        <v>21</v>
      </c>
      <c r="D79" s="79">
        <f>D63</f>
        <v>35400</v>
      </c>
      <c r="E79" s="43">
        <f>F64</f>
        <v>34600</v>
      </c>
      <c r="I79" s="144"/>
    </row>
    <row r="80" ht="15.75" customHeight="1">
      <c r="B80" s="5" t="s">
        <v>144</v>
      </c>
      <c r="C80" s="21" t="s">
        <v>21</v>
      </c>
      <c r="D80" s="79">
        <f>D61</f>
        <v>69900</v>
      </c>
      <c r="E80" s="43">
        <f>F62</f>
        <v>69500</v>
      </c>
      <c r="I80" s="45"/>
      <c r="J80" s="45"/>
      <c r="K80" s="25"/>
    </row>
    <row r="81" ht="15.75" customHeight="1">
      <c r="B81" s="42" t="s">
        <v>96</v>
      </c>
      <c r="C81" s="38" t="s">
        <v>21</v>
      </c>
      <c r="D81" s="37">
        <f>MIN(D78:D80)</f>
        <v>0.7733516581</v>
      </c>
      <c r="E81" s="40">
        <f>-MIN(E78:E80)</f>
        <v>-0.7733516581</v>
      </c>
      <c r="F81" s="145" t="s">
        <v>145</v>
      </c>
      <c r="I81" s="91"/>
      <c r="J81" s="9"/>
    </row>
    <row r="82" ht="15.75" customHeight="1">
      <c r="A82" s="45"/>
      <c r="B82" s="45"/>
      <c r="C82" s="45"/>
      <c r="D82" s="45"/>
      <c r="E82" s="45"/>
      <c r="F82" s="45"/>
      <c r="G82" s="45"/>
      <c r="H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</row>
    <row r="84" ht="15.75" customHeight="1">
      <c r="A84" s="45"/>
      <c r="C84" s="45"/>
      <c r="D84" s="45"/>
      <c r="E84" s="45"/>
      <c r="F84" s="45"/>
      <c r="G84" s="45"/>
      <c r="H84" s="45"/>
    </row>
    <row r="85" ht="15.75" customHeight="1">
      <c r="A85" s="45"/>
      <c r="B85" s="127" t="s">
        <v>122</v>
      </c>
      <c r="D85" s="3" t="s">
        <v>46</v>
      </c>
      <c r="E85" s="3" t="s">
        <v>46</v>
      </c>
      <c r="F85" s="3" t="s">
        <v>47</v>
      </c>
      <c r="G85" s="3" t="s">
        <v>47</v>
      </c>
      <c r="H85" s="45"/>
    </row>
    <row r="86" ht="15.75" customHeight="1">
      <c r="A86" s="45"/>
      <c r="B86" s="77" t="s">
        <v>65</v>
      </c>
      <c r="C86" s="78" t="s">
        <v>15</v>
      </c>
      <c r="D86" s="77" t="s">
        <v>4</v>
      </c>
      <c r="E86" s="139" t="s">
        <v>5</v>
      </c>
      <c r="F86" s="77" t="s">
        <v>4</v>
      </c>
      <c r="G86" s="139" t="s">
        <v>5</v>
      </c>
      <c r="H86" s="45"/>
    </row>
    <row r="87" ht="15.75" customHeight="1">
      <c r="B87" s="18" t="s">
        <v>98</v>
      </c>
      <c r="C87" s="19" t="s">
        <v>21</v>
      </c>
      <c r="D87" s="93">
        <f>D81</f>
        <v>0.7733516581</v>
      </c>
      <c r="E87" s="146">
        <f>D87</f>
        <v>0.7733516581</v>
      </c>
      <c r="F87" s="93">
        <f t="shared" ref="F87:G87" si="26">-D87</f>
        <v>-0.7733516581</v>
      </c>
      <c r="G87" s="146">
        <f t="shared" si="26"/>
        <v>-0.7733516581</v>
      </c>
    </row>
    <row r="88" ht="15.75" customHeight="1">
      <c r="B88" s="5" t="s">
        <v>100</v>
      </c>
      <c r="C88" s="21" t="s">
        <v>18</v>
      </c>
      <c r="D88" s="95">
        <f t="shared" ref="D88:G88" si="27">1+(D53+D87/2)/D60</f>
        <v>0.9996003867</v>
      </c>
      <c r="E88" s="57">
        <f t="shared" si="27"/>
        <v>0.9996003867</v>
      </c>
      <c r="F88" s="147">
        <f t="shared" si="27"/>
        <v>0.9995996133</v>
      </c>
      <c r="G88" s="148">
        <f t="shared" si="27"/>
        <v>0.9995996133</v>
      </c>
    </row>
    <row r="89" ht="15.75" customHeight="1">
      <c r="B89" s="5" t="s">
        <v>146</v>
      </c>
      <c r="C89" s="21" t="s">
        <v>18</v>
      </c>
      <c r="D89" s="95">
        <f t="shared" ref="D89:G89" si="28">D88</f>
        <v>0.9996003867</v>
      </c>
      <c r="E89" s="57">
        <f t="shared" si="28"/>
        <v>0.9996003867</v>
      </c>
      <c r="F89" s="147">
        <f t="shared" si="28"/>
        <v>0.9995996133</v>
      </c>
      <c r="G89" s="148">
        <f t="shared" si="28"/>
        <v>0.9995996133</v>
      </c>
    </row>
    <row r="90" ht="15.75" customHeight="1">
      <c r="B90" s="5" t="s">
        <v>103</v>
      </c>
      <c r="C90" s="21" t="s">
        <v>24</v>
      </c>
      <c r="D90" s="94">
        <f t="shared" ref="D90:G90" si="29">D52*D88</f>
        <v>1999.200773</v>
      </c>
      <c r="E90" s="57">
        <f t="shared" si="29"/>
        <v>1999.200773</v>
      </c>
      <c r="F90" s="94">
        <f t="shared" si="29"/>
        <v>1999.199227</v>
      </c>
      <c r="G90" s="57">
        <f t="shared" si="29"/>
        <v>1999.199227</v>
      </c>
    </row>
    <row r="91" ht="15.75" customHeight="1">
      <c r="B91" s="5" t="s">
        <v>147</v>
      </c>
      <c r="C91" s="21" t="s">
        <v>24</v>
      </c>
      <c r="D91" s="94">
        <f t="shared" ref="D91:G91" si="30">D52*D89</f>
        <v>1999.200773</v>
      </c>
      <c r="E91" s="57">
        <f t="shared" si="30"/>
        <v>1999.200773</v>
      </c>
      <c r="F91" s="94">
        <f t="shared" si="30"/>
        <v>1999.199227</v>
      </c>
      <c r="G91" s="57">
        <f t="shared" si="30"/>
        <v>1999.199227</v>
      </c>
    </row>
    <row r="92" ht="15.75" customHeight="1">
      <c r="B92" s="5"/>
      <c r="C92" s="21"/>
      <c r="D92" s="5"/>
      <c r="E92" s="135"/>
      <c r="F92" s="5"/>
      <c r="G92" s="135"/>
    </row>
    <row r="93" ht="15.75" customHeight="1">
      <c r="B93" s="5" t="s">
        <v>57</v>
      </c>
      <c r="C93" s="21" t="s">
        <v>24</v>
      </c>
      <c r="D93" s="94">
        <f t="shared" ref="D93:E93" si="31">D87*D90</f>
        <v>1546.085233</v>
      </c>
      <c r="E93" s="57">
        <f t="shared" si="31"/>
        <v>1546.085233</v>
      </c>
      <c r="F93" s="94">
        <f t="shared" ref="F93:G93" si="32">ABS(F87)*F90</f>
        <v>1546.084037</v>
      </c>
      <c r="G93" s="57">
        <f t="shared" si="32"/>
        <v>1546.084037</v>
      </c>
    </row>
    <row r="94" ht="15.75" customHeight="1">
      <c r="B94" s="5" t="s">
        <v>84</v>
      </c>
      <c r="C94" s="21" t="s">
        <v>24</v>
      </c>
      <c r="D94" s="94">
        <f t="shared" ref="D94:E94" si="33">D87*D91</f>
        <v>1546.085233</v>
      </c>
      <c r="E94" s="57">
        <f t="shared" si="33"/>
        <v>1546.085233</v>
      </c>
      <c r="F94" s="94">
        <f t="shared" ref="F94:G94" si="34">ABS(F87)*F91</f>
        <v>1546.084037</v>
      </c>
      <c r="G94" s="57">
        <f t="shared" si="34"/>
        <v>1546.084037</v>
      </c>
    </row>
    <row r="95" ht="15.75" customHeight="1">
      <c r="B95" s="5"/>
      <c r="C95" s="21"/>
      <c r="D95" s="5"/>
      <c r="E95" s="135"/>
      <c r="F95" s="5"/>
      <c r="G95" s="135"/>
    </row>
    <row r="96" ht="15.75" customHeight="1">
      <c r="B96" s="5" t="s">
        <v>17</v>
      </c>
      <c r="C96" s="21" t="s">
        <v>24</v>
      </c>
      <c r="D96" s="94">
        <f t="shared" ref="D96:G96" si="35">D93*D50</f>
        <v>0.4638255699</v>
      </c>
      <c r="E96" s="57">
        <f t="shared" si="35"/>
        <v>0.4638255699</v>
      </c>
      <c r="F96" s="94">
        <f t="shared" si="35"/>
        <v>0.4638252111</v>
      </c>
      <c r="G96" s="57">
        <f t="shared" si="35"/>
        <v>0.4638252111</v>
      </c>
    </row>
    <row r="97" ht="15.75" customHeight="1">
      <c r="B97" s="5" t="s">
        <v>19</v>
      </c>
      <c r="C97" s="21" t="s">
        <v>24</v>
      </c>
      <c r="D97" s="94">
        <f t="shared" ref="D97:G97" si="36">D94*D51</f>
        <v>0.4638255699</v>
      </c>
      <c r="E97" s="57">
        <f t="shared" si="36"/>
        <v>0.4638255699</v>
      </c>
      <c r="F97" s="94">
        <f t="shared" si="36"/>
        <v>0.4638252111</v>
      </c>
      <c r="G97" s="57">
        <f t="shared" si="36"/>
        <v>0.4638252111</v>
      </c>
    </row>
    <row r="98" ht="15.75" customHeight="1">
      <c r="B98" s="5"/>
      <c r="C98" s="21"/>
      <c r="D98" s="94"/>
      <c r="E98" s="57"/>
      <c r="F98" s="94"/>
      <c r="G98" s="57"/>
    </row>
    <row r="99" ht="15.75" customHeight="1">
      <c r="B99" s="5" t="s">
        <v>61</v>
      </c>
      <c r="C99" s="21" t="s">
        <v>24</v>
      </c>
      <c r="D99" s="94">
        <f>D94*(D47-D51)-D96</f>
        <v>1442.085233</v>
      </c>
      <c r="E99" s="57">
        <f>E94*(E48-E51)</f>
        <v>1442.858276</v>
      </c>
      <c r="F99" s="94">
        <f t="shared" ref="F99:G99" si="37">F93-F96</f>
        <v>1545.620212</v>
      </c>
      <c r="G99" s="57">
        <f t="shared" si="37"/>
        <v>1545.620212</v>
      </c>
    </row>
    <row r="100" ht="15.75" customHeight="1">
      <c r="B100" s="5" t="s">
        <v>62</v>
      </c>
      <c r="C100" s="21" t="s">
        <v>24</v>
      </c>
      <c r="D100" s="94">
        <f>D93</f>
        <v>1546.085233</v>
      </c>
      <c r="E100" s="57">
        <f>E93+E96</f>
        <v>1546.549059</v>
      </c>
      <c r="F100" s="94">
        <f>F94*(2-F47+F51)</f>
        <v>1649.620131</v>
      </c>
      <c r="G100" s="135">
        <f>G94*(2-G48+G51)</f>
        <v>1649.310914</v>
      </c>
      <c r="I100" s="25"/>
    </row>
    <row r="101" ht="15.75" customHeight="1">
      <c r="B101" s="5"/>
      <c r="C101" s="21"/>
      <c r="D101" s="5"/>
      <c r="E101" s="135"/>
      <c r="F101" s="5"/>
      <c r="G101" s="135"/>
      <c r="I101" s="25"/>
    </row>
    <row r="102" ht="15.75" customHeight="1">
      <c r="B102" s="99" t="s">
        <v>105</v>
      </c>
      <c r="C102" s="21"/>
      <c r="D102" s="5"/>
      <c r="E102" s="135"/>
      <c r="F102" s="5"/>
      <c r="G102" s="135"/>
      <c r="I102" s="45"/>
    </row>
    <row r="103" ht="15.75" customHeight="1">
      <c r="B103" s="5" t="s">
        <v>71</v>
      </c>
      <c r="C103" s="21" t="s">
        <v>24</v>
      </c>
      <c r="D103" s="94">
        <f>$D$33+D99</f>
        <v>1557.085233</v>
      </c>
      <c r="E103" s="57">
        <f>$E$33+E99</f>
        <v>1560.858276</v>
      </c>
      <c r="F103" s="94">
        <f>$D$33+F99</f>
        <v>1660.620212</v>
      </c>
      <c r="G103" s="57">
        <f>$E$33+G99</f>
        <v>1663.620212</v>
      </c>
    </row>
    <row r="104" ht="15.75" customHeight="1">
      <c r="B104" s="5" t="s">
        <v>72</v>
      </c>
      <c r="C104" s="21" t="s">
        <v>24</v>
      </c>
      <c r="D104" s="94">
        <f>$D$34+D100</f>
        <v>1557.085233</v>
      </c>
      <c r="E104" s="57">
        <f>$E$34+E100</f>
        <v>1557.549059</v>
      </c>
      <c r="F104" s="94">
        <f>$D$34+F100</f>
        <v>1660.620131</v>
      </c>
      <c r="G104" s="57">
        <f>$E$34+G100</f>
        <v>1660.310914</v>
      </c>
      <c r="I104" s="45"/>
    </row>
    <row r="105" ht="15.75" customHeight="1">
      <c r="B105" s="5" t="s">
        <v>73</v>
      </c>
      <c r="C105" s="21"/>
      <c r="D105" s="102">
        <f t="shared" ref="D105:G105" si="38">D103/D104</f>
        <v>1</v>
      </c>
      <c r="E105" s="149">
        <f t="shared" si="38"/>
        <v>1.002124631</v>
      </c>
      <c r="F105" s="102">
        <f t="shared" si="38"/>
        <v>1.000000048</v>
      </c>
      <c r="G105" s="150">
        <f t="shared" si="38"/>
        <v>1.001993179</v>
      </c>
      <c r="I105" s="9"/>
    </row>
    <row r="106" ht="15.75" customHeight="1">
      <c r="B106" s="5"/>
      <c r="C106" s="21"/>
      <c r="D106" s="102"/>
      <c r="E106" s="149"/>
      <c r="F106" s="102"/>
      <c r="G106" s="150"/>
      <c r="I106" s="9"/>
    </row>
    <row r="107" ht="15.75" customHeight="1">
      <c r="B107" s="99" t="s">
        <v>106</v>
      </c>
      <c r="C107" s="21"/>
      <c r="D107" s="5"/>
      <c r="E107" s="135"/>
      <c r="F107" s="5"/>
      <c r="G107" s="135"/>
    </row>
    <row r="108" ht="15.75" customHeight="1">
      <c r="B108" s="5" t="s">
        <v>57</v>
      </c>
      <c r="C108" s="21" t="s">
        <v>24</v>
      </c>
      <c r="D108" s="94">
        <f t="shared" ref="D108:G108" si="39">D93</f>
        <v>1546.085233</v>
      </c>
      <c r="E108" s="57">
        <f t="shared" si="39"/>
        <v>1546.085233</v>
      </c>
      <c r="F108" s="94">
        <f t="shared" si="39"/>
        <v>1546.084037</v>
      </c>
      <c r="G108" s="57">
        <f t="shared" si="39"/>
        <v>1546.084037</v>
      </c>
    </row>
    <row r="109" ht="15.75" customHeight="1">
      <c r="B109" s="5" t="s">
        <v>78</v>
      </c>
      <c r="C109" s="21" t="s">
        <v>24</v>
      </c>
      <c r="D109" s="94">
        <f>$D$27-D96-D97</f>
        <v>138.0723489</v>
      </c>
      <c r="E109" s="57">
        <f>D109</f>
        <v>138.0723489</v>
      </c>
      <c r="F109" s="94">
        <f t="shared" ref="F109:G109" si="40">$D$27-F96-F97</f>
        <v>138.0723496</v>
      </c>
      <c r="G109" s="57">
        <f t="shared" si="40"/>
        <v>138.0723496</v>
      </c>
    </row>
    <row r="110" ht="15.75" customHeight="1">
      <c r="B110" s="73" t="s">
        <v>107</v>
      </c>
      <c r="C110" s="74"/>
      <c r="D110" s="104">
        <f t="shared" ref="D110:G110" si="41">D108/D109</f>
        <v>11.19764562</v>
      </c>
      <c r="E110" s="76">
        <f t="shared" si="41"/>
        <v>11.19764562</v>
      </c>
      <c r="F110" s="104">
        <f t="shared" si="41"/>
        <v>11.1976369</v>
      </c>
      <c r="G110" s="76">
        <f t="shared" si="41"/>
        <v>11.1976369</v>
      </c>
      <c r="H110" s="98" t="s">
        <v>148</v>
      </c>
    </row>
    <row r="111" ht="15.75" customHeight="1">
      <c r="D111" s="91"/>
      <c r="G111" s="91"/>
      <c r="H111" s="91"/>
      <c r="I111" s="9"/>
    </row>
    <row r="112" ht="15.75" customHeight="1">
      <c r="I112" s="9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>
      <c r="I127" s="25"/>
    </row>
    <row r="128" ht="15.75" customHeight="1">
      <c r="I128" s="45"/>
    </row>
    <row r="129" ht="15.75" customHeight="1">
      <c r="I129" s="25"/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29"/>
    <col customWidth="1" min="3" max="3" width="15.43"/>
    <col customWidth="1" min="4" max="4" width="24.86"/>
    <col customWidth="1" min="5" max="5" width="27.29"/>
    <col customWidth="1" min="6" max="6" width="8.71"/>
    <col customWidth="1" min="7" max="7" width="24.14"/>
    <col customWidth="1" min="8" max="8" width="24.71"/>
  </cols>
  <sheetData>
    <row r="2">
      <c r="D2" s="98" t="s">
        <v>149</v>
      </c>
      <c r="E2" s="98" t="s">
        <v>149</v>
      </c>
      <c r="G2" s="98" t="s">
        <v>150</v>
      </c>
      <c r="H2" s="98" t="s">
        <v>150</v>
      </c>
    </row>
    <row r="3">
      <c r="B3" s="3" t="s">
        <v>151</v>
      </c>
      <c r="C3" s="24"/>
      <c r="D3" s="33" t="s">
        <v>46</v>
      </c>
      <c r="E3" s="33" t="s">
        <v>47</v>
      </c>
      <c r="G3" s="33" t="s">
        <v>46</v>
      </c>
      <c r="H3" s="33" t="s">
        <v>47</v>
      </c>
    </row>
    <row r="4">
      <c r="B4" s="16" t="s">
        <v>37</v>
      </c>
      <c r="C4" s="4" t="s">
        <v>15</v>
      </c>
      <c r="D4" s="4" t="s">
        <v>16</v>
      </c>
      <c r="E4" s="29" t="s">
        <v>16</v>
      </c>
      <c r="G4" s="4" t="s">
        <v>16</v>
      </c>
      <c r="H4" s="29" t="s">
        <v>16</v>
      </c>
    </row>
    <row r="5">
      <c r="B5" s="18" t="s">
        <v>48</v>
      </c>
      <c r="C5" s="19" t="s">
        <v>21</v>
      </c>
      <c r="D5" s="46">
        <v>0.5</v>
      </c>
      <c r="E5" s="46">
        <v>-1.0</v>
      </c>
      <c r="G5" s="46">
        <v>0.5</v>
      </c>
      <c r="H5" s="46">
        <v>-1.0</v>
      </c>
    </row>
    <row r="6">
      <c r="B6" s="5" t="s">
        <v>49</v>
      </c>
      <c r="C6" s="21" t="s">
        <v>24</v>
      </c>
      <c r="D6" s="48">
        <v>1300.0</v>
      </c>
      <c r="E6" s="48">
        <v>1000.0</v>
      </c>
      <c r="G6" s="48">
        <v>1390.0</v>
      </c>
      <c r="H6" s="48">
        <v>1999.0</v>
      </c>
    </row>
    <row r="7">
      <c r="B7" s="5" t="s">
        <v>50</v>
      </c>
      <c r="C7" s="21" t="s">
        <v>24</v>
      </c>
      <c r="D7" s="51">
        <f>priceOracle*(1+(skew-D5/2)/skewScale)</f>
        <v>1199.5</v>
      </c>
      <c r="E7" s="50">
        <f>priceOracle*(1+(skew-E5/2)/skewScale)</f>
        <v>1201</v>
      </c>
      <c r="G7" s="51">
        <f>priceOracle*(1+(skew-G5/2)/skewScale)</f>
        <v>1199.5</v>
      </c>
      <c r="H7" s="50">
        <f>priceOracle*(1+(skew-H5/2)/skewScale)</f>
        <v>1201</v>
      </c>
    </row>
    <row r="8">
      <c r="B8" s="5" t="s">
        <v>19</v>
      </c>
      <c r="C8" s="21" t="s">
        <v>24</v>
      </c>
      <c r="D8" s="53">
        <f>closingFee*D5*D7</f>
        <v>1.79925</v>
      </c>
      <c r="E8" s="53">
        <f>closingFee*ABS(E5)*E7</f>
        <v>3.603</v>
      </c>
      <c r="G8" s="53">
        <f>closingFee*G5*G7</f>
        <v>1.79925</v>
      </c>
      <c r="H8" s="53">
        <f>closingFee*ABS(H5)*H7</f>
        <v>3.603</v>
      </c>
    </row>
    <row r="9">
      <c r="B9" s="5" t="s">
        <v>51</v>
      </c>
      <c r="C9" s="21" t="s">
        <v>24</v>
      </c>
      <c r="D9" s="48">
        <v>-100.0</v>
      </c>
      <c r="E9" s="48">
        <v>100.0</v>
      </c>
      <c r="G9" s="48">
        <v>100.0</v>
      </c>
      <c r="H9" s="48">
        <v>100.0</v>
      </c>
    </row>
    <row r="10">
      <c r="B10" s="5" t="s">
        <v>54</v>
      </c>
      <c r="C10" s="21" t="s">
        <v>24</v>
      </c>
      <c r="D10" s="53">
        <f t="shared" ref="D10:E10" si="1">D5*(D7-D6)</f>
        <v>-50.25</v>
      </c>
      <c r="E10" s="53">
        <f t="shared" si="1"/>
        <v>-201</v>
      </c>
      <c r="G10" s="53">
        <f t="shared" ref="G10:H10" si="2">G5*(G7-G6)</f>
        <v>-95.25</v>
      </c>
      <c r="H10" s="53">
        <f t="shared" si="2"/>
        <v>798</v>
      </c>
    </row>
    <row r="11">
      <c r="B11" s="42" t="s">
        <v>63</v>
      </c>
      <c r="C11" s="38" t="s">
        <v>24</v>
      </c>
      <c r="D11" s="56">
        <f t="shared" ref="D11:E11" si="3">D9+D10-D8</f>
        <v>-152.04925</v>
      </c>
      <c r="E11" s="56">
        <f t="shared" si="3"/>
        <v>-104.603</v>
      </c>
      <c r="G11" s="56">
        <f t="shared" ref="G11:H11" si="4">G9+G10-G8</f>
        <v>2.95075</v>
      </c>
      <c r="H11" s="56">
        <f t="shared" si="4"/>
        <v>894.397</v>
      </c>
    </row>
    <row r="12">
      <c r="B12" s="18" t="s">
        <v>152</v>
      </c>
      <c r="C12" s="19" t="s">
        <v>24</v>
      </c>
      <c r="D12" s="26">
        <f t="shared" ref="D12:E12" si="5">D9/D5</f>
        <v>-200</v>
      </c>
      <c r="E12" s="19">
        <f t="shared" si="5"/>
        <v>-100</v>
      </c>
      <c r="G12" s="18">
        <f t="shared" ref="G12:H12" si="6">G9/G5</f>
        <v>200</v>
      </c>
      <c r="H12" s="19">
        <f t="shared" si="6"/>
        <v>-100</v>
      </c>
    </row>
    <row r="13">
      <c r="B13" s="21" t="s">
        <v>153</v>
      </c>
      <c r="C13" s="21" t="s">
        <v>24</v>
      </c>
      <c r="D13" s="7">
        <v>100.0</v>
      </c>
      <c r="E13" s="151">
        <v>100.0</v>
      </c>
      <c r="G13" s="6">
        <v>90.0</v>
      </c>
      <c r="H13" s="151">
        <v>500.0</v>
      </c>
    </row>
    <row r="14">
      <c r="B14" s="152" t="s">
        <v>154</v>
      </c>
      <c r="C14" s="153" t="s">
        <v>24</v>
      </c>
      <c r="D14" s="154">
        <f t="shared" ref="D14:E14" si="7">MIN(D13,ABS(D11))</f>
        <v>100</v>
      </c>
      <c r="E14" s="154">
        <f t="shared" si="7"/>
        <v>100</v>
      </c>
      <c r="G14" s="154">
        <f t="shared" ref="G14:H14" si="8">MIN(G13,ABS(G11))</f>
        <v>2.95075</v>
      </c>
      <c r="H14" s="154">
        <f t="shared" si="8"/>
        <v>500</v>
      </c>
    </row>
    <row r="15">
      <c r="B15" s="24"/>
      <c r="C15" s="24"/>
      <c r="D15" s="25"/>
      <c r="E15" s="25"/>
      <c r="G15" s="25"/>
      <c r="H15" s="25"/>
    </row>
    <row r="17">
      <c r="C17" s="18" t="s">
        <v>92</v>
      </c>
      <c r="D17" s="19">
        <f>priceOracle*(1-closingFee)/2/skewScale</f>
        <v>0.997</v>
      </c>
      <c r="E17" s="19">
        <f>priceOracle*(1+closingFee)/2/skewScale</f>
        <v>1.003</v>
      </c>
      <c r="G17" s="18">
        <f>priceOracle*(1-closingFee)/2/skewScale</f>
        <v>0.997</v>
      </c>
      <c r="H17" s="19">
        <f>priceOracle*(1+closingFee)/2/skewScale</f>
        <v>1.003</v>
      </c>
    </row>
    <row r="18">
      <c r="C18" s="5" t="s">
        <v>93</v>
      </c>
      <c r="D18" s="125">
        <f>priceOracle*(1+skew/skewScale)*(1-closingFee)-(D6-D12)</f>
        <v>-303.6</v>
      </c>
      <c r="E18" s="125">
        <f>priceOracle*(1+skew/skewScale)*(1+closingFee)-(E6-E12)</f>
        <v>103.6</v>
      </c>
      <c r="G18" s="155">
        <f>priceOracle*(1+skew/skewScale)*(1-closingFee)-(G6-G12)</f>
        <v>6.4</v>
      </c>
      <c r="H18" s="125">
        <f>priceOracle*(1+skew/skewScale)*(1+closingFee)-(H6-H12)</f>
        <v>-895.4</v>
      </c>
    </row>
    <row r="19">
      <c r="C19" s="5" t="s">
        <v>94</v>
      </c>
      <c r="D19" s="51">
        <f t="shared" ref="D19:E19" si="9">-D14</f>
        <v>-100</v>
      </c>
      <c r="E19" s="51">
        <f t="shared" si="9"/>
        <v>-100</v>
      </c>
      <c r="G19" s="79">
        <f t="shared" ref="G19:H19" si="10">G14</f>
        <v>2.95075</v>
      </c>
      <c r="H19" s="51">
        <f t="shared" si="10"/>
        <v>500</v>
      </c>
    </row>
    <row r="20">
      <c r="C20" s="5" t="s">
        <v>155</v>
      </c>
      <c r="D20" s="125">
        <f t="shared" ref="D20:E20" si="11">D18^2-4*D17*D19</f>
        <v>92571.76</v>
      </c>
      <c r="E20" s="125">
        <f t="shared" si="11"/>
        <v>11134.16</v>
      </c>
      <c r="G20" s="155">
        <f t="shared" ref="G20:H20" si="12">G18^2-4*G17*G19</f>
        <v>29.192409</v>
      </c>
      <c r="H20" s="125">
        <f t="shared" si="12"/>
        <v>799735.16</v>
      </c>
    </row>
    <row r="21" ht="15.75" customHeight="1">
      <c r="C21" s="11" t="s">
        <v>156</v>
      </c>
      <c r="D21" s="88">
        <f>(-D18-SQRT(D20))/2/D17</f>
        <v>-0.3290252541</v>
      </c>
      <c r="E21" s="88">
        <f>(-E18+SQRT(E20))/2/E17</f>
        <v>0.9563954031</v>
      </c>
      <c r="G21" s="156">
        <f>(-G18+SQRT(G20))/2/G17</f>
        <v>-0.5</v>
      </c>
      <c r="H21" s="88">
        <f>(-H18-SQRT(H20))/2/H17</f>
        <v>0.5587593798</v>
      </c>
    </row>
    <row r="22" ht="15.75" customHeight="1">
      <c r="C22" s="19" t="s">
        <v>157</v>
      </c>
      <c r="D22" s="157">
        <f t="shared" ref="D22:E22" si="13">IF(D11&gt;0,1,-1)</f>
        <v>-1</v>
      </c>
      <c r="E22" s="157">
        <f t="shared" si="13"/>
        <v>-1</v>
      </c>
      <c r="G22" s="157">
        <f t="shared" ref="G22:H22" si="14">IF(G11&gt;0,1,-1)</f>
        <v>1</v>
      </c>
      <c r="H22" s="157">
        <f t="shared" si="14"/>
        <v>1</v>
      </c>
    </row>
    <row r="23" ht="15.75" customHeight="1">
      <c r="C23" s="21" t="s">
        <v>158</v>
      </c>
      <c r="D23" s="125">
        <f t="shared" ref="D23:E23" si="15">IF(D5&gt;0,1,-1)</f>
        <v>1</v>
      </c>
      <c r="E23" s="125">
        <f t="shared" si="15"/>
        <v>-1</v>
      </c>
      <c r="G23" s="125">
        <f t="shared" ref="G23:H23" si="16">IF(G5&gt;0,1,-1)</f>
        <v>1</v>
      </c>
      <c r="H23" s="125">
        <f t="shared" si="16"/>
        <v>-1</v>
      </c>
    </row>
    <row r="24" ht="15.75" customHeight="1">
      <c r="C24" s="21" t="s">
        <v>92</v>
      </c>
      <c r="D24" s="158">
        <f>priceOracle*(1-D23*closingFee)/2/skewScale</f>
        <v>0.997</v>
      </c>
      <c r="E24" s="158">
        <f>priceOracle*(1-E23*closingFee)/2/skewScale</f>
        <v>1.003</v>
      </c>
      <c r="G24" s="158">
        <f>priceOracle*(1-G23*closingFee)/2/skewScale</f>
        <v>0.997</v>
      </c>
      <c r="H24" s="158">
        <f>priceOracle*(1-H23*closingFee)/2/skewScale</f>
        <v>1.003</v>
      </c>
    </row>
    <row r="25" ht="15.75" customHeight="1">
      <c r="C25" s="21" t="s">
        <v>93</v>
      </c>
      <c r="D25" s="125">
        <f>priceOracle*(1+skew/skewScale)*(1-D23*closingFee)-(D6-D12)</f>
        <v>-303.6</v>
      </c>
      <c r="E25" s="125">
        <f>priceOracle*(1+skew/skewScale)*(1-E23*closingFee)-(E6-E12)</f>
        <v>103.6</v>
      </c>
      <c r="G25" s="125">
        <f>priceOracle*(1+skew/skewScale)*(1-G23*closingFee)-(G6-G12)</f>
        <v>6.4</v>
      </c>
      <c r="H25" s="125">
        <f>priceOracle*(1+skew/skewScale)*(1-H23*closingFee)-(H6-H12)</f>
        <v>-895.4</v>
      </c>
    </row>
    <row r="26" ht="15.75" customHeight="1">
      <c r="C26" s="21" t="s">
        <v>94</v>
      </c>
      <c r="D26" s="125">
        <f t="shared" ref="D26:E26" si="17">-D14</f>
        <v>-100</v>
      </c>
      <c r="E26" s="125">
        <f t="shared" si="17"/>
        <v>-100</v>
      </c>
      <c r="G26" s="125">
        <f t="shared" ref="G26:H26" si="18">-G14</f>
        <v>-2.95075</v>
      </c>
      <c r="H26" s="125">
        <f t="shared" si="18"/>
        <v>-500</v>
      </c>
    </row>
    <row r="27" ht="15.75" customHeight="1">
      <c r="C27" s="21" t="s">
        <v>155</v>
      </c>
      <c r="D27" s="125">
        <f t="shared" ref="D27:E27" si="19">D25^2-4*D24*D26</f>
        <v>92571.76</v>
      </c>
      <c r="E27" s="125">
        <f t="shared" si="19"/>
        <v>11134.16</v>
      </c>
      <c r="G27" s="125">
        <f t="shared" ref="G27:H27" si="20">G25^2-4*G24*G26</f>
        <v>52.727591</v>
      </c>
      <c r="H27" s="125">
        <f t="shared" si="20"/>
        <v>803747.16</v>
      </c>
    </row>
    <row r="28" ht="15.75" customHeight="1">
      <c r="C28" s="22" t="s">
        <v>156</v>
      </c>
      <c r="D28" s="88">
        <f t="shared" ref="D28:E28" si="21">(-D18+D22*D23*SQRT(D20))/2/D17</f>
        <v>-0.3290252541</v>
      </c>
      <c r="E28" s="88">
        <f t="shared" si="21"/>
        <v>0.9563954031</v>
      </c>
      <c r="G28" s="159">
        <f t="shared" ref="G28:H28" si="22">(-G18+G22*G23*SQRT(G20))/2/G17</f>
        <v>-0.5</v>
      </c>
      <c r="H28" s="88">
        <f t="shared" si="22"/>
        <v>0.5587593798</v>
      </c>
    </row>
    <row r="29" ht="15.75" customHeight="1">
      <c r="C29" s="24"/>
      <c r="D29" s="45">
        <f t="shared" ref="D29:E29" si="23">D28-D21</f>
        <v>0</v>
      </c>
      <c r="E29" s="45">
        <f t="shared" si="23"/>
        <v>0</v>
      </c>
      <c r="G29" s="45">
        <f t="shared" ref="G29:H29" si="24">G28-G21</f>
        <v>0</v>
      </c>
      <c r="H29" s="45">
        <f t="shared" si="24"/>
        <v>0</v>
      </c>
    </row>
    <row r="30" ht="15.75" customHeight="1">
      <c r="D30" s="45">
        <f t="shared" ref="D30:E30" si="25">(-D18+SQRT(D20))/2/D17</f>
        <v>304.8425659</v>
      </c>
      <c r="E30" s="45">
        <f t="shared" si="25"/>
        <v>0.9563954031</v>
      </c>
      <c r="G30" s="45">
        <f t="shared" ref="G30:H30" si="26">(-G18+SQRT(G20))/2/G17</f>
        <v>-0.5</v>
      </c>
      <c r="H30" s="45">
        <f t="shared" si="26"/>
        <v>892.1630751</v>
      </c>
    </row>
    <row r="31" ht="15.75" customHeight="1">
      <c r="D31" s="45">
        <f t="shared" ref="D31:E31" si="27">(-D18-SQRT(D20))/2/D17</f>
        <v>-0.3290252541</v>
      </c>
      <c r="E31" s="45">
        <f t="shared" si="27"/>
        <v>-104.246525</v>
      </c>
      <c r="G31" s="45">
        <f t="shared" ref="G31:H31" si="28">(-G18-SQRT(G20))/2/G17</f>
        <v>-5.919257773</v>
      </c>
      <c r="H31" s="45">
        <f t="shared" si="28"/>
        <v>0.5587593798</v>
      </c>
    </row>
    <row r="32" ht="15.75" customHeight="1">
      <c r="D32" s="45"/>
      <c r="E32" s="45"/>
      <c r="G32" s="45"/>
      <c r="H32" s="45"/>
    </row>
    <row r="33" ht="15.75" customHeight="1"/>
    <row r="34" ht="15.75" customHeight="1">
      <c r="B34" s="3" t="s">
        <v>159</v>
      </c>
      <c r="C34" s="24"/>
      <c r="D34" s="33" t="s">
        <v>46</v>
      </c>
      <c r="E34" s="33" t="s">
        <v>47</v>
      </c>
      <c r="G34" s="33" t="s">
        <v>46</v>
      </c>
      <c r="H34" s="33" t="s">
        <v>47</v>
      </c>
    </row>
    <row r="35" ht="15.75" customHeight="1">
      <c r="B35" s="16" t="s">
        <v>37</v>
      </c>
      <c r="C35" s="4" t="s">
        <v>15</v>
      </c>
      <c r="D35" s="4" t="s">
        <v>16</v>
      </c>
      <c r="E35" s="29" t="s">
        <v>16</v>
      </c>
      <c r="G35" s="4" t="s">
        <v>16</v>
      </c>
      <c r="H35" s="29" t="s">
        <v>16</v>
      </c>
    </row>
    <row r="36" ht="15.75" customHeight="1">
      <c r="B36" s="18" t="s">
        <v>48</v>
      </c>
      <c r="C36" s="19" t="s">
        <v>21</v>
      </c>
      <c r="D36" s="160">
        <f t="shared" ref="D36:E36" si="29">D5+D21</f>
        <v>0.1709747459</v>
      </c>
      <c r="E36" s="60">
        <f t="shared" si="29"/>
        <v>-0.04360459694</v>
      </c>
      <c r="G36" s="60">
        <f t="shared" ref="G36:H36" si="30">G5+G21</f>
        <v>0</v>
      </c>
      <c r="H36" s="60">
        <f t="shared" si="30"/>
        <v>-0.4412406202</v>
      </c>
    </row>
    <row r="37" ht="15.75" customHeight="1">
      <c r="B37" s="5" t="s">
        <v>49</v>
      </c>
      <c r="C37" s="21" t="s">
        <v>24</v>
      </c>
      <c r="D37" s="51">
        <f t="shared" ref="D37:E37" si="31">D6</f>
        <v>1300</v>
      </c>
      <c r="E37" s="51">
        <f t="shared" si="31"/>
        <v>1000</v>
      </c>
      <c r="G37" s="51">
        <f t="shared" ref="G37:H37" si="32">G6</f>
        <v>1390</v>
      </c>
      <c r="H37" s="51">
        <f t="shared" si="32"/>
        <v>1999</v>
      </c>
    </row>
    <row r="38" ht="15.75" customHeight="1">
      <c r="B38" s="5" t="s">
        <v>50</v>
      </c>
      <c r="C38" s="21" t="s">
        <v>24</v>
      </c>
      <c r="D38" s="51">
        <f>priceOracle*(1+(skew+D21-D36/2)/skewScale)</f>
        <v>1199.170975</v>
      </c>
      <c r="E38" s="50">
        <f>priceOracle*(1+(skew+E21-E36/2)/skewScale)</f>
        <v>1201.956395</v>
      </c>
      <c r="G38" s="51">
        <f>priceOracle*(1+(skew+G21-G36/2)/skewScale)</f>
        <v>1199</v>
      </c>
      <c r="H38" s="50">
        <f>priceOracle*(1+(skew+H21-H36/2)/skewScale)</f>
        <v>1201.558759</v>
      </c>
    </row>
    <row r="39" ht="15.75" customHeight="1">
      <c r="B39" s="5" t="s">
        <v>19</v>
      </c>
      <c r="C39" s="21" t="s">
        <v>24</v>
      </c>
      <c r="D39" s="53">
        <f>D36*closingFee*D38</f>
        <v>0.615083858</v>
      </c>
      <c r="E39" s="53">
        <f>ABS(E36)*closingFee*E38</f>
        <v>0.1572324725</v>
      </c>
      <c r="G39" s="53">
        <f>G36*closingFee*G38</f>
        <v>0</v>
      </c>
      <c r="H39" s="53">
        <f>ABS(H36)*closingFee*H38</f>
        <v>1.590529597</v>
      </c>
    </row>
    <row r="40" ht="15.75" customHeight="1">
      <c r="B40" s="5" t="s">
        <v>51</v>
      </c>
      <c r="C40" s="21" t="s">
        <v>24</v>
      </c>
      <c r="D40" s="51">
        <f t="shared" ref="D40:E40" si="33">D12*D36</f>
        <v>-34.19494917</v>
      </c>
      <c r="E40" s="51">
        <f t="shared" si="33"/>
        <v>4.360459694</v>
      </c>
      <c r="G40" s="51">
        <f t="shared" ref="G40:H40" si="34">G12*G36</f>
        <v>0</v>
      </c>
      <c r="H40" s="51">
        <f t="shared" si="34"/>
        <v>44.12406202</v>
      </c>
    </row>
    <row r="41" ht="15.75" customHeight="1">
      <c r="B41" s="5" t="s">
        <v>54</v>
      </c>
      <c r="C41" s="21" t="s">
        <v>24</v>
      </c>
      <c r="D41" s="53">
        <f t="shared" ref="D41:E41" si="35">D36*(D38-D37)</f>
        <v>-17.23921697</v>
      </c>
      <c r="E41" s="53">
        <f t="shared" si="35"/>
        <v>-8.806227222</v>
      </c>
      <c r="G41" s="53">
        <f t="shared" ref="G41:H41" si="36">G36*(G38-G37)</f>
        <v>0</v>
      </c>
      <c r="H41" s="53">
        <f t="shared" si="36"/>
        <v>351.8634676</v>
      </c>
    </row>
    <row r="42" ht="15.75" customHeight="1">
      <c r="B42" s="42" t="s">
        <v>63</v>
      </c>
      <c r="C42" s="38" t="s">
        <v>24</v>
      </c>
      <c r="D42" s="56">
        <f t="shared" ref="D42:E42" si="37">D40+D41-D39</f>
        <v>-52.04925</v>
      </c>
      <c r="E42" s="56">
        <f t="shared" si="37"/>
        <v>-4.603</v>
      </c>
      <c r="G42" s="56">
        <f t="shared" ref="G42:H42" si="38">G40+G41-G39</f>
        <v>0</v>
      </c>
      <c r="H42" s="56">
        <f t="shared" si="38"/>
        <v>394.397</v>
      </c>
    </row>
    <row r="43" ht="15.75" customHeight="1">
      <c r="D43" s="25">
        <f t="shared" ref="D43:E43" si="39">D42-D14</f>
        <v>-152.04925</v>
      </c>
      <c r="E43" s="25">
        <f t="shared" si="39"/>
        <v>-104.603</v>
      </c>
      <c r="G43" s="25">
        <f t="shared" ref="G43:H43" si="40">G42+G14</f>
        <v>2.95075</v>
      </c>
      <c r="H43" s="25">
        <f t="shared" si="40"/>
        <v>894.397</v>
      </c>
    </row>
    <row r="44" ht="15.75" customHeight="1">
      <c r="D44" s="161">
        <f t="shared" ref="D44:E44" si="41">D43-D11</f>
        <v>0</v>
      </c>
      <c r="E44" s="161">
        <f t="shared" si="41"/>
        <v>0</v>
      </c>
      <c r="G44" s="161">
        <f t="shared" ref="G44:H44" si="42">G43-G11</f>
        <v>0</v>
      </c>
      <c r="H44" s="161">
        <f t="shared" si="42"/>
        <v>0</v>
      </c>
    </row>
    <row r="45" ht="15.75" customHeight="1">
      <c r="D45" s="161"/>
      <c r="E45" s="161"/>
      <c r="G45" s="161"/>
      <c r="H45" s="161"/>
    </row>
    <row r="46" ht="15.75" customHeight="1">
      <c r="B46" s="98" t="s">
        <v>160</v>
      </c>
      <c r="D46" s="45">
        <f>skew+D21</f>
        <v>-400.3290253</v>
      </c>
      <c r="E46" s="45">
        <f>skew+E21</f>
        <v>-399.0436046</v>
      </c>
      <c r="F46" s="45"/>
      <c r="G46" s="45">
        <f>skew+G21</f>
        <v>-400.5</v>
      </c>
      <c r="H46" s="45">
        <f>skew+H21</f>
        <v>-399.4412406</v>
      </c>
    </row>
    <row r="47" ht="15.75" customHeight="1">
      <c r="B47" s="3" t="s">
        <v>159</v>
      </c>
      <c r="C47" s="24"/>
      <c r="D47" s="33" t="s">
        <v>46</v>
      </c>
      <c r="E47" s="33" t="s">
        <v>47</v>
      </c>
      <c r="G47" s="33" t="s">
        <v>46</v>
      </c>
      <c r="H47" s="33" t="s">
        <v>47</v>
      </c>
    </row>
    <row r="48" ht="15.75" customHeight="1">
      <c r="B48" s="16" t="s">
        <v>37</v>
      </c>
      <c r="C48" s="4" t="s">
        <v>15</v>
      </c>
      <c r="D48" s="4" t="s">
        <v>16</v>
      </c>
      <c r="E48" s="29" t="s">
        <v>16</v>
      </c>
      <c r="G48" s="4" t="s">
        <v>16</v>
      </c>
      <c r="H48" s="29" t="s">
        <v>16</v>
      </c>
    </row>
    <row r="49" ht="15.75" customHeight="1">
      <c r="B49" s="18" t="s">
        <v>48</v>
      </c>
      <c r="C49" s="19" t="s">
        <v>21</v>
      </c>
      <c r="D49" s="160">
        <f t="shared" ref="D49:E49" si="43">D36</f>
        <v>0.1709747459</v>
      </c>
      <c r="E49" s="60">
        <f t="shared" si="43"/>
        <v>-0.04360459694</v>
      </c>
      <c r="G49" s="160">
        <f t="shared" ref="G49:H49" si="44">G36</f>
        <v>0</v>
      </c>
      <c r="H49" s="60">
        <f t="shared" si="44"/>
        <v>-0.4412406202</v>
      </c>
    </row>
    <row r="50" ht="15.75" customHeight="1">
      <c r="B50" s="5" t="s">
        <v>49</v>
      </c>
      <c r="C50" s="21" t="s">
        <v>24</v>
      </c>
      <c r="D50" s="51">
        <f t="shared" ref="D50:E50" si="45">D37</f>
        <v>1300</v>
      </c>
      <c r="E50" s="51">
        <f t="shared" si="45"/>
        <v>1000</v>
      </c>
      <c r="G50" s="51">
        <f t="shared" ref="G50:H50" si="46">G37</f>
        <v>1390</v>
      </c>
      <c r="H50" s="51">
        <f t="shared" si="46"/>
        <v>1999</v>
      </c>
    </row>
    <row r="51" ht="15.75" customHeight="1">
      <c r="B51" s="5" t="s">
        <v>50</v>
      </c>
      <c r="C51" s="21" t="s">
        <v>24</v>
      </c>
      <c r="D51" s="51">
        <f>priceOracle*(1+(D46-D49/2)/skewScale)</f>
        <v>1199.170975</v>
      </c>
      <c r="E51" s="51">
        <f>priceOracle*(1+(E46-E49/2)/skewScale)</f>
        <v>1201.956395</v>
      </c>
      <c r="G51" s="51">
        <f>priceOracle*(1+(G46-G49/2)/skewScale)</f>
        <v>1199</v>
      </c>
      <c r="H51" s="51">
        <f>priceOracle*(1+(H46-H49/2)/skewScale)</f>
        <v>1201.558759</v>
      </c>
    </row>
    <row r="52" ht="15.75" customHeight="1">
      <c r="B52" s="5" t="s">
        <v>19</v>
      </c>
      <c r="C52" s="21" t="s">
        <v>24</v>
      </c>
      <c r="D52" s="53">
        <f>D49*closingFee*D51</f>
        <v>0.615083858</v>
      </c>
      <c r="E52" s="53">
        <f>ABS(E49)*closingFee*E51</f>
        <v>0.1572324725</v>
      </c>
      <c r="G52" s="53">
        <f>G49*closingFee*G51</f>
        <v>0</v>
      </c>
      <c r="H52" s="53">
        <f>ABS(H49)*closingFee*H51</f>
        <v>1.590529597</v>
      </c>
    </row>
    <row r="53" ht="15.75" customHeight="1">
      <c r="B53" s="5" t="s">
        <v>51</v>
      </c>
      <c r="C53" s="21" t="s">
        <v>24</v>
      </c>
      <c r="D53" s="51">
        <f t="shared" ref="D53:E53" si="47">D40</f>
        <v>-34.19494917</v>
      </c>
      <c r="E53" s="51">
        <f t="shared" si="47"/>
        <v>4.360459694</v>
      </c>
      <c r="G53" s="51">
        <f t="shared" ref="G53:H53" si="48">G40</f>
        <v>0</v>
      </c>
      <c r="H53" s="51">
        <f t="shared" si="48"/>
        <v>44.12406202</v>
      </c>
    </row>
    <row r="54" ht="15.75" customHeight="1">
      <c r="B54" s="5" t="s">
        <v>54</v>
      </c>
      <c r="C54" s="21" t="s">
        <v>24</v>
      </c>
      <c r="D54" s="53">
        <f t="shared" ref="D54:E54" si="49">D49*(D51-D50)</f>
        <v>-17.23921697</v>
      </c>
      <c r="E54" s="53">
        <f t="shared" si="49"/>
        <v>-8.806227222</v>
      </c>
      <c r="G54" s="53">
        <f t="shared" ref="G54:H54" si="50">G49*(G51-G50)</f>
        <v>0</v>
      </c>
      <c r="H54" s="53">
        <f t="shared" si="50"/>
        <v>351.8634676</v>
      </c>
    </row>
    <row r="55" ht="15.75" customHeight="1">
      <c r="B55" s="42" t="s">
        <v>63</v>
      </c>
      <c r="C55" s="38" t="s">
        <v>24</v>
      </c>
      <c r="D55" s="56">
        <f t="shared" ref="D55:E55" si="51">D53+D54-D52</f>
        <v>-52.04925</v>
      </c>
      <c r="E55" s="56">
        <f t="shared" si="51"/>
        <v>-4.603</v>
      </c>
      <c r="G55" s="56">
        <f t="shared" ref="G55:H55" si="52">G53+G54-G52</f>
        <v>0</v>
      </c>
      <c r="H55" s="56">
        <f t="shared" si="52"/>
        <v>394.397</v>
      </c>
    </row>
    <row r="56" ht="15.75" customHeight="1">
      <c r="D56" s="25">
        <f t="shared" ref="D56:E56" si="53">D55-D42</f>
        <v>0</v>
      </c>
      <c r="E56" s="25">
        <f t="shared" si="53"/>
        <v>0</v>
      </c>
      <c r="G56" s="25">
        <f t="shared" ref="G56:H56" si="54">G55-G42</f>
        <v>0</v>
      </c>
      <c r="H56" s="25">
        <f t="shared" si="54"/>
        <v>0</v>
      </c>
    </row>
    <row r="57" ht="15.75" customHeight="1"/>
    <row r="58" ht="15.75" customHeight="1">
      <c r="B58" s="98" t="s">
        <v>160</v>
      </c>
      <c r="D58" s="45">
        <f>skew+D21+G21</f>
        <v>-400.8290253</v>
      </c>
    </row>
    <row r="59" ht="15.75" customHeight="1">
      <c r="B59" s="3" t="s">
        <v>159</v>
      </c>
      <c r="C59" s="24"/>
      <c r="D59" s="33" t="s">
        <v>46</v>
      </c>
      <c r="E59" s="33" t="s">
        <v>47</v>
      </c>
    </row>
    <row r="60" ht="15.75" customHeight="1">
      <c r="B60" s="16" t="s">
        <v>37</v>
      </c>
      <c r="C60" s="4" t="s">
        <v>15</v>
      </c>
      <c r="D60" s="4" t="s">
        <v>16</v>
      </c>
      <c r="E60" s="29" t="s">
        <v>16</v>
      </c>
    </row>
    <row r="61" ht="15.75" customHeight="1">
      <c r="B61" s="18" t="s">
        <v>48</v>
      </c>
      <c r="C61" s="19" t="s">
        <v>21</v>
      </c>
      <c r="D61" s="160">
        <f t="shared" ref="D61:E61" si="55">D49</f>
        <v>0.1709747459</v>
      </c>
      <c r="E61" s="60">
        <f t="shared" si="55"/>
        <v>-0.04360459694</v>
      </c>
    </row>
    <row r="62" ht="15.75" customHeight="1">
      <c r="B62" s="5" t="s">
        <v>49</v>
      </c>
      <c r="C62" s="21" t="s">
        <v>24</v>
      </c>
      <c r="D62" s="51">
        <f t="shared" ref="D62:E62" si="56">D50</f>
        <v>1300</v>
      </c>
      <c r="E62" s="51">
        <f t="shared" si="56"/>
        <v>1000</v>
      </c>
    </row>
    <row r="63" ht="15.75" customHeight="1">
      <c r="B63" s="5" t="s">
        <v>50</v>
      </c>
      <c r="C63" s="21" t="s">
        <v>24</v>
      </c>
      <c r="D63" s="51">
        <f>priceOracle*(1+(D58-D61/2)/skewScale)</f>
        <v>1198.170975</v>
      </c>
      <c r="E63" s="51">
        <f>priceOracle*(1+(E58-E61/2)/skewScale)</f>
        <v>2000.043605</v>
      </c>
    </row>
    <row r="64" ht="15.75" customHeight="1">
      <c r="B64" s="5" t="s">
        <v>19</v>
      </c>
      <c r="C64" s="21" t="s">
        <v>24</v>
      </c>
      <c r="D64" s="53">
        <f>D61*closingFee*D63</f>
        <v>0.6145709337</v>
      </c>
      <c r="E64" s="53">
        <f>ABS(E61)*closingFee*E63</f>
        <v>0.2616332858</v>
      </c>
    </row>
    <row r="65" ht="15.75" customHeight="1">
      <c r="B65" s="5" t="s">
        <v>51</v>
      </c>
      <c r="C65" s="21" t="s">
        <v>24</v>
      </c>
      <c r="D65" s="51">
        <f t="shared" ref="D65:E65" si="57">D53</f>
        <v>-34.19494917</v>
      </c>
      <c r="E65" s="51">
        <f t="shared" si="57"/>
        <v>4.360459694</v>
      </c>
    </row>
    <row r="66" ht="15.75" customHeight="1">
      <c r="B66" s="5" t="s">
        <v>54</v>
      </c>
      <c r="C66" s="21" t="s">
        <v>24</v>
      </c>
      <c r="D66" s="53">
        <f t="shared" ref="D66:E66" si="58">D61*(D63-D62)</f>
        <v>-17.41019171</v>
      </c>
      <c r="E66" s="53">
        <f t="shared" si="58"/>
        <v>-43.60649831</v>
      </c>
    </row>
    <row r="67" ht="15.75" customHeight="1">
      <c r="B67" s="42" t="s">
        <v>63</v>
      </c>
      <c r="C67" s="38" t="s">
        <v>24</v>
      </c>
      <c r="D67" s="56">
        <f t="shared" ref="D67:E67" si="59">D65+D66-D64</f>
        <v>-52.21971182</v>
      </c>
      <c r="E67" s="56">
        <f t="shared" si="59"/>
        <v>-39.5076719</v>
      </c>
    </row>
    <row r="68" ht="15.75" customHeight="1">
      <c r="D68" s="44">
        <f t="shared" ref="D68:E68" si="60">D67-D42</f>
        <v>-0.1704618216</v>
      </c>
      <c r="E68" s="44">
        <f t="shared" si="60"/>
        <v>-34.9046719</v>
      </c>
    </row>
    <row r="69" ht="15.75" customHeight="1"/>
    <row r="70" ht="15.75" customHeight="1"/>
    <row r="71" ht="15.75" customHeight="1">
      <c r="B71" s="3" t="s">
        <v>161</v>
      </c>
    </row>
    <row r="72" ht="15.75" customHeight="1"/>
    <row r="73" ht="15.75" customHeight="1">
      <c r="B73" s="98" t="s">
        <v>162</v>
      </c>
      <c r="D73" s="98">
        <f>ABS(D11)/D5</f>
        <v>304.0985</v>
      </c>
      <c r="E73" s="98">
        <f>ABS(E11/E5)</f>
        <v>104.603</v>
      </c>
    </row>
    <row r="74" ht="15.75" customHeight="1">
      <c r="B74" s="98" t="s">
        <v>156</v>
      </c>
      <c r="D74" s="45">
        <f t="shared" ref="D74:E74" si="61">D14/D73</f>
        <v>0.3288408197</v>
      </c>
      <c r="E74" s="45">
        <f t="shared" si="61"/>
        <v>0.9559955259</v>
      </c>
    </row>
    <row r="75" ht="15.75" customHeight="1">
      <c r="B75" s="3" t="s">
        <v>159</v>
      </c>
      <c r="C75" s="24"/>
      <c r="D75" s="33" t="s">
        <v>46</v>
      </c>
      <c r="E75" s="33" t="s">
        <v>47</v>
      </c>
    </row>
    <row r="76" ht="15.75" customHeight="1">
      <c r="B76" s="16" t="s">
        <v>37</v>
      </c>
      <c r="C76" s="4" t="s">
        <v>15</v>
      </c>
      <c r="D76" s="4" t="s">
        <v>16</v>
      </c>
      <c r="E76" s="29" t="s">
        <v>16</v>
      </c>
    </row>
    <row r="77" ht="15.75" customHeight="1">
      <c r="B77" s="18" t="s">
        <v>48</v>
      </c>
      <c r="C77" s="19" t="s">
        <v>21</v>
      </c>
      <c r="D77" s="160">
        <f>D5-D74</f>
        <v>0.1711591803</v>
      </c>
      <c r="E77" s="60">
        <f>E5+E74</f>
        <v>-0.04400447406</v>
      </c>
    </row>
    <row r="78" ht="15.75" customHeight="1">
      <c r="B78" s="5" t="s">
        <v>49</v>
      </c>
      <c r="C78" s="21" t="s">
        <v>24</v>
      </c>
      <c r="D78" s="51">
        <f t="shared" ref="D78:E78" si="62">D6</f>
        <v>1300</v>
      </c>
      <c r="E78" s="51">
        <f t="shared" si="62"/>
        <v>1000</v>
      </c>
    </row>
    <row r="79" ht="15.75" customHeight="1">
      <c r="B79" s="5" t="s">
        <v>50</v>
      </c>
      <c r="C79" s="21" t="s">
        <v>24</v>
      </c>
      <c r="D79" s="51">
        <f>priceOracle*(1+(D46-D77/2)/skewScale)</f>
        <v>1199.17079</v>
      </c>
      <c r="E79" s="51">
        <f>priceOracle*(1+(E46-E77/2)/skewScale)</f>
        <v>1201.956795</v>
      </c>
    </row>
    <row r="80" ht="15.75" customHeight="1">
      <c r="B80" s="5" t="s">
        <v>19</v>
      </c>
      <c r="C80" s="21" t="s">
        <v>24</v>
      </c>
      <c r="D80" s="53">
        <f>D77*closingFee*D79</f>
        <v>0.6157472686</v>
      </c>
      <c r="E80" s="53">
        <f>ABS(E77)*closingFee*E79</f>
        <v>0.1586744299</v>
      </c>
    </row>
    <row r="81" ht="15.75" customHeight="1">
      <c r="B81" s="5" t="s">
        <v>51</v>
      </c>
      <c r="C81" s="21" t="s">
        <v>24</v>
      </c>
      <c r="D81" s="51">
        <f t="shared" ref="D81:E81" si="63">D40</f>
        <v>-34.19494917</v>
      </c>
      <c r="E81" s="51">
        <f t="shared" si="63"/>
        <v>4.360459694</v>
      </c>
    </row>
    <row r="82" ht="15.75" customHeight="1">
      <c r="B82" s="5" t="s">
        <v>54</v>
      </c>
      <c r="C82" s="21" t="s">
        <v>24</v>
      </c>
      <c r="D82" s="53">
        <f t="shared" ref="D82:E82" si="64">D77*(D79-D78)</f>
        <v>-17.25784488</v>
      </c>
      <c r="E82" s="53">
        <f t="shared" si="64"/>
        <v>-8.887002559</v>
      </c>
    </row>
    <row r="83" ht="15.75" customHeight="1">
      <c r="B83" s="42" t="s">
        <v>63</v>
      </c>
      <c r="C83" s="38" t="s">
        <v>24</v>
      </c>
      <c r="D83" s="56">
        <f t="shared" ref="D83:E83" si="65">D81+D82-D80</f>
        <v>-52.06854133</v>
      </c>
      <c r="E83" s="56">
        <f t="shared" si="65"/>
        <v>-4.685217294</v>
      </c>
    </row>
    <row r="84" ht="15.75" customHeight="1">
      <c r="D84" s="162">
        <f t="shared" ref="D84:E84" si="66">D11+D14-D83</f>
        <v>0.01929132566</v>
      </c>
      <c r="E84" s="162">
        <f t="shared" si="66"/>
        <v>0.08221729433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