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4.xml" ContentType="application/vnd.openxmlformats-officedocument.spreadsheetml.comments+xml"/>
  <Override PartName="/xl/drawings/drawing10.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MBIKA\Downloads\"/>
    </mc:Choice>
  </mc:AlternateContent>
  <xr:revisionPtr revIDLastSave="0" documentId="13_ncr:1_{DA0CF8E8-CCA2-4DEC-9C05-2B7F23E5D5D3}" xr6:coauthVersionLast="47" xr6:coauthVersionMax="47" xr10:uidLastSave="{00000000-0000-0000-0000-000000000000}"/>
  <bookViews>
    <workbookView xWindow="-108" yWindow="-108" windowWidth="23256" windowHeight="12456" tabRatio="832" xr2:uid="{E63DEC37-E9DC-4C31-9210-BFC770816194}"/>
  </bookViews>
  <sheets>
    <sheet name="Project" sheetId="9" r:id="rId1"/>
    <sheet name="Executive Summary" sheetId="12" r:id="rId2"/>
    <sheet name="Introduction" sheetId="13" r:id="rId3"/>
    <sheet name="Company_Profile" sheetId="15" r:id="rId4"/>
    <sheet name="Industry &amp; Business Model" sheetId="14" r:id="rId5"/>
    <sheet name="Past Financials&gt;&gt;&gt;" sheetId="3" r:id="rId6"/>
    <sheet name="Income Statement" sheetId="1" r:id="rId7"/>
    <sheet name="Balance Sheet" sheetId="2" r:id="rId8"/>
    <sheet name="Analysis&gt;&gt;&gt;" sheetId="10" r:id="rId9"/>
    <sheet name="CFS_Analysis" sheetId="11" r:id="rId10"/>
    <sheet name="Common Size_IS" sheetId="4" r:id="rId11"/>
    <sheet name="Common_Size_BS" sheetId="6" r:id="rId12"/>
    <sheet name="Ratio_Analysis" sheetId="5" r:id="rId13"/>
    <sheet name="Trend_Analysis" sheetId="7" r:id="rId14"/>
    <sheet name="Conclusion" sheetId="8"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11" l="1"/>
  <c r="E8" i="11"/>
  <c r="D8" i="11"/>
  <c r="C8" i="11"/>
  <c r="G8" i="11"/>
  <c r="B4" i="11"/>
  <c r="G4" i="11"/>
  <c r="F4" i="11"/>
  <c r="E4" i="11"/>
  <c r="D4" i="11"/>
  <c r="C4" i="11"/>
  <c r="H15" i="7"/>
  <c r="G15" i="7"/>
  <c r="F15" i="7"/>
  <c r="E15" i="7"/>
  <c r="D15" i="7"/>
  <c r="H12" i="7"/>
  <c r="G12" i="7"/>
  <c r="F12" i="7"/>
  <c r="E12" i="7"/>
  <c r="D12" i="7"/>
  <c r="H9" i="7"/>
  <c r="G9" i="7"/>
  <c r="F9" i="7"/>
  <c r="E9" i="7"/>
  <c r="D9" i="7"/>
  <c r="E6" i="7"/>
  <c r="F6" i="7"/>
  <c r="G6" i="7"/>
  <c r="H6" i="7"/>
  <c r="D6" i="7"/>
  <c r="D14" i="7" a="1"/>
  <c r="D14" i="7"/>
  <c r="E14" i="7" a="1"/>
  <c r="E14" i="7"/>
  <c r="F14" i="7" a="1"/>
  <c r="F14" i="7"/>
  <c r="G14" i="7" a="1"/>
  <c r="G14" i="7"/>
  <c r="H14" i="7" a="1"/>
  <c r="H14" i="7"/>
  <c r="C14" i="7" a="1"/>
  <c r="C14" i="7" s="1"/>
  <c r="A14" i="7"/>
  <c r="D11" i="7" a="1"/>
  <c r="D11" i="7"/>
  <c r="E11" i="7" a="1"/>
  <c r="E11" i="7"/>
  <c r="F11" i="7" a="1"/>
  <c r="F11" i="7"/>
  <c r="G11" i="7" a="1"/>
  <c r="G11" i="7"/>
  <c r="H11" i="7" a="1"/>
  <c r="H11" i="7"/>
  <c r="C11" i="7" a="1"/>
  <c r="C11" i="7"/>
  <c r="A11" i="7"/>
  <c r="A8" i="7"/>
  <c r="A5" i="7"/>
  <c r="H4" i="7"/>
  <c r="H1" i="7" s="1"/>
  <c r="G4" i="7"/>
  <c r="G1" i="7" s="1"/>
  <c r="F4" i="7"/>
  <c r="F1" i="7" s="1"/>
  <c r="E4" i="7"/>
  <c r="E1" i="7" s="1"/>
  <c r="D4" i="7"/>
  <c r="D1" i="7" s="1"/>
  <c r="C4" i="7"/>
  <c r="C1" i="7" s="1"/>
  <c r="D26" i="5"/>
  <c r="E26" i="5"/>
  <c r="F26" i="5"/>
  <c r="G26" i="5"/>
  <c r="H26" i="5"/>
  <c r="C26" i="5"/>
  <c r="D25" i="5"/>
  <c r="E25" i="5"/>
  <c r="F25" i="5"/>
  <c r="G25" i="5"/>
  <c r="H25" i="5"/>
  <c r="C25" i="5"/>
  <c r="D20" i="5"/>
  <c r="E20" i="5"/>
  <c r="F20" i="5"/>
  <c r="G20" i="5"/>
  <c r="H20" i="5"/>
  <c r="D21" i="5"/>
  <c r="E21" i="5"/>
  <c r="F21" i="5"/>
  <c r="G21" i="5"/>
  <c r="H21" i="5"/>
  <c r="D22" i="5"/>
  <c r="E22" i="5"/>
  <c r="F22" i="5"/>
  <c r="G22" i="5"/>
  <c r="H22" i="5"/>
  <c r="C22" i="5"/>
  <c r="C21" i="5"/>
  <c r="C20" i="5"/>
  <c r="D15" i="5"/>
  <c r="E15" i="5"/>
  <c r="F15" i="5"/>
  <c r="G15" i="5"/>
  <c r="H15" i="5"/>
  <c r="D16" i="5"/>
  <c r="E16" i="5"/>
  <c r="F16" i="5"/>
  <c r="G16" i="5"/>
  <c r="H16" i="5"/>
  <c r="D17" i="5"/>
  <c r="E17" i="5"/>
  <c r="F17" i="5"/>
  <c r="G17" i="5"/>
  <c r="H17" i="5"/>
  <c r="C17" i="5"/>
  <c r="C16" i="5"/>
  <c r="C15" i="5"/>
  <c r="D12" i="5"/>
  <c r="E12" i="5"/>
  <c r="F12" i="5"/>
  <c r="G12" i="5"/>
  <c r="H12" i="5"/>
  <c r="C12" i="5"/>
  <c r="D11" i="5"/>
  <c r="E11" i="5"/>
  <c r="F11" i="5"/>
  <c r="G11" i="5"/>
  <c r="H11" i="5"/>
  <c r="C11" i="5"/>
  <c r="D8" i="5"/>
  <c r="E8" i="5"/>
  <c r="F8" i="5"/>
  <c r="G8" i="5"/>
  <c r="H8" i="5"/>
  <c r="C8" i="5"/>
  <c r="D7" i="5"/>
  <c r="E7" i="5"/>
  <c r="F7" i="5"/>
  <c r="G7" i="5"/>
  <c r="H7" i="5"/>
  <c r="C7" i="5"/>
  <c r="D6" i="5"/>
  <c r="E6" i="5"/>
  <c r="F6" i="5"/>
  <c r="G6" i="5"/>
  <c r="H6" i="5"/>
  <c r="C6" i="5"/>
  <c r="D5" i="5"/>
  <c r="E5" i="5"/>
  <c r="F5" i="5"/>
  <c r="G5" i="5"/>
  <c r="H5" i="5"/>
  <c r="C5" i="5"/>
  <c r="H24" i="5"/>
  <c r="G24" i="5"/>
  <c r="H19" i="5"/>
  <c r="G19" i="5"/>
  <c r="F19" i="5"/>
  <c r="G14" i="5"/>
  <c r="F14" i="5"/>
  <c r="C14" i="5"/>
  <c r="F10" i="5"/>
  <c r="G10" i="5"/>
  <c r="H10" i="5"/>
  <c r="C10" i="5"/>
  <c r="D4" i="5"/>
  <c r="D19" i="5" s="1"/>
  <c r="E4" i="5"/>
  <c r="E24" i="5" s="1"/>
  <c r="F4" i="5"/>
  <c r="F24" i="5" s="1"/>
  <c r="G4" i="5"/>
  <c r="H4" i="5"/>
  <c r="H14" i="5" s="1"/>
  <c r="C4" i="5"/>
  <c r="C24" i="5" s="1"/>
  <c r="H27" i="4" a="1"/>
  <c r="H27" i="4" s="1"/>
  <c r="G27" i="4"/>
  <c r="G27" i="4" a="1"/>
  <c r="F27" i="4" a="1"/>
  <c r="F27" i="4" s="1"/>
  <c r="E27" i="4" a="1"/>
  <c r="E27" i="4" s="1"/>
  <c r="D27" i="4" a="1"/>
  <c r="D27" i="4" s="1"/>
  <c r="C27" i="4"/>
  <c r="C27" i="4" a="1"/>
  <c r="H26" i="4" a="1"/>
  <c r="H26" i="4" s="1"/>
  <c r="G26" i="4" a="1"/>
  <c r="G26" i="4" s="1"/>
  <c r="F26" i="4" a="1"/>
  <c r="F26" i="4" s="1"/>
  <c r="E26" i="4"/>
  <c r="E26" i="4" a="1"/>
  <c r="D26" i="4" a="1"/>
  <c r="D26" i="4" s="1"/>
  <c r="C26" i="4" a="1"/>
  <c r="C26" i="4" s="1"/>
  <c r="H25" i="4" a="1"/>
  <c r="H25" i="4" s="1"/>
  <c r="G25" i="4"/>
  <c r="G25" i="4" a="1"/>
  <c r="F25" i="4" a="1"/>
  <c r="F25" i="4" s="1"/>
  <c r="E25" i="4" a="1"/>
  <c r="E25" i="4" s="1"/>
  <c r="D25" i="4" a="1"/>
  <c r="D25" i="4" s="1"/>
  <c r="C25" i="4"/>
  <c r="C25" i="4" a="1"/>
  <c r="H24" i="4" a="1"/>
  <c r="H24" i="4" s="1"/>
  <c r="G24" i="4" a="1"/>
  <c r="G24" i="4" s="1"/>
  <c r="F24" i="4" a="1"/>
  <c r="F24" i="4" s="1"/>
  <c r="E24" i="4"/>
  <c r="E24" i="4" a="1"/>
  <c r="D24" i="4" a="1"/>
  <c r="D24" i="4" s="1"/>
  <c r="C24" i="4" a="1"/>
  <c r="C24" i="4" s="1"/>
  <c r="H23" i="4" a="1"/>
  <c r="H23" i="4" s="1"/>
  <c r="G23" i="4" a="1"/>
  <c r="G23" i="4" s="1"/>
  <c r="F23" i="4" a="1"/>
  <c r="F23" i="4" s="1"/>
  <c r="E23" i="4" a="1"/>
  <c r="E23" i="4" s="1"/>
  <c r="D23" i="4" a="1"/>
  <c r="D23" i="4" s="1"/>
  <c r="C23" i="4" a="1"/>
  <c r="C23" i="4" s="1"/>
  <c r="H22" i="4" a="1"/>
  <c r="H22" i="4" s="1"/>
  <c r="G22" i="4" a="1"/>
  <c r="G22" i="4" s="1"/>
  <c r="F22" i="4" a="1"/>
  <c r="F22" i="4" s="1"/>
  <c r="E22" i="4" a="1"/>
  <c r="E22" i="4" s="1"/>
  <c r="D22" i="4" a="1"/>
  <c r="D22" i="4" s="1"/>
  <c r="C22" i="4" a="1"/>
  <c r="C22" i="4" s="1"/>
  <c r="H21" i="4" a="1"/>
  <c r="H21" i="4" s="1"/>
  <c r="G21" i="4" a="1"/>
  <c r="G21" i="4" s="1"/>
  <c r="F21" i="4" a="1"/>
  <c r="F21" i="4" s="1"/>
  <c r="E21" i="4" a="1"/>
  <c r="E21" i="4" s="1"/>
  <c r="D21" i="4" a="1"/>
  <c r="D21" i="4" s="1"/>
  <c r="C21" i="4" a="1"/>
  <c r="C21" i="4" s="1"/>
  <c r="H20" i="4" a="1"/>
  <c r="H20" i="4" s="1"/>
  <c r="G20" i="4" a="1"/>
  <c r="G20" i="4" s="1"/>
  <c r="F20" i="4" a="1"/>
  <c r="F20" i="4" s="1"/>
  <c r="E20" i="4" a="1"/>
  <c r="E20" i="4" s="1"/>
  <c r="D20" i="4" a="1"/>
  <c r="D20" i="4" s="1"/>
  <c r="C20" i="4" a="1"/>
  <c r="C20" i="4" s="1"/>
  <c r="H19" i="4" a="1"/>
  <c r="H19" i="4" s="1"/>
  <c r="G19" i="4" a="1"/>
  <c r="G19" i="4" s="1"/>
  <c r="F19" i="4" a="1"/>
  <c r="F19" i="4" s="1"/>
  <c r="E19" i="4" a="1"/>
  <c r="E19" i="4" s="1"/>
  <c r="D19" i="4" a="1"/>
  <c r="D19" i="4" s="1"/>
  <c r="C19" i="4" a="1"/>
  <c r="C19" i="4" s="1"/>
  <c r="H18" i="4" a="1"/>
  <c r="H18" i="4" s="1"/>
  <c r="G18" i="4" a="1"/>
  <c r="G18" i="4" s="1"/>
  <c r="F18" i="4" a="1"/>
  <c r="F18" i="4" s="1"/>
  <c r="E18" i="4" a="1"/>
  <c r="E18" i="4" s="1"/>
  <c r="D18" i="4" a="1"/>
  <c r="D18" i="4" s="1"/>
  <c r="C18" i="4" a="1"/>
  <c r="C18" i="4" s="1"/>
  <c r="H17" i="4" a="1"/>
  <c r="H17" i="4" s="1"/>
  <c r="G17" i="4" a="1"/>
  <c r="G17" i="4" s="1"/>
  <c r="F17" i="4" a="1"/>
  <c r="F17" i="4" s="1"/>
  <c r="E17" i="4" a="1"/>
  <c r="E17" i="4" s="1"/>
  <c r="D17" i="4" a="1"/>
  <c r="D17" i="4" s="1"/>
  <c r="C17" i="4" a="1"/>
  <c r="C17" i="4" s="1"/>
  <c r="H15" i="4" a="1"/>
  <c r="H15" i="4" s="1"/>
  <c r="G15" i="4" a="1"/>
  <c r="G15" i="4" s="1"/>
  <c r="F15" i="4" a="1"/>
  <c r="F15" i="4" s="1"/>
  <c r="E15" i="4" a="1"/>
  <c r="E15" i="4" s="1"/>
  <c r="D15" i="4" a="1"/>
  <c r="D15" i="4" s="1"/>
  <c r="C15" i="4" a="1"/>
  <c r="C15" i="4" s="1"/>
  <c r="H14" i="4" a="1"/>
  <c r="H14" i="4" s="1"/>
  <c r="G14" i="4" a="1"/>
  <c r="G14" i="4" s="1"/>
  <c r="F14" i="4" a="1"/>
  <c r="F14" i="4" s="1"/>
  <c r="E14" i="4" a="1"/>
  <c r="E14" i="4" s="1"/>
  <c r="D14" i="4" a="1"/>
  <c r="D14" i="4" s="1"/>
  <c r="C14" i="4" a="1"/>
  <c r="C14" i="4" s="1"/>
  <c r="H13" i="4" a="1"/>
  <c r="H13" i="4" s="1"/>
  <c r="G13" i="4" a="1"/>
  <c r="G13" i="4" s="1"/>
  <c r="F13" i="4" a="1"/>
  <c r="F13" i="4" s="1"/>
  <c r="E13" i="4" a="1"/>
  <c r="E13" i="4" s="1"/>
  <c r="D13" i="4" a="1"/>
  <c r="D13" i="4" s="1"/>
  <c r="C13" i="4" a="1"/>
  <c r="C13" i="4" s="1"/>
  <c r="H12" i="4" a="1"/>
  <c r="H12" i="4" s="1"/>
  <c r="G12" i="4" a="1"/>
  <c r="G12" i="4" s="1"/>
  <c r="F12" i="4" a="1"/>
  <c r="F12" i="4" s="1"/>
  <c r="E12" i="4" a="1"/>
  <c r="E12" i="4" s="1"/>
  <c r="D12" i="4" a="1"/>
  <c r="D12" i="4" s="1"/>
  <c r="C12" i="4" a="1"/>
  <c r="C12" i="4" s="1"/>
  <c r="H11" i="4" a="1"/>
  <c r="H11" i="4" s="1"/>
  <c r="G11" i="4" a="1"/>
  <c r="G11" i="4" s="1"/>
  <c r="F11" i="4" a="1"/>
  <c r="F11" i="4" s="1"/>
  <c r="E11" i="4" a="1"/>
  <c r="E11" i="4" s="1"/>
  <c r="D11" i="4" a="1"/>
  <c r="D11" i="4" s="1"/>
  <c r="C11" i="4" a="1"/>
  <c r="C11" i="4" s="1"/>
  <c r="H10" i="4" a="1"/>
  <c r="H10" i="4" s="1"/>
  <c r="G10" i="4" a="1"/>
  <c r="G10" i="4" s="1"/>
  <c r="F10" i="4" a="1"/>
  <c r="F10" i="4" s="1"/>
  <c r="E10" i="4" a="1"/>
  <c r="E10" i="4" s="1"/>
  <c r="D10" i="4" a="1"/>
  <c r="D10" i="4" s="1"/>
  <c r="C10" i="4" a="1"/>
  <c r="C10" i="4" s="1"/>
  <c r="H9" i="4" a="1"/>
  <c r="H9" i="4" s="1"/>
  <c r="G9" i="4" a="1"/>
  <c r="G9" i="4" s="1"/>
  <c r="F9" i="4" a="1"/>
  <c r="F9" i="4" s="1"/>
  <c r="E9" i="4" a="1"/>
  <c r="E9" i="4" s="1"/>
  <c r="D9" i="4" a="1"/>
  <c r="D9" i="4" s="1"/>
  <c r="C9" i="4" a="1"/>
  <c r="C9" i="4" s="1"/>
  <c r="H7" i="4" a="1"/>
  <c r="H7" i="4" s="1"/>
  <c r="G7" i="4" a="1"/>
  <c r="G7" i="4" s="1"/>
  <c r="F7" i="4" a="1"/>
  <c r="F7" i="4" s="1"/>
  <c r="E7" i="4" a="1"/>
  <c r="E7" i="4" s="1"/>
  <c r="D7" i="4" a="1"/>
  <c r="D7" i="4" s="1"/>
  <c r="C7" i="4" a="1"/>
  <c r="C7" i="4" s="1"/>
  <c r="C6" i="4" a="1"/>
  <c r="C6" i="4" s="1"/>
  <c r="D6" i="4" a="1"/>
  <c r="D6" i="4"/>
  <c r="E6" i="4" a="1"/>
  <c r="E6" i="4"/>
  <c r="F6" i="4" a="1"/>
  <c r="F6" i="4" s="1"/>
  <c r="G6" i="4" a="1"/>
  <c r="G6" i="4" s="1"/>
  <c r="H6" i="4" a="1"/>
  <c r="H6" i="4"/>
  <c r="D5" i="4" a="1"/>
  <c r="D5" i="4" s="1"/>
  <c r="E5" i="4" a="1"/>
  <c r="E5" i="4"/>
  <c r="F5" i="4" a="1"/>
  <c r="F5" i="4" s="1"/>
  <c r="G5" i="4" a="1"/>
  <c r="G5" i="4"/>
  <c r="H5" i="4" a="1"/>
  <c r="H5" i="4" s="1"/>
  <c r="C5" i="4" a="1"/>
  <c r="C5" i="4" s="1"/>
  <c r="C9" i="2"/>
  <c r="C11" i="2" s="1"/>
  <c r="D9" i="2"/>
  <c r="D11" i="2" s="1"/>
  <c r="E9" i="2"/>
  <c r="E11" i="2" s="1"/>
  <c r="F9" i="2"/>
  <c r="G9" i="2"/>
  <c r="H9" i="2"/>
  <c r="H11" i="2" s="1"/>
  <c r="G11" i="2"/>
  <c r="C15" i="2"/>
  <c r="D15" i="2"/>
  <c r="E15" i="2"/>
  <c r="F15" i="2"/>
  <c r="G15" i="2"/>
  <c r="H15" i="2"/>
  <c r="C16" i="2"/>
  <c r="D16" i="2"/>
  <c r="E16" i="2"/>
  <c r="F16" i="2"/>
  <c r="G16" i="2"/>
  <c r="H16" i="2"/>
  <c r="C20" i="2"/>
  <c r="D20" i="2"/>
  <c r="E20" i="2"/>
  <c r="E23" i="2" s="1"/>
  <c r="F20" i="2"/>
  <c r="G20" i="2"/>
  <c r="H20" i="2"/>
  <c r="C21" i="2"/>
  <c r="D21" i="2"/>
  <c r="E21" i="2"/>
  <c r="F21" i="2"/>
  <c r="G21" i="2"/>
  <c r="H21" i="2"/>
  <c r="C22" i="2"/>
  <c r="D22" i="2"/>
  <c r="E22" i="2"/>
  <c r="F22" i="2"/>
  <c r="G22" i="2"/>
  <c r="H22" i="2"/>
  <c r="C23" i="2"/>
  <c r="A15" i="6"/>
  <c r="A26" i="6"/>
  <c r="D1" i="6"/>
  <c r="H4" i="6"/>
  <c r="G4" i="6"/>
  <c r="F4" i="6"/>
  <c r="E4" i="6"/>
  <c r="D4" i="6"/>
  <c r="C4" i="6"/>
  <c r="C1" i="4"/>
  <c r="A6" i="4"/>
  <c r="A7" i="4"/>
  <c r="A9" i="4"/>
  <c r="A10" i="4"/>
  <c r="A11" i="4"/>
  <c r="A12" i="4"/>
  <c r="A13" i="4"/>
  <c r="A14" i="4"/>
  <c r="A15" i="4"/>
  <c r="A17" i="4"/>
  <c r="A18" i="4"/>
  <c r="A19" i="4"/>
  <c r="A20" i="4"/>
  <c r="A23" i="4"/>
  <c r="A24" i="4"/>
  <c r="A25" i="4"/>
  <c r="A26" i="4"/>
  <c r="A5" i="4"/>
  <c r="B21" i="4"/>
  <c r="C4" i="4"/>
  <c r="C33" i="2"/>
  <c r="C32" i="2"/>
  <c r="D33" i="2"/>
  <c r="D32" i="2"/>
  <c r="D34" i="2"/>
  <c r="D35" i="2" s="1"/>
  <c r="E33" i="2"/>
  <c r="E32" i="2"/>
  <c r="F33" i="2"/>
  <c r="F34" i="2" s="1"/>
  <c r="F32" i="2"/>
  <c r="G33" i="2"/>
  <c r="H33" i="2"/>
  <c r="H32" i="2"/>
  <c r="H34" i="2" s="1"/>
  <c r="G32" i="2"/>
  <c r="G34" i="2" s="1"/>
  <c r="G40" i="2"/>
  <c r="G41" i="2" s="1"/>
  <c r="F40" i="2"/>
  <c r="F41" i="2" s="1"/>
  <c r="C40" i="2"/>
  <c r="C41" i="2" s="1"/>
  <c r="C5" i="1"/>
  <c r="D5" i="1"/>
  <c r="E5" i="1"/>
  <c r="E7" i="1" s="1"/>
  <c r="F5" i="1"/>
  <c r="F7" i="1" s="1"/>
  <c r="G5" i="1"/>
  <c r="G7" i="1" s="1"/>
  <c r="H5" i="1"/>
  <c r="H7" i="1" s="1"/>
  <c r="B21" i="1"/>
  <c r="A27" i="4" s="1"/>
  <c r="C7" i="1"/>
  <c r="C4" i="2"/>
  <c r="B4" i="2"/>
  <c r="A7" i="6" s="1"/>
  <c r="D15" i="1"/>
  <c r="E15" i="1"/>
  <c r="F15" i="1"/>
  <c r="G15" i="1"/>
  <c r="H15" i="1"/>
  <c r="D4" i="1"/>
  <c r="D4" i="2" s="1"/>
  <c r="C15" i="1"/>
  <c r="H5" i="7" l="1" a="1"/>
  <c r="H5" i="7" s="1"/>
  <c r="E8" i="7" a="1"/>
  <c r="E8" i="7" s="1"/>
  <c r="F8" i="7" a="1"/>
  <c r="F8" i="7" s="1"/>
  <c r="H8" i="7" a="1"/>
  <c r="H8" i="7" s="1"/>
  <c r="C8" i="7" a="1"/>
  <c r="C8" i="7" s="1"/>
  <c r="D8" i="7" a="1"/>
  <c r="D8" i="7" s="1"/>
  <c r="D5" i="7" a="1"/>
  <c r="D5" i="7" s="1"/>
  <c r="G8" i="7" a="1"/>
  <c r="G8" i="7" s="1"/>
  <c r="G5" i="7" a="1"/>
  <c r="G5" i="7" s="1"/>
  <c r="E5" i="7" a="1"/>
  <c r="E5" i="7" s="1"/>
  <c r="F5" i="7" a="1"/>
  <c r="F5" i="7" s="1"/>
  <c r="C5" i="7" a="1"/>
  <c r="C5" i="7" s="1"/>
  <c r="C19" i="5"/>
  <c r="E19" i="5"/>
  <c r="D14" i="5"/>
  <c r="E14" i="5"/>
  <c r="D24" i="5"/>
  <c r="E10" i="5"/>
  <c r="D10" i="5"/>
  <c r="F35" i="2"/>
  <c r="H35" i="2"/>
  <c r="G35" i="2"/>
  <c r="A27" i="6"/>
  <c r="A16" i="6"/>
  <c r="D16" i="6" s="1" a="1"/>
  <c r="D16" i="6" s="1"/>
  <c r="F23" i="2"/>
  <c r="A23" i="6"/>
  <c r="C1" i="6"/>
  <c r="A22" i="6"/>
  <c r="D22" i="6" s="1" a="1"/>
  <c r="D22" i="6" s="1"/>
  <c r="F17" i="2"/>
  <c r="F11" i="2"/>
  <c r="A32" i="6"/>
  <c r="A21" i="6"/>
  <c r="E17" i="2"/>
  <c r="D40" i="2"/>
  <c r="D41" i="2" s="1"/>
  <c r="A31" i="6"/>
  <c r="A20" i="6"/>
  <c r="A8" i="6"/>
  <c r="D8" i="6" s="1" a="1"/>
  <c r="D8" i="6" s="1"/>
  <c r="D23" i="2"/>
  <c r="H23" i="2"/>
  <c r="C17" i="2"/>
  <c r="G17" i="2"/>
  <c r="A35" i="6"/>
  <c r="D35" i="6" s="1" a="1"/>
  <c r="D35" i="6" s="1"/>
  <c r="A24" i="6"/>
  <c r="A14" i="6"/>
  <c r="A34" i="6"/>
  <c r="D34" i="6" s="1" a="1"/>
  <c r="D34" i="6" s="1"/>
  <c r="A11" i="6"/>
  <c r="D17" i="2"/>
  <c r="C34" i="2"/>
  <c r="A33" i="6"/>
  <c r="D33" i="6" s="1" a="1"/>
  <c r="D33" i="6" s="1"/>
  <c r="A10" i="6"/>
  <c r="A9" i="6"/>
  <c r="A30" i="6"/>
  <c r="D30" i="6" s="1" a="1"/>
  <c r="D30" i="6" s="1"/>
  <c r="A17" i="6"/>
  <c r="G23" i="2"/>
  <c r="H17" i="2"/>
  <c r="D10" i="6" a="1"/>
  <c r="D10" i="6" s="1"/>
  <c r="D20" i="6" a="1"/>
  <c r="D20" i="6" s="1"/>
  <c r="D7" i="6" a="1"/>
  <c r="D7" i="6" s="1"/>
  <c r="D31" i="6" a="1"/>
  <c r="D31" i="6" s="1"/>
  <c r="D15" i="6" a="1"/>
  <c r="D15" i="6" s="1"/>
  <c r="H24" i="2"/>
  <c r="H40" i="2"/>
  <c r="H41" i="2" s="1"/>
  <c r="A21" i="4"/>
  <c r="G17" i="1"/>
  <c r="D7" i="1"/>
  <c r="D4" i="4"/>
  <c r="D1" i="4" s="1"/>
  <c r="A22" i="4"/>
  <c r="E40" i="2"/>
  <c r="E41" i="2" s="1"/>
  <c r="E34" i="2"/>
  <c r="G19" i="1"/>
  <c r="G21" i="1" s="1"/>
  <c r="H17" i="1"/>
  <c r="H19" i="1" s="1"/>
  <c r="H21" i="1" s="1"/>
  <c r="F17" i="1"/>
  <c r="F19" i="1" s="1"/>
  <c r="F21" i="1" s="1"/>
  <c r="E17" i="1"/>
  <c r="E19" i="1" s="1"/>
  <c r="E21" i="1" s="1"/>
  <c r="C17" i="1"/>
  <c r="C19" i="1" s="1"/>
  <c r="C21" i="1" s="1"/>
  <c r="E4" i="1"/>
  <c r="D17" i="6" l="1" a="1"/>
  <c r="D17" i="6" s="1"/>
  <c r="C24" i="2"/>
  <c r="C9" i="6" a="1"/>
  <c r="C9" i="6" s="1"/>
  <c r="F24" i="2"/>
  <c r="G24" i="2"/>
  <c r="D23" i="6" a="1"/>
  <c r="D23" i="6" s="1"/>
  <c r="H37" i="2"/>
  <c r="D27" i="6" a="1"/>
  <c r="D27" i="6" s="1"/>
  <c r="F37" i="2"/>
  <c r="D11" i="6" a="1"/>
  <c r="D11" i="6" s="1"/>
  <c r="C27" i="6" a="1"/>
  <c r="C27" i="6" s="1"/>
  <c r="E24" i="2"/>
  <c r="D32" i="6" a="1"/>
  <c r="D32" i="6" s="1"/>
  <c r="D21" i="6" a="1"/>
  <c r="D21" i="6" s="1"/>
  <c r="D9" i="6" a="1"/>
  <c r="D9" i="6" s="1"/>
  <c r="E35" i="2"/>
  <c r="D24" i="2"/>
  <c r="D24" i="6" s="1" a="1"/>
  <c r="D24" i="6" s="1"/>
  <c r="C35" i="2"/>
  <c r="E4" i="2"/>
  <c r="E4" i="4"/>
  <c r="E1" i="4" s="1"/>
  <c r="D17" i="1"/>
  <c r="D19" i="1" s="1"/>
  <c r="D21" i="1" s="1"/>
  <c r="D23" i="1" s="1"/>
  <c r="D25" i="1" s="1"/>
  <c r="D27" i="1" s="1"/>
  <c r="E37" i="2"/>
  <c r="C23" i="1"/>
  <c r="C25" i="1" s="1"/>
  <c r="C27" i="1" s="1"/>
  <c r="E23" i="1"/>
  <c r="E25" i="1" s="1"/>
  <c r="E27" i="1" s="1"/>
  <c r="H23" i="1"/>
  <c r="H25" i="1" s="1"/>
  <c r="H27" i="1" s="1"/>
  <c r="G23" i="1"/>
  <c r="G25" i="1" s="1"/>
  <c r="G27" i="1" s="1"/>
  <c r="F23" i="1"/>
  <c r="F25" i="1" s="1"/>
  <c r="F27" i="1" s="1"/>
  <c r="F4" i="1"/>
  <c r="F4" i="4" s="1"/>
  <c r="F1" i="4" s="1"/>
  <c r="C31" i="6" l="1" a="1"/>
  <c r="C31" i="6" s="1"/>
  <c r="C35" i="6" a="1"/>
  <c r="C35" i="6" s="1"/>
  <c r="C10" i="6" a="1"/>
  <c r="C10" i="6" s="1"/>
  <c r="C8" i="6" a="1"/>
  <c r="C8" i="6" s="1"/>
  <c r="C21" i="6" a="1"/>
  <c r="C21" i="6" s="1"/>
  <c r="C30" i="6" a="1"/>
  <c r="C30" i="6" s="1"/>
  <c r="C16" i="6" a="1"/>
  <c r="C16" i="6" s="1"/>
  <c r="C20" i="6" a="1"/>
  <c r="C20" i="6" s="1"/>
  <c r="C11" i="6" a="1"/>
  <c r="C11" i="6" s="1"/>
  <c r="C37" i="2"/>
  <c r="C32" i="6" a="1"/>
  <c r="C32" i="6" s="1"/>
  <c r="C7" i="6" a="1"/>
  <c r="C7" i="6" s="1"/>
  <c r="G37" i="2"/>
  <c r="C22" i="6" a="1"/>
  <c r="C22" i="6" s="1"/>
  <c r="E1" i="6"/>
  <c r="C34" i="6" a="1"/>
  <c r="C34" i="6" s="1"/>
  <c r="C33" i="6" a="1"/>
  <c r="C33" i="6" s="1"/>
  <c r="D37" i="2"/>
  <c r="C24" i="6" a="1"/>
  <c r="C24" i="6" s="1"/>
  <c r="C17" i="6" a="1"/>
  <c r="C17" i="6" s="1"/>
  <c r="C15" i="6" a="1"/>
  <c r="C15" i="6" s="1"/>
  <c r="C23" i="6" a="1"/>
  <c r="C23" i="6" s="1"/>
  <c r="F4" i="2"/>
  <c r="G4" i="1"/>
  <c r="F1" i="6" l="1"/>
  <c r="E7" i="6" a="1"/>
  <c r="E7" i="6" s="1"/>
  <c r="E15" i="6" a="1"/>
  <c r="E15" i="6" s="1"/>
  <c r="E31" i="6" a="1"/>
  <c r="E31" i="6" s="1"/>
  <c r="E22" i="6" a="1"/>
  <c r="E22" i="6" s="1"/>
  <c r="E33" i="6" a="1"/>
  <c r="E33" i="6" s="1"/>
  <c r="E24" i="6" a="1"/>
  <c r="E24" i="6" s="1"/>
  <c r="E8" i="6" a="1"/>
  <c r="E8" i="6" s="1"/>
  <c r="E20" i="6" a="1"/>
  <c r="E20" i="6" s="1"/>
  <c r="E32" i="6" a="1"/>
  <c r="E32" i="6" s="1"/>
  <c r="E34" i="6" a="1"/>
  <c r="E34" i="6" s="1"/>
  <c r="E30" i="6" a="1"/>
  <c r="E30" i="6" s="1"/>
  <c r="E10" i="6" a="1"/>
  <c r="E10" i="6" s="1"/>
  <c r="E16" i="6" a="1"/>
  <c r="E16" i="6" s="1"/>
  <c r="E21" i="6" a="1"/>
  <c r="E21" i="6" s="1"/>
  <c r="E23" i="6" a="1"/>
  <c r="E23" i="6" s="1"/>
  <c r="E35" i="6" a="1"/>
  <c r="E35" i="6" s="1"/>
  <c r="E17" i="6" a="1"/>
  <c r="E17" i="6" s="1"/>
  <c r="E11" i="6" a="1"/>
  <c r="E11" i="6" s="1"/>
  <c r="E9" i="6" a="1"/>
  <c r="E9" i="6" s="1"/>
  <c r="E27" i="6" a="1"/>
  <c r="E27" i="6" s="1"/>
  <c r="H4" i="1"/>
  <c r="H4" i="4" s="1"/>
  <c r="H1" i="4" s="1"/>
  <c r="G4" i="4"/>
  <c r="G1" i="4" s="1"/>
  <c r="G4" i="2"/>
  <c r="G1" i="6" s="1"/>
  <c r="G22" i="6" l="1" a="1"/>
  <c r="G22" i="6" s="1"/>
  <c r="G33" i="6" a="1"/>
  <c r="G33" i="6" s="1"/>
  <c r="G7" i="6" a="1"/>
  <c r="G7" i="6" s="1"/>
  <c r="G10" i="6" a="1"/>
  <c r="G10" i="6" s="1"/>
  <c r="G15" i="6" a="1"/>
  <c r="G15" i="6" s="1"/>
  <c r="G9" i="6" a="1"/>
  <c r="G9" i="6" s="1"/>
  <c r="G35" i="6" a="1"/>
  <c r="G35" i="6" s="1"/>
  <c r="G24" i="6" a="1"/>
  <c r="G24" i="6" s="1"/>
  <c r="G21" i="6" a="1"/>
  <c r="G21" i="6" s="1"/>
  <c r="G34" i="6" a="1"/>
  <c r="G34" i="6" s="1"/>
  <c r="G16" i="6" a="1"/>
  <c r="G16" i="6" s="1"/>
  <c r="G8" i="6" a="1"/>
  <c r="G8" i="6" s="1"/>
  <c r="G27" i="6" a="1"/>
  <c r="G27" i="6" s="1"/>
  <c r="G17" i="6" a="1"/>
  <c r="G17" i="6" s="1"/>
  <c r="G31" i="6" a="1"/>
  <c r="G31" i="6" s="1"/>
  <c r="G23" i="6" a="1"/>
  <c r="G23" i="6" s="1"/>
  <c r="G30" i="6" a="1"/>
  <c r="G30" i="6" s="1"/>
  <c r="G32" i="6" a="1"/>
  <c r="G32" i="6" s="1"/>
  <c r="G11" i="6" a="1"/>
  <c r="G11" i="6" s="1"/>
  <c r="G20" i="6" a="1"/>
  <c r="G20" i="6" s="1"/>
  <c r="F7" i="6" a="1"/>
  <c r="F7" i="6" s="1"/>
  <c r="F22" i="6" a="1"/>
  <c r="F22" i="6" s="1"/>
  <c r="F35" i="6" a="1"/>
  <c r="F35" i="6" s="1"/>
  <c r="F31" i="6" a="1"/>
  <c r="F31" i="6" s="1"/>
  <c r="F15" i="6" a="1"/>
  <c r="F15" i="6" s="1"/>
  <c r="F9" i="6" a="1"/>
  <c r="F9" i="6" s="1"/>
  <c r="F20" i="6" a="1"/>
  <c r="F20" i="6" s="1"/>
  <c r="F24" i="6" a="1"/>
  <c r="F24" i="6" s="1"/>
  <c r="F32" i="6" a="1"/>
  <c r="F32" i="6" s="1"/>
  <c r="F33" i="6" a="1"/>
  <c r="F33" i="6" s="1"/>
  <c r="F16" i="6" a="1"/>
  <c r="F16" i="6" s="1"/>
  <c r="F8" i="6" a="1"/>
  <c r="F8" i="6" s="1"/>
  <c r="F10" i="6" a="1"/>
  <c r="F10" i="6" s="1"/>
  <c r="F11" i="6" a="1"/>
  <c r="F11" i="6" s="1"/>
  <c r="F17" i="6" a="1"/>
  <c r="F17" i="6" s="1"/>
  <c r="F34" i="6" a="1"/>
  <c r="F34" i="6" s="1"/>
  <c r="F23" i="6" a="1"/>
  <c r="F23" i="6" s="1"/>
  <c r="F21" i="6" a="1"/>
  <c r="F21" i="6" s="1"/>
  <c r="F30" i="6" a="1"/>
  <c r="F30" i="6" s="1"/>
  <c r="F27" i="6" a="1"/>
  <c r="F27" i="6" s="1"/>
  <c r="H4" i="2"/>
  <c r="H1" i="6" s="1"/>
  <c r="H20" i="6" l="1" a="1"/>
  <c r="H20" i="6" s="1"/>
  <c r="H34" i="6" a="1"/>
  <c r="H34" i="6" s="1"/>
  <c r="H15" i="6" a="1"/>
  <c r="H15" i="6" s="1"/>
  <c r="H22" i="6" a="1"/>
  <c r="H22" i="6" s="1"/>
  <c r="H10" i="6" a="1"/>
  <c r="H10" i="6" s="1"/>
  <c r="H33" i="6" a="1"/>
  <c r="H33" i="6" s="1"/>
  <c r="H7" i="6" a="1"/>
  <c r="H7" i="6" s="1"/>
  <c r="H9" i="6" a="1"/>
  <c r="H9" i="6" s="1"/>
  <c r="H31" i="6" a="1"/>
  <c r="H31" i="6" s="1"/>
  <c r="H8" i="6" a="1"/>
  <c r="H8" i="6" s="1"/>
  <c r="H24" i="6" a="1"/>
  <c r="H24" i="6" s="1"/>
  <c r="H17" i="6" a="1"/>
  <c r="H17" i="6" s="1"/>
  <c r="H16" i="6" a="1"/>
  <c r="H16" i="6" s="1"/>
  <c r="H21" i="6" a="1"/>
  <c r="H21" i="6" s="1"/>
  <c r="H35" i="6" a="1"/>
  <c r="H35" i="6" s="1"/>
  <c r="H27" i="6" a="1"/>
  <c r="H27" i="6" s="1"/>
  <c r="H23" i="6" a="1"/>
  <c r="H23" i="6" s="1"/>
  <c r="H30" i="6" a="1"/>
  <c r="H30" i="6" s="1"/>
  <c r="H32" i="6" a="1"/>
  <c r="H32" i="6" s="1"/>
  <c r="H11" i="6" a="1"/>
  <c r="H11"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AMBIKA</author>
  </authors>
  <commentList>
    <comment ref="C5" authorId="0" shapeId="0" xr:uid="{94C144AB-29F8-4D80-BF73-DEE508B76AD2}">
      <text>
        <r>
          <rPr>
            <b/>
            <sz val="9"/>
            <color indexed="81"/>
            <rFont val="Tahoma"/>
            <family val="2"/>
          </rPr>
          <t>AMBIKA:</t>
        </r>
        <r>
          <rPr>
            <sz val="9"/>
            <color indexed="81"/>
            <rFont val="Tahoma"/>
            <family val="2"/>
          </rPr>
          <t xml:space="preserve">
AR 2021
P. 134/175
https://www.asianpaints.com/content/dam/asianpaints/website/secondary-navigation/investors/annual-reports/2020-2021/FINAL-Asian-Paints-IR-2020-21-online-30621.pdf</t>
        </r>
      </text>
    </comment>
    <comment ref="D5" authorId="0" shapeId="0" xr:uid="{3A4B302D-4C4A-4183-85C4-1DE7D1C5C315}">
      <text>
        <r>
          <rPr>
            <b/>
            <sz val="9"/>
            <color indexed="81"/>
            <rFont val="Tahoma"/>
            <family val="2"/>
          </rPr>
          <t>AMBIKA:</t>
        </r>
        <r>
          <rPr>
            <sz val="9"/>
            <color indexed="81"/>
            <rFont val="Tahoma"/>
            <family val="2"/>
          </rPr>
          <t xml:space="preserve">
AR 2022
P. 150/195
https://www.asianpaints.com/content/dam/asianpaints/website/secondary-navigation/investors/annual-reports/2021-2022/AsianpaintsIntegratedReportFY2022.pdf</t>
        </r>
      </text>
    </comment>
    <comment ref="E5" authorId="0" shapeId="0" xr:uid="{A2A43E9E-17B1-434B-90D7-30AA5A670ADD}">
      <text>
        <r>
          <rPr>
            <b/>
            <sz val="9"/>
            <color indexed="81"/>
            <rFont val="Tahoma"/>
            <family val="2"/>
          </rPr>
          <t>AMBIKA:</t>
        </r>
        <r>
          <rPr>
            <sz val="9"/>
            <color indexed="81"/>
            <rFont val="Tahoma"/>
            <family val="2"/>
          </rPr>
          <t xml:space="preserve">
AR 2023
P. 190/245
https://www.asianpaints.com/content/dam/asianpaints/website/secondary-navigation/investors/annual-reports/2022-2023/Asian_PaintsIR22-23.pdf</t>
        </r>
      </text>
    </comment>
    <comment ref="F5" authorId="0" shapeId="0" xr:uid="{15D11B53-F88A-4278-B37E-B1F2CE177E22}">
      <text>
        <r>
          <rPr>
            <b/>
            <sz val="9"/>
            <color indexed="81"/>
            <rFont val="Tahoma"/>
            <family val="2"/>
          </rPr>
          <t>AMBIKA:</t>
        </r>
        <r>
          <rPr>
            <sz val="9"/>
            <color indexed="81"/>
            <rFont val="Tahoma"/>
            <family val="2"/>
          </rPr>
          <t xml:space="preserve">
AR 2024
P. 209/271
https://www.asianpaints.com/content/dam/asianpaints/website/secondary-navigation/investors/annual-reports/2023-2024/Asian_Paints_FY24_AnnualReport.pdf</t>
        </r>
      </text>
    </comment>
    <comment ref="G5" authorId="0" shapeId="0" xr:uid="{87F7563D-F5D9-4980-B6AE-8F52F23922E4}">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H5" authorId="0" shapeId="0" xr:uid="{C70ABCAC-CAC4-48D6-99C5-8C5C250ACEB9}">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C6" authorId="0" shapeId="0" xr:uid="{01AC870A-4B4B-4E22-926B-01DF614884ED}">
      <text>
        <r>
          <rPr>
            <b/>
            <sz val="9"/>
            <color indexed="81"/>
            <rFont val="Tahoma"/>
            <family val="2"/>
          </rPr>
          <t>AMBIKA:</t>
        </r>
        <r>
          <rPr>
            <sz val="9"/>
            <color indexed="81"/>
            <rFont val="Tahoma"/>
            <family val="2"/>
          </rPr>
          <t xml:space="preserve">
AR 2021
P. 134/175
https://www.asianpaints.com/content/dam/asianpaints/website/secondary-navigation/investors/annual-reports/2020-2021/FINAL-Asian-Paints-IR-2020-21-online-30621.pdf</t>
        </r>
      </text>
    </comment>
    <comment ref="D6" authorId="0" shapeId="0" xr:uid="{F0014BF5-A527-4F45-B171-E8715C86EA5E}">
      <text>
        <r>
          <rPr>
            <b/>
            <sz val="9"/>
            <color indexed="81"/>
            <rFont val="Tahoma"/>
            <family val="2"/>
          </rPr>
          <t>AMBIKA:</t>
        </r>
        <r>
          <rPr>
            <sz val="9"/>
            <color indexed="81"/>
            <rFont val="Tahoma"/>
            <family val="2"/>
          </rPr>
          <t xml:space="preserve">
AR 2022
P. 150/195
https://www.asianpaints.com/content/dam/asianpaints/website/secondary-navigation/investors/annual-reports/2021-2022/AsianpaintsIntegratedReportFY2022.pdf</t>
        </r>
      </text>
    </comment>
    <comment ref="E6" authorId="0" shapeId="0" xr:uid="{3E62F0A0-CB62-47CA-9D40-023B03BB97BB}">
      <text>
        <r>
          <rPr>
            <b/>
            <sz val="9"/>
            <color indexed="81"/>
            <rFont val="Tahoma"/>
            <family val="2"/>
          </rPr>
          <t>AMBIKA:</t>
        </r>
        <r>
          <rPr>
            <sz val="9"/>
            <color indexed="81"/>
            <rFont val="Tahoma"/>
            <family val="2"/>
          </rPr>
          <t xml:space="preserve">
AR 2023
P. 190/245
https://www.asianpaints.com/content/dam/asianpaints/website/secondary-navigation/investors/annual-reports/2022-2023/Asian_PaintsIR22-23.pdf</t>
        </r>
      </text>
    </comment>
    <comment ref="F6" authorId="0" shapeId="0" xr:uid="{8E98C5C4-0844-48BB-9E83-394A5FE74CBC}">
      <text>
        <r>
          <rPr>
            <b/>
            <sz val="9"/>
            <color indexed="81"/>
            <rFont val="Tahoma"/>
            <family val="2"/>
          </rPr>
          <t>AMBIKA:</t>
        </r>
        <r>
          <rPr>
            <sz val="9"/>
            <color indexed="81"/>
            <rFont val="Tahoma"/>
            <family val="2"/>
          </rPr>
          <t xml:space="preserve">
AR 2024
P. 209/271
https://www.asianpaints.com/content/dam/asianpaints/website/secondary-navigation/investors/annual-reports/2023-2024/Asian_Paints_FY24_AnnualReport.pdf</t>
        </r>
      </text>
    </comment>
    <comment ref="G6" authorId="0" shapeId="0" xr:uid="{B3C250E0-F89A-4AD7-AA99-A23C4A76C07D}">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H6" authorId="0" shapeId="0" xr:uid="{22C6D019-1A14-4B05-87C6-7CF532031665}">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C10" authorId="0" shapeId="0" xr:uid="{59C69FB9-63FF-48A6-9868-ED210A1B96AC}">
      <text>
        <r>
          <rPr>
            <b/>
            <sz val="9"/>
            <color indexed="81"/>
            <rFont val="Tahoma"/>
            <family val="2"/>
          </rPr>
          <t>AMBIKA:</t>
        </r>
        <r>
          <rPr>
            <sz val="9"/>
            <color indexed="81"/>
            <rFont val="Tahoma"/>
            <family val="2"/>
          </rPr>
          <t xml:space="preserve">
AR 2021
P. 134/175
https://www.asianpaints.com/content/dam/asianpaints/website/secondary-navigation/investors/annual-reports/2020-2021/FINAL-Asian-Paints-IR-2020-21-online-30621.pdf</t>
        </r>
      </text>
    </comment>
    <comment ref="D10" authorId="0" shapeId="0" xr:uid="{A9CC25D0-7A35-4934-8B43-36D7E15C7247}">
      <text>
        <r>
          <rPr>
            <b/>
            <sz val="9"/>
            <color indexed="81"/>
            <rFont val="Tahoma"/>
            <family val="2"/>
          </rPr>
          <t>AMBIKA:</t>
        </r>
        <r>
          <rPr>
            <sz val="9"/>
            <color indexed="81"/>
            <rFont val="Tahoma"/>
            <family val="2"/>
          </rPr>
          <t xml:space="preserve">
AR 2022
P. 150/195
https://www.asianpaints.com/content/dam/asianpaints/website/secondary-navigation/investors/annual-reports/2021-2022/AsianpaintsIntegratedReportFY2022.pdf</t>
        </r>
      </text>
    </comment>
    <comment ref="E10" authorId="0" shapeId="0" xr:uid="{9CEBA9DC-3DFA-467D-ABBD-FD7D1559C6D5}">
      <text>
        <r>
          <rPr>
            <b/>
            <sz val="9"/>
            <color indexed="81"/>
            <rFont val="Tahoma"/>
            <family val="2"/>
          </rPr>
          <t>AMBIKA:</t>
        </r>
        <r>
          <rPr>
            <sz val="9"/>
            <color indexed="81"/>
            <rFont val="Tahoma"/>
            <family val="2"/>
          </rPr>
          <t xml:space="preserve">
AR 2023
P. 190/245
https://www.asianpaints.com/content/dam/asianpaints/website/secondary-navigation/investors/annual-reports/2022-2023/Asian_PaintsIR22-23.pdf</t>
        </r>
      </text>
    </comment>
    <comment ref="F10" authorId="0" shapeId="0" xr:uid="{95606912-5E5E-4B36-ACB3-5775A37B4E2F}">
      <text>
        <r>
          <rPr>
            <b/>
            <sz val="9"/>
            <color indexed="81"/>
            <rFont val="Tahoma"/>
            <family val="2"/>
          </rPr>
          <t>AMBIKA:</t>
        </r>
        <r>
          <rPr>
            <sz val="9"/>
            <color indexed="81"/>
            <rFont val="Tahoma"/>
            <family val="2"/>
          </rPr>
          <t xml:space="preserve">
AR 2024
P. 209/271
https://www.asianpaints.com/content/dam/asianpaints/website/secondary-navigation/investors/annual-reports/2023-2024/Asian_Paints_FY24_AnnualReport.pdf</t>
        </r>
      </text>
    </comment>
    <comment ref="G10" authorId="0" shapeId="0" xr:uid="{831E01DA-79AC-4964-BE7B-61C684A52E59}">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H10" authorId="0" shapeId="0" xr:uid="{61D2535F-1F3F-4011-A6E8-6C26040931F9}">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C11" authorId="0" shapeId="0" xr:uid="{8A2469CC-4D37-45E7-BA67-E65DF12FAA47}">
      <text>
        <r>
          <rPr>
            <b/>
            <sz val="9"/>
            <color indexed="81"/>
            <rFont val="Tahoma"/>
            <family val="2"/>
          </rPr>
          <t>AMBIKA:</t>
        </r>
        <r>
          <rPr>
            <sz val="9"/>
            <color indexed="81"/>
            <rFont val="Tahoma"/>
            <family val="2"/>
          </rPr>
          <t xml:space="preserve">
AR 2021
P. 134/175
https://www.asianpaints.com/content/dam/asianpaints/website/secondary-navigation/investors/annual-reports/2020-2021/FINAL-Asian-Paints-IR-2020-21-online-30621.pdf</t>
        </r>
      </text>
    </comment>
    <comment ref="D11" authorId="0" shapeId="0" xr:uid="{AF011488-28AA-416A-8903-DBAFCD4B596C}">
      <text>
        <r>
          <rPr>
            <b/>
            <sz val="9"/>
            <color indexed="81"/>
            <rFont val="Tahoma"/>
            <family val="2"/>
          </rPr>
          <t>AMBIKA:</t>
        </r>
        <r>
          <rPr>
            <sz val="9"/>
            <color indexed="81"/>
            <rFont val="Tahoma"/>
            <family val="2"/>
          </rPr>
          <t xml:space="preserve">
AR 2022
P. 150/195
https://www.asianpaints.com/content/dam/asianpaints/website/secondary-navigation/investors/annual-reports/2021-2022/AsianpaintsIntegratedReportFY2022.pdf</t>
        </r>
      </text>
    </comment>
    <comment ref="E11" authorId="0" shapeId="0" xr:uid="{E1D0B810-1FFD-477D-9D62-CF7B0774BFD8}">
      <text>
        <r>
          <rPr>
            <b/>
            <sz val="9"/>
            <color indexed="81"/>
            <rFont val="Tahoma"/>
            <family val="2"/>
          </rPr>
          <t>AMBIKA:</t>
        </r>
        <r>
          <rPr>
            <sz val="9"/>
            <color indexed="81"/>
            <rFont val="Tahoma"/>
            <family val="2"/>
          </rPr>
          <t xml:space="preserve">
AR 2023
P. 190/245
https://www.asianpaints.com/content/dam/asianpaints/website/secondary-navigation/investors/annual-reports/2022-2023/Asian_PaintsIR22-23.pdf</t>
        </r>
      </text>
    </comment>
    <comment ref="F11" authorId="0" shapeId="0" xr:uid="{E6DA2598-8F01-4AE4-A351-F215F6F1F0DD}">
      <text>
        <r>
          <rPr>
            <b/>
            <sz val="9"/>
            <color indexed="81"/>
            <rFont val="Tahoma"/>
            <family val="2"/>
          </rPr>
          <t>AMBIKA:</t>
        </r>
        <r>
          <rPr>
            <sz val="9"/>
            <color indexed="81"/>
            <rFont val="Tahoma"/>
            <family val="2"/>
          </rPr>
          <t xml:space="preserve">
AR 2024
P. 209/271
https://www.asianpaints.com/content/dam/asianpaints/website/secondary-navigation/investors/annual-reports/2023-2024/Asian_Paints_FY24_AnnualReport.pdf</t>
        </r>
      </text>
    </comment>
    <comment ref="G11" authorId="0" shapeId="0" xr:uid="{6A8A406B-C9CB-40E4-BF18-5E587E24A3AC}">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H11" authorId="0" shapeId="0" xr:uid="{BEFAE534-56F1-4B9B-A736-5A2F99FA226D}">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B12" authorId="0" shapeId="0" xr:uid="{529F691C-1410-41A3-9719-12907D44B9D0}">
      <text>
        <r>
          <rPr>
            <b/>
            <sz val="9"/>
            <color indexed="81"/>
            <rFont val="Tahoma"/>
            <family val="2"/>
          </rPr>
          <t>AMBIKA:</t>
        </r>
        <r>
          <rPr>
            <sz val="9"/>
            <color indexed="81"/>
            <rFont val="Tahoma"/>
            <family val="2"/>
          </rPr>
          <t xml:space="preserve">
of finished goods, Stock-in-Trade and Work-in-progress</t>
        </r>
      </text>
    </comment>
    <comment ref="C12" authorId="0" shapeId="0" xr:uid="{38EB9D04-0560-4A04-AEC1-735F1F837694}">
      <text>
        <r>
          <rPr>
            <b/>
            <sz val="9"/>
            <color indexed="81"/>
            <rFont val="Tahoma"/>
            <family val="2"/>
          </rPr>
          <t>AMBIKA:</t>
        </r>
        <r>
          <rPr>
            <sz val="9"/>
            <color indexed="81"/>
            <rFont val="Tahoma"/>
            <family val="2"/>
          </rPr>
          <t xml:space="preserve">
AR 2021
P. 134/175
https://www.asianpaints.com/content/dam/asianpaints/website/secondary-navigation/investors/annual-reports/2020-2021/FINAL-Asian-Paints-IR-2020-21-online-30621.pdf</t>
        </r>
      </text>
    </comment>
    <comment ref="D12" authorId="0" shapeId="0" xr:uid="{758A2F68-3B75-4579-863D-E7222802A63F}">
      <text>
        <r>
          <rPr>
            <b/>
            <sz val="9"/>
            <color indexed="81"/>
            <rFont val="Tahoma"/>
            <family val="2"/>
          </rPr>
          <t>AMBIKA:</t>
        </r>
        <r>
          <rPr>
            <sz val="9"/>
            <color indexed="81"/>
            <rFont val="Tahoma"/>
            <family val="2"/>
          </rPr>
          <t xml:space="preserve">
AR 2022
P. 150/195
https://www.asianpaints.com/content/dam/asianpaints/website/secondary-navigation/investors/annual-reports/2021-2022/AsianpaintsIntegratedReportFY2022.pdf</t>
        </r>
      </text>
    </comment>
    <comment ref="E12" authorId="0" shapeId="0" xr:uid="{BC1E1B3C-D74E-43CC-8DAB-CA491CFC821B}">
      <text>
        <r>
          <rPr>
            <b/>
            <sz val="9"/>
            <color indexed="81"/>
            <rFont val="Tahoma"/>
            <family val="2"/>
          </rPr>
          <t>AMBIKA:</t>
        </r>
        <r>
          <rPr>
            <sz val="9"/>
            <color indexed="81"/>
            <rFont val="Tahoma"/>
            <family val="2"/>
          </rPr>
          <t xml:space="preserve">
AR 2023
P. 190/245
https://www.asianpaints.com/content/dam/asianpaints/website/secondary-navigation/investors/annual-reports/2022-2023/Asian_PaintsIR22-23.pdf</t>
        </r>
      </text>
    </comment>
    <comment ref="F12" authorId="0" shapeId="0" xr:uid="{CB7B5CB2-D8AF-4BFF-97AB-62A38A91CEEF}">
      <text>
        <r>
          <rPr>
            <b/>
            <sz val="9"/>
            <color indexed="81"/>
            <rFont val="Tahoma"/>
            <family val="2"/>
          </rPr>
          <t>AMBIKA:</t>
        </r>
        <r>
          <rPr>
            <sz val="9"/>
            <color indexed="81"/>
            <rFont val="Tahoma"/>
            <family val="2"/>
          </rPr>
          <t xml:space="preserve">
AR 2024
P. 209/271
https://www.asianpaints.com/content/dam/asianpaints/website/secondary-navigation/investors/annual-reports/2023-2024/Asian_Paints_FY24_AnnualReport.pdf</t>
        </r>
      </text>
    </comment>
    <comment ref="G12" authorId="0" shapeId="0" xr:uid="{59F05AA4-4546-4702-8A88-4A3B38CFB680}">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H12" authorId="0" shapeId="0" xr:uid="{3AB45570-CE69-456B-A35C-20414286B903}">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C13" authorId="0" shapeId="0" xr:uid="{9347635A-081D-4F94-8FBE-4775EFCA1498}">
      <text>
        <r>
          <rPr>
            <b/>
            <sz val="9"/>
            <color indexed="81"/>
            <rFont val="Tahoma"/>
            <family val="2"/>
          </rPr>
          <t>AMBIKA:</t>
        </r>
        <r>
          <rPr>
            <sz val="9"/>
            <color indexed="81"/>
            <rFont val="Tahoma"/>
            <family val="2"/>
          </rPr>
          <t xml:space="preserve">
AR 2021
P. 134/175
https://www.asianpaints.com/content/dam/asianpaints/website/secondary-navigation/investors/annual-reports/2020-2021/FINAL-Asian-Paints-IR-2020-21-online-30621.pdf</t>
        </r>
      </text>
    </comment>
    <comment ref="D13" authorId="0" shapeId="0" xr:uid="{B62D81C4-21CC-472C-85D3-5D9BBC54C449}">
      <text>
        <r>
          <rPr>
            <b/>
            <sz val="9"/>
            <color indexed="81"/>
            <rFont val="Tahoma"/>
            <family val="2"/>
          </rPr>
          <t>AMBIKA:</t>
        </r>
        <r>
          <rPr>
            <sz val="9"/>
            <color indexed="81"/>
            <rFont val="Tahoma"/>
            <family val="2"/>
          </rPr>
          <t xml:space="preserve">
AR 2022
P. 150/195
https://www.asianpaints.com/content/dam/asianpaints/website/secondary-navigation/investors/annual-reports/2021-2022/AsianpaintsIntegratedReportFY2022.pdf</t>
        </r>
      </text>
    </comment>
    <comment ref="E13" authorId="0" shapeId="0" xr:uid="{101C503B-FDFF-407F-9A44-1E57BA52C549}">
      <text>
        <r>
          <rPr>
            <b/>
            <sz val="9"/>
            <color indexed="81"/>
            <rFont val="Tahoma"/>
            <family val="2"/>
          </rPr>
          <t>AMBIKA:</t>
        </r>
        <r>
          <rPr>
            <sz val="9"/>
            <color indexed="81"/>
            <rFont val="Tahoma"/>
            <family val="2"/>
          </rPr>
          <t xml:space="preserve">
AR 2023
P. 190/245
https://www.asianpaints.com/content/dam/asianpaints/website/secondary-navigation/investors/annual-reports/2022-2023/Asian_PaintsIR22-23.pdf</t>
        </r>
      </text>
    </comment>
    <comment ref="F13" authorId="0" shapeId="0" xr:uid="{39198541-99D2-48F2-AF52-9E19077F1D45}">
      <text>
        <r>
          <rPr>
            <b/>
            <sz val="9"/>
            <color indexed="81"/>
            <rFont val="Tahoma"/>
            <family val="2"/>
          </rPr>
          <t>AMBIKA:</t>
        </r>
        <r>
          <rPr>
            <sz val="9"/>
            <color indexed="81"/>
            <rFont val="Tahoma"/>
            <family val="2"/>
          </rPr>
          <t xml:space="preserve">
AR 2024
P. 209/271
https://www.asianpaints.com/content/dam/asianpaints/website/secondary-navigation/investors/annual-reports/2023-2024/Asian_Paints_FY24_AnnualReport.pdf</t>
        </r>
      </text>
    </comment>
    <comment ref="G13" authorId="0" shapeId="0" xr:uid="{061D86F0-3925-430E-8266-57250897ECAA}">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H13" authorId="0" shapeId="0" xr:uid="{1EC2D356-45D0-4887-BF08-18394C2127C5}">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C14" authorId="0" shapeId="0" xr:uid="{EEAB74A5-20FD-4373-967A-53DA9C24D7F5}">
      <text>
        <r>
          <rPr>
            <b/>
            <sz val="9"/>
            <color indexed="81"/>
            <rFont val="Tahoma"/>
            <family val="2"/>
          </rPr>
          <t>AMBIKA:</t>
        </r>
        <r>
          <rPr>
            <sz val="9"/>
            <color indexed="81"/>
            <rFont val="Tahoma"/>
            <family val="2"/>
          </rPr>
          <t xml:space="preserve">
AR 2021
P. 134/175
https://www.asianpaints.com/content/dam/asianpaints/website/secondary-navigation/investors/annual-reports/2020-2021/FINAL-Asian-Paints-IR-2020-21-online-30621.pdf</t>
        </r>
      </text>
    </comment>
    <comment ref="D14" authorId="0" shapeId="0" xr:uid="{0FB7B329-A74C-467F-B7B0-9F837BEDFD13}">
      <text>
        <r>
          <rPr>
            <b/>
            <sz val="9"/>
            <color indexed="81"/>
            <rFont val="Tahoma"/>
            <family val="2"/>
          </rPr>
          <t>AMBIKA:</t>
        </r>
        <r>
          <rPr>
            <sz val="9"/>
            <color indexed="81"/>
            <rFont val="Tahoma"/>
            <family val="2"/>
          </rPr>
          <t xml:space="preserve">
AR 2022
P. 150/195
https://www.asianpaints.com/content/dam/asianpaints/website/secondary-navigation/investors/annual-reports/2021-2022/AsianpaintsIntegratedReportFY2022.pdf</t>
        </r>
      </text>
    </comment>
    <comment ref="E14" authorId="0" shapeId="0" xr:uid="{19C0A3B0-FFBE-4E98-A8BF-C05CA6665095}">
      <text>
        <r>
          <rPr>
            <b/>
            <sz val="9"/>
            <color indexed="81"/>
            <rFont val="Tahoma"/>
            <family val="2"/>
          </rPr>
          <t>AMBIKA:</t>
        </r>
        <r>
          <rPr>
            <sz val="9"/>
            <color indexed="81"/>
            <rFont val="Tahoma"/>
            <family val="2"/>
          </rPr>
          <t xml:space="preserve">
AR 2023
P. 190/245
https://www.asianpaints.com/content/dam/asianpaints/website/secondary-navigation/investors/annual-reports/2022-2023/Asian_PaintsIR22-23.pdf</t>
        </r>
      </text>
    </comment>
    <comment ref="F14" authorId="0" shapeId="0" xr:uid="{9DC6A4A3-6B1D-442A-A639-84F5D7D85FA8}">
      <text>
        <r>
          <rPr>
            <b/>
            <sz val="9"/>
            <color indexed="81"/>
            <rFont val="Tahoma"/>
            <family val="2"/>
          </rPr>
          <t>AMBIKA:</t>
        </r>
        <r>
          <rPr>
            <sz val="9"/>
            <color indexed="81"/>
            <rFont val="Tahoma"/>
            <family val="2"/>
          </rPr>
          <t xml:space="preserve">
AR 2024
P. 209/271
https://www.asianpaints.com/content/dam/asianpaints/website/secondary-navigation/investors/annual-reports/2023-2024/Asian_Paints_FY24_AnnualReport.pdf</t>
        </r>
      </text>
    </comment>
    <comment ref="G14" authorId="0" shapeId="0" xr:uid="{78BE82ED-EFAC-4509-BC3C-365065FC66C5}">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H14" authorId="0" shapeId="0" xr:uid="{110C20B7-D471-476A-9F01-291DBD9FA4F0}">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C18" authorId="0" shapeId="0" xr:uid="{343990CD-8443-4D02-BC78-FEE1F006A538}">
      <text>
        <r>
          <rPr>
            <b/>
            <sz val="9"/>
            <color indexed="81"/>
            <rFont val="Tahoma"/>
            <family val="2"/>
          </rPr>
          <t>AMBIKA:</t>
        </r>
        <r>
          <rPr>
            <sz val="9"/>
            <color indexed="81"/>
            <rFont val="Tahoma"/>
            <family val="2"/>
          </rPr>
          <t xml:space="preserve">
AR 2021
P. 134/175
https://www.asianpaints.com/content/dam/asianpaints/website/secondary-navigation/investors/annual-reports/2020-2021/FINAL-Asian-Paints-IR-2020-21-online-30621.pdf</t>
        </r>
      </text>
    </comment>
    <comment ref="D18" authorId="0" shapeId="0" xr:uid="{7FBD996D-249C-4AB9-AA4D-3B4139197F0D}">
      <text>
        <r>
          <rPr>
            <b/>
            <sz val="9"/>
            <color indexed="81"/>
            <rFont val="Tahoma"/>
            <family val="2"/>
          </rPr>
          <t>AMBIKA:</t>
        </r>
        <r>
          <rPr>
            <sz val="9"/>
            <color indexed="81"/>
            <rFont val="Tahoma"/>
            <family val="2"/>
          </rPr>
          <t xml:space="preserve">
AR 2022
P. 150/195
https://www.asianpaints.com/content/dam/asianpaints/website/secondary-navigation/investors/annual-reports/2021-2022/AsianpaintsIntegratedReportFY2022.pdf</t>
        </r>
      </text>
    </comment>
    <comment ref="E18" authorId="0" shapeId="0" xr:uid="{F4C4EE93-7C97-4CB1-BC1F-526744C76FB5}">
      <text>
        <r>
          <rPr>
            <b/>
            <sz val="9"/>
            <color indexed="81"/>
            <rFont val="Tahoma"/>
            <family val="2"/>
          </rPr>
          <t>AMBIKA:</t>
        </r>
        <r>
          <rPr>
            <sz val="9"/>
            <color indexed="81"/>
            <rFont val="Tahoma"/>
            <family val="2"/>
          </rPr>
          <t xml:space="preserve">
AR 2023
P. 190/245
https://www.asianpaints.com/content/dam/asianpaints/website/secondary-navigation/investors/annual-reports/2022-2023/Asian_PaintsIR22-23.pdf</t>
        </r>
      </text>
    </comment>
    <comment ref="F18" authorId="0" shapeId="0" xr:uid="{5AA20F6F-D153-44C9-83AD-CAA25BD58959}">
      <text>
        <r>
          <rPr>
            <b/>
            <sz val="9"/>
            <color indexed="81"/>
            <rFont val="Tahoma"/>
            <family val="2"/>
          </rPr>
          <t>AMBIKA:</t>
        </r>
        <r>
          <rPr>
            <sz val="9"/>
            <color indexed="81"/>
            <rFont val="Tahoma"/>
            <family val="2"/>
          </rPr>
          <t xml:space="preserve">
AR 2024
P. 209/271
https://www.asianpaints.com/content/dam/asianpaints/website/secondary-navigation/investors/annual-reports/2023-2024/Asian_Paints_FY24_AnnualReport.pdf</t>
        </r>
      </text>
    </comment>
    <comment ref="G18" authorId="0" shapeId="0" xr:uid="{41BC5636-44E4-43E5-80AB-9221B1ECA838}">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H18" authorId="0" shapeId="0" xr:uid="{5B00E351-494B-4DAB-82C2-758F4146B83D}">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C20" authorId="0" shapeId="0" xr:uid="{3F00C925-649C-4749-9186-7EB6C8354AC0}">
      <text>
        <r>
          <rPr>
            <b/>
            <sz val="9"/>
            <color indexed="81"/>
            <rFont val="Tahoma"/>
            <family val="2"/>
          </rPr>
          <t>AMBIKA:</t>
        </r>
        <r>
          <rPr>
            <sz val="9"/>
            <color indexed="81"/>
            <rFont val="Tahoma"/>
            <family val="2"/>
          </rPr>
          <t xml:space="preserve">
AR 2021
P. 134/175
https://www.asianpaints.com/content/dam/asianpaints/website/secondary-navigation/investors/annual-reports/2020-2021/FINAL-Asian-Paints-IR-2020-21-online-30621.pdf</t>
        </r>
      </text>
    </comment>
    <comment ref="D20" authorId="0" shapeId="0" xr:uid="{D2CBA1B5-6D0F-419D-96CA-501E778295D5}">
      <text>
        <r>
          <rPr>
            <b/>
            <sz val="9"/>
            <color indexed="81"/>
            <rFont val="Tahoma"/>
            <family val="2"/>
          </rPr>
          <t>AMBIKA:</t>
        </r>
        <r>
          <rPr>
            <sz val="9"/>
            <color indexed="81"/>
            <rFont val="Tahoma"/>
            <family val="2"/>
          </rPr>
          <t xml:space="preserve">
AR 2022
P. 150/195
https://www.asianpaints.com/content/dam/asianpaints/website/secondary-navigation/investors/annual-reports/2021-2022/AsianpaintsIntegratedReportFY2022.pdf</t>
        </r>
      </text>
    </comment>
    <comment ref="E20" authorId="0" shapeId="0" xr:uid="{F2F70C1D-CA0E-4463-8FF5-3DDFBFF58728}">
      <text>
        <r>
          <rPr>
            <b/>
            <sz val="9"/>
            <color indexed="81"/>
            <rFont val="Tahoma"/>
            <family val="2"/>
          </rPr>
          <t>AMBIKA:</t>
        </r>
        <r>
          <rPr>
            <sz val="9"/>
            <color indexed="81"/>
            <rFont val="Tahoma"/>
            <family val="2"/>
          </rPr>
          <t xml:space="preserve">
AR 2023
P. 190/245
https://www.asianpaints.com/content/dam/asianpaints/website/secondary-navigation/investors/annual-reports/2022-2023/Asian_PaintsIR22-23.pdf</t>
        </r>
      </text>
    </comment>
    <comment ref="F20" authorId="0" shapeId="0" xr:uid="{8F64F35F-BDA1-4E5F-A129-F220A30F8B35}">
      <text>
        <r>
          <rPr>
            <b/>
            <sz val="9"/>
            <color indexed="81"/>
            <rFont val="Tahoma"/>
            <family val="2"/>
          </rPr>
          <t>AMBIKA:</t>
        </r>
        <r>
          <rPr>
            <sz val="9"/>
            <color indexed="81"/>
            <rFont val="Tahoma"/>
            <family val="2"/>
          </rPr>
          <t xml:space="preserve">
AR 2024
P. 209/271
https://www.asianpaints.com/content/dam/asianpaints/website/secondary-navigation/investors/annual-reports/2023-2024/Asian_Paints_FY24_AnnualReport.pdf</t>
        </r>
      </text>
    </comment>
    <comment ref="G20" authorId="0" shapeId="0" xr:uid="{B7129A46-2D7F-492B-8E62-BAB079F3952B}">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H20" authorId="0" shapeId="0" xr:uid="{D0BDF9B3-2094-4309-A301-ADB5617288F0}">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C22" authorId="0" shapeId="0" xr:uid="{EAD10435-AB48-4B9B-A797-F10E54D88B59}">
      <text>
        <r>
          <rPr>
            <b/>
            <sz val="9"/>
            <color indexed="81"/>
            <rFont val="Tahoma"/>
            <family val="2"/>
          </rPr>
          <t>AMBIKA:</t>
        </r>
        <r>
          <rPr>
            <sz val="9"/>
            <color indexed="81"/>
            <rFont val="Tahoma"/>
            <family val="2"/>
          </rPr>
          <t xml:space="preserve">
AR 2021
P. 134/175
https://www.asianpaints.com/content/dam/asianpaints/website/secondary-navigation/investors/annual-reports/2020-2021/FINAL-Asian-Paints-IR-2020-21-online-30621.pdf</t>
        </r>
      </text>
    </comment>
    <comment ref="D22" authorId="0" shapeId="0" xr:uid="{EF005962-72A0-4C5E-9B40-1EC011CA2CED}">
      <text>
        <r>
          <rPr>
            <b/>
            <sz val="9"/>
            <color indexed="81"/>
            <rFont val="Tahoma"/>
            <family val="2"/>
          </rPr>
          <t>AMBIKA:</t>
        </r>
        <r>
          <rPr>
            <sz val="9"/>
            <color indexed="81"/>
            <rFont val="Tahoma"/>
            <family val="2"/>
          </rPr>
          <t xml:space="preserve">
AR 2022
P. 150/195
https://www.asianpaints.com/content/dam/asianpaints/website/secondary-navigation/investors/annual-reports/2021-2022/AsianpaintsIntegratedReportFY2022.pdf</t>
        </r>
      </text>
    </comment>
    <comment ref="E22" authorId="0" shapeId="0" xr:uid="{39CAFA26-4B42-48EF-BC67-782DBA0D0A68}">
      <text>
        <r>
          <rPr>
            <b/>
            <sz val="9"/>
            <color indexed="81"/>
            <rFont val="Tahoma"/>
            <family val="2"/>
          </rPr>
          <t>AMBIKA:</t>
        </r>
        <r>
          <rPr>
            <sz val="9"/>
            <color indexed="81"/>
            <rFont val="Tahoma"/>
            <family val="2"/>
          </rPr>
          <t xml:space="preserve">
AR 2023
P. 190/245
https://www.asianpaints.com/content/dam/asianpaints/website/secondary-navigation/investors/annual-reports/2022-2023/Asian_PaintsIR22-23.pdf</t>
        </r>
      </text>
    </comment>
    <comment ref="F22" authorId="0" shapeId="0" xr:uid="{CCBEC772-C21D-4F36-A7F9-1525E589C8A3}">
      <text>
        <r>
          <rPr>
            <b/>
            <sz val="9"/>
            <color indexed="81"/>
            <rFont val="Tahoma"/>
            <family val="2"/>
          </rPr>
          <t>AMBIKA:</t>
        </r>
        <r>
          <rPr>
            <sz val="9"/>
            <color indexed="81"/>
            <rFont val="Tahoma"/>
            <family val="2"/>
          </rPr>
          <t xml:space="preserve">
AR 2024
P. 209/271
https://www.asianpaints.com/content/dam/asianpaints/website/secondary-navigation/investors/annual-reports/2023-2024/Asian_Paints_FY24_AnnualReport.pdf</t>
        </r>
      </text>
    </comment>
    <comment ref="G22" authorId="0" shapeId="0" xr:uid="{88BA5811-5060-4BCF-BCF5-AEB2AADD327C}">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H22" authorId="0" shapeId="0" xr:uid="{C4404109-9120-497D-A440-FDD8A59FF779}">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B26" authorId="0" shapeId="0" xr:uid="{4920230C-54F3-4D89-845C-2718DC91577B}">
      <text>
        <r>
          <rPr>
            <b/>
            <sz val="9"/>
            <color indexed="81"/>
            <rFont val="Tahoma"/>
            <family val="2"/>
          </rPr>
          <t>AMBIKA:</t>
        </r>
        <r>
          <rPr>
            <sz val="9"/>
            <color indexed="81"/>
            <rFont val="Tahoma"/>
            <family val="2"/>
          </rPr>
          <t xml:space="preserve">
The tax rate used for reconciliation above is the corporate tax rate of 25.17% payable by corporate entities in India
on taxable profits under Indian tax law.</t>
        </r>
      </text>
    </comment>
    <comment ref="C26" authorId="0" shapeId="0" xr:uid="{E12DFA74-B7F1-4144-976E-22FA2A604130}">
      <text>
        <r>
          <rPr>
            <b/>
            <sz val="9"/>
            <color indexed="81"/>
            <rFont val="Tahoma"/>
            <family val="2"/>
          </rPr>
          <t>AMBIKA:</t>
        </r>
        <r>
          <rPr>
            <sz val="9"/>
            <color indexed="81"/>
            <rFont val="Tahoma"/>
            <family val="2"/>
          </rPr>
          <t xml:space="preserve">
AR 2021
P. 134/175
https://www.asianpaints.com/content/dam/asianpaints/website/secondary-navigation/investors/annual-reports/2020-2021/FINAL-Asian-Paints-IR-2020-21-online-30621.pdf</t>
        </r>
      </text>
    </comment>
    <comment ref="D26" authorId="0" shapeId="0" xr:uid="{4C9F2E82-949B-4CD8-8CFB-17FB3EA64C4B}">
      <text>
        <r>
          <rPr>
            <b/>
            <sz val="9"/>
            <color indexed="81"/>
            <rFont val="Tahoma"/>
            <family val="2"/>
          </rPr>
          <t>AMBIKA:</t>
        </r>
        <r>
          <rPr>
            <sz val="9"/>
            <color indexed="81"/>
            <rFont val="Tahoma"/>
            <family val="2"/>
          </rPr>
          <t xml:space="preserve">
AR 2022
P. 150/195
https://www.asianpaints.com/content/dam/asianpaints/website/secondary-navigation/investors/annual-reports/2021-2022/AsianpaintsIntegratedReportFY2022.pdf</t>
        </r>
      </text>
    </comment>
    <comment ref="E26" authorId="0" shapeId="0" xr:uid="{871FABBD-FF8A-44C9-B788-D7A17F0FF0E0}">
      <text>
        <r>
          <rPr>
            <b/>
            <sz val="9"/>
            <color indexed="81"/>
            <rFont val="Tahoma"/>
            <family val="2"/>
          </rPr>
          <t>AMBIKA:</t>
        </r>
        <r>
          <rPr>
            <sz val="9"/>
            <color indexed="81"/>
            <rFont val="Tahoma"/>
            <family val="2"/>
          </rPr>
          <t xml:space="preserve">
AR 2023
P. 190/245
https://www.asianpaints.com/content/dam/asianpaints/website/secondary-navigation/investors/annual-reports/2022-2023/Asian_PaintsIR22-23.pdf</t>
        </r>
      </text>
    </comment>
    <comment ref="F26" authorId="0" shapeId="0" xr:uid="{389B45C2-C9E5-4458-8CB7-6F700CC4B52A}">
      <text>
        <r>
          <rPr>
            <b/>
            <sz val="9"/>
            <color indexed="81"/>
            <rFont val="Tahoma"/>
            <family val="2"/>
          </rPr>
          <t>AMBIKA:</t>
        </r>
        <r>
          <rPr>
            <sz val="9"/>
            <color indexed="81"/>
            <rFont val="Tahoma"/>
            <family val="2"/>
          </rPr>
          <t xml:space="preserve">
AR 2024
P. 209/271
https://www.asianpaints.com/content/dam/asianpaints/website/secondary-navigation/investors/annual-reports/2023-2024/Asian_Paints_FY24_AnnualReport.pdf</t>
        </r>
      </text>
    </comment>
    <comment ref="G26" authorId="0" shapeId="0" xr:uid="{B4BE624C-6D78-4C7B-8450-4FF408888270}">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 ref="H26" authorId="0" shapeId="0" xr:uid="{AD799191-F259-48D0-BCFC-6E518B125DC3}">
      <text>
        <r>
          <rPr>
            <b/>
            <sz val="9"/>
            <color indexed="81"/>
            <rFont val="Tahoma"/>
            <family val="2"/>
          </rPr>
          <t>AMBIKA:</t>
        </r>
        <r>
          <rPr>
            <sz val="9"/>
            <color indexed="81"/>
            <rFont val="Tahoma"/>
            <family val="2"/>
          </rPr>
          <t xml:space="preserve">
AR 2025
P. 223/282
https://www.asianpaints.com/content/dam/asianpaints/website/secondary-navigation/investors/annual-reports/2024-2025/Integrated-Annual-Report-FY_2024-25.pdf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AMBIKA</author>
  </authors>
  <commentList>
    <comment ref="B15" authorId="0" shapeId="0" xr:uid="{3EB98A17-05E8-41B5-9767-724F8643647E}">
      <text>
        <r>
          <rPr>
            <b/>
            <sz val="9"/>
            <color indexed="81"/>
            <rFont val="Tahoma"/>
            <family val="2"/>
          </rPr>
          <t>AMBIKA:</t>
        </r>
        <r>
          <rPr>
            <sz val="9"/>
            <color indexed="81"/>
            <rFont val="Tahoma"/>
            <family val="2"/>
          </rPr>
          <t xml:space="preserve">
Includes Boorrowings, lease liab</t>
        </r>
      </text>
    </comment>
    <comment ref="B20" authorId="0" shapeId="0" xr:uid="{DF93F0FF-515A-4D7B-85BA-C7326EEA18E1}">
      <text>
        <r>
          <rPr>
            <b/>
            <sz val="9"/>
            <color indexed="81"/>
            <rFont val="Tahoma"/>
            <family val="2"/>
          </rPr>
          <t>AMBIKA:</t>
        </r>
        <r>
          <rPr>
            <sz val="9"/>
            <color indexed="81"/>
            <rFont val="Tahoma"/>
            <family val="2"/>
          </rPr>
          <t xml:space="preserve">
Includes Boorrowings, lease liab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AMBIKA</author>
  </authors>
  <commentList>
    <comment ref="G5" authorId="0" shapeId="0" xr:uid="{97C34A4F-CA35-4C22-B5F1-85E88DB3F453}">
      <text>
        <r>
          <rPr>
            <b/>
            <sz val="9"/>
            <color indexed="81"/>
            <rFont val="Tahoma"/>
            <family val="2"/>
          </rPr>
          <t>AMBIKA:</t>
        </r>
        <r>
          <rPr>
            <sz val="9"/>
            <color indexed="81"/>
            <rFont val="Tahoma"/>
            <family val="2"/>
          </rPr>
          <t xml:space="preserve">
https://www.moneycontrol.com/india/stockpricequote/paintsvarnishes/asianpaints/AP31#google_vignette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AMBIKA</author>
  </authors>
  <commentList>
    <comment ref="C27" authorId="0" shapeId="0" xr:uid="{3018D23A-F54F-483B-85AD-8743B3A9EBD8}">
      <text>
        <r>
          <rPr>
            <b/>
            <sz val="9"/>
            <color indexed="81"/>
            <rFont val="Tahoma"/>
            <family val="2"/>
          </rPr>
          <t>AMBIKA:</t>
        </r>
        <r>
          <rPr>
            <sz val="9"/>
            <color indexed="81"/>
            <rFont val="Tahoma"/>
            <family val="2"/>
          </rPr>
          <t xml:space="preserve">
Ar 2025
P. 31/282,89</t>
        </r>
      </text>
    </comment>
    <comment ref="D27" authorId="0" shapeId="0" xr:uid="{E5290C98-91A3-4950-8322-6CBC351F4938}">
      <text>
        <r>
          <rPr>
            <b/>
            <sz val="9"/>
            <color indexed="81"/>
            <rFont val="Tahoma"/>
            <family val="2"/>
          </rPr>
          <t>AMBIKA:</t>
        </r>
        <r>
          <rPr>
            <sz val="9"/>
            <color indexed="81"/>
            <rFont val="Tahoma"/>
            <family val="2"/>
          </rPr>
          <t xml:space="preserve">
Ar 2025
P. 31/282,89</t>
        </r>
      </text>
    </comment>
    <comment ref="E27" authorId="0" shapeId="0" xr:uid="{2ED2C0EB-4437-45C7-B19C-938324DD003E}">
      <text>
        <r>
          <rPr>
            <b/>
            <sz val="9"/>
            <color indexed="81"/>
            <rFont val="Tahoma"/>
            <family val="2"/>
          </rPr>
          <t>AMBIKA:</t>
        </r>
        <r>
          <rPr>
            <sz val="9"/>
            <color indexed="81"/>
            <rFont val="Tahoma"/>
            <family val="2"/>
          </rPr>
          <t xml:space="preserve">
Ar 2025
P. 31/282,89</t>
        </r>
      </text>
    </comment>
    <comment ref="F27" authorId="0" shapeId="0" xr:uid="{5E032805-3600-49BA-87AA-BE45A64CAE82}">
      <text>
        <r>
          <rPr>
            <b/>
            <sz val="9"/>
            <color indexed="81"/>
            <rFont val="Tahoma"/>
            <family val="2"/>
          </rPr>
          <t>AMBIKA:</t>
        </r>
        <r>
          <rPr>
            <sz val="9"/>
            <color indexed="81"/>
            <rFont val="Tahoma"/>
            <family val="2"/>
          </rPr>
          <t xml:space="preserve">
Ar 2025
P. 31/282,89</t>
        </r>
      </text>
    </comment>
    <comment ref="G27" authorId="0" shapeId="0" xr:uid="{13EE0E8F-404A-409C-A4F5-92E028E74816}">
      <text>
        <r>
          <rPr>
            <b/>
            <sz val="9"/>
            <color indexed="81"/>
            <rFont val="Tahoma"/>
            <family val="2"/>
          </rPr>
          <t>AMBIKA:</t>
        </r>
        <r>
          <rPr>
            <sz val="9"/>
            <color indexed="81"/>
            <rFont val="Tahoma"/>
            <family val="2"/>
          </rPr>
          <t xml:space="preserve">
Ar 2025
P. 31/282,89</t>
        </r>
      </text>
    </comment>
    <comment ref="H27" authorId="0" shapeId="0" xr:uid="{FE58B51D-59FE-4AFD-BCF6-55FB83317702}">
      <text>
        <r>
          <rPr>
            <b/>
            <sz val="9"/>
            <color indexed="81"/>
            <rFont val="Tahoma"/>
            <family val="2"/>
          </rPr>
          <t>AMBIKA:</t>
        </r>
        <r>
          <rPr>
            <sz val="9"/>
            <color indexed="81"/>
            <rFont val="Tahoma"/>
            <family val="2"/>
          </rPr>
          <t xml:space="preserve">
Ar 2025
P. 31/282,89</t>
        </r>
      </text>
    </comment>
    <comment ref="C30" authorId="0" shapeId="0" xr:uid="{CE60F758-4528-4BA1-A6BF-3251A98CDCBA}">
      <text>
        <r>
          <rPr>
            <b/>
            <sz val="9"/>
            <color indexed="81"/>
            <rFont val="Tahoma"/>
            <family val="2"/>
          </rPr>
          <t>AMBIKA:</t>
        </r>
        <r>
          <rPr>
            <sz val="9"/>
            <color indexed="81"/>
            <rFont val="Tahoma"/>
            <family val="2"/>
          </rPr>
          <t xml:space="preserve">
https://finance.yahoo.com/quote/ASIANPAINT.NS/history/?guccounter=1&amp;guce_referrer=aHR0cHM6Ly93d3cuZ29vZ2xlLmNvbS8&amp;guce_referrer_sig=AQAAAJHX_Lj74AtJBQD30_U9Fxbz9OBzVFPjXhBD_ymCaSHv_2VY6kjGZ3Ic700Qfv0vAaEGTnLTvrLhG1sYtpSwaJEsugKm7dWandW9FBAY2g0P2ID74G9tPRYgkV12ID7PsX86q7PaSGLem3jrlurbNQjMmXE1tHuK-1qyT_Fe2sF6&amp;frequency=1d&amp;period1=1582848000&amp;period2=1773226235</t>
        </r>
      </text>
    </comment>
    <comment ref="D30" authorId="0" shapeId="0" xr:uid="{4ECDF7FD-98D5-4B10-BED4-C9DFEA61A7EC}">
      <text>
        <r>
          <rPr>
            <b/>
            <sz val="9"/>
            <color indexed="81"/>
            <rFont val="Tahoma"/>
            <family val="2"/>
          </rPr>
          <t>AMBIKA:</t>
        </r>
        <r>
          <rPr>
            <sz val="9"/>
            <color indexed="81"/>
            <rFont val="Tahoma"/>
            <family val="2"/>
          </rPr>
          <t xml:space="preserve">
https://finance.yahoo.com/quote/ASIANPAINT.NS/history/?guccounter=1&amp;guce_referrer=aHR0cHM6Ly93d3cuZ29vZ2xlLmNvbS8&amp;guce_referrer_sig=AQAAAJHX_Lj74AtJBQD30_U9Fxbz9OBzVFPjXhBD_ymCaSHv_2VY6kjGZ3Ic700Qfv0vAaEGTnLTvrLhG1sYtpSwaJEsugKm7dWandW9FBAY2g0P2ID74G9tPRYgkV12ID7PsX86q7PaSGLem3jrlurbNQjMmXE1tHuK-1qyT_Fe2sF6&amp;frequency=1d&amp;period1=1582848000&amp;period2=1773226235</t>
        </r>
      </text>
    </comment>
    <comment ref="E30" authorId="0" shapeId="0" xr:uid="{F63D9D1C-1CC2-4027-BD83-82474650D2B9}">
      <text>
        <r>
          <rPr>
            <b/>
            <sz val="9"/>
            <color indexed="81"/>
            <rFont val="Tahoma"/>
            <family val="2"/>
          </rPr>
          <t>AMBIKA:</t>
        </r>
        <r>
          <rPr>
            <sz val="9"/>
            <color indexed="81"/>
            <rFont val="Tahoma"/>
            <family val="2"/>
          </rPr>
          <t xml:space="preserve">
https://finance.yahoo.com/quote/ASIANPAINT.NS/history/?guccounter=1&amp;guce_referrer=aHR0cHM6Ly93d3cuZ29vZ2xlLmNvbS8&amp;guce_referrer_sig=AQAAAJHX_Lj74AtJBQD30_U9Fxbz9OBzVFPjXhBD_ymCaSHv_2VY6kjGZ3Ic700Qfv0vAaEGTnLTvrLhG1sYtpSwaJEsugKm7dWandW9FBAY2g0P2ID74G9tPRYgkV12ID7PsX86q7PaSGLem3jrlurbNQjMmXE1tHuK-1qyT_Fe2sF6&amp;frequency=1d&amp;period1=1582848000&amp;period2=1773226235</t>
        </r>
      </text>
    </comment>
    <comment ref="F30" authorId="0" shapeId="0" xr:uid="{4B39A7BB-6333-49D2-8147-288F34DBBF0C}">
      <text>
        <r>
          <rPr>
            <b/>
            <sz val="9"/>
            <color indexed="81"/>
            <rFont val="Tahoma"/>
            <family val="2"/>
          </rPr>
          <t>AMBIKA:</t>
        </r>
        <r>
          <rPr>
            <sz val="9"/>
            <color indexed="81"/>
            <rFont val="Tahoma"/>
            <family val="2"/>
          </rPr>
          <t xml:space="preserve">
https://finance.yahoo.com/quote/ASIANPAINT.NS/history/?guccounter=1&amp;guce_referrer=aHR0cHM6Ly93d3cuZ29vZ2xlLmNvbS8&amp;guce_referrer_sig=AQAAAJHX_Lj74AtJBQD30_U9Fxbz9OBzVFPjXhBD_ymCaSHv_2VY6kjGZ3Ic700Qfv0vAaEGTnLTvrLhG1sYtpSwaJEsugKm7dWandW9FBAY2g0P2ID74G9tPRYgkV12ID7PsX86q7PaSGLem3jrlurbNQjMmXE1tHuK-1qyT_Fe2sF6&amp;frequency=1d&amp;period1=1582848000&amp;period2=1773226235</t>
        </r>
      </text>
    </comment>
    <comment ref="G30" authorId="0" shapeId="0" xr:uid="{925B8F05-7E13-4178-8234-CC4ACDD25F85}">
      <text>
        <r>
          <rPr>
            <b/>
            <sz val="9"/>
            <color indexed="81"/>
            <rFont val="Tahoma"/>
            <family val="2"/>
          </rPr>
          <t>AMBIKA:</t>
        </r>
        <r>
          <rPr>
            <sz val="9"/>
            <color indexed="81"/>
            <rFont val="Tahoma"/>
            <family val="2"/>
          </rPr>
          <t xml:space="preserve">
https://finance.yahoo.com/quote/ASIANPAINT.NS/history/?guccounter=1&amp;guce_referrer=aHR0cHM6Ly93d3cuZ29vZ2xlLmNvbS8&amp;guce_referrer_sig=AQAAAJHX_Lj74AtJBQD30_U9Fxbz9OBzVFPjXhBD_ymCaSHv_2VY6kjGZ3Ic700Qfv0vAaEGTnLTvrLhG1sYtpSwaJEsugKm7dWandW9FBAY2g0P2ID74G9tPRYgkV12ID7PsX86q7PaSGLem3jrlurbNQjMmXE1tHuK-1qyT_Fe2sF6&amp;frequency=1d&amp;period1=1582848000&amp;period2=1773226235</t>
        </r>
      </text>
    </comment>
    <comment ref="H30" authorId="0" shapeId="0" xr:uid="{1B32D54A-4BB3-4F9C-9478-8776C58267AE}">
      <text>
        <r>
          <rPr>
            <b/>
            <sz val="9"/>
            <color indexed="81"/>
            <rFont val="Tahoma"/>
            <family val="2"/>
          </rPr>
          <t>AMBIKA:</t>
        </r>
        <r>
          <rPr>
            <sz val="9"/>
            <color indexed="81"/>
            <rFont val="Tahoma"/>
            <family val="2"/>
          </rPr>
          <t xml:space="preserve">
https://finance.yahoo.com/quote/ASIANPAINT.NS/history/?guccounter=1&amp;guce_referrer=aHR0cHM6Ly93d3cuZ29vZ2xlLmNvbS8&amp;guce_referrer_sig=AQAAAJHX_Lj74AtJBQD30_U9Fxbz9OBzVFPjXhBD_ymCaSHv_2VY6kjGZ3Ic700Qfv0vAaEGTnLTvrLhG1sYtpSwaJEsugKm7dWandW9FBAY2g0P2ID74G9tPRYgkV12ID7PsX86q7PaSGLem3jrlurbNQjMmXE1tHuK-1qyT_Fe2sF6&amp;frequency=1d&amp;period1=1582848000&amp;period2=1773226235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<sst xmlns="http://schemas.openxmlformats.org/spreadsheetml/2006/main" count="144" uniqueCount="89">
  <si>
    <t>Particulars</t>
  </si>
  <si>
    <t>Other Income</t>
  </si>
  <si>
    <t>Total Income</t>
  </si>
  <si>
    <t>Expenses</t>
  </si>
  <si>
    <t>Other Expenses</t>
  </si>
  <si>
    <t>Total Expenses</t>
  </si>
  <si>
    <t>EBITDA</t>
  </si>
  <si>
    <t>EBIT</t>
  </si>
  <si>
    <t>PAT</t>
  </si>
  <si>
    <t>Equity &amp; Liabilities</t>
  </si>
  <si>
    <t>Equity Share Capital</t>
  </si>
  <si>
    <t>Other Equity</t>
  </si>
  <si>
    <t>Total Equity</t>
  </si>
  <si>
    <t>Non-Current Liabilities</t>
  </si>
  <si>
    <t>Other Non-Current Liabilities</t>
  </si>
  <si>
    <t>Total Non-Current Liabilities</t>
  </si>
  <si>
    <t>Current Liabilities</t>
  </si>
  <si>
    <t>Short Term Borrowings</t>
  </si>
  <si>
    <t>Trade Payables</t>
  </si>
  <si>
    <t>Other Current Liabilities</t>
  </si>
  <si>
    <t>Total Current Liabilities</t>
  </si>
  <si>
    <t>TOTAL EQUITIES &amp; LIABILITIES</t>
  </si>
  <si>
    <t>Assets</t>
  </si>
  <si>
    <t>Total Non-Current Assets</t>
  </si>
  <si>
    <t>Current Assets</t>
  </si>
  <si>
    <t>Inventories</t>
  </si>
  <si>
    <t>Trade Receivables</t>
  </si>
  <si>
    <t>Cash, Bank &amp; Cash Equivalents</t>
  </si>
  <si>
    <t>Other Current Assets</t>
  </si>
  <si>
    <t>Total Current Assets</t>
  </si>
  <si>
    <t>TOTAL ASSETS</t>
  </si>
  <si>
    <t>Check</t>
  </si>
  <si>
    <t>Total Debt</t>
  </si>
  <si>
    <t>Net Debt</t>
  </si>
  <si>
    <t>Cost of Materials Consumed</t>
  </si>
  <si>
    <t>Purchases of Stock-in-Trade</t>
  </si>
  <si>
    <t>Employee Benefits Expense</t>
  </si>
  <si>
    <t xml:space="preserve">Changes in inventories </t>
  </si>
  <si>
    <t>Depreciation and Amortisation Expense</t>
  </si>
  <si>
    <t>Finance Costs</t>
  </si>
  <si>
    <t>EBT</t>
  </si>
  <si>
    <t>Share of profit in Associates</t>
  </si>
  <si>
    <t>Profit Before Exceptional Items And Tax</t>
  </si>
  <si>
    <t>Exceptional Items</t>
  </si>
  <si>
    <t>Tax expense</t>
  </si>
  <si>
    <t>Particulars (₹ in Crores)</t>
  </si>
  <si>
    <t>Equity</t>
  </si>
  <si>
    <t>Equity attributable to owners</t>
  </si>
  <si>
    <t>Non-Controlling Interests</t>
  </si>
  <si>
    <t>Liabilities</t>
  </si>
  <si>
    <t>Long Term Borrowings</t>
  </si>
  <si>
    <t>Consolidated Balance Sheet</t>
  </si>
  <si>
    <t>Consolidated Income Statement</t>
  </si>
  <si>
    <t>Revenue From Operations</t>
  </si>
  <si>
    <t>Common-Size Income Statement (with Revenue from Operations as base)</t>
  </si>
  <si>
    <t>Common-Size balance Sheet (with Total Assets as base)</t>
  </si>
  <si>
    <t>Profitability Ratios</t>
  </si>
  <si>
    <t>Operating Profit Margin</t>
  </si>
  <si>
    <t>Net Profit Margin</t>
  </si>
  <si>
    <t>Return on Assets (ROA)</t>
  </si>
  <si>
    <t>Return on Equity (ROE)</t>
  </si>
  <si>
    <t>Liquidity Ratios</t>
  </si>
  <si>
    <t>Current Ratio</t>
  </si>
  <si>
    <t>Quick Ratio</t>
  </si>
  <si>
    <t>Solvency Ratios</t>
  </si>
  <si>
    <t>Debt to Equity Ratio</t>
  </si>
  <si>
    <t>Debt Ratio</t>
  </si>
  <si>
    <t>Interest Coverage Ratio</t>
  </si>
  <si>
    <t>Efficiency Ratios</t>
  </si>
  <si>
    <t>Inventory Turnover</t>
  </si>
  <si>
    <t>Receivable Turnover</t>
  </si>
  <si>
    <t>Asset Turnover</t>
  </si>
  <si>
    <t>Market Ratios</t>
  </si>
  <si>
    <t>Earnings Per Share</t>
  </si>
  <si>
    <t>Price Earnings Ratio</t>
  </si>
  <si>
    <t>Dividend Payout Ratio</t>
  </si>
  <si>
    <t>Ratio Analysis</t>
  </si>
  <si>
    <t>No. of shares (in cr)</t>
  </si>
  <si>
    <t>MPS as on year end</t>
  </si>
  <si>
    <t>Trend Analysis</t>
  </si>
  <si>
    <t>Growth (%)</t>
  </si>
  <si>
    <t>Total Assets</t>
  </si>
  <si>
    <t>Consolidated Statement of Cash Flows</t>
  </si>
  <si>
    <t>Cash Flow from Operating Activities (CFO)</t>
  </si>
  <si>
    <t>Cash Flow from Investing Activities (CFI)</t>
  </si>
  <si>
    <t>Cash Flow from Financing Activities (CFF)</t>
  </si>
  <si>
    <t>Net Change in Cash</t>
  </si>
  <si>
    <t>CAPSTONE PROJECT</t>
  </si>
  <si>
    <t>Financial Statement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</si>
</sst>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quot;FY&quot;\ 0"/>
    <numFmt numFmtId="166" formatCode="0.0%"/>
    <numFmt numFmtId="167" formatCode="0.0%;\(0.0%\)"/>
    <numFmt numFmtId="168" formatCode="0.000"/>
    <numFmt numFmtId="169" formatCode="0.00%;\(0.00%\)"/>
  </numFmts>
  <fonts count="20"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sz val="12"/>
      <color theme="1"/>
      <name val="Calibri"/>
      <family val="2"/>
      <scheme val="minor"/>
    </font>
    <font>
      <b/>
      <sz val="12"/>
      <color theme="1"/>
      <name val="Calibri"/>
      <family val="2"/>
      <scheme val="minor"/>
    </font>
    <font>
      <sz val="12"/>
      <color rgb="FF0000FF"/>
      <name val="Calibri"/>
      <family val="2"/>
      <scheme val="minor"/>
    </font>
    <font>
      <b/>
      <u/>
      <sz val="12"/>
      <color theme="1"/>
      <name val="Calibri"/>
      <family val="2"/>
      <scheme val="minor"/>
    </font>
    <font>
      <b/>
      <sz val="12"/>
      <name val="Calibri"/>
      <family val="2"/>
      <scheme val="minor"/>
    </font>
    <font>
      <sz val="9"/>
      <color indexed="81"/>
      <name val="Tahoma"/>
      <family val="2"/>
    </font>
    <font>
      <b/>
      <sz val="9"/>
      <color indexed="81"/>
      <name val="Tahoma"/>
      <family val="2"/>
    </font>
    <font>
      <b/>
      <sz val="12"/>
      <color theme="9"/>
      <name val="Calibri"/>
      <family val="2"/>
      <scheme val="minor"/>
    </font>
    <font>
      <sz val="11"/>
      <color theme="2" tint="-9.9978637043366805E-2"/>
      <name val="Calibri"/>
      <family val="2"/>
      <scheme val="minor"/>
    </font>
    <font>
      <sz val="12"/>
      <color rgb="FF00B050"/>
      <name val="Calibri"/>
      <family val="2"/>
      <scheme val="minor"/>
    </font>
    <font>
      <sz val="11"/>
      <color rgb="FF0000FF"/>
      <name val="Calibri"/>
      <family val="2"/>
      <scheme val="minor"/>
    </font>
    <font>
      <sz val="11"/>
      <color rgb="FF00B050"/>
      <name val="Calibri"/>
      <family val="2"/>
      <scheme val="minor"/>
    </font>
    <font>
      <i/>
      <sz val="12"/>
      <color theme="1"/>
      <name val="Calibri"/>
      <family val="2"/>
      <scheme val="minor"/>
    </font>
    <font>
      <sz val="12"/>
      <name val="Calibri"/>
      <family val="2"/>
      <scheme val="minor"/>
    </font>
    <font>
      <sz val="18"/>
      <color theme="1"/>
      <name val="Calibri"/>
      <family val="2"/>
      <scheme val="minor"/>
    </font>
  </fonts>
  <fills count="5">
    <fill>
      <patternFill patternType="none"/>
    </fill>
    <fill>
      <patternFill patternType="gray125"/>
    </fill>
    <fill>
      <patternFill patternType="solid">
        <fgColor rgb="FF310E5F"/>
        <bgColor indexed="64"/>
      </patternFill>
    </fill>
    <fill>
      <patternFill patternType="solid">
        <fgColor rgb="FFA893CB"/>
        <bgColor indexed="64"/>
      </patternFill>
    </fill>
    <fill>
      <patternFill patternType="solid">
        <fgColor them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64">
    <xf numFmtId="0" fontId="0" fillId="0" borderId="0" xfId="0"/>
    <xf numFmtId="0" fontId="5" fillId="2" borderId="0" xfId="0" applyFont="1" applyFill="1"/>
    <xf numFmtId="0" fontId="5" fillId="0" borderId="0" xfId="0" applyFont="1"/>
    <xf numFmtId="0" fontId="5" fillId="0" borderId="1" xfId="0" applyFont="1" applyBorder="1"/>
    <xf numFmtId="164" fontId="7" fillId="0" borderId="1" xfId="1" applyNumberFormat="1" applyFont="1" applyBorder="1"/>
    <xf numFmtId="0" fontId="6" fillId="0" borderId="1" xfId="0" applyFont="1" applyBorder="1"/>
    <xf numFmtId="164" fontId="6" fillId="0" borderId="1" xfId="1" applyNumberFormat="1" applyFont="1" applyBorder="1"/>
    <xf numFmtId="164" fontId="5" fillId="0" borderId="1" xfId="1" applyNumberFormat="1" applyFont="1" applyBorder="1"/>
    <xf numFmtId="0" fontId="8" fillId="0" borderId="1" xfId="0" applyFont="1" applyBorder="1"/>
    <xf numFmtId="164" fontId="8" fillId="0" borderId="1" xfId="1" applyNumberFormat="1" applyFont="1" applyBorder="1"/>
    <xf numFmtId="164" fontId="9" fillId="0" borderId="1" xfId="1" applyNumberFormat="1" applyFont="1" applyBorder="1"/>
    <xf numFmtId="164" fontId="5" fillId="0" borderId="0" xfId="1" applyNumberFormat="1" applyFont="1"/>
    <xf numFmtId="0" fontId="5" fillId="0" borderId="1" xfId="0" applyFont="1" applyBorder="1" applyAlignment="1">
      <alignment horizontal="left" indent="1"/>
    </xf>
    <xf numFmtId="0" fontId="4" fillId="3" borderId="1" xfId="0" applyFont="1" applyFill="1" applyBorder="1"/>
    <xf numFmtId="165" fontId="4" fillId="3" borderId="1" xfId="0" applyNumberFormat="1" applyFont="1" applyFill="1" applyBorder="1" applyAlignment="1">
      <alignment horizontal="center"/>
    </xf>
    <xf numFmtId="0" fontId="4" fillId="2" borderId="0" xfId="0" applyFont="1" applyFill="1" applyAlignment="1">
      <alignment horizontal="left" indent="1"/>
    </xf>
    <xf numFmtId="165" fontId="4" fillId="3" borderId="1" xfId="0" applyNumberFormat="1" applyFont="1" applyFill="1" applyBorder="1" applyAlignment="1">
      <alignment horizontal="right"/>
    </xf>
    <xf numFmtId="165" fontId="4" fillId="3" borderId="1" xfId="0" applyNumberFormat="1" applyFont="1" applyFill="1" applyBorder="1" applyAlignment="1">
      <alignment horizontal="right" vertical="center"/>
    </xf>
    <xf numFmtId="164" fontId="12" fillId="0" borderId="1" xfId="1" applyNumberFormat="1" applyFont="1" applyBorder="1" applyAlignment="1">
      <alignment horizontal="right" vertical="center"/>
    </xf>
    <xf numFmtId="164" fontId="7" fillId="0" borderId="1" xfId="1" applyNumberFormat="1" applyFont="1" applyBorder="1" applyAlignment="1">
      <alignment horizontal="right" vertical="center"/>
    </xf>
    <xf numFmtId="164" fontId="6" fillId="0" borderId="1" xfId="1" applyNumberFormat="1" applyFont="1" applyBorder="1" applyAlignment="1">
      <alignment horizontal="right" vertical="center"/>
    </xf>
    <xf numFmtId="0" fontId="6" fillId="0" borderId="2" xfId="0" applyFont="1" applyBorder="1"/>
    <xf numFmtId="164" fontId="7" fillId="0" borderId="2" xfId="1" applyNumberFormat="1" applyFont="1" applyBorder="1"/>
    <xf numFmtId="0" fontId="6" fillId="0" borderId="0" xfId="0" applyFont="1"/>
    <xf numFmtId="164" fontId="6" fillId="0" borderId="0" xfId="0" applyNumberFormat="1" applyFont="1"/>
    <xf numFmtId="0" fontId="5" fillId="0" borderId="1" xfId="0" applyFont="1" applyBorder="1" applyAlignment="1">
      <alignment horizontal="left"/>
    </xf>
    <xf numFmtId="0" fontId="13" fillId="0" borderId="0" xfId="0" applyFont="1"/>
    <xf numFmtId="166" fontId="5" fillId="0" borderId="0" xfId="2" applyNumberFormat="1" applyFont="1"/>
    <xf numFmtId="166" fontId="14" fillId="0" borderId="0" xfId="2" applyNumberFormat="1" applyFont="1" applyBorder="1"/>
    <xf numFmtId="167" fontId="14" fillId="0" borderId="1" xfId="2" applyNumberFormat="1" applyFont="1" applyBorder="1"/>
    <xf numFmtId="166" fontId="7" fillId="0" borderId="2" xfId="2" applyNumberFormat="1" applyFont="1" applyBorder="1"/>
    <xf numFmtId="166" fontId="5" fillId="0" borderId="0" xfId="2" applyNumberFormat="1" applyFont="1" applyFill="1"/>
    <xf numFmtId="166" fontId="14" fillId="0" borderId="2" xfId="2" applyNumberFormat="1" applyFont="1" applyBorder="1"/>
    <xf numFmtId="164" fontId="7" fillId="0" borderId="0" xfId="1" applyNumberFormat="1" applyFont="1" applyBorder="1"/>
    <xf numFmtId="0" fontId="3" fillId="0" borderId="0" xfId="0" applyFont="1"/>
    <xf numFmtId="43" fontId="5" fillId="0" borderId="0" xfId="0" applyNumberFormat="1" applyFont="1"/>
    <xf numFmtId="0" fontId="0" fillId="0" borderId="0" xfId="0" applyAlignment="1">
      <alignment horizontal="center" vertical="center"/>
    </xf>
    <xf numFmtId="0" fontId="0" fillId="0" borderId="1" xfId="0" applyBorder="1"/>
    <xf numFmtId="0" fontId="2" fillId="3" borderId="1" xfId="0" applyFont="1" applyFill="1" applyBorder="1"/>
    <xf numFmtId="165" fontId="2" fillId="3" borderId="1" xfId="0" applyNumberFormat="1" applyFont="1" applyFill="1" applyBorder="1" applyAlignment="1">
      <alignment horizontal="center" vertical="center"/>
    </xf>
    <xf numFmtId="166" fontId="15" fillId="0" borderId="1" xfId="2" applyNumberFormat="1" applyFont="1" applyBorder="1" applyAlignment="1">
      <alignment horizontal="center" vertical="center"/>
    </xf>
    <xf numFmtId="2" fontId="15" fillId="0" borderId="1" xfId="2" applyNumberFormat="1" applyFont="1" applyBorder="1" applyAlignment="1">
      <alignment horizontal="center" vertical="center"/>
    </xf>
    <xf numFmtId="168" fontId="5" fillId="0" borderId="0" xfId="0" applyNumberFormat="1" applyFont="1"/>
    <xf numFmtId="2" fontId="16" fillId="0" borderId="0" xfId="0" applyNumberFormat="1" applyFont="1" applyAlignment="1">
      <alignment horizontal="center" vertical="center"/>
    </xf>
    <xf numFmtId="2" fontId="5" fillId="0" borderId="0" xfId="2" applyNumberFormat="1" applyFont="1"/>
    <xf numFmtId="166" fontId="16" fillId="0" borderId="1" xfId="2" applyNumberFormat="1" applyFont="1" applyBorder="1" applyAlignment="1">
      <alignment horizontal="center" vertical="center"/>
    </xf>
    <xf numFmtId="164" fontId="14" fillId="0" borderId="1" xfId="1" applyNumberFormat="1" applyFont="1" applyBorder="1"/>
    <xf numFmtId="0" fontId="17" fillId="0" borderId="1" xfId="0" applyFont="1" applyBorder="1"/>
    <xf numFmtId="167" fontId="9" fillId="0" borderId="1" xfId="2" applyNumberFormat="1" applyFont="1" applyBorder="1"/>
    <xf numFmtId="0" fontId="17" fillId="0" borderId="0" xfId="0" applyFont="1"/>
    <xf numFmtId="167" fontId="14" fillId="0" borderId="0" xfId="2" applyNumberFormat="1" applyFont="1" applyBorder="1"/>
    <xf numFmtId="164" fontId="14" fillId="0" borderId="1" xfId="1" applyNumberFormat="1" applyFont="1" applyBorder="1" applyAlignment="1"/>
    <xf numFmtId="167" fontId="14" fillId="0" borderId="1" xfId="2" applyNumberFormat="1" applyFont="1" applyBorder="1" applyAlignment="1"/>
    <xf numFmtId="167" fontId="9" fillId="0" borderId="1" xfId="2" applyNumberFormat="1" applyFont="1" applyBorder="1" applyAlignment="1"/>
    <xf numFmtId="165" fontId="4" fillId="3" borderId="1" xfId="0" applyNumberFormat="1" applyFont="1" applyFill="1" applyBorder="1" applyAlignment="1">
      <alignment horizontal="left"/>
    </xf>
    <xf numFmtId="37" fontId="14" fillId="0" borderId="1" xfId="0" applyNumberFormat="1" applyFont="1" applyBorder="1"/>
    <xf numFmtId="37" fontId="14" fillId="0" borderId="1" xfId="2" applyNumberFormat="1" applyFont="1" applyBorder="1"/>
    <xf numFmtId="37" fontId="18" fillId="0" borderId="1" xfId="2" applyNumberFormat="1" applyFont="1" applyBorder="1"/>
    <xf numFmtId="0" fontId="0" fillId="4" borderId="0" xfId="0" applyFill="1"/>
    <xf numFmtId="0" fontId="19" fillId="4" borderId="0" xfId="0" applyFont="1" applyFill="1" applyAlignment="1">
      <alignment horizontal="center"/>
    </xf>
    <xf numFmtId="169" fontId="14" fillId="0" borderId="1" xfId="2" applyNumberFormat="1" applyFont="1" applyBorder="1"/>
    <xf numFmtId="0" fontId="6" fillId="0" borderId="3"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310E5F"/>
      <color rgb="FFFDBA3D"/>
      <color rgb="FFF03F35"/>
      <color rgb="FF0000FF"/>
      <color rgb="FF2F75B5"/>
      <color rgb="FFA893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Trend_Analysis!$B$5</c:f>
              <c:strCache>
                <c:ptCount val="1"/>
                <c:pt idx="0">
                  <c:v>Revenue From Operations</c:v>
                </c:pt>
              </c:strCache>
            </c:strRef>
          </c:tx>
          <c:spPr>
            <a:solidFill>
              <a:schemeClr val="accent1"/>
            </a:solidFill>
            <a:ln>
              <a:noFill/>
            </a:ln>
            <a:effectLst/>
          </c:spPr>
          <c:invertIfNegative val="0"/>
          <c:cat>
            <c:numRef>
              <c:f>Trend_Analysis!$C$4:$H$4</c:f>
              <c:numCache>
                <c:formatCode>"FY"\ 0</c:formatCode>
                <c:ptCount val="5"/>
                <c:pt idx="0">
                  <c:v>2021</c:v>
                </c:pt>
                <c:pt idx="1">
                  <c:v>2022</c:v>
                </c:pt>
                <c:pt idx="2">
                  <c:v>2023</c:v>
                </c:pt>
                <c:pt idx="3">
                  <c:v>2024</c:v>
                </c:pt>
                <c:pt idx="4">
                  <c:v>2025</c:v>
                </c:pt>
              </c:numCache>
            </c:numRef>
          </c:cat>
          <c:val>
            <c:numRef>
              <c:f>Trend_Analysis!$C$5:$H$5</c:f>
              <c:numCache>
                <c:formatCode>_(* #,##0_);_(* \(#,##0\);_(* "-"??_);_(@_)</c:formatCode>
                <c:ptCount val="5"/>
                <c:pt idx="0">
                  <c:v>21712.79</c:v>
                </c:pt>
                <c:pt idx="1">
                  <c:v>29101.279999999999</c:v>
                </c:pt>
                <c:pt idx="2">
                  <c:v>34488.590000000004</c:v>
                </c:pt>
                <c:pt idx="3">
                  <c:v>35494.729999999996</c:v>
                </c:pt>
                <c:pt idx="4">
                  <c:v>33905.620000000003</c:v>
                </c:pt>
              </c:numCache>
            </c:numRef>
          </c:val>
          <c:extLst>
            <c:ext xmlns:c16="http://schemas.microsoft.com/office/drawing/2014/chart" uri="{C3380CC4-5D6E-409C-BE32-E72D297353CC}">
              <c16:uniqueId val="{00000000-A131-4D1C-A1DC-2C8355E99A0A}"/>
            </c:ext>
          </c:extLst>
        </c:ser>
        <c:dLbls>
          <c:showLegendKey val="0"/>
          <c:showVal val="0"/>
          <c:showCatName val="0"/>
          <c:showSerName val="0"/>
          <c:showPercent val="0"/>
          <c:showBubbleSize val="0"/>
        </c:dLbls>
        <c:gapWidth val="219"/>
        <c:overlap val="-27"/>
        <c:axId val="443043136"/>
        <c:axId val="443041696"/>
      </c:barChart>
      <c:lineChart>
        <c:grouping val="standard"/>
        <c:varyColors val="0"/>
        <c:ser>
          <c:idx val="1"/>
          <c:order val="1"/>
          <c:tx>
            <c:strRef>
              <c:f>Trend_Analysis!$B$6</c:f>
              <c:strCache>
                <c:ptCount val="1"/>
                <c:pt idx="0">
                  <c:v>Growth (%)</c:v>
                </c:pt>
              </c:strCache>
            </c:strRef>
          </c:tx>
          <c:spPr>
            <a:ln w="28575" cap="rnd">
              <a:solidFill>
                <a:schemeClr val="accent2"/>
              </a:solidFill>
              <a:round/>
            </a:ln>
            <a:effectLst/>
          </c:spPr>
          <c:marker>
            <c:symbol val="none"/>
          </c:marker>
          <c:dLbls>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884126445273455E-2"/>
                      <c:h val="6.5622282404428564E-2"/>
                    </c:manualLayout>
                  </c15:layout>
                </c:ext>
                <c:ext xmlns:c16="http://schemas.microsoft.com/office/drawing/2014/chart" uri="{C3380CC4-5D6E-409C-BE32-E72D297353CC}">
                  <c16:uniqueId val="{00000003-A131-4D1C-A1DC-2C8355E99A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Trend_Analysis!$C$4:$H$4</c:f>
              <c:numCache>
                <c:formatCode>"FY"\ 0</c:formatCode>
                <c:ptCount val="5"/>
                <c:pt idx="0">
                  <c:v>2021</c:v>
                </c:pt>
                <c:pt idx="1">
                  <c:v>2022</c:v>
                </c:pt>
                <c:pt idx="2">
                  <c:v>2023</c:v>
                </c:pt>
                <c:pt idx="3">
                  <c:v>2024</c:v>
                </c:pt>
                <c:pt idx="4">
                  <c:v>2025</c:v>
                </c:pt>
              </c:numCache>
            </c:numRef>
          </c:cat>
          <c:val>
            <c:numRef>
              <c:f>Trend_Analysis!$C$6:$H$6</c:f>
              <c:numCache>
                <c:formatCode>0.0%;\(0.0%\)</c:formatCode>
                <c:ptCount val="5"/>
                <c:pt idx="0">
                  <c:v>7.4292287711052118E-2</c:v>
                </c:pt>
                <c:pt idx="1">
                  <c:v>0.34028284711453471</c:v>
                </c:pt>
                <c:pt idx="2">
                  <c:v>0.18512278497715573</c:v>
                </c:pt>
                <c:pt idx="3">
                  <c:v>2.9173126532571869E-2</c:v>
                </c:pt>
                <c:pt idx="4">
                  <c:v>-4.4770308155604899E-2</c:v>
                </c:pt>
              </c:numCache>
            </c:numRef>
          </c:val>
          <c:smooth val="0"/>
          <c:extLst>
            <c:ext xmlns:c16="http://schemas.microsoft.com/office/drawing/2014/chart" uri="{C3380CC4-5D6E-409C-BE32-E72D297353CC}">
              <c16:uniqueId val="{00000001-A131-4D1C-A1DC-2C8355E99A0A}"/>
            </c:ext>
          </c:extLst>
        </c:ser>
        <c:dLbls>
          <c:showLegendKey val="0"/>
          <c:showVal val="0"/>
          <c:showCatName val="0"/>
          <c:showSerName val="0"/>
          <c:showPercent val="0"/>
          <c:showBubbleSize val="0"/>
        </c:dLbls>
        <c:marker val="1"/>
        <c:smooth val="0"/>
        <c:axId val="11338432"/>
        <c:axId val="443044576"/>
      </c:lineChart>
      <c:catAx>
        <c:axId val="443043136"/>
        <c:scaling>
          <c:orientation val="minMax"/>
        </c:scaling>
        <c:delete val="0"/>
        <c:axPos val="b"/>
        <c:numFmt formatCode="&quot;FY&quot;\ 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041696"/>
        <c:crosses val="autoZero"/>
        <c:auto val="1"/>
        <c:lblAlgn val="ctr"/>
        <c:lblOffset val="100"/>
        <c:noMultiLvlLbl val="0"/>
      </c:catAx>
      <c:valAx>
        <c:axId val="443041696"/>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043136"/>
        <c:crosses val="autoZero"/>
        <c:crossBetween val="between"/>
      </c:valAx>
      <c:valAx>
        <c:axId val="443044576"/>
        <c:scaling>
          <c:orientation val="minMax"/>
        </c:scaling>
        <c:delete val="0"/>
        <c:axPos val="r"/>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8432"/>
        <c:crosses val="max"/>
        <c:crossBetween val="between"/>
      </c:valAx>
      <c:catAx>
        <c:axId val="11338432"/>
        <c:scaling>
          <c:orientation val="minMax"/>
        </c:scaling>
        <c:delete val="1"/>
        <c:axPos val="b"/>
        <c:numFmt formatCode="&quot;FY&quot;\ 0" sourceLinked="1"/>
        <c:majorTickMark val="none"/>
        <c:minorTickMark val="none"/>
        <c:tickLblPos val="nextTo"/>
        <c:crossAx val="4430445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PAT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Trend_Analysis!$B$8</c:f>
              <c:strCache>
                <c:ptCount val="1"/>
                <c:pt idx="0">
                  <c:v>PAT</c:v>
                </c:pt>
              </c:strCache>
            </c:strRef>
          </c:tx>
          <c:spPr>
            <a:solidFill>
              <a:schemeClr val="accent1"/>
            </a:solidFill>
            <a:ln>
              <a:noFill/>
            </a:ln>
            <a:effectLst/>
          </c:spPr>
          <c:invertIfNegative val="0"/>
          <c:cat>
            <c:numRef>
              <c:f>Trend_Analysis!$C$4:$H$4</c:f>
              <c:numCache>
                <c:formatCode>"FY"\ 0</c:formatCode>
                <c:ptCount val="5"/>
                <c:pt idx="0">
                  <c:v>2021</c:v>
                </c:pt>
                <c:pt idx="1">
                  <c:v>2022</c:v>
                </c:pt>
                <c:pt idx="2">
                  <c:v>2023</c:v>
                </c:pt>
                <c:pt idx="3">
                  <c:v>2024</c:v>
                </c:pt>
                <c:pt idx="4">
                  <c:v>2025</c:v>
                </c:pt>
              </c:numCache>
            </c:numRef>
          </c:cat>
          <c:val>
            <c:numRef>
              <c:f>Trend_Analysis!$C$8:$H$8</c:f>
              <c:numCache>
                <c:formatCode>_(* #,##0_);_(* \(#,##0\);_(* "-"??_);_(@_)</c:formatCode>
                <c:ptCount val="5"/>
                <c:pt idx="0">
                  <c:v>3206.7500000000014</c:v>
                </c:pt>
                <c:pt idx="1">
                  <c:v>3084.8099999999995</c:v>
                </c:pt>
                <c:pt idx="2">
                  <c:v>4195.3300000000036</c:v>
                </c:pt>
                <c:pt idx="3">
                  <c:v>5557.6899999999951</c:v>
                </c:pt>
                <c:pt idx="4">
                  <c:v>3709.7100000000064</c:v>
                </c:pt>
              </c:numCache>
            </c:numRef>
          </c:val>
          <c:extLst>
            <c:ext xmlns:c16="http://schemas.microsoft.com/office/drawing/2014/chart" uri="{C3380CC4-5D6E-409C-BE32-E72D297353CC}">
              <c16:uniqueId val="{00000000-A131-4D1C-A1DC-2C8355E99A0A}"/>
            </c:ext>
          </c:extLst>
        </c:ser>
        <c:dLbls>
          <c:showLegendKey val="0"/>
          <c:showVal val="0"/>
          <c:showCatName val="0"/>
          <c:showSerName val="0"/>
          <c:showPercent val="0"/>
          <c:showBubbleSize val="0"/>
        </c:dLbls>
        <c:gapWidth val="219"/>
        <c:overlap val="-27"/>
        <c:axId val="443043136"/>
        <c:axId val="443041696"/>
      </c:barChart>
      <c:lineChart>
        <c:grouping val="standard"/>
        <c:varyColors val="0"/>
        <c:ser>
          <c:idx val="1"/>
          <c:order val="1"/>
          <c:tx>
            <c:strRef>
              <c:f>Trend_Analysis!$B$9</c:f>
              <c:strCache>
                <c:ptCount val="1"/>
                <c:pt idx="0">
                  <c:v>Growth (%)</c:v>
                </c:pt>
              </c:strCache>
            </c:strRef>
          </c:tx>
          <c:spPr>
            <a:ln w="28575" cap="rnd">
              <a:solidFill>
                <a:schemeClr val="accent2"/>
              </a:solidFill>
              <a:round/>
            </a:ln>
            <a:effectLst/>
          </c:spPr>
          <c:marker>
            <c:symbol val="none"/>
          </c:marker>
          <c:dLbls>
            <c:dLbl>
              <c:idx val="2"/>
              <c:layout>
                <c:manualLayout>
                  <c:x val="-5.2227341918219799E-3"/>
                  <c:y val="3.94126786759822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B0A-4D5F-934A-34F638368EA1}"/>
                </c:ext>
              </c:extLst>
            </c:dLbl>
            <c:dLbl>
              <c:idx val="3"/>
              <c:layout>
                <c:manualLayout>
                  <c:x val="5.2227341918219799E-3"/>
                  <c:y val="-5.25502382346430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31-4D1C-A1DC-2C8355E99A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Trend_Analysis!$C$4:$H$4</c:f>
              <c:numCache>
                <c:formatCode>"FY"\ 0</c:formatCode>
                <c:ptCount val="5"/>
                <c:pt idx="0">
                  <c:v>2021</c:v>
                </c:pt>
                <c:pt idx="1">
                  <c:v>2022</c:v>
                </c:pt>
                <c:pt idx="2">
                  <c:v>2023</c:v>
                </c:pt>
                <c:pt idx="3">
                  <c:v>2024</c:v>
                </c:pt>
                <c:pt idx="4">
                  <c:v>2025</c:v>
                </c:pt>
              </c:numCache>
            </c:numRef>
          </c:cat>
          <c:val>
            <c:numRef>
              <c:f>Trend_Analysis!$C$9:$H$9</c:f>
              <c:numCache>
                <c:formatCode>0.0%;\(0.0%\)</c:formatCode>
                <c:ptCount val="5"/>
                <c:pt idx="0">
                  <c:v>0.15386414502328116</c:v>
                </c:pt>
                <c:pt idx="1">
                  <c:v>-3.8026038824355402E-2</c:v>
                </c:pt>
                <c:pt idx="2">
                  <c:v>0.35999623963874727</c:v>
                </c:pt>
                <c:pt idx="3">
                  <c:v>0.32473250018472699</c:v>
                </c:pt>
                <c:pt idx="4">
                  <c:v>-0.33250865017660036</c:v>
                </c:pt>
              </c:numCache>
            </c:numRef>
          </c:val>
          <c:smooth val="0"/>
          <c:extLst>
            <c:ext xmlns:c16="http://schemas.microsoft.com/office/drawing/2014/chart" uri="{C3380CC4-5D6E-409C-BE32-E72D297353CC}">
              <c16:uniqueId val="{00000001-A131-4D1C-A1DC-2C8355E99A0A}"/>
            </c:ext>
          </c:extLst>
        </c:ser>
        <c:dLbls>
          <c:showLegendKey val="0"/>
          <c:showVal val="0"/>
          <c:showCatName val="0"/>
          <c:showSerName val="0"/>
          <c:showPercent val="0"/>
          <c:showBubbleSize val="0"/>
        </c:dLbls>
        <c:marker val="1"/>
        <c:smooth val="0"/>
        <c:axId val="11338432"/>
        <c:axId val="443044576"/>
      </c:lineChart>
      <c:catAx>
        <c:axId val="443043136"/>
        <c:scaling>
          <c:orientation val="minMax"/>
        </c:scaling>
        <c:delete val="0"/>
        <c:axPos val="b"/>
        <c:numFmt formatCode="&quot;FY&quot;\ 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041696"/>
        <c:crosses val="autoZero"/>
        <c:auto val="1"/>
        <c:lblAlgn val="ctr"/>
        <c:lblOffset val="100"/>
        <c:noMultiLvlLbl val="0"/>
      </c:catAx>
      <c:valAx>
        <c:axId val="443041696"/>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043136"/>
        <c:crosses val="autoZero"/>
        <c:crossBetween val="between"/>
      </c:valAx>
      <c:valAx>
        <c:axId val="443044576"/>
        <c:scaling>
          <c:orientation val="minMax"/>
        </c:scaling>
        <c:delete val="0"/>
        <c:axPos val="r"/>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8432"/>
        <c:crosses val="max"/>
        <c:crossBetween val="between"/>
      </c:valAx>
      <c:catAx>
        <c:axId val="11338432"/>
        <c:scaling>
          <c:orientation val="minMax"/>
        </c:scaling>
        <c:delete val="1"/>
        <c:axPos val="b"/>
        <c:numFmt formatCode="&quot;FY&quot;\ 0" sourceLinked="1"/>
        <c:majorTickMark val="none"/>
        <c:minorTickMark val="none"/>
        <c:tickLblPos val="nextTo"/>
        <c:crossAx val="4430445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Assets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Trend_Analysis!$B$11</c:f>
              <c:strCache>
                <c:ptCount val="1"/>
                <c:pt idx="0">
                  <c:v>Total Assets</c:v>
                </c:pt>
              </c:strCache>
            </c:strRef>
          </c:tx>
          <c:spPr>
            <a:solidFill>
              <a:schemeClr val="accent1"/>
            </a:solidFill>
            <a:ln>
              <a:noFill/>
            </a:ln>
            <a:effectLst/>
          </c:spPr>
          <c:invertIfNegative val="0"/>
          <c:cat>
            <c:numRef>
              <c:f>Trend_Analysis!$C$4:$H$4</c:f>
              <c:numCache>
                <c:formatCode>"FY"\ 0</c:formatCode>
                <c:ptCount val="5"/>
                <c:pt idx="0">
                  <c:v>2021</c:v>
                </c:pt>
                <c:pt idx="1">
                  <c:v>2022</c:v>
                </c:pt>
                <c:pt idx="2">
                  <c:v>2023</c:v>
                </c:pt>
                <c:pt idx="3">
                  <c:v>2024</c:v>
                </c:pt>
                <c:pt idx="4">
                  <c:v>2025</c:v>
                </c:pt>
              </c:numCache>
            </c:numRef>
          </c:cat>
          <c:val>
            <c:numRef>
              <c:f>Trend_Analysis!$C$11:$H$11</c:f>
              <c:numCache>
                <c:formatCode>_(* #,##0_);_(* \(#,##0\);_(* "-"??_);_(@_)</c:formatCode>
                <c:ptCount val="5"/>
                <c:pt idx="0">
                  <c:v>20369.620000000003</c:v>
                </c:pt>
                <c:pt idx="1">
                  <c:v>22984.45</c:v>
                </c:pt>
                <c:pt idx="2">
                  <c:v>25798</c:v>
                </c:pt>
                <c:pt idx="3">
                  <c:v>29924.089999999997</c:v>
                </c:pt>
                <c:pt idx="4">
                  <c:v>30371.370000000003</c:v>
                </c:pt>
              </c:numCache>
            </c:numRef>
          </c:val>
          <c:extLst>
            <c:ext xmlns:c16="http://schemas.microsoft.com/office/drawing/2014/chart" uri="{C3380CC4-5D6E-409C-BE32-E72D297353CC}">
              <c16:uniqueId val="{00000000-A131-4D1C-A1DC-2C8355E99A0A}"/>
            </c:ext>
          </c:extLst>
        </c:ser>
        <c:dLbls>
          <c:showLegendKey val="0"/>
          <c:showVal val="0"/>
          <c:showCatName val="0"/>
          <c:showSerName val="0"/>
          <c:showPercent val="0"/>
          <c:showBubbleSize val="0"/>
        </c:dLbls>
        <c:gapWidth val="219"/>
        <c:overlap val="-27"/>
        <c:axId val="443043136"/>
        <c:axId val="443041696"/>
      </c:barChart>
      <c:lineChart>
        <c:grouping val="standard"/>
        <c:varyColors val="0"/>
        <c:ser>
          <c:idx val="1"/>
          <c:order val="1"/>
          <c:tx>
            <c:strRef>
              <c:f>Trend_Analysis!$B$12</c:f>
              <c:strCache>
                <c:ptCount val="1"/>
                <c:pt idx="0">
                  <c:v>Growth (%)</c:v>
                </c:pt>
              </c:strCache>
            </c:strRef>
          </c:tx>
          <c:spPr>
            <a:ln w="28575" cap="rnd">
              <a:solidFill>
                <a:schemeClr val="accent2"/>
              </a:solidFill>
              <a:round/>
            </a:ln>
            <a:effectLst/>
          </c:spPr>
          <c:marker>
            <c:symbol val="none"/>
          </c:marker>
          <c:dLbls>
            <c:dLbl>
              <c:idx val="1"/>
              <c:layout>
                <c:manualLayout>
                  <c:x val="7.834101287732969E-3"/>
                  <c:y val="4.25148860684743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88-4345-9793-25CEC753F2D2}"/>
                </c:ext>
              </c:extLst>
            </c:dLbl>
            <c:dLbl>
              <c:idx val="2"/>
              <c:layout>
                <c:manualLayout>
                  <c:x val="1.044546838364396E-2"/>
                  <c:y val="1.70059544273897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B0A-4D5F-934A-34F638368EA1}"/>
                </c:ext>
              </c:extLst>
            </c:dLbl>
            <c:dLbl>
              <c:idx val="3"/>
              <c:layout>
                <c:manualLayout>
                  <c:x val="1.0445468383643863E-2"/>
                  <c:y val="-8.50297721369488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31-4D1C-A1DC-2C8355E99A0A}"/>
                </c:ext>
              </c:extLst>
            </c:dLbl>
            <c:dLbl>
              <c:idx val="4"/>
              <c:layout>
                <c:manualLayout>
                  <c:x val="5.2227341918219799E-3"/>
                  <c:y val="-8.50297721369488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88-4345-9793-25CEC753F2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Trend_Analysis!$C$4:$H$4</c:f>
              <c:numCache>
                <c:formatCode>"FY"\ 0</c:formatCode>
                <c:ptCount val="5"/>
                <c:pt idx="0">
                  <c:v>2021</c:v>
                </c:pt>
                <c:pt idx="1">
                  <c:v>2022</c:v>
                </c:pt>
                <c:pt idx="2">
                  <c:v>2023</c:v>
                </c:pt>
                <c:pt idx="3">
                  <c:v>2024</c:v>
                </c:pt>
                <c:pt idx="4">
                  <c:v>2025</c:v>
                </c:pt>
              </c:numCache>
            </c:numRef>
          </c:cat>
          <c:val>
            <c:numRef>
              <c:f>Trend_Analysis!$C$12:$H$12</c:f>
              <c:numCache>
                <c:formatCode>0.0%;\(0.0%\)</c:formatCode>
                <c:ptCount val="5"/>
                <c:pt idx="0">
                  <c:v>0.26090436446944176</c:v>
                </c:pt>
                <c:pt idx="1">
                  <c:v>0.12836911046941468</c:v>
                </c:pt>
                <c:pt idx="2">
                  <c:v>0.12241102136444426</c:v>
                </c:pt>
                <c:pt idx="3">
                  <c:v>0.15993836731529565</c:v>
                </c:pt>
                <c:pt idx="4">
                  <c:v>1.4947154616899105E-2</c:v>
                </c:pt>
              </c:numCache>
            </c:numRef>
          </c:val>
          <c:smooth val="0"/>
          <c:extLst>
            <c:ext xmlns:c16="http://schemas.microsoft.com/office/drawing/2014/chart" uri="{C3380CC4-5D6E-409C-BE32-E72D297353CC}">
              <c16:uniqueId val="{00000001-A131-4D1C-A1DC-2C8355E99A0A}"/>
            </c:ext>
          </c:extLst>
        </c:ser>
        <c:dLbls>
          <c:showLegendKey val="0"/>
          <c:showVal val="0"/>
          <c:showCatName val="0"/>
          <c:showSerName val="0"/>
          <c:showPercent val="0"/>
          <c:showBubbleSize val="0"/>
        </c:dLbls>
        <c:marker val="1"/>
        <c:smooth val="0"/>
        <c:axId val="11338432"/>
        <c:axId val="443044576"/>
      </c:lineChart>
      <c:catAx>
        <c:axId val="443043136"/>
        <c:scaling>
          <c:orientation val="minMax"/>
        </c:scaling>
        <c:delete val="0"/>
        <c:axPos val="b"/>
        <c:numFmt formatCode="&quot;FY&quot;\ 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041696"/>
        <c:crosses val="autoZero"/>
        <c:auto val="1"/>
        <c:lblAlgn val="ctr"/>
        <c:lblOffset val="100"/>
        <c:noMultiLvlLbl val="0"/>
      </c:catAx>
      <c:valAx>
        <c:axId val="443041696"/>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043136"/>
        <c:crosses val="autoZero"/>
        <c:crossBetween val="between"/>
      </c:valAx>
      <c:valAx>
        <c:axId val="443044576"/>
        <c:scaling>
          <c:orientation val="minMax"/>
        </c:scaling>
        <c:delete val="0"/>
        <c:axPos val="r"/>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8432"/>
        <c:crosses val="max"/>
        <c:crossBetween val="between"/>
      </c:valAx>
      <c:catAx>
        <c:axId val="11338432"/>
        <c:scaling>
          <c:orientation val="minMax"/>
        </c:scaling>
        <c:delete val="1"/>
        <c:axPos val="b"/>
        <c:numFmt formatCode="&quot;FY&quot;\ 0" sourceLinked="1"/>
        <c:majorTickMark val="none"/>
        <c:minorTickMark val="none"/>
        <c:tickLblPos val="nextTo"/>
        <c:crossAx val="4430445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Debt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Trend_Analysis!$B$14</c:f>
              <c:strCache>
                <c:ptCount val="1"/>
                <c:pt idx="0">
                  <c:v>Total Debt</c:v>
                </c:pt>
              </c:strCache>
            </c:strRef>
          </c:tx>
          <c:spPr>
            <a:solidFill>
              <a:schemeClr val="accent1"/>
            </a:solidFill>
            <a:ln>
              <a:noFill/>
            </a:ln>
            <a:effectLst/>
          </c:spPr>
          <c:invertIfNegative val="0"/>
          <c:cat>
            <c:numRef>
              <c:f>Trend_Analysis!$C$4:$H$4</c:f>
              <c:numCache>
                <c:formatCode>"FY"\ 0</c:formatCode>
                <c:ptCount val="5"/>
                <c:pt idx="0">
                  <c:v>2021</c:v>
                </c:pt>
                <c:pt idx="1">
                  <c:v>2022</c:v>
                </c:pt>
                <c:pt idx="2">
                  <c:v>2023</c:v>
                </c:pt>
                <c:pt idx="3">
                  <c:v>2024</c:v>
                </c:pt>
                <c:pt idx="4">
                  <c:v>2025</c:v>
                </c:pt>
              </c:numCache>
            </c:numRef>
          </c:cat>
          <c:val>
            <c:numRef>
              <c:f>Trend_Analysis!$C$14:$H$14</c:f>
              <c:numCache>
                <c:formatCode>_(* #,##0_);_(* \(#,##0\);_(* "-"??_);_(@_)</c:formatCode>
                <c:ptCount val="5"/>
                <c:pt idx="0">
                  <c:v>1093.1199999999999</c:v>
                </c:pt>
                <c:pt idx="1">
                  <c:v>1586.88</c:v>
                </c:pt>
                <c:pt idx="2">
                  <c:v>1932.62</c:v>
                </c:pt>
                <c:pt idx="3">
                  <c:v>2474.38</c:v>
                </c:pt>
                <c:pt idx="4">
                  <c:v>2290.29</c:v>
                </c:pt>
              </c:numCache>
            </c:numRef>
          </c:val>
          <c:extLst>
            <c:ext xmlns:c16="http://schemas.microsoft.com/office/drawing/2014/chart" uri="{C3380CC4-5D6E-409C-BE32-E72D297353CC}">
              <c16:uniqueId val="{00000000-A131-4D1C-A1DC-2C8355E99A0A}"/>
            </c:ext>
          </c:extLst>
        </c:ser>
        <c:dLbls>
          <c:showLegendKey val="0"/>
          <c:showVal val="0"/>
          <c:showCatName val="0"/>
          <c:showSerName val="0"/>
          <c:showPercent val="0"/>
          <c:showBubbleSize val="0"/>
        </c:dLbls>
        <c:gapWidth val="219"/>
        <c:overlap val="-27"/>
        <c:axId val="443043136"/>
        <c:axId val="443041696"/>
      </c:barChart>
      <c:lineChart>
        <c:grouping val="standard"/>
        <c:varyColors val="0"/>
        <c:ser>
          <c:idx val="1"/>
          <c:order val="1"/>
          <c:tx>
            <c:strRef>
              <c:f>Trend_Analysis!$B$15</c:f>
              <c:strCache>
                <c:ptCount val="1"/>
                <c:pt idx="0">
                  <c:v>Growth (%)</c:v>
                </c:pt>
              </c:strCache>
            </c:strRef>
          </c:tx>
          <c:spPr>
            <a:ln w="28575" cap="rnd">
              <a:solidFill>
                <a:schemeClr val="accent2"/>
              </a:solidFill>
              <a:round/>
            </a:ln>
            <a:effectLst/>
          </c:spPr>
          <c:marker>
            <c:symbol val="none"/>
          </c:marker>
          <c:dLbls>
            <c:dLbl>
              <c:idx val="2"/>
              <c:layout>
                <c:manualLayout>
                  <c:x val="1.5668202575465938E-2"/>
                  <c:y val="8.51467238959914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B0A-4D5F-934A-34F638368EA1}"/>
                </c:ext>
              </c:extLst>
            </c:dLbl>
            <c:dLbl>
              <c:idx val="3"/>
              <c:layout>
                <c:manualLayout>
                  <c:x val="1.5668202575465844E-2"/>
                  <c:y val="8.514672389599227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31-4D1C-A1DC-2C8355E99A0A}"/>
                </c:ext>
              </c:extLst>
            </c:dLbl>
            <c:dLbl>
              <c:idx val="4"/>
              <c:layout>
                <c:manualLayout>
                  <c:x val="1.04454683836439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88-4345-9793-25CEC753F2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Trend_Analysis!$C$4:$H$4</c:f>
              <c:numCache>
                <c:formatCode>"FY"\ 0</c:formatCode>
                <c:ptCount val="5"/>
                <c:pt idx="0">
                  <c:v>2021</c:v>
                </c:pt>
                <c:pt idx="1">
                  <c:v>2022</c:v>
                </c:pt>
                <c:pt idx="2">
                  <c:v>2023</c:v>
                </c:pt>
                <c:pt idx="3">
                  <c:v>2024</c:v>
                </c:pt>
                <c:pt idx="4">
                  <c:v>2025</c:v>
                </c:pt>
              </c:numCache>
            </c:numRef>
          </c:cat>
          <c:val>
            <c:numRef>
              <c:f>Trend_Analysis!$C$15:$H$15</c:f>
              <c:numCache>
                <c:formatCode>0.0%;\(0.0%\)</c:formatCode>
                <c:ptCount val="5"/>
                <c:pt idx="0">
                  <c:v>-9.7833176317125847E-3</c:v>
                </c:pt>
                <c:pt idx="1">
                  <c:v>0.45169789227166302</c:v>
                </c:pt>
                <c:pt idx="2">
                  <c:v>0.21787406735228854</c:v>
                </c:pt>
                <c:pt idx="3">
                  <c:v>0.28032411958895187</c:v>
                </c:pt>
                <c:pt idx="4">
                  <c:v>-7.4398435163556154E-2</c:v>
                </c:pt>
              </c:numCache>
            </c:numRef>
          </c:val>
          <c:smooth val="0"/>
          <c:extLst>
            <c:ext xmlns:c16="http://schemas.microsoft.com/office/drawing/2014/chart" uri="{C3380CC4-5D6E-409C-BE32-E72D297353CC}">
              <c16:uniqueId val="{00000001-A131-4D1C-A1DC-2C8355E99A0A}"/>
            </c:ext>
          </c:extLst>
        </c:ser>
        <c:dLbls>
          <c:showLegendKey val="0"/>
          <c:showVal val="0"/>
          <c:showCatName val="0"/>
          <c:showSerName val="0"/>
          <c:showPercent val="0"/>
          <c:showBubbleSize val="0"/>
        </c:dLbls>
        <c:marker val="1"/>
        <c:smooth val="0"/>
        <c:axId val="11338432"/>
        <c:axId val="443044576"/>
      </c:lineChart>
      <c:catAx>
        <c:axId val="443043136"/>
        <c:scaling>
          <c:orientation val="minMax"/>
        </c:scaling>
        <c:delete val="0"/>
        <c:axPos val="b"/>
        <c:numFmt formatCode="&quot;FY&quot;\ 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041696"/>
        <c:crosses val="autoZero"/>
        <c:auto val="1"/>
        <c:lblAlgn val="ctr"/>
        <c:lblOffset val="100"/>
        <c:noMultiLvlLbl val="0"/>
      </c:catAx>
      <c:valAx>
        <c:axId val="443041696"/>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043136"/>
        <c:crosses val="autoZero"/>
        <c:crossBetween val="between"/>
      </c:valAx>
      <c:valAx>
        <c:axId val="443044576"/>
        <c:scaling>
          <c:orientation val="minMax"/>
        </c:scaling>
        <c:delete val="0"/>
        <c:axPos val="r"/>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8432"/>
        <c:crosses val="max"/>
        <c:crossBetween val="between"/>
      </c:valAx>
      <c:catAx>
        <c:axId val="11338432"/>
        <c:scaling>
          <c:orientation val="minMax"/>
        </c:scaling>
        <c:delete val="1"/>
        <c:axPos val="b"/>
        <c:numFmt formatCode="&quot;FY&quot;\ 0" sourceLinked="1"/>
        <c:majorTickMark val="none"/>
        <c:minorTickMark val="none"/>
        <c:tickLblPos val="nextTo"/>
        <c:crossAx val="4430445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495300</xdr:colOff>
      <xdr:row>10</xdr:row>
      <xdr:rowOff>175260</xdr:rowOff>
    </xdr:from>
    <xdr:to>
      <xdr:col>9</xdr:col>
      <xdr:colOff>144780</xdr:colOff>
      <xdr:row>14</xdr:row>
      <xdr:rowOff>45720</xdr:rowOff>
    </xdr:to>
    <xdr:pic>
      <xdr:nvPicPr>
        <xdr:cNvPr id="2" name="Picture 1" descr="Asian Paints Home Page">
          <a:extLst>
            <a:ext uri="{FF2B5EF4-FFF2-40B4-BE49-F238E27FC236}">
              <a16:creationId xmlns:a16="http://schemas.microsoft.com/office/drawing/2014/main" id="{4B7AE4B3-11C2-138F-3479-3A21C5F3BC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14900" y="2232660"/>
          <a:ext cx="3055620" cy="601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388620</xdr:colOff>
      <xdr:row>21</xdr:row>
      <xdr:rowOff>91440</xdr:rowOff>
    </xdr:to>
    <xdr:sp macro="" textlink="">
      <xdr:nvSpPr>
        <xdr:cNvPr id="2" name="TextBox 1">
          <a:extLst>
            <a:ext uri="{FF2B5EF4-FFF2-40B4-BE49-F238E27FC236}">
              <a16:creationId xmlns:a16="http://schemas.microsoft.com/office/drawing/2014/main" id="{AF513C66-3C9A-63D1-C02E-50663F28B165}"/>
            </a:ext>
          </a:extLst>
        </xdr:cNvPr>
        <xdr:cNvSpPr txBox="1"/>
      </xdr:nvSpPr>
      <xdr:spPr>
        <a:xfrm>
          <a:off x="0" y="0"/>
          <a:ext cx="10142220" cy="3931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Executive Summary</a:t>
          </a:r>
        </a:p>
        <a:p>
          <a:r>
            <a:rPr lang="en-US" sz="1200"/>
            <a:t>This report presents a comprehensive financial statement analysis of Asian Paints over the recent financial years. The objective of the study is to evaluate the company’s financial performance, operational efficiency, capital structure, and growth trends through detailed analysis of its financial statements.</a:t>
          </a:r>
        </a:p>
        <a:p>
          <a:endParaRPr lang="en-US" sz="1200"/>
        </a:p>
        <a:p>
          <a:r>
            <a:rPr lang="en-US" sz="1200"/>
            <a:t>The analysis includes examination of the income statement, balance sheet, and cash flow statement along with common-size analysis, ratio analysis, and trend analysis. These tools provide insights into the company’s profitability, liquidity, solvency, efficiency, and overall financial stability.</a:t>
          </a:r>
        </a:p>
        <a:p>
          <a:r>
            <a:rPr lang="en-US" sz="1200"/>
            <a:t>The results indicate that Asian Paints maintains a strong financial position supported by consistent revenue generation, stable operating margins, and a conservative capital structure. The company has demonstrated strong operational cash generation and efficient utilization of assets over the years. However, recent trends indicate some moderation in profitability and revenue growth, reflecting evolving market conditions and increasing competition within the paint industry.</a:t>
          </a:r>
        </a:p>
        <a:p>
          <a:endParaRPr lang="en-US" sz="1200"/>
        </a:p>
        <a:p>
          <a:r>
            <a:rPr lang="en-US" sz="1200"/>
            <a:t>Overall, the financial analysis suggests that Asian Paints remains a financially sound and well-established market leader with strong brand presence, extensive distribution capabilities, and disciplined financial management. The findings of the report highlight both the strengths and potential challenges facing the company, providing insights into its long-term financial sustainability and strategic positioning.</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563880</xdr:colOff>
      <xdr:row>39</xdr:row>
      <xdr:rowOff>137160</xdr:rowOff>
    </xdr:to>
    <xdr:sp macro="" textlink="">
      <xdr:nvSpPr>
        <xdr:cNvPr id="2" name="TextBox 1">
          <a:extLst>
            <a:ext uri="{FF2B5EF4-FFF2-40B4-BE49-F238E27FC236}">
              <a16:creationId xmlns:a16="http://schemas.microsoft.com/office/drawing/2014/main" id="{6C6D0F5C-5C28-43A5-AD20-A48325022354}"/>
            </a:ext>
          </a:extLst>
        </xdr:cNvPr>
        <xdr:cNvSpPr txBox="1"/>
      </xdr:nvSpPr>
      <xdr:spPr>
        <a:xfrm>
          <a:off x="0" y="0"/>
          <a:ext cx="13975080" cy="7269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Introduction</a:t>
          </a:r>
        </a:p>
        <a:p>
          <a:r>
            <a:rPr lang="en-US" sz="1200"/>
            <a:t>Financial statement analysis is an essential tool for evaluating the financial health and operational efficiency of a company. By examining financial statements and applying analytical techniques such as ratio analysis and trend analysis, stakeholders can better understand a company’s financial performance and strategic position.</a:t>
          </a:r>
        </a:p>
        <a:p>
          <a:r>
            <a:rPr lang="en-US" sz="1200"/>
            <a:t>This report focuses on analyzing the financial statements of Asian Paints, one of India’s largest and most established paint and home décor companies. Founded in 1942 and headquartered in Mumbai, the company has grown into a leading multinational paint manufacturer with operations across several countries and a strong presence in the decorative and industrial coatings market. </a:t>
          </a:r>
        </a:p>
        <a:p>
          <a:r>
            <a:rPr lang="en-US" sz="1200"/>
            <a:t>Through systematic analysis of financial data, the study aims to assess the company’s financial performance, identify key financial trends, and evaluate its ability to generate sustainable returns for stakeholders.</a:t>
          </a:r>
        </a:p>
        <a:p>
          <a:br>
            <a:rPr lang="en-US" sz="1200"/>
          </a:br>
          <a:r>
            <a:rPr lang="en-US" sz="1200" b="1"/>
            <a:t>Purpose of the Study</a:t>
          </a:r>
        </a:p>
        <a:p>
          <a:r>
            <a:rPr lang="en-US" sz="1200"/>
            <a:t>The primary purpose of this study is to analyze the financial performance of Asian Paints by examining its financial statements over a selected period. The study aims to evaluate the company’s profitability, liquidity, solvency, and operational efficiency using various financial analysis techniques.</a:t>
          </a:r>
        </a:p>
        <a:p>
          <a:r>
            <a:rPr lang="en-US" sz="1200"/>
            <a:t>Additionally, the study seeks to identify financial trends, understand the company’s financial strengths and potential concerns, and assess how effectively the company manages its financial resources. The findings of the analysis help in understanding the company’s overall financial stability and long-term sustainability.</a:t>
          </a:r>
        </a:p>
        <a:p>
          <a:br>
            <a:rPr lang="en-US" sz="1200"/>
          </a:br>
          <a:r>
            <a:rPr lang="en-US" sz="1200" b="1"/>
            <a:t>Scope of Analysis</a:t>
          </a:r>
        </a:p>
        <a:p>
          <a:r>
            <a:rPr lang="en-US" sz="1200"/>
            <a:t>The scope of this analysis is limited to the financial statements of Asian Paints for the selected financial years. The study focuses primarily on analyzing the company’s income statement, balance sheet, and cash flow statement to understand its financial performance and position.</a:t>
          </a:r>
        </a:p>
        <a:p>
          <a:r>
            <a:rPr lang="en-US" sz="1200"/>
            <a:t>The analysis includes common-size analysis, ratio analysis, and trend analysis to evaluate different aspects of the company’s financial health. The study also examines the company’s capital structure, asset utilization, and profitability trends to provide a comprehensive understanding of its financial performance.</a:t>
          </a:r>
        </a:p>
        <a:p>
          <a:r>
            <a:rPr lang="en-US" sz="1200"/>
            <a:t>However, the study is limited to publicly available financial data and does not consider non-financial or qualitative factors such as management decisions, macroeconomic influences, or industry-wide policy changes beyond what is reflected in financial disclosures.</a:t>
          </a:r>
        </a:p>
        <a:p>
          <a:br>
            <a:rPr lang="en-US" sz="1200"/>
          </a:br>
          <a:r>
            <a:rPr lang="en-US" sz="1200" b="1"/>
            <a:t>Research Methodology</a:t>
          </a:r>
        </a:p>
        <a:p>
          <a:r>
            <a:rPr lang="en-US" sz="1200"/>
            <a:t>The research methodology adopted for this study is based on quantitative financial analysis using secondary data obtained from reliable sources.</a:t>
          </a:r>
        </a:p>
        <a:p>
          <a:r>
            <a:rPr lang="en-US" sz="1200"/>
            <a:t>The primary source of data for the analysis is the published annual reports of Asian Paints, which provide detailed financial statements including the income statement, balance sheet, and cash flow statement. Additional information has been obtained from the company’s investor relations website and financial databases.</a:t>
          </a:r>
        </a:p>
        <a:p>
          <a:r>
            <a:rPr lang="en-US" sz="1200"/>
            <a:t>The analysis was conducted using various financial tools and techniques such as common-size financial statements, ratio analysis, and trend analysis. These methods help evaluate the company’s financial performance across different dimensions including profitability, liquidity, solvency, and efficiency.</a:t>
          </a:r>
        </a:p>
        <a:p>
          <a:r>
            <a:rPr lang="en-US" sz="1200"/>
            <a:t>The financial data extracted from the company’s reports was organized and analyzed using spreadsheet models, allowing systematic calculation of ratios, trends, and other financial indicators to support the findings of the study.</a:t>
          </a:r>
        </a:p>
        <a:p>
          <a:endParaRPr lang="en-US" sz="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373380</xdr:colOff>
      <xdr:row>60</xdr:row>
      <xdr:rowOff>53340</xdr:rowOff>
    </xdr:to>
    <xdr:sp macro="" textlink="">
      <xdr:nvSpPr>
        <xdr:cNvPr id="2" name="TextBox 1">
          <a:extLst>
            <a:ext uri="{FF2B5EF4-FFF2-40B4-BE49-F238E27FC236}">
              <a16:creationId xmlns:a16="http://schemas.microsoft.com/office/drawing/2014/main" id="{A89BDCE2-7E24-BB49-057D-516B8A6096C6}"/>
            </a:ext>
          </a:extLst>
        </xdr:cNvPr>
        <xdr:cNvSpPr txBox="1"/>
      </xdr:nvSpPr>
      <xdr:spPr>
        <a:xfrm>
          <a:off x="0" y="0"/>
          <a:ext cx="10126980" cy="6819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buFont typeface="Arial" panose="020B0604020202020204" pitchFamily="34" charset="0"/>
            <a:buChar char="•"/>
          </a:pPr>
          <a:r>
            <a:rPr lang="en-US" sz="1400" b="1" u="sng"/>
            <a:t>About</a:t>
          </a:r>
          <a:r>
            <a:rPr lang="en-US" sz="1400" b="1" u="sng" baseline="0"/>
            <a:t> Asian Paints</a:t>
          </a:r>
          <a:endParaRPr lang="en-US" b="1" u="sng"/>
        </a:p>
        <a:p>
          <a:pPr>
            <a:buFont typeface="Arial" panose="020B0604020202020204" pitchFamily="34" charset="0"/>
            <a:buChar char="•"/>
          </a:pPr>
          <a:endParaRPr lang="en-US"/>
        </a:p>
        <a:p>
          <a:pPr>
            <a:buFont typeface="Arial" panose="020B0604020202020204" pitchFamily="34" charset="0"/>
            <a:buChar char="•"/>
          </a:pPr>
          <a:r>
            <a:rPr lang="en-US"/>
            <a:t>Asian Paints was </a:t>
          </a:r>
          <a:r>
            <a:rPr lang="en-US" b="1"/>
            <a:t>founded in 1942</a:t>
          </a:r>
          <a:r>
            <a:rPr lang="en-US"/>
            <a:t> and has grown to become </a:t>
          </a:r>
          <a:r>
            <a:rPr lang="en-US" b="1"/>
            <a:t>India’s largest paint company</a:t>
          </a:r>
          <a:r>
            <a:rPr lang="en-US"/>
            <a:t> and one of the leading paint manufacturers globally.</a:t>
          </a:r>
        </a:p>
        <a:p>
          <a:pPr>
            <a:buFont typeface="Arial" panose="020B0604020202020204" pitchFamily="34" charset="0"/>
            <a:buChar char="•"/>
          </a:pPr>
          <a:r>
            <a:rPr lang="en-US"/>
            <a:t>The company is a </a:t>
          </a:r>
          <a:r>
            <a:rPr lang="en-US" b="1"/>
            <a:t>producer of coatings for commercial industries and municipalities</a:t>
          </a:r>
          <a:r>
            <a:rPr lang="en-US"/>
            <a:t>, supplying products across residential, industrial, and infrastructure sectors.</a:t>
          </a:r>
        </a:p>
        <a:p>
          <a:pPr>
            <a:buFont typeface="Arial" panose="020B0604020202020204" pitchFamily="34" charset="0"/>
            <a:buChar char="•"/>
          </a:pPr>
          <a:r>
            <a:rPr lang="en-US"/>
            <a:t>Asian Paints provides a </a:t>
          </a:r>
          <a:r>
            <a:rPr lang="en-US" b="1"/>
            <a:t>comprehensive suite of decorative solutions for the entire home</a:t>
          </a:r>
          <a:r>
            <a:rPr lang="en-US"/>
            <a:t>, positioning itself not only as a paint manufacturer but also as a </a:t>
          </a:r>
          <a:r>
            <a:rPr lang="en-US" b="1"/>
            <a:t>home décor and home improvement solutions provider</a:t>
          </a:r>
          <a:r>
            <a:rPr lang="en-US"/>
            <a:t>.</a:t>
          </a:r>
        </a:p>
        <a:p>
          <a:pPr>
            <a:buFont typeface="Arial" panose="020B0604020202020204" pitchFamily="34" charset="0"/>
            <a:buChar char="•"/>
          </a:pPr>
          <a:r>
            <a:rPr lang="en-US"/>
            <a:t>The company’s product portfolio includes both </a:t>
          </a:r>
          <a:r>
            <a:rPr lang="en-US" b="1"/>
            <a:t>Decorative Paints</a:t>
          </a:r>
          <a:r>
            <a:rPr lang="en-US"/>
            <a:t> and </a:t>
          </a:r>
          <a:r>
            <a:rPr lang="en-US" b="1"/>
            <a:t>Industrial Coatings</a:t>
          </a:r>
          <a:r>
            <a:rPr lang="en-US"/>
            <a:t>, catering to residential, commercial, automotive, and industrial applications.</a:t>
          </a:r>
        </a:p>
        <a:p>
          <a:pPr>
            <a:buFont typeface="Arial" panose="020B0604020202020204" pitchFamily="34" charset="0"/>
            <a:buChar char="•"/>
          </a:pPr>
          <a:r>
            <a:rPr lang="en-US"/>
            <a:t>Asian Paints currently </a:t>
          </a:r>
          <a:r>
            <a:rPr lang="en-US" b="1"/>
            <a:t>operates in 14 countries</a:t>
          </a:r>
          <a:r>
            <a:rPr lang="en-US"/>
            <a:t> and manages </a:t>
          </a:r>
          <a:r>
            <a:rPr lang="en-US" b="1"/>
            <a:t>26 paint manufacturing facilities worldwide</a:t>
          </a:r>
          <a:r>
            <a:rPr lang="en-US"/>
            <a:t>, serving consumers across </a:t>
          </a:r>
          <a:r>
            <a:rPr lang="en-US" b="1"/>
            <a:t>more than 60 markets</a:t>
          </a:r>
          <a:r>
            <a:rPr lang="en-US"/>
            <a:t>.</a:t>
          </a:r>
        </a:p>
        <a:p>
          <a:pPr>
            <a:buFont typeface="Arial" panose="020B0604020202020204" pitchFamily="34" charset="0"/>
            <a:buChar char="•"/>
          </a:pPr>
          <a:r>
            <a:rPr lang="en-US"/>
            <a:t>The company maintains a strong global presence through its </a:t>
          </a:r>
          <a:r>
            <a:rPr lang="en-US" b="1"/>
            <a:t>subsidiaries and international operations</a:t>
          </a:r>
          <a:r>
            <a:rPr lang="en-US"/>
            <a:t>, combining both Indian expertise and global capabilities.</a:t>
          </a:r>
        </a:p>
        <a:p>
          <a:pPr>
            <a:buFont typeface="Arial" panose="020B0604020202020204" pitchFamily="34" charset="0"/>
            <a:buChar char="•"/>
          </a:pPr>
          <a:r>
            <a:rPr lang="en-US"/>
            <a:t>Key subsidiaries of Asian Paints include:</a:t>
          </a:r>
        </a:p>
        <a:p>
          <a:pPr marL="742950" lvl="1" indent="-285750">
            <a:buFont typeface="Arial" panose="020B0604020202020204" pitchFamily="34" charset="0"/>
            <a:buChar char="•"/>
          </a:pPr>
          <a:r>
            <a:rPr lang="en-US" b="1"/>
            <a:t>Berger International</a:t>
          </a:r>
          <a:endParaRPr lang="en-US"/>
        </a:p>
        <a:p>
          <a:pPr marL="742950" lvl="1" indent="-285750">
            <a:buFont typeface="Arial" panose="020B0604020202020204" pitchFamily="34" charset="0"/>
            <a:buChar char="•"/>
          </a:pPr>
          <a:r>
            <a:rPr lang="en-US" b="1"/>
            <a:t>SCIB Paints</a:t>
          </a:r>
          <a:endParaRPr lang="en-US"/>
        </a:p>
        <a:p>
          <a:pPr marL="742950" lvl="1" indent="-285750">
            <a:buFont typeface="Arial" panose="020B0604020202020204" pitchFamily="34" charset="0"/>
            <a:buChar char="•"/>
          </a:pPr>
          <a:r>
            <a:rPr lang="en-US" b="1"/>
            <a:t>Taubmans</a:t>
          </a:r>
          <a:endParaRPr lang="en-US"/>
        </a:p>
        <a:p>
          <a:pPr marL="742950" lvl="1" indent="-285750">
            <a:buFont typeface="Arial" panose="020B0604020202020204" pitchFamily="34" charset="0"/>
            <a:buChar char="•"/>
          </a:pPr>
          <a:r>
            <a:rPr lang="en-US" b="1"/>
            <a:t>APCO Coatings</a:t>
          </a:r>
          <a:endParaRPr lang="en-US"/>
        </a:p>
        <a:p>
          <a:pPr marL="742950" lvl="1" indent="-285750">
            <a:buFont typeface="Arial" panose="020B0604020202020204" pitchFamily="34" charset="0"/>
            <a:buChar char="•"/>
          </a:pPr>
          <a:r>
            <a:rPr lang="en-US" b="1"/>
            <a:t>Ess Ess Bath Fittings</a:t>
          </a:r>
          <a:endParaRPr lang="en-US"/>
        </a:p>
        <a:p>
          <a:pPr>
            <a:buFont typeface="Arial" panose="020B0604020202020204" pitchFamily="34" charset="0"/>
            <a:buChar char="•"/>
          </a:pPr>
          <a:r>
            <a:rPr lang="en-US"/>
            <a:t>The company has also established </a:t>
          </a:r>
          <a:r>
            <a:rPr lang="en-US" b="1"/>
            <a:t>strategic joint ventures</a:t>
          </a:r>
          <a:r>
            <a:rPr lang="en-US"/>
            <a:t>, including:</a:t>
          </a:r>
        </a:p>
        <a:p>
          <a:pPr marL="742950" lvl="1" indent="-285750">
            <a:buFont typeface="Arial" panose="020B0604020202020204" pitchFamily="34" charset="0"/>
            <a:buChar char="•"/>
          </a:pPr>
          <a:r>
            <a:rPr lang="en-US" b="1"/>
            <a:t>PPG Asian Paints</a:t>
          </a:r>
          <a:r>
            <a:rPr lang="en-US"/>
            <a:t> for automotive and industrial coatings</a:t>
          </a:r>
        </a:p>
        <a:p>
          <a:pPr marL="742950" lvl="1" indent="-285750">
            <a:buFont typeface="Arial" panose="020B0604020202020204" pitchFamily="34" charset="0"/>
            <a:buChar char="•"/>
          </a:pPr>
          <a:r>
            <a:rPr lang="en-US" b="1"/>
            <a:t>Sleek International</a:t>
          </a:r>
          <a:r>
            <a:rPr lang="en-US"/>
            <a:t> for modular kitchens and home improvement solutions</a:t>
          </a:r>
        </a:p>
        <a:p>
          <a:pPr>
            <a:buFont typeface="Arial" panose="020B0604020202020204" pitchFamily="34" charset="0"/>
            <a:buChar char="•"/>
          </a:pPr>
          <a:r>
            <a:rPr lang="en-US"/>
            <a:t>Through its global network, manufacturing capacity, and diversified product portfolio, Asian Paints has built a strong competitive position in the </a:t>
          </a:r>
          <a:r>
            <a:rPr lang="en-US" b="1"/>
            <a:t>decorative and industrial coatings industry</a:t>
          </a:r>
          <a:r>
            <a:rPr lang="en-US"/>
            <a:t>.</a:t>
          </a:r>
        </a:p>
        <a:p>
          <a:endParaRPr lang="en-US" sz="1100"/>
        </a:p>
        <a:p>
          <a:r>
            <a:rPr lang="en-US" sz="1200" b="1" u="sng"/>
            <a:t>Products &amp;</a:t>
          </a:r>
          <a:r>
            <a:rPr lang="en-US" sz="1200" b="1" u="sng" baseline="0"/>
            <a:t> services offered</a:t>
          </a:r>
          <a:endParaRPr lang="en-US" sz="1100" b="1" u="sng"/>
        </a:p>
        <a:p>
          <a:endParaRPr lang="en-US" sz="1400" b="1" i="0" u="sng" strike="noStrike" baseline="0">
            <a:solidFill>
              <a:schemeClr val="dk1"/>
            </a:solidFill>
            <a:latin typeface="+mn-lt"/>
            <a:ea typeface="+mn-ea"/>
            <a:cs typeface="+mn-cs"/>
          </a:endParaRPr>
        </a:p>
        <a:p>
          <a:endParaRPr lang="en-US" sz="1400" b="1" i="0" u="sng" strike="noStrike" baseline="0">
            <a:solidFill>
              <a:schemeClr val="dk1"/>
            </a:solidFill>
            <a:latin typeface="+mn-lt"/>
            <a:ea typeface="+mn-ea"/>
            <a:cs typeface="+mn-cs"/>
          </a:endParaRPr>
        </a:p>
        <a:p>
          <a:endParaRPr lang="en-US" sz="1400" b="1" i="0" u="sng" strike="noStrike" baseline="0">
            <a:solidFill>
              <a:schemeClr val="dk1"/>
            </a:solidFill>
            <a:latin typeface="+mn-lt"/>
            <a:ea typeface="+mn-ea"/>
            <a:cs typeface="+mn-cs"/>
          </a:endParaRPr>
        </a:p>
        <a:p>
          <a:endParaRPr lang="en-US" sz="1400" b="1" i="0" u="sng" strike="noStrike" baseline="0">
            <a:solidFill>
              <a:schemeClr val="dk1"/>
            </a:solidFill>
            <a:latin typeface="+mn-lt"/>
            <a:ea typeface="+mn-ea"/>
            <a:cs typeface="+mn-cs"/>
          </a:endParaRPr>
        </a:p>
        <a:p>
          <a:endParaRPr lang="en-US" sz="1400" b="1" i="0" u="sng" strike="noStrike" baseline="0">
            <a:solidFill>
              <a:schemeClr val="dk1"/>
            </a:solidFill>
            <a:latin typeface="+mn-lt"/>
            <a:ea typeface="+mn-ea"/>
            <a:cs typeface="+mn-cs"/>
          </a:endParaRPr>
        </a:p>
        <a:p>
          <a:endParaRPr lang="en-US" sz="1400" b="1" i="0" u="sng" strike="noStrike" baseline="0">
            <a:solidFill>
              <a:schemeClr val="dk1"/>
            </a:solidFill>
            <a:latin typeface="+mn-lt"/>
            <a:ea typeface="+mn-ea"/>
            <a:cs typeface="+mn-cs"/>
          </a:endParaRPr>
        </a:p>
        <a:p>
          <a:endParaRPr lang="en-US" sz="1400" b="1" i="0" u="sng" strike="noStrike" baseline="0">
            <a:solidFill>
              <a:schemeClr val="dk1"/>
            </a:solidFill>
            <a:latin typeface="+mn-lt"/>
            <a:ea typeface="+mn-ea"/>
            <a:cs typeface="+mn-cs"/>
          </a:endParaRPr>
        </a:p>
        <a:p>
          <a:endParaRPr lang="en-US" sz="1400" b="1" i="0" u="sng" strike="noStrike" baseline="0">
            <a:solidFill>
              <a:schemeClr val="dk1"/>
            </a:solidFill>
            <a:latin typeface="+mn-lt"/>
            <a:ea typeface="+mn-ea"/>
            <a:cs typeface="+mn-cs"/>
          </a:endParaRPr>
        </a:p>
        <a:p>
          <a:endParaRPr lang="en-US" sz="1400" b="1" i="0" u="sng" strike="noStrike" baseline="0">
            <a:solidFill>
              <a:schemeClr val="dk1"/>
            </a:solidFill>
            <a:latin typeface="+mn-lt"/>
            <a:ea typeface="+mn-ea"/>
            <a:cs typeface="+mn-cs"/>
          </a:endParaRPr>
        </a:p>
        <a:p>
          <a:endParaRPr lang="en-US" sz="1400" b="1" i="0" u="sng" strike="noStrike" baseline="0">
            <a:solidFill>
              <a:schemeClr val="dk1"/>
            </a:solidFill>
            <a:latin typeface="+mn-lt"/>
            <a:ea typeface="+mn-ea"/>
            <a:cs typeface="+mn-cs"/>
          </a:endParaRPr>
        </a:p>
        <a:p>
          <a:endParaRPr lang="en-US" sz="1400" b="1" i="0" u="sng" strike="noStrike" baseline="0">
            <a:solidFill>
              <a:schemeClr val="dk1"/>
            </a:solidFill>
            <a:latin typeface="+mn-lt"/>
            <a:ea typeface="+mn-ea"/>
            <a:cs typeface="+mn-cs"/>
          </a:endParaRPr>
        </a:p>
        <a:p>
          <a:endParaRPr lang="en-US" sz="1400" b="1" i="0" u="sng" strike="noStrike" baseline="0">
            <a:solidFill>
              <a:schemeClr val="dk1"/>
            </a:solidFill>
            <a:latin typeface="+mn-lt"/>
            <a:ea typeface="+mn-ea"/>
            <a:cs typeface="+mn-cs"/>
          </a:endParaRPr>
        </a:p>
        <a:p>
          <a:endParaRPr lang="en-US" sz="1400" b="1" i="0" u="sng" strike="noStrike" baseline="0">
            <a:solidFill>
              <a:schemeClr val="dk1"/>
            </a:solidFill>
            <a:latin typeface="+mn-lt"/>
            <a:ea typeface="+mn-ea"/>
            <a:cs typeface="+mn-cs"/>
          </a:endParaRPr>
        </a:p>
        <a:p>
          <a:endParaRPr lang="en-US" sz="1400" b="1" i="0" u="sng" strike="noStrike" baseline="0">
            <a:solidFill>
              <a:schemeClr val="dk1"/>
            </a:solidFill>
            <a:latin typeface="+mn-lt"/>
            <a:ea typeface="+mn-ea"/>
            <a:cs typeface="+mn-cs"/>
          </a:endParaRPr>
        </a:p>
        <a:p>
          <a:endParaRPr lang="en-US" sz="1400" b="1" i="0" u="sng" strike="noStrike" baseline="0">
            <a:solidFill>
              <a:schemeClr val="dk1"/>
            </a:solidFill>
            <a:latin typeface="+mn-lt"/>
            <a:ea typeface="+mn-ea"/>
            <a:cs typeface="+mn-cs"/>
          </a:endParaRPr>
        </a:p>
        <a:p>
          <a:endParaRPr lang="en-US" sz="1400" b="1" i="0" u="sng" strike="noStrike" baseline="0">
            <a:solidFill>
              <a:schemeClr val="dk1"/>
            </a:solidFill>
            <a:latin typeface="+mn-lt"/>
            <a:ea typeface="+mn-ea"/>
            <a:cs typeface="+mn-cs"/>
          </a:endParaRPr>
        </a:p>
        <a:p>
          <a:endParaRPr lang="en-US" sz="1400" b="1" i="0" u="sng" strike="noStrike" baseline="0">
            <a:solidFill>
              <a:schemeClr val="dk1"/>
            </a:solidFill>
            <a:latin typeface="+mn-lt"/>
            <a:ea typeface="+mn-ea"/>
            <a:cs typeface="+mn-cs"/>
          </a:endParaRPr>
        </a:p>
        <a:p>
          <a:endParaRPr lang="en-US" sz="1400" b="1" i="0" u="sng" strike="noStrike" baseline="0">
            <a:solidFill>
              <a:schemeClr val="dk1"/>
            </a:solidFill>
            <a:latin typeface="+mn-lt"/>
            <a:ea typeface="+mn-ea"/>
            <a:cs typeface="+mn-cs"/>
          </a:endParaRPr>
        </a:p>
        <a:p>
          <a:endParaRPr lang="en-US" sz="1400" b="1" i="0" u="sng" strike="noStrike" baseline="0">
            <a:solidFill>
              <a:schemeClr val="dk1"/>
            </a:solidFill>
            <a:latin typeface="+mn-lt"/>
            <a:ea typeface="+mn-ea"/>
            <a:cs typeface="+mn-cs"/>
          </a:endParaRPr>
        </a:p>
        <a:p>
          <a:endParaRPr lang="en-US" sz="1400" b="1" i="0" u="sng" strike="noStrike" baseline="0">
            <a:solidFill>
              <a:schemeClr val="dk1"/>
            </a:solidFill>
            <a:latin typeface="+mn-lt"/>
            <a:ea typeface="+mn-ea"/>
            <a:cs typeface="+mn-cs"/>
          </a:endParaRPr>
        </a:p>
        <a:p>
          <a:r>
            <a:rPr lang="en-US" sz="1400" b="1" i="0" u="sng" strike="noStrike" baseline="0">
              <a:solidFill>
                <a:schemeClr val="dk1"/>
              </a:solidFill>
              <a:latin typeface="+mn-lt"/>
              <a:ea typeface="+mn-ea"/>
              <a:cs typeface="+mn-cs"/>
            </a:rPr>
            <a:t>Business Segments </a:t>
          </a:r>
        </a:p>
        <a:p>
          <a:endParaRPr lang="en-US" sz="1100"/>
        </a:p>
        <a:p>
          <a:endParaRPr lang="en-US" sz="1100"/>
        </a:p>
      </xdr:txBody>
    </xdr:sp>
    <xdr:clientData/>
  </xdr:twoCellAnchor>
  <xdr:twoCellAnchor editAs="oneCell">
    <xdr:from>
      <xdr:col>16</xdr:col>
      <xdr:colOff>489672</xdr:colOff>
      <xdr:row>0</xdr:row>
      <xdr:rowOff>0</xdr:rowOff>
    </xdr:from>
    <xdr:to>
      <xdr:col>23</xdr:col>
      <xdr:colOff>175743</xdr:colOff>
      <xdr:row>19</xdr:row>
      <xdr:rowOff>30909</xdr:rowOff>
    </xdr:to>
    <xdr:pic>
      <xdr:nvPicPr>
        <xdr:cNvPr id="3" name="Picture 2">
          <a:extLst>
            <a:ext uri="{FF2B5EF4-FFF2-40B4-BE49-F238E27FC236}">
              <a16:creationId xmlns:a16="http://schemas.microsoft.com/office/drawing/2014/main" id="{D0FE47BC-5E6E-366A-FCF9-C9574FC023EE}"/>
            </a:ext>
          </a:extLst>
        </xdr:cNvPr>
        <xdr:cNvPicPr>
          <a:picLocks noChangeAspect="1"/>
        </xdr:cNvPicPr>
      </xdr:nvPicPr>
      <xdr:blipFill>
        <a:blip xmlns:r="http://schemas.openxmlformats.org/officeDocument/2006/relationships" r:embed="rId1"/>
        <a:stretch>
          <a:fillRect/>
        </a:stretch>
      </xdr:blipFill>
      <xdr:spPr>
        <a:xfrm>
          <a:off x="10243272" y="0"/>
          <a:ext cx="3953271" cy="3505629"/>
        </a:xfrm>
        <a:prstGeom prst="rect">
          <a:avLst/>
        </a:prstGeom>
      </xdr:spPr>
    </xdr:pic>
    <xdr:clientData/>
  </xdr:twoCellAnchor>
  <xdr:twoCellAnchor editAs="oneCell">
    <xdr:from>
      <xdr:col>0</xdr:col>
      <xdr:colOff>106680</xdr:colOff>
      <xdr:row>46</xdr:row>
      <xdr:rowOff>162942</xdr:rowOff>
    </xdr:from>
    <xdr:to>
      <xdr:col>15</xdr:col>
      <xdr:colOff>335280</xdr:colOff>
      <xdr:row>72</xdr:row>
      <xdr:rowOff>61470</xdr:rowOff>
    </xdr:to>
    <xdr:pic>
      <xdr:nvPicPr>
        <xdr:cNvPr id="4" name="Picture 3">
          <a:extLst>
            <a:ext uri="{FF2B5EF4-FFF2-40B4-BE49-F238E27FC236}">
              <a16:creationId xmlns:a16="http://schemas.microsoft.com/office/drawing/2014/main" id="{EF99272E-074B-630A-274D-BBC20C7E37D6}"/>
            </a:ext>
          </a:extLst>
        </xdr:cNvPr>
        <xdr:cNvPicPr>
          <a:picLocks noChangeAspect="1"/>
        </xdr:cNvPicPr>
      </xdr:nvPicPr>
      <xdr:blipFill>
        <a:blip xmlns:r="http://schemas.openxmlformats.org/officeDocument/2006/relationships" r:embed="rId2"/>
        <a:stretch>
          <a:fillRect/>
        </a:stretch>
      </xdr:blipFill>
      <xdr:spPr>
        <a:xfrm>
          <a:off x="106680" y="4369182"/>
          <a:ext cx="9372600" cy="4653408"/>
        </a:xfrm>
        <a:prstGeom prst="rect">
          <a:avLst/>
        </a:prstGeom>
      </xdr:spPr>
    </xdr:pic>
    <xdr:clientData/>
  </xdr:twoCellAnchor>
  <xdr:twoCellAnchor editAs="oneCell">
    <xdr:from>
      <xdr:col>0</xdr:col>
      <xdr:colOff>15239</xdr:colOff>
      <xdr:row>21</xdr:row>
      <xdr:rowOff>45676</xdr:rowOff>
    </xdr:from>
    <xdr:to>
      <xdr:col>7</xdr:col>
      <xdr:colOff>229064</xdr:colOff>
      <xdr:row>42</xdr:row>
      <xdr:rowOff>145189</xdr:rowOff>
    </xdr:to>
    <xdr:pic>
      <xdr:nvPicPr>
        <xdr:cNvPr id="5" name="Picture 4">
          <a:extLst>
            <a:ext uri="{FF2B5EF4-FFF2-40B4-BE49-F238E27FC236}">
              <a16:creationId xmlns:a16="http://schemas.microsoft.com/office/drawing/2014/main" id="{00F2CC51-27D3-EECD-5A90-3904F9BE7BB3}"/>
            </a:ext>
          </a:extLst>
        </xdr:cNvPr>
        <xdr:cNvPicPr>
          <a:picLocks noChangeAspect="1"/>
        </xdr:cNvPicPr>
      </xdr:nvPicPr>
      <xdr:blipFill>
        <a:blip xmlns:r="http://schemas.openxmlformats.org/officeDocument/2006/relationships" r:embed="rId3"/>
        <a:stretch>
          <a:fillRect/>
        </a:stretch>
      </xdr:blipFill>
      <xdr:spPr>
        <a:xfrm>
          <a:off x="15239" y="3886156"/>
          <a:ext cx="4481025" cy="393999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15240</xdr:colOff>
      <xdr:row>25</xdr:row>
      <xdr:rowOff>68580</xdr:rowOff>
    </xdr:to>
    <xdr:sp macro="" textlink="">
      <xdr:nvSpPr>
        <xdr:cNvPr id="2" name="TextBox 1">
          <a:extLst>
            <a:ext uri="{FF2B5EF4-FFF2-40B4-BE49-F238E27FC236}">
              <a16:creationId xmlns:a16="http://schemas.microsoft.com/office/drawing/2014/main" id="{192B4154-B3CE-9E5F-CC58-45AD81D617F4}"/>
            </a:ext>
          </a:extLst>
        </xdr:cNvPr>
        <xdr:cNvSpPr txBox="1"/>
      </xdr:nvSpPr>
      <xdr:spPr>
        <a:xfrm>
          <a:off x="0" y="0"/>
          <a:ext cx="14036040" cy="4640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Industry Overview</a:t>
          </a:r>
        </a:p>
        <a:p>
          <a:r>
            <a:rPr lang="en-US"/>
            <a:t>The paint industry is closely linked to the </a:t>
          </a:r>
          <a:r>
            <a:rPr lang="en-US" b="1"/>
            <a:t>construction, infrastructure, automotive, and industrial sectors</a:t>
          </a:r>
          <a:r>
            <a:rPr lang="en-US"/>
            <a:t>. In India, the industry is broadly divided into </a:t>
          </a:r>
          <a:r>
            <a:rPr lang="en-US" b="1"/>
            <a:t>decorative paints</a:t>
          </a:r>
          <a:r>
            <a:rPr lang="en-US"/>
            <a:t> and </a:t>
          </a:r>
          <a:r>
            <a:rPr lang="en-US" b="1"/>
            <a:t>industrial coatings</a:t>
          </a:r>
          <a:r>
            <a:rPr lang="en-US"/>
            <a:t>.</a:t>
          </a:r>
        </a:p>
        <a:p>
          <a:r>
            <a:rPr lang="en-US"/>
            <a:t>Decorative paints account for the majority of market demand, contributing roughly </a:t>
          </a:r>
          <a:r>
            <a:rPr lang="en-US" b="1"/>
            <a:t>70–75% of the total paint market in India</a:t>
          </a:r>
          <a:r>
            <a:rPr lang="en-US"/>
            <a:t>, driven by housing construction, renovation activity, and rising disposable income. Industrial coatings make up the remaining share and are used in automotive manufacturing, industrial equipment, and infrastructure projects.</a:t>
          </a:r>
        </a:p>
        <a:p>
          <a:r>
            <a:rPr lang="en-US"/>
            <a:t>The Indian paint industry has experienced steady growth over the past decade due to factors such as </a:t>
          </a:r>
          <a:r>
            <a:rPr lang="en-US" b="1"/>
            <a:t>urbanization, increasing real estate development, and rising consumer demand for premium home décor products</a:t>
          </a:r>
          <a:r>
            <a:rPr lang="en-US"/>
            <a:t>. Asian Paints holds a dominant position in the decorative paint segment and competes with several domestic and multinational players in the market.</a:t>
          </a:r>
          <a:r>
            <a:rPr lang="en-US" sz="1100" baseline="0"/>
            <a:t> </a:t>
          </a:r>
        </a:p>
        <a:p>
          <a:endParaRPr lang="en-US" sz="1100" b="1" baseline="0"/>
        </a:p>
        <a:p>
          <a:r>
            <a:rPr lang="en-US" b="1"/>
            <a:t>Revenue Model</a:t>
          </a:r>
        </a:p>
        <a:p>
          <a:r>
            <a:rPr lang="en-US"/>
            <a:t>Asian Paints primarily generates revenue through the </a:t>
          </a:r>
          <a:r>
            <a:rPr lang="en-US" b="1"/>
            <a:t>manufacturing and sale of paints, coatings, and home décor products</a:t>
          </a:r>
          <a:r>
            <a:rPr lang="en-US"/>
            <a:t> across domestic and international markets. The company follows a </a:t>
          </a:r>
          <a:r>
            <a:rPr lang="en-US" b="1"/>
            <a:t>dealer-driven distribution model</a:t>
          </a:r>
          <a:r>
            <a:rPr lang="en-US"/>
            <a:t>, supplying products through its large network of distributors and retailers.</a:t>
          </a:r>
        </a:p>
        <a:p>
          <a:r>
            <a:rPr lang="en-US"/>
            <a:t>A substantial portion of the company’s revenue is derived from the decorative paints segment, supported by strong demand in the residential housing and renovation markets. The company also generates revenue from industrial coatings and home improvement products, which diversify its revenue streams.</a:t>
          </a:r>
        </a:p>
        <a:p>
          <a:r>
            <a:rPr lang="en-US"/>
            <a:t>The company’s extensive distribution network, strong brand recognition, and continuous product innovation allow it to maintain a strong revenue base and competitive advantage within the paint industry.</a:t>
          </a:r>
        </a:p>
        <a:p>
          <a:endParaRPr lang="en-US" b="1"/>
        </a:p>
        <a:p>
          <a:r>
            <a:rPr lang="en-US" b="1"/>
            <a:t>Recent Developments</a:t>
          </a:r>
        </a:p>
        <a:p>
          <a:r>
            <a:rPr lang="en-US" b="1"/>
            <a:t>FY2024–FY2025: Increasing Competitive Pressure in the Paint Industry</a:t>
          </a:r>
        </a:p>
        <a:p>
          <a:r>
            <a:rPr lang="en-US"/>
            <a:t>During FY2024–FY2025, the Indian paint industry experienced intensified competition due to the entry of </a:t>
          </a:r>
          <a:r>
            <a:rPr lang="en-US" b="1"/>
            <a:t>Birla Opus</a:t>
          </a:r>
          <a:r>
            <a:rPr lang="en-US"/>
            <a:t>, the paint division of Grasim Industries. The new entrant launched operations in </a:t>
          </a:r>
          <a:r>
            <a:rPr lang="en-US" b="1"/>
            <a:t>February 2024</a:t>
          </a:r>
          <a:r>
            <a:rPr lang="en-US"/>
            <a:t> with a large investment of around </a:t>
          </a:r>
          <a:r>
            <a:rPr lang="en-US" b="1"/>
            <a:t>₹10,000 crore</a:t>
          </a:r>
          <a:r>
            <a:rPr lang="en-US"/>
            <a:t> aimed at establishing manufacturing capacity and expanding its dealer network across India. </a:t>
          </a:r>
        </a:p>
        <a:p>
          <a:r>
            <a:rPr lang="en-US"/>
            <a:t>This aggressive market entry has increased competition within the decorative paints segment. As a result, Asian Paints’ market share declined from around </a:t>
          </a:r>
          <a:r>
            <a:rPr lang="en-US" b="1"/>
            <a:t>59% to approximately 52% during the period</a:t>
          </a:r>
          <a:r>
            <a:rPr lang="en-US"/>
            <a:t>, reflecting the impact of new competition and changing market dynamics. </a:t>
          </a:r>
        </a:p>
        <a:p>
          <a:r>
            <a:rPr lang="en-US" b="1"/>
            <a:t>FY2024–FY2025: Expansion of Home Décor and Product Portfolio</a:t>
          </a:r>
        </a:p>
        <a:p>
          <a:r>
            <a:rPr lang="en-US"/>
            <a:t>Asian Paints has continued to expand beyond traditional paints into </a:t>
          </a:r>
          <a:r>
            <a:rPr lang="en-US" b="1"/>
            <a:t>home décor and improvement solutions</a:t>
          </a:r>
          <a:r>
            <a:rPr lang="en-US"/>
            <a:t>, including waterproofing products, adhesives, modular kitchens, and bath fittings. These initiatives aim to position the company as a comprehensive </a:t>
          </a:r>
          <a:r>
            <a:rPr lang="en-US" b="1"/>
            <a:t>home décor solutions provider</a:t>
          </a:r>
          <a:r>
            <a:rPr lang="en-US"/>
            <a:t> rather than solely a paint manufacturer.</a:t>
          </a:r>
        </a:p>
        <a:p>
          <a:r>
            <a:rPr lang="en-US" b="1"/>
            <a:t>FY2025: Strategic Response to Competitive Environment</a:t>
          </a:r>
        </a:p>
        <a:p>
          <a:r>
            <a:rPr lang="en-US"/>
            <a:t>In response to increasing industry competition and slower demand growth, Asian Paints has strengthened its strategy by focusing on </a:t>
          </a:r>
          <a:r>
            <a:rPr lang="en-US" b="1"/>
            <a:t>product innovation, improved dealer engagement, and enhanced marketing initiatives</a:t>
          </a:r>
          <a:r>
            <a:rPr lang="en-US"/>
            <a:t>. The company has also increased its emphasis on premium products and differentiated offerings to maintain its market leadership.</a:t>
          </a:r>
        </a:p>
        <a:p>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215154</xdr:colOff>
      <xdr:row>2</xdr:row>
      <xdr:rowOff>161363</xdr:rowOff>
    </xdr:from>
    <xdr:to>
      <xdr:col>20</xdr:col>
      <xdr:colOff>89648</xdr:colOff>
      <xdr:row>20</xdr:row>
      <xdr:rowOff>89646</xdr:rowOff>
    </xdr:to>
    <xdr:sp macro="" textlink="">
      <xdr:nvSpPr>
        <xdr:cNvPr id="2" name="TextBox 1">
          <a:extLst>
            <a:ext uri="{FF2B5EF4-FFF2-40B4-BE49-F238E27FC236}">
              <a16:creationId xmlns:a16="http://schemas.microsoft.com/office/drawing/2014/main" id="{5A149D80-5B1B-F2F3-4071-3642D9540435}"/>
            </a:ext>
          </a:extLst>
        </xdr:cNvPr>
        <xdr:cNvSpPr txBox="1"/>
      </xdr:nvSpPr>
      <xdr:spPr>
        <a:xfrm>
          <a:off x="6248401" y="537881"/>
          <a:ext cx="7799294" cy="32631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The cash flow statement reflects the company’s ability to generate cash from its core operations while funding investments and shareholder distributions.</a:t>
          </a:r>
        </a:p>
        <a:p>
          <a:r>
            <a:rPr lang="en-US" sz="1200"/>
            <a:t>Cash flow from operating activities remains the </a:t>
          </a:r>
          <a:r>
            <a:rPr lang="en-US" sz="1200" b="1"/>
            <a:t>primary source of cash generation</a:t>
          </a:r>
          <a:r>
            <a:rPr lang="en-US" sz="1200"/>
            <a:t> throughout the period. Operating cash flow weakened significantly in FY2022, which aligns with the period of pressure on profitability due to higher raw material costs and working capital requirements. However, operating cash flows recovered strongly in FY2023 and FY2024 as margins improved and business activity strengthened. The decline in FY2025 suggests moderation in operational performance and possibly higher working capital absorption.</a:t>
          </a:r>
        </a:p>
        <a:p>
          <a:r>
            <a:rPr lang="en-US" sz="1200"/>
            <a:t>Cash flow from investing activities remains </a:t>
          </a:r>
          <a:r>
            <a:rPr lang="en-US" sz="1200" b="1"/>
            <a:t>consistently negative</a:t>
          </a:r>
          <a:r>
            <a:rPr lang="en-US" sz="1200"/>
            <a:t>, reflecting ongoing capital expenditure and investments in production capacity, distribution infrastructure, and technology. The higher outflow in FY2024 indicates increased investment activity during the period of strong revenue growth.</a:t>
          </a:r>
        </a:p>
        <a:p>
          <a:r>
            <a:rPr lang="en-US" sz="1200"/>
            <a:t>Cash flow from financing activities is also </a:t>
          </a:r>
          <a:r>
            <a:rPr lang="en-US" sz="1200" b="1"/>
            <a:t>consistently negative</a:t>
          </a:r>
          <a:r>
            <a:rPr lang="en-US" sz="1200"/>
            <a:t>, primarily reflecting dividend payments and occasional repayment of borrowings. The increasing financing outflows in recent years indicate higher shareholder distributions and debt servicing obligations.</a:t>
          </a:r>
        </a:p>
        <a:p>
          <a:r>
            <a:rPr lang="en-US" sz="1200"/>
            <a:t>Overall, the company demonstrates a </a:t>
          </a:r>
          <a:r>
            <a:rPr lang="en-US" sz="1200" b="1"/>
            <a:t>cash flow structure typical of a mature, profitable manufacturing firm</a:t>
          </a:r>
          <a:r>
            <a:rPr lang="en-US" sz="1200"/>
            <a:t>, where strong operating cash flows fund investment activities and shareholder payouts while maintaining relatively stable liquidity levels.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98612</xdr:colOff>
      <xdr:row>2</xdr:row>
      <xdr:rowOff>188259</xdr:rowOff>
    </xdr:from>
    <xdr:to>
      <xdr:col>22</xdr:col>
      <xdr:colOff>322730</xdr:colOff>
      <xdr:row>30</xdr:row>
      <xdr:rowOff>44824</xdr:rowOff>
    </xdr:to>
    <xdr:sp macro="" textlink="">
      <xdr:nvSpPr>
        <xdr:cNvPr id="2" name="TextBox 1">
          <a:extLst>
            <a:ext uri="{FF2B5EF4-FFF2-40B4-BE49-F238E27FC236}">
              <a16:creationId xmlns:a16="http://schemas.microsoft.com/office/drawing/2014/main" id="{7DBB420F-9191-4EF6-BC57-169EDD9B2279}"/>
            </a:ext>
          </a:extLst>
        </xdr:cNvPr>
        <xdr:cNvSpPr txBox="1"/>
      </xdr:nvSpPr>
      <xdr:spPr>
        <a:xfrm>
          <a:off x="7530353" y="582706"/>
          <a:ext cx="8758518" cy="53429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t>Analysis &amp; Interpretation (Common-Size Income Statement)</a:t>
          </a:r>
        </a:p>
        <a:p>
          <a:pPr algn="l"/>
          <a:r>
            <a:rPr lang="en-US" sz="1400"/>
            <a:t>The common-size income statement expresses each component of the income statement as a percentage of revenue from operations, enabling an evaluation of cost structure and profitability trends over time.</a:t>
          </a:r>
        </a:p>
        <a:p>
          <a:pPr algn="l"/>
          <a:r>
            <a:rPr lang="en-US" sz="1400"/>
            <a:t>Revenue from operations consistently forms </a:t>
          </a:r>
          <a:r>
            <a:rPr lang="en-US" sz="1400" b="1"/>
            <a:t>100% of the base</a:t>
          </a:r>
          <a:r>
            <a:rPr lang="en-US" sz="1400"/>
            <a:t>, while other income contributes a small proportion ranging between </a:t>
          </a:r>
          <a:r>
            <a:rPr lang="en-US" sz="1400" b="1"/>
            <a:t>1.1% and 1.9%</a:t>
          </a:r>
          <a:r>
            <a:rPr lang="en-US" sz="1400"/>
            <a:t> during the period. This indicates that the company primarily generates income from its core business activities rather than relying on non-operating sources.</a:t>
          </a:r>
        </a:p>
        <a:p>
          <a:pPr algn="l"/>
          <a:r>
            <a:rPr lang="en-US" sz="1400"/>
            <a:t>The cost of materials consumed represents the </a:t>
          </a:r>
          <a:r>
            <a:rPr lang="en-US" sz="1400" b="1"/>
            <a:t>largest expense component</a:t>
          </a:r>
          <a:r>
            <a:rPr lang="en-US" sz="1400"/>
            <a:t>, fluctuating between </a:t>
          </a:r>
          <a:r>
            <a:rPr lang="en-US" sz="1400" b="1"/>
            <a:t>44.7% and 55.9% of revenue</a:t>
          </a:r>
          <a:r>
            <a:rPr lang="en-US" sz="1400"/>
            <a:t>. This reflects the raw-material-intensive nature of the paint manufacturing industry, where input prices such as crude derivatives and chemicals significantly influence costs. Purchases of stock-in-trade also account for a noticeable portion of expenses, ranging between </a:t>
          </a:r>
          <a:r>
            <a:rPr lang="en-US" sz="1400" b="1"/>
            <a:t>7.6% and 12.0%</a:t>
          </a:r>
          <a:r>
            <a:rPr lang="en-US" sz="1400"/>
            <a:t>, indicating the company’s distribution and trading activities.</a:t>
          </a:r>
        </a:p>
        <a:p>
          <a:pPr algn="l"/>
          <a:r>
            <a:rPr lang="en-US" sz="1400"/>
            <a:t>Employee benefit expenses remain relatively stable between </a:t>
          </a:r>
          <a:r>
            <a:rPr lang="en-US" sz="1400" b="1"/>
            <a:t>5.9% and 7.7% of revenue</a:t>
          </a:r>
          <a:r>
            <a:rPr lang="en-US" sz="1400"/>
            <a:t>, reflecting consistent workforce costs. Other expenses, which include selling, administrative, and distribution costs, account for approximately </a:t>
          </a:r>
          <a:r>
            <a:rPr lang="en-US" sz="1400" b="1"/>
            <a:t>14.5% to 17.1% of revenue</a:t>
          </a:r>
          <a:r>
            <a:rPr lang="en-US" sz="1400"/>
            <a:t>, highlighting the company’s extensive distribution network and marketing activities.</a:t>
          </a:r>
        </a:p>
        <a:p>
          <a:pPr algn="l"/>
          <a:r>
            <a:rPr lang="en-US" sz="1400"/>
            <a:t>Total expenses vary between </a:t>
          </a:r>
          <a:r>
            <a:rPr lang="en-US" sz="1400" b="1"/>
            <a:t>77.6% and 83.5% of revenue</a:t>
          </a:r>
          <a:r>
            <a:rPr lang="en-US" sz="1400"/>
            <a:t>, indicating fluctuations in input costs and operational spending. Despite these variations, the company maintains strong operational performance.</a:t>
          </a:r>
        </a:p>
        <a:p>
          <a:pPr algn="l"/>
          <a:r>
            <a:rPr lang="en-US" sz="1400"/>
            <a:t>EBITDA margins range between </a:t>
          </a:r>
          <a:r>
            <a:rPr lang="en-US" sz="1400" b="1"/>
            <a:t>17.8% and 23.8%</a:t>
          </a:r>
          <a:r>
            <a:rPr lang="en-US" sz="1400"/>
            <a:t>, demonstrating the company’s ability to maintain healthy operating profitability. Similarly, EBIT margins remain robust, fluctuating between </a:t>
          </a:r>
          <a:r>
            <a:rPr lang="en-US" sz="1400" b="1"/>
            <a:t>15.0% and 20.9%</a:t>
          </a:r>
          <a:r>
            <a:rPr lang="en-US" sz="1400"/>
            <a:t> over the period.</a:t>
          </a:r>
        </a:p>
        <a:p>
          <a:pPr algn="l"/>
          <a:r>
            <a:rPr lang="en-US" sz="1400"/>
            <a:t>Finance costs remain minimal, accounting for less than </a:t>
          </a:r>
          <a:r>
            <a:rPr lang="en-US" sz="1400" b="1"/>
            <a:t>1% of revenue</a:t>
          </a:r>
          <a:r>
            <a:rPr lang="en-US" sz="1400"/>
            <a:t>, which indicates low dependence on debt financing. As a result, the company maintains strong profitability levels.</a:t>
          </a:r>
        </a:p>
        <a:p>
          <a:pPr algn="l"/>
          <a:r>
            <a:rPr lang="en-US" sz="1400"/>
            <a:t>The net profit margin (PAT) ranges between </a:t>
          </a:r>
          <a:r>
            <a:rPr lang="en-US" sz="1400" b="1"/>
            <a:t>10.6% and 15.7%</a:t>
          </a:r>
          <a:r>
            <a:rPr lang="en-US" sz="1400"/>
            <a:t>, reflecting efficient cost management and strong demand for the company’s products. Overall, the common-size analysis highlights Asian Paints’ strong operational efficiency, stable cost structure, and consistent profitability over the years.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197224</xdr:colOff>
      <xdr:row>3</xdr:row>
      <xdr:rowOff>26894</xdr:rowOff>
    </xdr:from>
    <xdr:to>
      <xdr:col>23</xdr:col>
      <xdr:colOff>268942</xdr:colOff>
      <xdr:row>32</xdr:row>
      <xdr:rowOff>152400</xdr:rowOff>
    </xdr:to>
    <xdr:sp macro="" textlink="">
      <xdr:nvSpPr>
        <xdr:cNvPr id="3" name="TextBox 2">
          <a:extLst>
            <a:ext uri="{FF2B5EF4-FFF2-40B4-BE49-F238E27FC236}">
              <a16:creationId xmlns:a16="http://schemas.microsoft.com/office/drawing/2014/main" id="{291EDB5B-699D-43A5-DE94-14756C61450A}"/>
            </a:ext>
          </a:extLst>
        </xdr:cNvPr>
        <xdr:cNvSpPr txBox="1"/>
      </xdr:nvSpPr>
      <xdr:spPr>
        <a:xfrm>
          <a:off x="6284259" y="618565"/>
          <a:ext cx="9215718" cy="58449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Analysis &amp; Interpretation (Common-Size Balance Sheet)</a:t>
          </a:r>
        </a:p>
        <a:p>
          <a:r>
            <a:rPr lang="en-US" sz="1400"/>
            <a:t>The common-size balance sheet expresses each balance sheet item as a percentage of total assets, allowing an evaluation of the company’s capital structure and asset composition over time.</a:t>
          </a:r>
        </a:p>
        <a:p>
          <a:r>
            <a:rPr lang="en-US" sz="1400"/>
            <a:t>The equity component represents the largest portion of the company’s financing structure, accounting for approximately </a:t>
          </a:r>
          <a:r>
            <a:rPr lang="en-US" sz="1400" b="1"/>
            <a:t>61.8% to 66.0% of total assets</a:t>
          </a:r>
          <a:r>
            <a:rPr lang="en-US" sz="1400"/>
            <a:t> during the period. This indicates that the company relies primarily on equity financing rather than external borrowings. Equity share capital forms a very small proportion of total assets (around </a:t>
          </a:r>
          <a:r>
            <a:rPr lang="en-US" sz="1400" b="1"/>
            <a:t>0.3% to 0.6%</a:t>
          </a:r>
          <a:r>
            <a:rPr lang="en-US" sz="1400"/>
            <a:t>), while the majority of equity consists of retained earnings and reserves reflected in other equity.</a:t>
          </a:r>
        </a:p>
        <a:p>
          <a:r>
            <a:rPr lang="en-US" sz="1400"/>
            <a:t>Non-controlling interests remain relatively small, ranging between </a:t>
          </a:r>
          <a:r>
            <a:rPr lang="en-US" sz="1400" b="1"/>
            <a:t>1.7% and 2.5%</a:t>
          </a:r>
          <a:r>
            <a:rPr lang="en-US" sz="1400"/>
            <a:t>, indicating limited minority ownership in the company’s consolidated structure.</a:t>
          </a:r>
        </a:p>
        <a:p>
          <a:r>
            <a:rPr lang="en-US" sz="1400"/>
            <a:t>Total liabilities account for a smaller share compared to equity. Non-current liabilities range between </a:t>
          </a:r>
          <a:r>
            <a:rPr lang="en-US" sz="1400" b="1"/>
            <a:t>5.3% and 7.7% of total assets</a:t>
          </a:r>
          <a:r>
            <a:rPr lang="en-US" sz="1400"/>
            <a:t>, suggesting a relatively low long-term debt burden. Long-term borrowings fluctuate between </a:t>
          </a:r>
          <a:r>
            <a:rPr lang="en-US" sz="1400" b="1"/>
            <a:t>2.8% and 4.6%</a:t>
          </a:r>
          <a:r>
            <a:rPr lang="en-US" sz="1400"/>
            <a:t>, indicating conservative leverage levels.</a:t>
          </a:r>
        </a:p>
        <a:p>
          <a:r>
            <a:rPr lang="en-US" sz="1400"/>
            <a:t>Current liabilities account for approximately </a:t>
          </a:r>
          <a:r>
            <a:rPr lang="en-US" sz="1400" b="1"/>
            <a:t>26.8% to 32.9% of total assets</a:t>
          </a:r>
          <a:r>
            <a:rPr lang="en-US" sz="1400"/>
            <a:t>, primarily driven by trade payables and other current liabilities. Trade payables represent a significant portion, reflecting the company’s strong supplier network and credit terms.</a:t>
          </a:r>
        </a:p>
        <a:p>
          <a:r>
            <a:rPr lang="en-US" sz="1400"/>
            <a:t>From the asset perspective, non-current assets account for roughly </a:t>
          </a:r>
          <a:r>
            <a:rPr lang="en-US" sz="1400" b="1"/>
            <a:t>34.1% to 53.1% of total assets</a:t>
          </a:r>
          <a:r>
            <a:rPr lang="en-US" sz="1400"/>
            <a:t>, reflecting investments in property, plant, equipment, and other long-term assets. Current assets represent a significant portion of the balance sheet, ranging between </a:t>
          </a:r>
          <a:r>
            <a:rPr lang="en-US" sz="1400" b="1"/>
            <a:t>46.9% and 65.9%</a:t>
          </a:r>
          <a:r>
            <a:rPr lang="en-US" sz="1400"/>
            <a:t>, indicating strong working capital management.</a:t>
          </a:r>
        </a:p>
        <a:p>
          <a:r>
            <a:rPr lang="en-US" sz="1400"/>
            <a:t>Inventories form a substantial component of current assets, ranging between </a:t>
          </a:r>
          <a:r>
            <a:rPr lang="en-US" sz="1400" b="1"/>
            <a:t>18.6% and 26.8% of total assets</a:t>
          </a:r>
          <a:r>
            <a:rPr lang="en-US" sz="1400"/>
            <a:t>, which is typical for manufacturing companies with extensive product lines. Trade receivables account for approximately </a:t>
          </a:r>
          <a:r>
            <a:rPr lang="en-US" sz="1400" b="1"/>
            <a:t>11.1% to 18.0%</a:t>
          </a:r>
          <a:r>
            <a:rPr lang="en-US" sz="1400"/>
            <a:t>, reflecting the company’s distribution and credit sales structure.</a:t>
          </a:r>
        </a:p>
        <a:p>
          <a:r>
            <a:rPr lang="en-US" sz="1400"/>
            <a:t>Cash and cash equivalents remain relatively moderate, fluctuating between </a:t>
          </a:r>
          <a:r>
            <a:rPr lang="en-US" sz="1400" b="1"/>
            <a:t>2.6% and 4.8%</a:t>
          </a:r>
          <a:r>
            <a:rPr lang="en-US" sz="1400"/>
            <a:t>, indicating that the company maintains sufficient liquidity while efficiently utilizing its funds.</a:t>
          </a:r>
        </a:p>
        <a:p>
          <a:r>
            <a:rPr lang="en-US" sz="1400"/>
            <a:t>Overall, the balance sheet structure reflects a </a:t>
          </a:r>
          <a:r>
            <a:rPr lang="en-US" sz="1400" b="1"/>
            <a:t>financially stable company with strong equity backing, moderate liabilities, and a well-balanced asset structure</a:t>
          </a:r>
          <a:r>
            <a:rPr lang="en-US" sz="1400"/>
            <a:t>, supporting its long-term growth and operational stability.</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350520</xdr:colOff>
      <xdr:row>2</xdr:row>
      <xdr:rowOff>152400</xdr:rowOff>
    </xdr:from>
    <xdr:to>
      <xdr:col>21</xdr:col>
      <xdr:colOff>312420</xdr:colOff>
      <xdr:row>27</xdr:row>
      <xdr:rowOff>22860</xdr:rowOff>
    </xdr:to>
    <xdr:sp macro="" textlink="">
      <xdr:nvSpPr>
        <xdr:cNvPr id="2" name="TextBox 1">
          <a:extLst>
            <a:ext uri="{FF2B5EF4-FFF2-40B4-BE49-F238E27FC236}">
              <a16:creationId xmlns:a16="http://schemas.microsoft.com/office/drawing/2014/main" id="{8232214D-13FA-CC83-E14A-19FE58823A2A}"/>
            </a:ext>
          </a:extLst>
        </xdr:cNvPr>
        <xdr:cNvSpPr txBox="1"/>
      </xdr:nvSpPr>
      <xdr:spPr>
        <a:xfrm>
          <a:off x="5996940" y="533400"/>
          <a:ext cx="7886700" cy="4442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Profitability Ratios</a:t>
          </a:r>
        </a:p>
        <a:p>
          <a:r>
            <a:rPr lang="en-US"/>
            <a:t>Profitability shows a </a:t>
          </a:r>
          <a:r>
            <a:rPr lang="en-US" b="1"/>
            <a:t>clear dip around FY2022 followed by recovery and then moderation in FY2025</a:t>
          </a:r>
          <a:r>
            <a:rPr lang="en-US"/>
            <a:t>. This pattern suggests that profitability was temporarily compressed and later improved before easing again in the latest year. Returns on assets and equity follow the same trajectory as margins, indicating that changes in profitability rather than leverage or asset expansion were the primary driver of shareholder returns.</a:t>
          </a:r>
        </a:p>
        <a:p>
          <a:br>
            <a:rPr lang="en-US"/>
          </a:br>
          <a:r>
            <a:rPr lang="en-US" b="1"/>
            <a:t>Liquidity Ratios</a:t>
          </a:r>
        </a:p>
        <a:p>
          <a:r>
            <a:rPr lang="en-US"/>
            <a:t>Liquidity strengthened compared to the starting year and then remained broadly stable. Both indicators suggest that the company maintains </a:t>
          </a:r>
          <a:r>
            <a:rPr lang="en-US" b="1"/>
            <a:t>consistent working capital coverage</a:t>
          </a:r>
          <a:r>
            <a:rPr lang="en-US"/>
            <a:t>, with liquid assets sufficient to support short-term obligations without significant reliance on inventory liquidation.</a:t>
          </a:r>
        </a:p>
        <a:p>
          <a:br>
            <a:rPr lang="en-US"/>
          </a:br>
          <a:r>
            <a:rPr lang="en-US" b="1"/>
            <a:t>Solvency Ratios</a:t>
          </a:r>
        </a:p>
        <a:p>
          <a:r>
            <a:rPr lang="en-US"/>
            <a:t>Leverage remains </a:t>
          </a:r>
          <a:r>
            <a:rPr lang="en-US" b="1"/>
            <a:t>structurally low throughout the period</a:t>
          </a:r>
          <a:r>
            <a:rPr lang="en-US"/>
            <a:t>, indicating that the company relies predominantly on internal accruals and equity financing. Despite minor fluctuations in borrowing levels, operating earnings remain substantially higher than interest obligations, reflecting </a:t>
          </a:r>
          <a:r>
            <a:rPr lang="en-US" b="1"/>
            <a:t>very low financial risk and strong debt servicing capacity</a:t>
          </a:r>
          <a:r>
            <a:rPr lang="en-US"/>
            <a:t>.</a:t>
          </a:r>
        </a:p>
        <a:p>
          <a:br>
            <a:rPr lang="en-US"/>
          </a:br>
          <a:r>
            <a:rPr lang="en-US" b="1"/>
            <a:t>Efficiency Ratios</a:t>
          </a:r>
        </a:p>
        <a:p>
          <a:r>
            <a:rPr lang="en-US"/>
            <a:t>Efficiency indicators suggest </a:t>
          </a:r>
          <a:r>
            <a:rPr lang="en-US" b="1"/>
            <a:t>gradual moderation in asset and working capital turnover</a:t>
          </a:r>
          <a:r>
            <a:rPr lang="en-US"/>
            <a:t> compared with earlier years. Inventory movement has slowed slightly, while receivable turnover indicates longer collection cycles relative to the beginning of the period. Asset turnover also shows a mild decline in the latest year, suggesting revenue growth has not increased proportionately with the asset base.</a:t>
          </a:r>
        </a:p>
        <a:p>
          <a:br>
            <a:rPr lang="en-US"/>
          </a:br>
          <a:r>
            <a:rPr lang="en-US" b="1"/>
            <a:t>Market Ratios</a:t>
          </a:r>
        </a:p>
        <a:p>
          <a:r>
            <a:rPr lang="en-US"/>
            <a:t>Market valuation indicators show </a:t>
          </a:r>
          <a:r>
            <a:rPr lang="en-US" b="1"/>
            <a:t>significant expansion in earnings up to FY2024 followed by moderation in FY2025</a:t>
          </a:r>
          <a:r>
            <a:rPr lang="en-US"/>
            <a:t>, which is reflected in the movement of the price-earnings multiple. The consistently high payout ratio indicates a stable dividend distribution policy, suggesting the company returns a substantial portion of earnings to shareholders while maintaining adequate retained earnings.</a:t>
          </a:r>
        </a:p>
        <a:p>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336175</xdr:colOff>
      <xdr:row>2</xdr:row>
      <xdr:rowOff>174812</xdr:rowOff>
    </xdr:from>
    <xdr:to>
      <xdr:col>16</xdr:col>
      <xdr:colOff>322728</xdr:colOff>
      <xdr:row>17</xdr:row>
      <xdr:rowOff>152400</xdr:rowOff>
    </xdr:to>
    <xdr:graphicFrame macro="">
      <xdr:nvGraphicFramePr>
        <xdr:cNvPr id="2" name="Chart 1">
          <a:extLst>
            <a:ext uri="{FF2B5EF4-FFF2-40B4-BE49-F238E27FC236}">
              <a16:creationId xmlns:a16="http://schemas.microsoft.com/office/drawing/2014/main" id="{E5DBE1C9-5897-95AC-DC5C-E0323949E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551328</xdr:colOff>
      <xdr:row>2</xdr:row>
      <xdr:rowOff>174812</xdr:rowOff>
    </xdr:from>
    <xdr:to>
      <xdr:col>24</xdr:col>
      <xdr:colOff>537881</xdr:colOff>
      <xdr:row>17</xdr:row>
      <xdr:rowOff>152400</xdr:rowOff>
    </xdr:to>
    <xdr:graphicFrame macro="">
      <xdr:nvGraphicFramePr>
        <xdr:cNvPr id="3" name="Chart 2">
          <a:extLst>
            <a:ext uri="{FF2B5EF4-FFF2-40B4-BE49-F238E27FC236}">
              <a16:creationId xmlns:a16="http://schemas.microsoft.com/office/drawing/2014/main" id="{590E4264-951C-AA7B-0FEB-2AD57C676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115317</xdr:colOff>
      <xdr:row>2</xdr:row>
      <xdr:rowOff>159329</xdr:rowOff>
    </xdr:from>
    <xdr:to>
      <xdr:col>33</xdr:col>
      <xdr:colOff>101870</xdr:colOff>
      <xdr:row>18</xdr:row>
      <xdr:rowOff>10595</xdr:rowOff>
    </xdr:to>
    <xdr:graphicFrame macro="">
      <xdr:nvGraphicFramePr>
        <xdr:cNvPr id="4" name="Chart 3">
          <a:extLst>
            <a:ext uri="{FF2B5EF4-FFF2-40B4-BE49-F238E27FC236}">
              <a16:creationId xmlns:a16="http://schemas.microsoft.com/office/drawing/2014/main" id="{6AA6D5DD-56FA-C4C1-1007-39A6EACE62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382017</xdr:colOff>
      <xdr:row>2</xdr:row>
      <xdr:rowOff>140279</xdr:rowOff>
    </xdr:from>
    <xdr:to>
      <xdr:col>41</xdr:col>
      <xdr:colOff>368570</xdr:colOff>
      <xdr:row>17</xdr:row>
      <xdr:rowOff>182045</xdr:rowOff>
    </xdr:to>
    <xdr:graphicFrame macro="">
      <xdr:nvGraphicFramePr>
        <xdr:cNvPr id="5" name="Chart 4">
          <a:extLst>
            <a:ext uri="{FF2B5EF4-FFF2-40B4-BE49-F238E27FC236}">
              <a16:creationId xmlns:a16="http://schemas.microsoft.com/office/drawing/2014/main" id="{8199AA28-CC20-FF32-F39D-0301D6045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351693</xdr:colOff>
      <xdr:row>18</xdr:row>
      <xdr:rowOff>152399</xdr:rowOff>
    </xdr:from>
    <xdr:to>
      <xdr:col>16</xdr:col>
      <xdr:colOff>375139</xdr:colOff>
      <xdr:row>36</xdr:row>
      <xdr:rowOff>23446</xdr:rowOff>
    </xdr:to>
    <xdr:sp macro="" textlink="">
      <xdr:nvSpPr>
        <xdr:cNvPr id="6" name="TextBox 5">
          <a:extLst>
            <a:ext uri="{FF2B5EF4-FFF2-40B4-BE49-F238E27FC236}">
              <a16:creationId xmlns:a16="http://schemas.microsoft.com/office/drawing/2014/main" id="{B4277204-F409-9F43-A03E-CB65540DCB1C}"/>
            </a:ext>
          </a:extLst>
        </xdr:cNvPr>
        <xdr:cNvSpPr txBox="1"/>
      </xdr:nvSpPr>
      <xdr:spPr>
        <a:xfrm>
          <a:off x="6365631" y="3704491"/>
          <a:ext cx="4900246" cy="32472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Revenue growth accelerated sharply in FY2022 and FY2023, followed by a slowdown in FY2024 and a decline in FY2025. The strong growth in FY2022–FY2023 likely reflects the </a:t>
          </a:r>
          <a:r>
            <a:rPr lang="en-US" sz="1400" b="1"/>
            <a:t>post-pandemic recovery in construction and housing activity</a:t>
          </a:r>
          <a:r>
            <a:rPr lang="en-US" sz="1400"/>
            <a:t>, which significantly boosted demand for decorative paints. Additionally, Asian Paints implemented </a:t>
          </a:r>
          <a:r>
            <a:rPr lang="en-US" sz="1400" b="1"/>
            <a:t>multiple price increases during FY2022</a:t>
          </a:r>
          <a:r>
            <a:rPr lang="en-US" sz="1400"/>
            <a:t> to offset rising raw material costs, which supported revenue expansion even when margins were under pressure.</a:t>
          </a:r>
        </a:p>
        <a:p>
          <a:r>
            <a:rPr lang="en-US" sz="1400"/>
            <a:t>The moderation in FY2024 and contraction in FY2025 suggest </a:t>
          </a:r>
          <a:r>
            <a:rPr lang="en-US" sz="1400" b="1"/>
            <a:t>weakening demand momentum and increasing competitive intensity</a:t>
          </a:r>
          <a:r>
            <a:rPr lang="en-US" sz="1400"/>
            <a:t> in the paint industry. The entry of new large players and slower growth in urban housing demand likely constrained revenue expansion despite the company’s strong distribution network.</a:t>
          </a:r>
        </a:p>
      </xdr:txBody>
    </xdr:sp>
    <xdr:clientData/>
  </xdr:twoCellAnchor>
  <xdr:twoCellAnchor>
    <xdr:from>
      <xdr:col>16</xdr:col>
      <xdr:colOff>574431</xdr:colOff>
      <xdr:row>18</xdr:row>
      <xdr:rowOff>164122</xdr:rowOff>
    </xdr:from>
    <xdr:to>
      <xdr:col>24</xdr:col>
      <xdr:colOff>597877</xdr:colOff>
      <xdr:row>36</xdr:row>
      <xdr:rowOff>35169</xdr:rowOff>
    </xdr:to>
    <xdr:sp macro="" textlink="">
      <xdr:nvSpPr>
        <xdr:cNvPr id="7" name="TextBox 6">
          <a:extLst>
            <a:ext uri="{FF2B5EF4-FFF2-40B4-BE49-F238E27FC236}">
              <a16:creationId xmlns:a16="http://schemas.microsoft.com/office/drawing/2014/main" id="{42A4EB66-0CD2-221F-944F-132FD54E4265}"/>
            </a:ext>
          </a:extLst>
        </xdr:cNvPr>
        <xdr:cNvSpPr txBox="1"/>
      </xdr:nvSpPr>
      <xdr:spPr>
        <a:xfrm>
          <a:off x="11465169" y="3716214"/>
          <a:ext cx="4900246" cy="32472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Profitability shows a different trajectory from revenue. Profit declined in FY2022 despite strong revenue growth, indicating </a:t>
          </a:r>
          <a:r>
            <a:rPr lang="en-US" sz="1400" b="1"/>
            <a:t>margin pressure due to sharp increases in raw material prices</a:t>
          </a:r>
          <a:r>
            <a:rPr lang="en-US" sz="1400"/>
            <a:t>, particularly crude-derived inputs used in paint manufacturing. As input costs stabilized and price increases were absorbed in the market, profitability improved significantly in FY2023 and FY2024.</a:t>
          </a:r>
        </a:p>
        <a:p>
          <a:r>
            <a:rPr lang="en-US" sz="1400"/>
            <a:t>The sharp decline in profit in FY2025, despite only a moderate drop in revenue, suggests </a:t>
          </a:r>
          <a:r>
            <a:rPr lang="en-US" sz="1400" b="1"/>
            <a:t>margin compression rather than a major demand collapse</a:t>
          </a:r>
          <a:r>
            <a:rPr lang="en-US" sz="1400"/>
            <a:t>. This could reflect increased price competition, higher operating expenses, or changes in product mix affecting profitability.</a:t>
          </a:r>
        </a:p>
      </xdr:txBody>
    </xdr:sp>
    <xdr:clientData/>
  </xdr:twoCellAnchor>
  <xdr:twoCellAnchor>
    <xdr:from>
      <xdr:col>25</xdr:col>
      <xdr:colOff>128954</xdr:colOff>
      <xdr:row>18</xdr:row>
      <xdr:rowOff>175845</xdr:rowOff>
    </xdr:from>
    <xdr:to>
      <xdr:col>33</xdr:col>
      <xdr:colOff>152400</xdr:colOff>
      <xdr:row>36</xdr:row>
      <xdr:rowOff>46892</xdr:rowOff>
    </xdr:to>
    <xdr:sp macro="" textlink="">
      <xdr:nvSpPr>
        <xdr:cNvPr id="8" name="TextBox 7">
          <a:extLst>
            <a:ext uri="{FF2B5EF4-FFF2-40B4-BE49-F238E27FC236}">
              <a16:creationId xmlns:a16="http://schemas.microsoft.com/office/drawing/2014/main" id="{C3A05F3A-4768-E0C0-3C9A-C42A599A7210}"/>
            </a:ext>
          </a:extLst>
        </xdr:cNvPr>
        <xdr:cNvSpPr txBox="1"/>
      </xdr:nvSpPr>
      <xdr:spPr>
        <a:xfrm>
          <a:off x="16506092" y="3727937"/>
          <a:ext cx="4900246" cy="32472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Total assets expanded steadily throughout the period, indicating continuous investment in </a:t>
          </a:r>
          <a:r>
            <a:rPr lang="en-US" sz="1400" b="1"/>
            <a:t>production capacity, distribution infrastructure, and working capital</a:t>
          </a:r>
          <a:r>
            <a:rPr lang="en-US" sz="1400"/>
            <a:t>. The higher asset growth in FY2021 reflects post-pandemic operational expansion and normalization of supply chains.</a:t>
          </a:r>
        </a:p>
        <a:p>
          <a:r>
            <a:rPr lang="en-US" sz="1400"/>
            <a:t>Growth in assets moderated significantly in FY2025, suggesting that the company may have </a:t>
          </a:r>
          <a:r>
            <a:rPr lang="en-US" sz="1400" b="1"/>
            <a:t>slowed capital expenditure or optimized working capital</a:t>
          </a:r>
          <a:r>
            <a:rPr lang="en-US" sz="1400"/>
            <a:t> in response to softer demand conditions and uncertain market dynamics.</a:t>
          </a:r>
        </a:p>
      </xdr:txBody>
    </xdr:sp>
    <xdr:clientData/>
  </xdr:twoCellAnchor>
  <xdr:twoCellAnchor>
    <xdr:from>
      <xdr:col>33</xdr:col>
      <xdr:colOff>422031</xdr:colOff>
      <xdr:row>18</xdr:row>
      <xdr:rowOff>175845</xdr:rowOff>
    </xdr:from>
    <xdr:to>
      <xdr:col>41</xdr:col>
      <xdr:colOff>445477</xdr:colOff>
      <xdr:row>36</xdr:row>
      <xdr:rowOff>46892</xdr:rowOff>
    </xdr:to>
    <xdr:sp macro="" textlink="">
      <xdr:nvSpPr>
        <xdr:cNvPr id="9" name="TextBox 8">
          <a:extLst>
            <a:ext uri="{FF2B5EF4-FFF2-40B4-BE49-F238E27FC236}">
              <a16:creationId xmlns:a16="http://schemas.microsoft.com/office/drawing/2014/main" id="{670C8316-DD21-BE9A-D3DA-F57E12C1EA43}"/>
            </a:ext>
          </a:extLst>
        </xdr:cNvPr>
        <xdr:cNvSpPr txBox="1"/>
      </xdr:nvSpPr>
      <xdr:spPr>
        <a:xfrm>
          <a:off x="21675969" y="3727937"/>
          <a:ext cx="4900246" cy="32472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Debt levels increased noticeably between FY2022 and FY2024, which likely reflects </a:t>
          </a:r>
          <a:r>
            <a:rPr lang="en-US" sz="1400" b="1"/>
            <a:t>short-term financing requirements associated with higher working capital and expansion activities</a:t>
          </a:r>
          <a:r>
            <a:rPr lang="en-US" sz="1400"/>
            <a:t> during the period of strong revenue growth. However, the decline in debt in FY2025 indicates that the company reduced borrowings as revenue growth slowed and internal cash flows were sufficient to support operations.</a:t>
          </a:r>
        </a:p>
        <a:p>
          <a:r>
            <a:rPr lang="en-US" sz="1400"/>
            <a:t>Despite these fluctuations, debt levels remain relatively low compared to the company’s asset base, reflecting Asian Paints’ </a:t>
          </a:r>
          <a:r>
            <a:rPr lang="en-US" sz="1400" b="1"/>
            <a:t>conservative financial structure and reliance on internal funding rather than leverage</a:t>
          </a:r>
          <a:r>
            <a:rPr lang="en-US" sz="1400"/>
            <a:t>.</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601980</xdr:colOff>
      <xdr:row>11</xdr:row>
      <xdr:rowOff>0</xdr:rowOff>
    </xdr:to>
    <xdr:sp macro="" textlink="">
      <xdr:nvSpPr>
        <xdr:cNvPr id="2" name="TextBox 1">
          <a:extLst>
            <a:ext uri="{FF2B5EF4-FFF2-40B4-BE49-F238E27FC236}">
              <a16:creationId xmlns:a16="http://schemas.microsoft.com/office/drawing/2014/main" id="{75AB92C1-3116-DB0F-A861-2EAB820138E9}"/>
            </a:ext>
          </a:extLst>
        </xdr:cNvPr>
        <xdr:cNvSpPr txBox="1"/>
      </xdr:nvSpPr>
      <xdr:spPr>
        <a:xfrm>
          <a:off x="0" y="0"/>
          <a:ext cx="12793980" cy="2011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Financial Issues (Key Financial Concerns)</a:t>
          </a:r>
        </a:p>
        <a:p>
          <a:r>
            <a:rPr lang="en-US" sz="1200"/>
            <a:t>Despite maintaining strong financial performance, certain financial concerns can be identified from the company’s recent trends and ratio analysis.</a:t>
          </a:r>
        </a:p>
        <a:p>
          <a:r>
            <a:rPr lang="en-US" sz="1200"/>
            <a:t>One key issue is the </a:t>
          </a:r>
          <a:r>
            <a:rPr lang="en-US" sz="1200" b="1"/>
            <a:t>decline in profitability in the most recent year</a:t>
          </a:r>
          <a:r>
            <a:rPr lang="en-US" sz="1200"/>
            <a:t>. Although revenue experienced only a moderate contraction, profit declined significantly, indicating pressure on operating margins. This suggests that cost increases or pricing pressures may be affecting profitability.</a:t>
          </a:r>
        </a:p>
        <a:p>
          <a:r>
            <a:rPr lang="en-US" sz="1200"/>
            <a:t>Another concern is the </a:t>
          </a:r>
          <a:r>
            <a:rPr lang="en-US" sz="1200" b="1"/>
            <a:t>gradual decline in operational efficiency indicators</a:t>
          </a:r>
          <a:r>
            <a:rPr lang="en-US" sz="1200"/>
            <a:t>, particularly inventory turnover and receivable turnover. The slower movement of inventory and longer collection cycles suggest that working capital efficiency has slightly weakened compared to earlier years.</a:t>
          </a:r>
        </a:p>
        <a:p>
          <a:r>
            <a:rPr lang="en-US" sz="1200"/>
            <a:t>The company also experienced </a:t>
          </a:r>
          <a:r>
            <a:rPr lang="en-US" sz="1200" b="1"/>
            <a:t>moderation in revenue growth after FY2023</a:t>
          </a:r>
          <a:r>
            <a:rPr lang="en-US" sz="1200"/>
            <a:t>, which may reflect softer demand conditions and increasing competition in the paint industry. Slower revenue growth combined with margin pressure could affect future profitability if the trend continues.</a:t>
          </a:r>
        </a:p>
        <a:p>
          <a:r>
            <a:rPr lang="en-US" sz="1200"/>
            <a:t>Finally, although the company maintains a conservative capital structure, </a:t>
          </a:r>
          <a:r>
            <a:rPr lang="en-US" sz="1200" b="1"/>
            <a:t>borrowings increased during the expansion period before declining slightly in the latest year</a:t>
          </a:r>
          <a:r>
            <a:rPr lang="en-US" sz="1200"/>
            <a:t>, indicating temporary reliance on external financing during periods of growth.</a:t>
          </a:r>
        </a:p>
      </xdr:txBody>
    </xdr:sp>
    <xdr:clientData/>
  </xdr:twoCellAnchor>
  <xdr:twoCellAnchor>
    <xdr:from>
      <xdr:col>0</xdr:col>
      <xdr:colOff>0</xdr:colOff>
      <xdr:row>11</xdr:row>
      <xdr:rowOff>0</xdr:rowOff>
    </xdr:from>
    <xdr:to>
      <xdr:col>20</xdr:col>
      <xdr:colOff>601980</xdr:colOff>
      <xdr:row>20</xdr:row>
      <xdr:rowOff>175260</xdr:rowOff>
    </xdr:to>
    <xdr:sp macro="" textlink="">
      <xdr:nvSpPr>
        <xdr:cNvPr id="3" name="TextBox 2">
          <a:extLst>
            <a:ext uri="{FF2B5EF4-FFF2-40B4-BE49-F238E27FC236}">
              <a16:creationId xmlns:a16="http://schemas.microsoft.com/office/drawing/2014/main" id="{5DAFF386-7938-79F7-DECB-BF2B7BF6C36C}"/>
            </a:ext>
          </a:extLst>
        </xdr:cNvPr>
        <xdr:cNvSpPr txBox="1"/>
      </xdr:nvSpPr>
      <xdr:spPr>
        <a:xfrm>
          <a:off x="0" y="2011680"/>
          <a:ext cx="12793980" cy="1821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Strategic Recommendations</a:t>
          </a:r>
        </a:p>
        <a:p>
          <a:r>
            <a:rPr lang="en-US" sz="1200"/>
            <a:t>To address the identified financial issues and sustain long-term growth, several strategic measures can be considered.</a:t>
          </a:r>
        </a:p>
        <a:p>
          <a:r>
            <a:rPr lang="en-US" sz="1200"/>
            <a:t>First, the company should focus on </a:t>
          </a:r>
          <a:r>
            <a:rPr lang="en-US" sz="1200" b="1"/>
            <a:t>improving cost efficiency and managing raw material volatility</a:t>
          </a:r>
          <a:r>
            <a:rPr lang="en-US" sz="1200"/>
            <a:t>, as input costs significantly influence profitability in the paint industry. Strengthening supply chain management and optimizing procurement strategies could help stabilize margins.</a:t>
          </a:r>
        </a:p>
        <a:p>
          <a:r>
            <a:rPr lang="en-US" sz="1200"/>
            <a:t>Second, improving </a:t>
          </a:r>
          <a:r>
            <a:rPr lang="en-US" sz="1200" b="1"/>
            <a:t>working capital management</a:t>
          </a:r>
          <a:r>
            <a:rPr lang="en-US" sz="1200"/>
            <a:t> could enhance operational efficiency. Measures such as better inventory planning, demand forecasting, and improved receivable management can help accelerate cash conversion cycles.</a:t>
          </a:r>
        </a:p>
        <a:p>
          <a:r>
            <a:rPr lang="en-US" sz="1200"/>
            <a:t>Third, the company should continue to strengthen its </a:t>
          </a:r>
          <a:r>
            <a:rPr lang="en-US" sz="1200" b="1"/>
            <a:t>product innovation and premium product portfolio</a:t>
          </a:r>
          <a:r>
            <a:rPr lang="en-US" sz="1200"/>
            <a:t>, which can support higher margins and differentiate it from increasing competition in the market.</a:t>
          </a:r>
        </a:p>
        <a:p>
          <a:r>
            <a:rPr lang="en-US" sz="1200"/>
            <a:t>Finally, expanding into </a:t>
          </a:r>
          <a:r>
            <a:rPr lang="en-US" sz="1200" b="1"/>
            <a:t>new geographic markets and distribution channels</a:t>
          </a:r>
          <a:r>
            <a:rPr lang="en-US" sz="1200"/>
            <a:t> could help sustain revenue growth and reduce dependence on traditional demand segments.</a:t>
          </a:r>
        </a:p>
      </xdr:txBody>
    </xdr:sp>
    <xdr:clientData/>
  </xdr:twoCellAnchor>
  <xdr:twoCellAnchor>
    <xdr:from>
      <xdr:col>0</xdr:col>
      <xdr:colOff>0</xdr:colOff>
      <xdr:row>20</xdr:row>
      <xdr:rowOff>167640</xdr:rowOff>
    </xdr:from>
    <xdr:to>
      <xdr:col>20</xdr:col>
      <xdr:colOff>601980</xdr:colOff>
      <xdr:row>28</xdr:row>
      <xdr:rowOff>15240</xdr:rowOff>
    </xdr:to>
    <xdr:sp macro="" textlink="">
      <xdr:nvSpPr>
        <xdr:cNvPr id="4" name="TextBox 3">
          <a:extLst>
            <a:ext uri="{FF2B5EF4-FFF2-40B4-BE49-F238E27FC236}">
              <a16:creationId xmlns:a16="http://schemas.microsoft.com/office/drawing/2014/main" id="{D9CE69F1-E2F7-3B49-D857-553FC0159F1C}"/>
            </a:ext>
          </a:extLst>
        </xdr:cNvPr>
        <xdr:cNvSpPr txBox="1"/>
      </xdr:nvSpPr>
      <xdr:spPr>
        <a:xfrm>
          <a:off x="0" y="3825240"/>
          <a:ext cx="12793980" cy="1310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Conclusion</a:t>
          </a:r>
        </a:p>
        <a:p>
          <a:r>
            <a:rPr lang="en-US" sz="1200"/>
            <a:t>The financial analysis of Asian Paints indicates that the company maintains a </a:t>
          </a:r>
          <a:r>
            <a:rPr lang="en-US" sz="1200" b="1"/>
            <a:t>strong financial position supported by stable profitability, efficient asset utilization, and a conservative capital structure</a:t>
          </a:r>
          <a:r>
            <a:rPr lang="en-US" sz="1200"/>
            <a:t>. The company has demonstrated consistent revenue growth over the years and maintains strong returns for shareholders.</a:t>
          </a:r>
        </a:p>
        <a:p>
          <a:r>
            <a:rPr lang="en-US" sz="1200"/>
            <a:t>However, recent trends indicate some challenges, including </a:t>
          </a:r>
          <a:r>
            <a:rPr lang="en-US" sz="1200" b="1"/>
            <a:t>pressure on profitability, slower revenue growth, and slight moderation in operational efficiency</a:t>
          </a:r>
          <a:r>
            <a:rPr lang="en-US" sz="1200"/>
            <a:t>. These factors highlight the importance of effective cost management and strategic initiatives to maintain competitive advantage.</a:t>
          </a:r>
        </a:p>
        <a:p>
          <a:r>
            <a:rPr lang="en-US" sz="1200"/>
            <a:t>Overall, Asian Paints remains financially sound and well-positioned within the industry, supported by its strong brand presence, extensive distribution network, and disciplined financial management.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186EA-F294-40E6-A9B7-A3109F584B3B}">
  <sheetPr>
    <tabColor rgb="FFF03F35"/>
  </sheetPr>
  <dimension ref="H6:J16"/>
  <sheetViews>
    <sheetView showGridLines="0" tabSelected="1" zoomScaleNormal="100" workbookViewId="0">
      <selection activeCell="H16" sqref="H16"/>
    </sheetView>
  </sheetViews>
  <sheetFormatPr defaultRowHeight="14.4" x14ac:dyDescent="0.3"/>
  <cols>
    <col min="2" max="2" width="11.109375" customWidth="1"/>
    <col min="9" max="9" width="40.77734375" bestFit="1" customWidth="1"/>
  </cols>
  <sheetData>
    <row r="6" spans="8:10" x14ac:dyDescent="0.3">
      <c r="H6" s="58"/>
      <c r="I6" s="58"/>
      <c r="J6" s="58"/>
    </row>
    <row r="7" spans="8:10" x14ac:dyDescent="0.3">
      <c r="H7" s="58"/>
      <c r="I7" s="58"/>
      <c r="J7" s="58"/>
    </row>
    <row r="8" spans="8:10" ht="23.4" x14ac:dyDescent="0.45">
      <c r="H8" s="58"/>
      <c r="I8" s="59" t="s">
        <v>87</v>
      </c>
      <c r="J8" s="58"/>
    </row>
    <row r="9" spans="8:10" x14ac:dyDescent="0.3">
      <c r="H9" s="58"/>
      <c r="I9" s="58"/>
      <c r="J9" s="58"/>
    </row>
    <row r="10" spans="8:10" ht="23.4" x14ac:dyDescent="0.45">
      <c r="H10" s="58"/>
      <c r="I10" s="59" t="s">
        <v>88</v>
      </c>
      <c r="J10" s="58"/>
    </row>
    <row r="11" spans="8:10" x14ac:dyDescent="0.3">
      <c r="H11" s="58"/>
      <c r="I11" s="58"/>
      <c r="J11" s="58"/>
    </row>
    <row r="12" spans="8:10" x14ac:dyDescent="0.3">
      <c r="H12" s="58"/>
      <c r="I12" s="58"/>
      <c r="J12" s="58"/>
    </row>
    <row r="13" spans="8:10" x14ac:dyDescent="0.3">
      <c r="H13" s="58"/>
      <c r="I13" s="58"/>
      <c r="J13" s="58"/>
    </row>
    <row r="14" spans="8:10" x14ac:dyDescent="0.3">
      <c r="H14" s="58"/>
      <c r="I14" s="58"/>
      <c r="J14" s="58"/>
    </row>
    <row r="15" spans="8:10" x14ac:dyDescent="0.3">
      <c r="H15" s="58"/>
      <c r="I15" s="58"/>
      <c r="J15" s="58"/>
    </row>
    <row r="16" spans="8:10" ht="15.6" x14ac:dyDescent="0.3">
      <c r="H16" s="23"/>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C07A7-1CCF-49C6-869B-C6FE89EFC33C}">
  <sheetPr>
    <tabColor rgb="FFFDBA3D"/>
  </sheetPr>
  <dimension ref="A1"/>
  <sheetViews>
    <sheetView showGridLines="0"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2E8DF-7E88-4D81-A6FC-4448006B2382}">
  <sheetPr>
    <tabColor rgb="FFFDBA3D"/>
  </sheetPr>
  <dimension ref="A1"/>
  <sheetViews>
    <sheetView showGridLines="0" zoomScaleNormal="100"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34271-05FF-483E-92FF-7DF6682FF275}">
  <sheetPr>
    <tabColor rgb="FF310E5F"/>
  </sheetPr>
  <dimension ref="A1"/>
  <sheetViews>
    <sheetView showGridLines="0" topLeftCell="A58" workbookViewId="0">
      <selection activeCell="A23" sqref="A23:XFD23"/>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F8218-B11D-462A-B0CB-50D09C27A07E}">
  <sheetPr>
    <tabColor rgb="FF310E5F"/>
  </sheetPr>
  <dimension ref="A1"/>
  <sheetViews>
    <sheetView topLeftCell="A10" workbookViewId="0">
      <selection activeCell="I30" sqref="I30"/>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DAD48-FCD7-49D2-ACA4-DA8688B24FB1}">
  <dimension ref="A1"/>
  <sheetViews>
    <sheetView showGridLines="0" workbookViewId="0">
      <selection activeCell="J22" sqref="J22"/>
    </sheetView>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9AEE1-C3E8-4CCA-A686-0D1A67DC3FCB}">
  <sheetPr>
    <tabColor rgb="FFA893CB"/>
  </sheetPr>
  <dimension ref="A2:W29"/>
  <sheetViews>
    <sheetView showGridLines="0" zoomScale="85" zoomScaleNormal="85" workbookViewId="0">
      <selection activeCell="H5" sqref="H5"/>
    </sheetView>
  </sheetViews>
  <sheetFormatPr defaultRowHeight="15.6" x14ac:dyDescent="0.3"/>
  <cols>
    <col min="1" max="1" width="2.77734375" style="2" customWidth="1"/>
    <col min="2" max="2" width="61.21875" style="2" customWidth="1"/>
    <col min="3" max="8" width="10.77734375" style="2" customWidth="1"/>
    <col min="9" max="16384" width="8.88671875" style="2"/>
  </cols>
  <sheetData>
    <row r="2" spans="1:23" s="1" customFormat="1" x14ac:dyDescent="0.3">
      <c r="A2" s="15" t="s">
        <v>52</v>
      </c>
    </row>
    <row r="4" spans="1:23" x14ac:dyDescent="0.3">
      <c r="B4" s="13" t="s">
        <v>45</v>
      </c>
      <c r="C4" s="16">
        <v>2020</v>
      </c>
      <c r="D4" s="16">
        <f>C4+1</f>
        <v>2021</v>
      </c>
      <c r="E4" s="16">
        <f>D4+1</f>
        <v>2022</v>
      </c>
      <c r="F4" s="16">
        <f t="shared" ref="F4" si="0">E4+1</f>
        <v>2023</v>
      </c>
      <c r="G4" s="16">
        <f>F4+1</f>
        <v>2024</v>
      </c>
      <c r="H4" s="17">
        <f>G4+1</f>
        <v>2025</v>
      </c>
    </row>
    <row r="5" spans="1:23" x14ac:dyDescent="0.3">
      <c r="B5" s="5" t="s">
        <v>53</v>
      </c>
      <c r="C5" s="4">
        <f>20025.96+
22.36+
162.93</f>
        <v>20211.25</v>
      </c>
      <c r="D5" s="4">
        <f>21440.24+44.96+227.59</f>
        <v>21712.79</v>
      </c>
      <c r="E5" s="4">
        <f>28830.02
+93.46
+177.8</f>
        <v>29101.279999999999</v>
      </c>
      <c r="F5" s="4">
        <f>34253.35
+114.48
+120.76</f>
        <v>34488.590000000004</v>
      </c>
      <c r="G5" s="4">
        <f>35248.88+133.24+112.61</f>
        <v>35494.729999999996</v>
      </c>
      <c r="H5" s="4">
        <f>33626.82+170.54+108.26</f>
        <v>33905.620000000003</v>
      </c>
      <c r="K5" s="27"/>
      <c r="L5" s="27"/>
      <c r="M5" s="27"/>
      <c r="N5" s="27"/>
      <c r="O5" s="27"/>
      <c r="P5" s="27"/>
      <c r="R5" s="28"/>
      <c r="S5" s="28"/>
      <c r="T5" s="28"/>
      <c r="U5" s="28"/>
      <c r="V5" s="28"/>
      <c r="W5" s="28"/>
    </row>
    <row r="6" spans="1:23" x14ac:dyDescent="0.3">
      <c r="B6" s="3" t="s">
        <v>1</v>
      </c>
      <c r="C6" s="4">
        <v>304.31</v>
      </c>
      <c r="D6" s="4">
        <v>303.05</v>
      </c>
      <c r="E6" s="4">
        <v>380.01</v>
      </c>
      <c r="F6" s="4">
        <v>386.48</v>
      </c>
      <c r="G6" s="4">
        <v>687.96</v>
      </c>
      <c r="H6" s="4">
        <v>572.61</v>
      </c>
      <c r="K6" s="27"/>
      <c r="L6" s="27"/>
      <c r="M6" s="27"/>
      <c r="N6" s="27"/>
      <c r="O6" s="27"/>
      <c r="P6" s="27"/>
      <c r="R6" s="28"/>
      <c r="S6" s="28"/>
      <c r="T6" s="28"/>
      <c r="U6" s="28"/>
      <c r="V6" s="28"/>
      <c r="W6" s="28"/>
    </row>
    <row r="7" spans="1:23" x14ac:dyDescent="0.3">
      <c r="B7" s="5" t="s">
        <v>2</v>
      </c>
      <c r="C7" s="6">
        <f>SUM(C5:C6)</f>
        <v>20515.560000000001</v>
      </c>
      <c r="D7" s="6">
        <f t="shared" ref="D7:G7" si="1">SUM(D5:D6)</f>
        <v>22015.84</v>
      </c>
      <c r="E7" s="6">
        <f t="shared" si="1"/>
        <v>29481.289999999997</v>
      </c>
      <c r="F7" s="6">
        <f t="shared" si="1"/>
        <v>34875.070000000007</v>
      </c>
      <c r="G7" s="6">
        <f t="shared" si="1"/>
        <v>36182.689999999995</v>
      </c>
      <c r="H7" s="20">
        <f>SUM(H5:H6)</f>
        <v>34478.230000000003</v>
      </c>
      <c r="K7" s="27"/>
      <c r="L7" s="27"/>
      <c r="M7" s="27"/>
      <c r="N7" s="27"/>
      <c r="O7" s="27"/>
      <c r="P7" s="27"/>
      <c r="R7" s="28"/>
      <c r="S7" s="28"/>
      <c r="T7" s="28"/>
      <c r="U7" s="28"/>
      <c r="V7" s="28"/>
      <c r="W7" s="28"/>
    </row>
    <row r="8" spans="1:23" x14ac:dyDescent="0.3">
      <c r="B8" s="3"/>
      <c r="C8" s="7"/>
      <c r="D8" s="7"/>
      <c r="E8" s="7"/>
      <c r="F8" s="7"/>
      <c r="G8" s="7"/>
      <c r="H8" s="18"/>
      <c r="K8" s="27"/>
      <c r="L8" s="27"/>
      <c r="M8" s="27"/>
      <c r="N8" s="27"/>
      <c r="O8" s="27"/>
      <c r="P8" s="27"/>
      <c r="R8" s="28"/>
      <c r="S8" s="28"/>
      <c r="T8" s="28"/>
      <c r="U8" s="28"/>
      <c r="V8" s="28"/>
      <c r="W8" s="28"/>
    </row>
    <row r="9" spans="1:23" x14ac:dyDescent="0.3">
      <c r="B9" s="8" t="s">
        <v>3</v>
      </c>
      <c r="C9" s="9"/>
      <c r="D9" s="9"/>
      <c r="E9" s="9"/>
      <c r="F9" s="9"/>
      <c r="G9" s="9"/>
      <c r="H9" s="18"/>
      <c r="K9" s="27"/>
      <c r="L9" s="27"/>
      <c r="M9" s="27"/>
      <c r="N9" s="27"/>
      <c r="O9" s="27"/>
      <c r="P9" s="27"/>
      <c r="R9" s="28"/>
      <c r="S9" s="28"/>
      <c r="T9" s="28"/>
      <c r="U9" s="28"/>
      <c r="V9" s="28"/>
      <c r="W9" s="28"/>
    </row>
    <row r="10" spans="1:23" x14ac:dyDescent="0.3">
      <c r="B10" s="3" t="s">
        <v>34</v>
      </c>
      <c r="C10" s="19">
        <v>10091.780000000001</v>
      </c>
      <c r="D10" s="19">
        <v>10317.09</v>
      </c>
      <c r="E10" s="19">
        <v>16254.59</v>
      </c>
      <c r="F10" s="19">
        <v>17330.580000000002</v>
      </c>
      <c r="G10" s="19">
        <v>15868.21</v>
      </c>
      <c r="H10" s="19">
        <v>15793.92</v>
      </c>
      <c r="J10" s="35"/>
      <c r="K10" s="35"/>
      <c r="L10" s="35"/>
      <c r="M10" s="35"/>
      <c r="N10" s="35"/>
      <c r="O10" s="35"/>
      <c r="P10" s="35"/>
      <c r="R10" s="28"/>
      <c r="S10" s="28"/>
      <c r="T10" s="28"/>
      <c r="U10" s="28"/>
      <c r="V10" s="28"/>
      <c r="W10" s="28"/>
    </row>
    <row r="11" spans="1:23" x14ac:dyDescent="0.3">
      <c r="B11" s="3" t="s">
        <v>35</v>
      </c>
      <c r="C11" s="19">
        <v>1530.83</v>
      </c>
      <c r="D11" s="19">
        <v>1872.59</v>
      </c>
      <c r="E11" s="19">
        <v>3371.13</v>
      </c>
      <c r="F11" s="19">
        <v>4135.6499999999996</v>
      </c>
      <c r="G11" s="19">
        <v>3858.2</v>
      </c>
      <c r="H11" s="19">
        <v>3926.86</v>
      </c>
      <c r="K11" s="27"/>
      <c r="L11" s="27"/>
      <c r="M11" s="27"/>
      <c r="N11" s="27"/>
      <c r="O11" s="27"/>
      <c r="P11" s="27"/>
      <c r="R11" s="28"/>
      <c r="S11" s="28"/>
      <c r="T11" s="28"/>
      <c r="U11" s="28"/>
      <c r="V11" s="28"/>
      <c r="W11" s="28"/>
    </row>
    <row r="12" spans="1:23" x14ac:dyDescent="0.3">
      <c r="B12" s="3" t="s">
        <v>37</v>
      </c>
      <c r="C12" s="19">
        <v>-239.15</v>
      </c>
      <c r="D12" s="19">
        <v>-92.45</v>
      </c>
      <c r="E12" s="19">
        <v>-1324.97</v>
      </c>
      <c r="F12" s="19">
        <v>-309.73</v>
      </c>
      <c r="G12" s="19">
        <v>363.8</v>
      </c>
      <c r="H12" s="19">
        <v>-205</v>
      </c>
      <c r="K12" s="27"/>
      <c r="L12" s="27"/>
      <c r="M12" s="27"/>
      <c r="N12" s="27"/>
      <c r="O12" s="27"/>
      <c r="P12" s="27"/>
      <c r="R12" s="28"/>
      <c r="S12" s="28"/>
      <c r="T12" s="28"/>
      <c r="U12" s="28"/>
      <c r="V12" s="28"/>
      <c r="W12" s="28"/>
    </row>
    <row r="13" spans="1:23" x14ac:dyDescent="0.3">
      <c r="B13" s="3" t="s">
        <v>36</v>
      </c>
      <c r="C13" s="19">
        <v>1366.09</v>
      </c>
      <c r="D13" s="19">
        <v>1540.75</v>
      </c>
      <c r="E13" s="19">
        <v>1786.67</v>
      </c>
      <c r="F13" s="19">
        <v>2028.07</v>
      </c>
      <c r="G13" s="19">
        <v>2326.1799999999998</v>
      </c>
      <c r="H13" s="19">
        <v>2597.23</v>
      </c>
      <c r="K13" s="27"/>
      <c r="L13" s="27"/>
      <c r="M13" s="27"/>
      <c r="N13" s="27"/>
      <c r="O13" s="27"/>
      <c r="P13" s="27"/>
      <c r="R13" s="28"/>
      <c r="S13" s="28"/>
      <c r="T13" s="28"/>
      <c r="U13" s="28"/>
      <c r="V13" s="28"/>
      <c r="W13" s="28"/>
    </row>
    <row r="14" spans="1:23" x14ac:dyDescent="0.3">
      <c r="B14" s="3" t="s">
        <v>4</v>
      </c>
      <c r="C14" s="19">
        <v>3299.93</v>
      </c>
      <c r="D14" s="19">
        <v>3219.21</v>
      </c>
      <c r="E14" s="19">
        <v>4210.25</v>
      </c>
      <c r="F14" s="19">
        <v>5044.18</v>
      </c>
      <c r="G14" s="19">
        <v>5493.36</v>
      </c>
      <c r="H14" s="19">
        <v>5786.4</v>
      </c>
      <c r="K14" s="27"/>
      <c r="L14" s="27"/>
      <c r="M14" s="27"/>
      <c r="N14" s="27"/>
      <c r="O14" s="27"/>
      <c r="P14" s="27"/>
      <c r="R14" s="28"/>
      <c r="S14" s="28"/>
      <c r="T14" s="28"/>
      <c r="U14" s="28"/>
      <c r="V14" s="28"/>
      <c r="W14" s="28"/>
    </row>
    <row r="15" spans="1:23" x14ac:dyDescent="0.3">
      <c r="B15" s="5" t="s">
        <v>5</v>
      </c>
      <c r="C15" s="20">
        <f>SUM(C10:C14)</f>
        <v>16049.480000000001</v>
      </c>
      <c r="D15" s="20">
        <f t="shared" ref="D15:G15" si="2">SUM(D10:D14)</f>
        <v>16857.189999999999</v>
      </c>
      <c r="E15" s="20">
        <f t="shared" si="2"/>
        <v>24297.67</v>
      </c>
      <c r="F15" s="20">
        <f t="shared" si="2"/>
        <v>28228.750000000004</v>
      </c>
      <c r="G15" s="20">
        <f t="shared" si="2"/>
        <v>27909.75</v>
      </c>
      <c r="H15" s="20">
        <f>SUM(H10:H14)</f>
        <v>27899.409999999996</v>
      </c>
      <c r="K15" s="27"/>
      <c r="L15" s="27"/>
      <c r="M15" s="27"/>
      <c r="N15" s="27"/>
      <c r="O15" s="27"/>
      <c r="P15" s="27"/>
      <c r="R15" s="28"/>
      <c r="S15" s="28"/>
      <c r="T15" s="28"/>
      <c r="U15" s="28"/>
      <c r="V15" s="28"/>
      <c r="W15" s="28"/>
    </row>
    <row r="16" spans="1:23" x14ac:dyDescent="0.3">
      <c r="B16" s="5"/>
      <c r="C16" s="20"/>
      <c r="D16" s="20"/>
      <c r="E16" s="20"/>
      <c r="F16" s="20"/>
      <c r="G16" s="20"/>
      <c r="H16" s="20"/>
      <c r="K16" s="27"/>
      <c r="L16" s="27"/>
      <c r="M16" s="27"/>
      <c r="N16" s="27"/>
      <c r="O16" s="27"/>
      <c r="P16" s="27"/>
      <c r="R16" s="28"/>
      <c r="S16" s="28"/>
      <c r="T16" s="28"/>
      <c r="U16" s="28"/>
      <c r="V16" s="28"/>
      <c r="W16" s="28"/>
    </row>
    <row r="17" spans="2:23" x14ac:dyDescent="0.3">
      <c r="B17" s="5" t="s">
        <v>6</v>
      </c>
      <c r="C17" s="20">
        <f t="shared" ref="C17:H17" si="3">C7-C15</f>
        <v>4466.08</v>
      </c>
      <c r="D17" s="20">
        <f t="shared" si="3"/>
        <v>5158.6500000000015</v>
      </c>
      <c r="E17" s="20">
        <f t="shared" si="3"/>
        <v>5183.619999999999</v>
      </c>
      <c r="F17" s="20">
        <f t="shared" si="3"/>
        <v>6646.3200000000033</v>
      </c>
      <c r="G17" s="20">
        <f t="shared" si="3"/>
        <v>8272.9399999999951</v>
      </c>
      <c r="H17" s="20">
        <f t="shared" si="3"/>
        <v>6578.820000000007</v>
      </c>
      <c r="K17" s="27"/>
      <c r="L17" s="27"/>
      <c r="M17" s="27"/>
      <c r="N17" s="27"/>
      <c r="O17" s="27"/>
      <c r="P17" s="27"/>
      <c r="R17" s="28"/>
      <c r="S17" s="28"/>
      <c r="T17" s="28"/>
      <c r="U17" s="28"/>
      <c r="V17" s="28"/>
      <c r="W17" s="28"/>
    </row>
    <row r="18" spans="2:23" x14ac:dyDescent="0.3">
      <c r="B18" s="3" t="s">
        <v>38</v>
      </c>
      <c r="C18" s="19">
        <v>780.5</v>
      </c>
      <c r="D18" s="19">
        <v>791.27</v>
      </c>
      <c r="E18" s="19">
        <v>816.36</v>
      </c>
      <c r="F18" s="19">
        <v>858.02</v>
      </c>
      <c r="G18" s="19">
        <v>853</v>
      </c>
      <c r="H18" s="19">
        <v>1026.3399999999999</v>
      </c>
      <c r="K18" s="27"/>
      <c r="L18" s="27"/>
      <c r="M18" s="27"/>
      <c r="N18" s="27"/>
      <c r="O18" s="27"/>
      <c r="P18" s="27"/>
      <c r="R18" s="28"/>
      <c r="S18" s="28"/>
      <c r="T18" s="28"/>
      <c r="U18" s="28"/>
      <c r="V18" s="28"/>
      <c r="W18" s="28"/>
    </row>
    <row r="19" spans="2:23" x14ac:dyDescent="0.3">
      <c r="B19" s="5" t="s">
        <v>7</v>
      </c>
      <c r="C19" s="20">
        <f>C17-C18</f>
        <v>3685.58</v>
      </c>
      <c r="D19" s="20">
        <f t="shared" ref="D19:G19" si="4">D17-D18</f>
        <v>4367.380000000001</v>
      </c>
      <c r="E19" s="20">
        <f t="shared" si="4"/>
        <v>4367.2599999999993</v>
      </c>
      <c r="F19" s="20">
        <f t="shared" si="4"/>
        <v>5788.3000000000029</v>
      </c>
      <c r="G19" s="20">
        <f t="shared" si="4"/>
        <v>7419.9399999999951</v>
      </c>
      <c r="H19" s="20">
        <f>H17-H18</f>
        <v>5552.4800000000068</v>
      </c>
      <c r="R19" s="28"/>
      <c r="S19" s="28"/>
      <c r="T19" s="28"/>
      <c r="U19" s="28"/>
      <c r="V19" s="28"/>
      <c r="W19" s="28"/>
    </row>
    <row r="20" spans="2:23" x14ac:dyDescent="0.3">
      <c r="B20" s="3" t="s">
        <v>39</v>
      </c>
      <c r="C20" s="19">
        <v>102.33</v>
      </c>
      <c r="D20" s="19">
        <v>91.63</v>
      </c>
      <c r="E20" s="19">
        <v>95.41</v>
      </c>
      <c r="F20" s="19">
        <v>144.44999999999999</v>
      </c>
      <c r="G20" s="19">
        <v>205.17</v>
      </c>
      <c r="H20" s="19">
        <v>227.02</v>
      </c>
      <c r="K20" s="27"/>
      <c r="L20" s="27"/>
      <c r="M20" s="27"/>
      <c r="N20" s="27"/>
      <c r="O20" s="27"/>
      <c r="P20" s="27"/>
      <c r="R20" s="28"/>
      <c r="S20" s="28"/>
      <c r="T20" s="28"/>
      <c r="U20" s="28"/>
      <c r="V20" s="28"/>
      <c r="W20" s="28"/>
    </row>
    <row r="21" spans="2:23" x14ac:dyDescent="0.3">
      <c r="B21" s="5" t="str">
        <f>PROPER("PROFIT BEFORE SHARE OF PROFIT IN ASSOCIATES AND EXCEPTIONAL ITEMS")</f>
        <v>Profit Before Share Of Profit In Associates And Exceptional Items</v>
      </c>
      <c r="C21" s="20">
        <f>C19-C20</f>
        <v>3583.25</v>
      </c>
      <c r="D21" s="20">
        <f t="shared" ref="D21:G21" si="5">D19-D20</f>
        <v>4275.7500000000009</v>
      </c>
      <c r="E21" s="20">
        <f t="shared" si="5"/>
        <v>4271.8499999999995</v>
      </c>
      <c r="F21" s="20">
        <f t="shared" si="5"/>
        <v>5643.8500000000031</v>
      </c>
      <c r="G21" s="20">
        <f t="shared" si="5"/>
        <v>7214.769999999995</v>
      </c>
      <c r="H21" s="20">
        <f>H19-H20</f>
        <v>5325.4600000000064</v>
      </c>
      <c r="K21" s="27"/>
      <c r="L21" s="27"/>
      <c r="M21" s="27"/>
      <c r="N21" s="27"/>
      <c r="O21" s="27"/>
      <c r="P21" s="27"/>
      <c r="R21" s="28"/>
      <c r="S21" s="28"/>
      <c r="T21" s="28"/>
      <c r="U21" s="28"/>
      <c r="V21" s="28"/>
      <c r="W21" s="28"/>
    </row>
    <row r="22" spans="2:23" x14ac:dyDescent="0.3">
      <c r="B22" s="3" t="s">
        <v>41</v>
      </c>
      <c r="C22" s="19">
        <v>50.74</v>
      </c>
      <c r="D22" s="19">
        <v>28.6</v>
      </c>
      <c r="E22" s="19">
        <v>31.57</v>
      </c>
      <c r="F22" s="19">
        <v>93.85</v>
      </c>
      <c r="G22" s="19">
        <v>133</v>
      </c>
      <c r="H22" s="19">
        <v>140.71</v>
      </c>
      <c r="K22" s="27"/>
      <c r="L22" s="27"/>
      <c r="M22" s="27"/>
      <c r="N22" s="27"/>
      <c r="O22" s="27"/>
      <c r="P22" s="27"/>
      <c r="R22" s="28"/>
      <c r="S22" s="28"/>
      <c r="T22" s="28"/>
      <c r="U22" s="28"/>
      <c r="V22" s="28"/>
      <c r="W22" s="28"/>
    </row>
    <row r="23" spans="2:23" x14ac:dyDescent="0.3">
      <c r="B23" s="5" t="s">
        <v>42</v>
      </c>
      <c r="C23" s="20">
        <f t="shared" ref="C23:G23" si="6">C21+C22</f>
        <v>3633.99</v>
      </c>
      <c r="D23" s="20">
        <f t="shared" si="6"/>
        <v>4304.3500000000013</v>
      </c>
      <c r="E23" s="20">
        <f t="shared" si="6"/>
        <v>4303.4199999999992</v>
      </c>
      <c r="F23" s="20">
        <f t="shared" si="6"/>
        <v>5737.7000000000035</v>
      </c>
      <c r="G23" s="20">
        <f t="shared" si="6"/>
        <v>7347.769999999995</v>
      </c>
      <c r="H23" s="20">
        <f>H21+H22</f>
        <v>5466.1700000000064</v>
      </c>
      <c r="K23" s="27"/>
      <c r="L23" s="27"/>
      <c r="M23" s="27"/>
      <c r="N23" s="27"/>
      <c r="O23" s="27"/>
      <c r="P23" s="27"/>
      <c r="R23" s="28"/>
      <c r="S23" s="28"/>
      <c r="T23" s="28"/>
      <c r="U23" s="28"/>
      <c r="V23" s="28"/>
      <c r="W23" s="28"/>
    </row>
    <row r="24" spans="2:23" x14ac:dyDescent="0.3">
      <c r="B24" s="3" t="s">
        <v>43</v>
      </c>
      <c r="C24" s="19">
        <v>0</v>
      </c>
      <c r="D24" s="19">
        <v>0</v>
      </c>
      <c r="E24" s="19">
        <v>115.7</v>
      </c>
      <c r="F24" s="19">
        <v>48.87</v>
      </c>
      <c r="G24" s="19">
        <v>0</v>
      </c>
      <c r="H24" s="19">
        <v>363.1</v>
      </c>
      <c r="K24" s="27"/>
      <c r="L24" s="27"/>
      <c r="M24" s="27"/>
      <c r="N24" s="27"/>
      <c r="O24" s="27"/>
      <c r="P24" s="27"/>
      <c r="R24" s="28"/>
      <c r="S24" s="28"/>
      <c r="T24" s="28"/>
      <c r="U24" s="28"/>
      <c r="V24" s="28"/>
      <c r="W24" s="28"/>
    </row>
    <row r="25" spans="2:23" x14ac:dyDescent="0.3">
      <c r="B25" s="5" t="s">
        <v>40</v>
      </c>
      <c r="C25" s="20">
        <f>C23-C24</f>
        <v>3633.99</v>
      </c>
      <c r="D25" s="20">
        <f t="shared" ref="D25:G25" si="7">D23-D24</f>
        <v>4304.3500000000013</v>
      </c>
      <c r="E25" s="20">
        <f t="shared" si="7"/>
        <v>4187.7199999999993</v>
      </c>
      <c r="F25" s="20">
        <f t="shared" si="7"/>
        <v>5688.8300000000036</v>
      </c>
      <c r="G25" s="20">
        <f t="shared" si="7"/>
        <v>7347.769999999995</v>
      </c>
      <c r="H25" s="20">
        <f>H23-H24</f>
        <v>5103.0700000000061</v>
      </c>
      <c r="K25" s="27"/>
      <c r="L25" s="27"/>
      <c r="M25" s="27"/>
      <c r="N25" s="27"/>
      <c r="O25" s="27"/>
      <c r="P25" s="27"/>
      <c r="R25" s="28"/>
      <c r="S25" s="28"/>
      <c r="T25" s="28"/>
      <c r="U25" s="28"/>
      <c r="V25" s="28"/>
      <c r="W25" s="28"/>
    </row>
    <row r="26" spans="2:23" x14ac:dyDescent="0.3">
      <c r="B26" s="3" t="s">
        <v>44</v>
      </c>
      <c r="C26" s="19">
        <v>854.85</v>
      </c>
      <c r="D26" s="19">
        <v>1097.5999999999999</v>
      </c>
      <c r="E26" s="19">
        <v>1102.9100000000001</v>
      </c>
      <c r="F26" s="19">
        <v>1493.5</v>
      </c>
      <c r="G26" s="19">
        <v>1790.08</v>
      </c>
      <c r="H26" s="19">
        <v>1393.36</v>
      </c>
      <c r="K26" s="27"/>
      <c r="L26" s="27"/>
      <c r="M26" s="27"/>
      <c r="N26" s="27"/>
      <c r="O26" s="27"/>
      <c r="P26" s="27"/>
      <c r="R26" s="28"/>
      <c r="S26" s="28"/>
      <c r="T26" s="28"/>
      <c r="U26" s="28"/>
      <c r="V26" s="28"/>
      <c r="W26" s="28"/>
    </row>
    <row r="27" spans="2:23" x14ac:dyDescent="0.3">
      <c r="B27" s="5" t="s">
        <v>8</v>
      </c>
      <c r="C27" s="20">
        <f>C25-C26</f>
        <v>2779.14</v>
      </c>
      <c r="D27" s="20">
        <f t="shared" ref="D27:G27" si="8">D25-D26</f>
        <v>3206.7500000000014</v>
      </c>
      <c r="E27" s="20">
        <f t="shared" si="8"/>
        <v>3084.8099999999995</v>
      </c>
      <c r="F27" s="20">
        <f t="shared" si="8"/>
        <v>4195.3300000000036</v>
      </c>
      <c r="G27" s="20">
        <f t="shared" si="8"/>
        <v>5557.6899999999951</v>
      </c>
      <c r="H27" s="20">
        <f>H25-H26</f>
        <v>3709.7100000000064</v>
      </c>
      <c r="J27" s="27"/>
      <c r="K27" s="27"/>
      <c r="L27" s="27"/>
      <c r="M27" s="27"/>
      <c r="N27" s="27"/>
      <c r="O27" s="27"/>
      <c r="P27" s="27"/>
      <c r="Q27" s="27"/>
      <c r="R27" s="28"/>
      <c r="S27" s="28"/>
      <c r="T27" s="28"/>
      <c r="U27" s="28"/>
      <c r="V27" s="28"/>
      <c r="W27" s="28"/>
    </row>
    <row r="29" spans="2:23" x14ac:dyDescent="0.3">
      <c r="C29" s="27"/>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37299-CE26-4F6E-BDE9-40E9A21660B9}">
  <sheetPr>
    <tabColor rgb="FFA893CB"/>
  </sheetPr>
  <dimension ref="A2:P41"/>
  <sheetViews>
    <sheetView showGridLines="0" zoomScale="77" zoomScaleNormal="70" workbookViewId="0">
      <selection activeCell="C4" sqref="C4"/>
    </sheetView>
  </sheetViews>
  <sheetFormatPr defaultRowHeight="15.6" x14ac:dyDescent="0.3"/>
  <cols>
    <col min="1" max="1" width="2.77734375" style="2" customWidth="1"/>
    <col min="2" max="2" width="36.5546875" style="2" bestFit="1" customWidth="1"/>
    <col min="3" max="6" width="13.5546875" style="2" bestFit="1" customWidth="1"/>
    <col min="7" max="8" width="13.5546875" style="2" customWidth="1"/>
    <col min="9" max="9" width="8.88671875" style="2"/>
    <col min="10" max="10" width="7.5546875" style="2" bestFit="1" customWidth="1"/>
    <col min="11" max="15" width="6" style="2" bestFit="1" customWidth="1"/>
    <col min="16" max="16384" width="8.88671875" style="2"/>
  </cols>
  <sheetData>
    <row r="2" spans="1:15" s="1" customFormat="1" x14ac:dyDescent="0.3">
      <c r="A2" s="15" t="s">
        <v>51</v>
      </c>
    </row>
    <row r="4" spans="1:15" x14ac:dyDescent="0.3">
      <c r="B4" s="13" t="str">
        <f>'Income Statement'!B4</f>
        <v>Particulars (₹ in Crores)</v>
      </c>
      <c r="C4" s="14">
        <f>'Income Statement'!C4</f>
        <v>2020</v>
      </c>
      <c r="D4" s="14">
        <f>'Income Statement'!D4</f>
        <v>2021</v>
      </c>
      <c r="E4" s="14">
        <f>'Income Statement'!E4</f>
        <v>2022</v>
      </c>
      <c r="F4" s="14">
        <f>'Income Statement'!F4</f>
        <v>2023</v>
      </c>
      <c r="G4" s="14">
        <f>'Income Statement'!G4</f>
        <v>2024</v>
      </c>
      <c r="H4" s="14">
        <f>'Income Statement'!H4</f>
        <v>2025</v>
      </c>
    </row>
    <row r="5" spans="1:15" x14ac:dyDescent="0.3">
      <c r="B5" s="61" t="s">
        <v>9</v>
      </c>
      <c r="C5" s="62"/>
      <c r="D5" s="62"/>
      <c r="E5" s="62"/>
      <c r="F5" s="62"/>
      <c r="G5" s="62"/>
      <c r="H5" s="63"/>
    </row>
    <row r="6" spans="1:15" x14ac:dyDescent="0.3">
      <c r="B6" s="21" t="s">
        <v>46</v>
      </c>
      <c r="C6" s="22"/>
      <c r="D6" s="22"/>
      <c r="E6" s="22"/>
      <c r="F6" s="22"/>
      <c r="G6" s="22"/>
      <c r="H6" s="22"/>
    </row>
    <row r="7" spans="1:15" x14ac:dyDescent="0.3">
      <c r="B7" s="3" t="s">
        <v>10</v>
      </c>
      <c r="C7" s="4">
        <v>95.92</v>
      </c>
      <c r="D7" s="4">
        <v>95.92</v>
      </c>
      <c r="E7" s="4">
        <v>95.92</v>
      </c>
      <c r="F7" s="4">
        <v>95.92</v>
      </c>
      <c r="G7" s="4">
        <v>95.92</v>
      </c>
      <c r="H7" s="4">
        <v>95.92</v>
      </c>
      <c r="J7" s="27"/>
      <c r="K7" s="27"/>
      <c r="L7" s="27"/>
      <c r="M7" s="27"/>
      <c r="N7" s="27"/>
      <c r="O7" s="27"/>
    </row>
    <row r="8" spans="1:15" x14ac:dyDescent="0.3">
      <c r="B8" s="3" t="s">
        <v>11</v>
      </c>
      <c r="C8" s="4">
        <v>10034.24</v>
      </c>
      <c r="D8" s="4">
        <v>12710.37</v>
      </c>
      <c r="E8" s="4">
        <v>13715.64</v>
      </c>
      <c r="F8" s="4">
        <v>15896.31</v>
      </c>
      <c r="G8" s="4">
        <v>18632.38</v>
      </c>
      <c r="H8" s="4">
        <v>19303.89</v>
      </c>
      <c r="J8" s="27"/>
      <c r="K8" s="27"/>
      <c r="L8" s="27"/>
      <c r="M8" s="27"/>
      <c r="N8" s="27"/>
      <c r="O8" s="27"/>
    </row>
    <row r="9" spans="1:15" x14ac:dyDescent="0.3">
      <c r="B9" s="5" t="s">
        <v>47</v>
      </c>
      <c r="C9" s="10">
        <f>SUM(C7:C8)</f>
        <v>10130.16</v>
      </c>
      <c r="D9" s="10">
        <f t="shared" ref="D9:H9" si="0">SUM(D7:D8)</f>
        <v>12806.29</v>
      </c>
      <c r="E9" s="10">
        <f t="shared" si="0"/>
        <v>13811.56</v>
      </c>
      <c r="F9" s="10">
        <f t="shared" si="0"/>
        <v>15992.23</v>
      </c>
      <c r="G9" s="10">
        <f t="shared" si="0"/>
        <v>18728.3</v>
      </c>
      <c r="H9" s="10">
        <f t="shared" si="0"/>
        <v>19399.809999999998</v>
      </c>
      <c r="J9" s="27"/>
      <c r="K9" s="27"/>
      <c r="L9" s="27"/>
      <c r="M9" s="27"/>
      <c r="N9" s="27"/>
      <c r="O9" s="27"/>
    </row>
    <row r="10" spans="1:15" x14ac:dyDescent="0.3">
      <c r="B10" s="3" t="s">
        <v>48</v>
      </c>
      <c r="C10" s="4">
        <v>403.53</v>
      </c>
      <c r="D10" s="4">
        <v>422.86</v>
      </c>
      <c r="E10" s="4">
        <v>387.53</v>
      </c>
      <c r="F10" s="4">
        <v>453.66</v>
      </c>
      <c r="G10" s="4">
        <v>695.38</v>
      </c>
      <c r="H10" s="4">
        <v>659.24</v>
      </c>
      <c r="J10" s="27"/>
      <c r="K10" s="27"/>
      <c r="L10" s="27"/>
      <c r="M10" s="27"/>
      <c r="N10" s="27"/>
      <c r="O10" s="27"/>
    </row>
    <row r="11" spans="1:15" x14ac:dyDescent="0.3">
      <c r="B11" s="5" t="s">
        <v>12</v>
      </c>
      <c r="C11" s="10">
        <f>SUM(C9+C10)</f>
        <v>10533.69</v>
      </c>
      <c r="D11" s="10">
        <f t="shared" ref="D11:H11" si="1">SUM(D9+D10)</f>
        <v>13229.150000000001</v>
      </c>
      <c r="E11" s="10">
        <f t="shared" si="1"/>
        <v>14199.09</v>
      </c>
      <c r="F11" s="10">
        <f t="shared" si="1"/>
        <v>16445.89</v>
      </c>
      <c r="G11" s="10">
        <f t="shared" si="1"/>
        <v>19423.68</v>
      </c>
      <c r="H11" s="10">
        <f t="shared" si="1"/>
        <v>20059.05</v>
      </c>
      <c r="J11" s="27"/>
      <c r="K11" s="27"/>
      <c r="L11" s="27"/>
      <c r="M11" s="27"/>
      <c r="N11" s="27"/>
      <c r="O11" s="27"/>
    </row>
    <row r="12" spans="1:15" x14ac:dyDescent="0.3">
      <c r="B12" s="3"/>
      <c r="C12" s="4"/>
      <c r="D12" s="4"/>
      <c r="E12" s="4"/>
      <c r="F12" s="4"/>
      <c r="G12" s="4"/>
      <c r="H12" s="4"/>
      <c r="J12" s="27"/>
      <c r="K12" s="27"/>
      <c r="L12" s="27"/>
      <c r="M12" s="27"/>
      <c r="N12" s="27"/>
      <c r="O12" s="27"/>
    </row>
    <row r="13" spans="1:15" x14ac:dyDescent="0.3">
      <c r="B13" s="5" t="s">
        <v>49</v>
      </c>
      <c r="C13" s="4"/>
      <c r="D13" s="4"/>
      <c r="E13" s="4"/>
      <c r="F13" s="4"/>
      <c r="G13" s="4"/>
      <c r="H13" s="4"/>
      <c r="J13" s="27"/>
      <c r="K13" s="27"/>
      <c r="L13" s="27"/>
      <c r="M13" s="27"/>
      <c r="N13" s="27"/>
      <c r="O13" s="27"/>
    </row>
    <row r="14" spans="1:15" x14ac:dyDescent="0.3">
      <c r="B14" s="5" t="s">
        <v>13</v>
      </c>
      <c r="C14" s="4"/>
      <c r="D14" s="4"/>
      <c r="E14" s="4"/>
      <c r="F14" s="4"/>
      <c r="G14" s="4"/>
      <c r="H14" s="4"/>
      <c r="J14" s="27"/>
      <c r="K14" s="27"/>
      <c r="L14" s="27"/>
      <c r="M14" s="27"/>
      <c r="N14" s="27"/>
      <c r="O14" s="27"/>
    </row>
    <row r="15" spans="1:15" x14ac:dyDescent="0.3">
      <c r="B15" s="12" t="s">
        <v>50</v>
      </c>
      <c r="C15" s="4">
        <f>18.63+
589.94</f>
        <v>608.57000000000005</v>
      </c>
      <c r="D15" s="4">
        <f>14.53+
561.36</f>
        <v>575.89</v>
      </c>
      <c r="E15" s="4">
        <f>44.54+
598.37</f>
        <v>642.91</v>
      </c>
      <c r="F15" s="4">
        <f>76.15+
728.94</f>
        <v>805.09</v>
      </c>
      <c r="G15" s="4">
        <f>54.38+
1095.29</f>
        <v>1149.67</v>
      </c>
      <c r="H15" s="4">
        <f>259.62+
1123.3</f>
        <v>1382.92</v>
      </c>
      <c r="J15" s="27"/>
      <c r="K15" s="27"/>
      <c r="L15" s="27"/>
      <c r="M15" s="27"/>
      <c r="N15" s="27"/>
      <c r="O15" s="27"/>
    </row>
    <row r="16" spans="1:15" x14ac:dyDescent="0.3">
      <c r="B16" s="12" t="s">
        <v>14</v>
      </c>
      <c r="C16" s="4">
        <f>2.94+
180.75+
443.8+
4.64</f>
        <v>632.13</v>
      </c>
      <c r="D16" s="4">
        <f>3.38+
215.21+
415.59+
4.54</f>
        <v>638.71999999999991</v>
      </c>
      <c r="E16" s="4">
        <f>2.18+
218.32+
348.85+
2.11</f>
        <v>571.46</v>
      </c>
      <c r="F16" s="4">
        <f>46.38+
230.7+
334.84+
39.17</f>
        <v>651.08999999999992</v>
      </c>
      <c r="G16" s="4">
        <f>240.58+
222.56+
352.17+
34.47</f>
        <v>849.78</v>
      </c>
      <c r="H16" s="4">
        <f>79.93+
257.78+
404.91+
45.55</f>
        <v>788.17</v>
      </c>
      <c r="J16" s="27"/>
      <c r="K16" s="27"/>
      <c r="L16" s="27"/>
      <c r="M16" s="27"/>
      <c r="N16" s="27"/>
      <c r="O16" s="27"/>
    </row>
    <row r="17" spans="2:15" x14ac:dyDescent="0.3">
      <c r="B17" s="5" t="s">
        <v>15</v>
      </c>
      <c r="C17" s="6">
        <f>SUM(C15:C16)</f>
        <v>1240.7</v>
      </c>
      <c r="D17" s="6">
        <f t="shared" ref="D17:H17" si="2">SUM(D15:D16)</f>
        <v>1214.6099999999999</v>
      </c>
      <c r="E17" s="6">
        <f t="shared" si="2"/>
        <v>1214.3699999999999</v>
      </c>
      <c r="F17" s="6">
        <f t="shared" si="2"/>
        <v>1456.1799999999998</v>
      </c>
      <c r="G17" s="6">
        <f t="shared" si="2"/>
        <v>1999.45</v>
      </c>
      <c r="H17" s="6">
        <f t="shared" si="2"/>
        <v>2171.09</v>
      </c>
      <c r="J17" s="27"/>
      <c r="K17" s="27"/>
      <c r="L17" s="27"/>
      <c r="M17" s="27"/>
      <c r="N17" s="27"/>
      <c r="O17" s="27"/>
    </row>
    <row r="18" spans="2:15" x14ac:dyDescent="0.3">
      <c r="B18" s="3"/>
      <c r="C18" s="7"/>
      <c r="D18" s="7"/>
      <c r="E18" s="7"/>
      <c r="F18" s="7"/>
      <c r="G18" s="7"/>
      <c r="H18" s="7"/>
      <c r="J18" s="27"/>
      <c r="K18" s="27"/>
      <c r="L18" s="27"/>
      <c r="M18" s="27"/>
      <c r="N18" s="27"/>
      <c r="O18" s="27"/>
    </row>
    <row r="19" spans="2:15" x14ac:dyDescent="0.3">
      <c r="B19" s="5" t="s">
        <v>16</v>
      </c>
      <c r="C19" s="7"/>
      <c r="D19" s="7"/>
      <c r="E19" s="7"/>
      <c r="F19" s="7"/>
      <c r="G19" s="7"/>
      <c r="H19" s="7"/>
      <c r="J19" s="27"/>
      <c r="K19" s="27"/>
      <c r="L19" s="27"/>
      <c r="M19" s="27"/>
      <c r="N19" s="27"/>
      <c r="O19" s="27"/>
    </row>
    <row r="20" spans="2:15" x14ac:dyDescent="0.3">
      <c r="B20" s="25" t="s">
        <v>17</v>
      </c>
      <c r="C20" s="4">
        <f>321.48+
173.87</f>
        <v>495.35</v>
      </c>
      <c r="D20" s="4">
        <f>334.05+
183.18</f>
        <v>517.23</v>
      </c>
      <c r="E20" s="4">
        <f>731.12+
212.85</f>
        <v>943.97</v>
      </c>
      <c r="F20" s="4">
        <f>896.06+
231.47</f>
        <v>1127.53</v>
      </c>
      <c r="G20" s="4">
        <f>1052.76+
271.95</f>
        <v>1324.71</v>
      </c>
      <c r="H20" s="4">
        <f>604.13+
303.24</f>
        <v>907.37</v>
      </c>
      <c r="J20" s="27"/>
      <c r="K20" s="27"/>
      <c r="L20" s="27"/>
      <c r="M20" s="27"/>
      <c r="N20" s="27"/>
      <c r="O20" s="27"/>
    </row>
    <row r="21" spans="2:15" x14ac:dyDescent="0.3">
      <c r="B21" s="25" t="s">
        <v>18</v>
      </c>
      <c r="C21" s="4">
        <f>60.72+
2075.85</f>
        <v>2136.5699999999997</v>
      </c>
      <c r="D21" s="4">
        <f>91.53+
3287.19</f>
        <v>3378.7200000000003</v>
      </c>
      <c r="E21" s="4">
        <f>83.58+
4080.72</f>
        <v>4164.3</v>
      </c>
      <c r="F21" s="4">
        <f>143.88+
3491.56</f>
        <v>3635.44</v>
      </c>
      <c r="G21" s="4">
        <f>250.27+
3581.07</f>
        <v>3831.34</v>
      </c>
      <c r="H21" s="4">
        <f>208.58+
3639.42</f>
        <v>3848</v>
      </c>
      <c r="J21" s="27"/>
      <c r="K21" s="27"/>
      <c r="L21" s="27"/>
      <c r="M21" s="27"/>
      <c r="N21" s="27"/>
      <c r="O21" s="27"/>
    </row>
    <row r="22" spans="2:15" x14ac:dyDescent="0.3">
      <c r="B22" s="25" t="s">
        <v>19</v>
      </c>
      <c r="C22" s="4">
        <f>1374.34+
131.61+
62.46+
180.05</f>
        <v>1748.4599999999998</v>
      </c>
      <c r="D22" s="4">
        <f>1594.67+
229.58+
84.43+
121.23</f>
        <v>2029.91</v>
      </c>
      <c r="E22" s="4">
        <f>1886.81+
376.09+
69.7+
130.12</f>
        <v>2462.7199999999998</v>
      </c>
      <c r="F22" s="4">
        <f>2436.02+
459.04+
74.21+
163.69</f>
        <v>3132.96</v>
      </c>
      <c r="G22" s="4">
        <f>2675.44+
484.48+
62.48+
122.51</f>
        <v>3344.9100000000003</v>
      </c>
      <c r="H22" s="4">
        <f>2742.04+
450.58+
67.15+
126.09</f>
        <v>3385.86</v>
      </c>
      <c r="J22" s="27"/>
      <c r="K22" s="27"/>
      <c r="L22" s="27"/>
      <c r="M22" s="27"/>
      <c r="N22" s="27"/>
      <c r="O22" s="27"/>
    </row>
    <row r="23" spans="2:15" x14ac:dyDescent="0.3">
      <c r="B23" s="5" t="s">
        <v>20</v>
      </c>
      <c r="C23" s="6">
        <f t="shared" ref="C23:H23" si="3">SUM(C20:C22)</f>
        <v>4380.3799999999992</v>
      </c>
      <c r="D23" s="6">
        <f t="shared" si="3"/>
        <v>5925.8600000000006</v>
      </c>
      <c r="E23" s="6">
        <f t="shared" si="3"/>
        <v>7570.99</v>
      </c>
      <c r="F23" s="6">
        <f t="shared" si="3"/>
        <v>7895.93</v>
      </c>
      <c r="G23" s="6">
        <f t="shared" si="3"/>
        <v>8500.9600000000009</v>
      </c>
      <c r="H23" s="6">
        <f t="shared" si="3"/>
        <v>8141.23</v>
      </c>
      <c r="J23" s="27"/>
      <c r="K23" s="27"/>
      <c r="L23" s="27"/>
      <c r="M23" s="27"/>
      <c r="N23" s="27"/>
      <c r="O23" s="27"/>
    </row>
    <row r="24" spans="2:15" x14ac:dyDescent="0.3">
      <c r="B24" s="5" t="s">
        <v>21</v>
      </c>
      <c r="C24" s="6">
        <f t="shared" ref="C24:H24" si="4">C11+C17+C23</f>
        <v>16154.77</v>
      </c>
      <c r="D24" s="6">
        <f t="shared" si="4"/>
        <v>20369.620000000003</v>
      </c>
      <c r="E24" s="6">
        <f t="shared" si="4"/>
        <v>22984.449999999997</v>
      </c>
      <c r="F24" s="6">
        <f t="shared" si="4"/>
        <v>25798</v>
      </c>
      <c r="G24" s="6">
        <f t="shared" si="4"/>
        <v>29924.090000000004</v>
      </c>
      <c r="H24" s="6">
        <f t="shared" si="4"/>
        <v>30371.37</v>
      </c>
      <c r="J24" s="27"/>
      <c r="K24" s="27"/>
      <c r="L24" s="27"/>
      <c r="M24" s="27"/>
      <c r="N24" s="27"/>
      <c r="O24" s="27"/>
    </row>
    <row r="25" spans="2:15" x14ac:dyDescent="0.3">
      <c r="B25" s="3"/>
      <c r="C25" s="3"/>
      <c r="D25" s="3"/>
      <c r="E25" s="3"/>
      <c r="F25" s="3"/>
      <c r="G25" s="3"/>
      <c r="H25" s="3"/>
      <c r="J25" s="27"/>
      <c r="K25" s="27"/>
      <c r="L25" s="27"/>
      <c r="M25" s="27"/>
      <c r="N25" s="27"/>
      <c r="O25" s="27"/>
    </row>
    <row r="26" spans="2:15" x14ac:dyDescent="0.3">
      <c r="B26" s="61" t="s">
        <v>22</v>
      </c>
      <c r="C26" s="62"/>
      <c r="D26" s="62"/>
      <c r="E26" s="62"/>
      <c r="F26" s="62"/>
      <c r="G26" s="62"/>
      <c r="H26" s="63"/>
      <c r="J26" s="27"/>
      <c r="K26" s="27"/>
      <c r="L26" s="27"/>
      <c r="M26" s="27"/>
      <c r="N26" s="27"/>
      <c r="O26" s="27"/>
    </row>
    <row r="27" spans="2:15" x14ac:dyDescent="0.3">
      <c r="B27" s="5" t="s">
        <v>23</v>
      </c>
      <c r="C27" s="4">
        <v>8574.66</v>
      </c>
      <c r="D27" s="4">
        <v>8343.02</v>
      </c>
      <c r="E27" s="4">
        <v>7832.12</v>
      </c>
      <c r="F27" s="4">
        <v>9262.84</v>
      </c>
      <c r="G27" s="4">
        <v>12387.03</v>
      </c>
      <c r="H27" s="4">
        <v>13379.69</v>
      </c>
      <c r="J27" s="27"/>
      <c r="K27" s="27"/>
      <c r="L27" s="27"/>
      <c r="M27" s="27"/>
      <c r="N27" s="27"/>
      <c r="O27" s="27"/>
    </row>
    <row r="28" spans="2:15" x14ac:dyDescent="0.3">
      <c r="B28" s="3"/>
      <c r="C28" s="7"/>
      <c r="D28" s="7"/>
      <c r="E28" s="7"/>
      <c r="F28" s="7"/>
      <c r="G28" s="7"/>
      <c r="H28" s="7"/>
      <c r="J28" s="27"/>
      <c r="K28" s="27"/>
      <c r="L28" s="27"/>
      <c r="M28" s="27"/>
      <c r="N28" s="27"/>
      <c r="O28" s="27"/>
    </row>
    <row r="29" spans="2:15" x14ac:dyDescent="0.3">
      <c r="B29" s="5" t="s">
        <v>24</v>
      </c>
      <c r="C29" s="7"/>
      <c r="D29" s="7"/>
      <c r="E29" s="7"/>
      <c r="F29" s="7"/>
      <c r="G29" s="7"/>
      <c r="H29" s="7"/>
      <c r="J29" s="27"/>
      <c r="K29" s="27"/>
      <c r="L29" s="27"/>
      <c r="M29" s="27"/>
      <c r="N29" s="27"/>
      <c r="O29" s="27"/>
    </row>
    <row r="30" spans="2:15" x14ac:dyDescent="0.3">
      <c r="B30" s="12" t="s">
        <v>25</v>
      </c>
      <c r="C30" s="4">
        <v>3389.81</v>
      </c>
      <c r="D30" s="4">
        <v>3798.6</v>
      </c>
      <c r="E30" s="4">
        <v>6152.98</v>
      </c>
      <c r="F30" s="4">
        <v>6210.64</v>
      </c>
      <c r="G30" s="4">
        <v>5923.41</v>
      </c>
      <c r="H30" s="4">
        <v>6719.27</v>
      </c>
      <c r="J30" s="27"/>
      <c r="K30" s="27"/>
      <c r="L30" s="27"/>
      <c r="M30" s="27"/>
      <c r="N30" s="27"/>
      <c r="O30" s="27"/>
    </row>
    <row r="31" spans="2:15" x14ac:dyDescent="0.3">
      <c r="B31" s="12" t="s">
        <v>26</v>
      </c>
      <c r="C31" s="4">
        <v>1795.22</v>
      </c>
      <c r="D31" s="4">
        <v>2602.17</v>
      </c>
      <c r="E31" s="4">
        <v>3871.44</v>
      </c>
      <c r="F31" s="4">
        <v>4636.9399999999996</v>
      </c>
      <c r="G31" s="4">
        <v>4889.05</v>
      </c>
      <c r="H31" s="4">
        <v>4313.6499999999996</v>
      </c>
      <c r="J31" s="27"/>
      <c r="K31" s="27"/>
      <c r="L31" s="27"/>
      <c r="M31" s="27"/>
      <c r="N31" s="27"/>
      <c r="O31" s="27"/>
    </row>
    <row r="32" spans="2:15" x14ac:dyDescent="0.3">
      <c r="B32" s="12" t="s">
        <v>27</v>
      </c>
      <c r="C32" s="4">
        <f>563.83+
219</f>
        <v>782.83</v>
      </c>
      <c r="D32" s="4">
        <f>346.39+
264.36</f>
        <v>610.75</v>
      </c>
      <c r="E32" s="4">
        <f>621.72+
242.61</f>
        <v>864.33</v>
      </c>
      <c r="F32" s="4">
        <f>523.1+
320.72</f>
        <v>843.82</v>
      </c>
      <c r="G32" s="4">
        <f>829.34+254.67</f>
        <v>1084.01</v>
      </c>
      <c r="H32" s="4">
        <f>445.28+336.7</f>
        <v>781.98</v>
      </c>
      <c r="J32" s="27"/>
      <c r="K32" s="27"/>
      <c r="L32" s="27"/>
      <c r="M32" s="27"/>
      <c r="N32" s="27"/>
      <c r="O32" s="27"/>
    </row>
    <row r="33" spans="2:16" x14ac:dyDescent="0.3">
      <c r="B33" s="3" t="s">
        <v>28</v>
      </c>
      <c r="C33" s="4">
        <f>512.48+18.67+
781.65+
285.59+
13.86</f>
        <v>1612.2499999999998</v>
      </c>
      <c r="D33" s="4">
        <f>3267.12+1197.24+537.23+13.49</f>
        <v>5015.08</v>
      </c>
      <c r="E33" s="4">
        <f>2180.7+1533.5+
541.25+
8.13</f>
        <v>4263.58</v>
      </c>
      <c r="F33" s="4">
        <f>2697+1592.78+
553.98</f>
        <v>4843.76</v>
      </c>
      <c r="G33" s="4">
        <f>3203.41+1651.35+
785.83</f>
        <v>5640.59</v>
      </c>
      <c r="H33" s="4">
        <f>3244.96+1158.11+773.71</f>
        <v>5176.78</v>
      </c>
      <c r="J33" s="27"/>
      <c r="K33" s="27"/>
      <c r="L33" s="27"/>
      <c r="M33" s="27"/>
      <c r="N33" s="27"/>
      <c r="O33" s="27"/>
    </row>
    <row r="34" spans="2:16" x14ac:dyDescent="0.3">
      <c r="B34" s="5" t="s">
        <v>29</v>
      </c>
      <c r="C34" s="6">
        <f>SUM(C30:C33)</f>
        <v>7580.11</v>
      </c>
      <c r="D34" s="6">
        <f t="shared" ref="D34:H34" si="5">SUM(D30:D33)</f>
        <v>12026.6</v>
      </c>
      <c r="E34" s="6">
        <f t="shared" si="5"/>
        <v>15152.33</v>
      </c>
      <c r="F34" s="6">
        <f t="shared" si="5"/>
        <v>16535.16</v>
      </c>
      <c r="G34" s="6">
        <f t="shared" si="5"/>
        <v>17537.059999999998</v>
      </c>
      <c r="H34" s="6">
        <f t="shared" si="5"/>
        <v>16991.68</v>
      </c>
      <c r="J34" s="27"/>
      <c r="K34" s="27"/>
      <c r="L34" s="27"/>
      <c r="M34" s="27"/>
      <c r="N34" s="27"/>
      <c r="O34" s="27"/>
    </row>
    <row r="35" spans="2:16" x14ac:dyDescent="0.3">
      <c r="B35" s="5" t="s">
        <v>30</v>
      </c>
      <c r="C35" s="6">
        <f>C27+C34</f>
        <v>16154.77</v>
      </c>
      <c r="D35" s="6">
        <f t="shared" ref="D35:H35" si="6">D27+D34</f>
        <v>20369.620000000003</v>
      </c>
      <c r="E35" s="6">
        <f t="shared" si="6"/>
        <v>22984.45</v>
      </c>
      <c r="F35" s="6">
        <f t="shared" si="6"/>
        <v>25798</v>
      </c>
      <c r="G35" s="6">
        <f t="shared" si="6"/>
        <v>29924.089999999997</v>
      </c>
      <c r="H35" s="6">
        <f t="shared" si="6"/>
        <v>30371.370000000003</v>
      </c>
      <c r="J35" s="44"/>
      <c r="K35" s="27"/>
      <c r="L35" s="27"/>
      <c r="M35" s="27"/>
      <c r="N35" s="27"/>
      <c r="O35" s="27"/>
      <c r="P35" s="27"/>
    </row>
    <row r="36" spans="2:16" x14ac:dyDescent="0.3">
      <c r="C36" s="11"/>
      <c r="D36" s="11"/>
      <c r="E36" s="11"/>
    </row>
    <row r="37" spans="2:16" x14ac:dyDescent="0.3">
      <c r="B37" s="23" t="s">
        <v>31</v>
      </c>
      <c r="C37" s="11">
        <f>ROUND(C35-C24,0)</f>
        <v>0</v>
      </c>
      <c r="D37" s="11">
        <f t="shared" ref="D37:H37" si="7">ROUND(D35-D24,0)</f>
        <v>0</v>
      </c>
      <c r="E37" s="11">
        <f t="shared" si="7"/>
        <v>0</v>
      </c>
      <c r="F37" s="11">
        <f t="shared" si="7"/>
        <v>0</v>
      </c>
      <c r="G37" s="11">
        <f t="shared" si="7"/>
        <v>0</v>
      </c>
      <c r="H37" s="11">
        <f t="shared" si="7"/>
        <v>0</v>
      </c>
    </row>
    <row r="38" spans="2:16" x14ac:dyDescent="0.3">
      <c r="B38" s="23"/>
      <c r="C38" s="11"/>
      <c r="D38" s="11"/>
      <c r="E38" s="11"/>
      <c r="F38" s="11"/>
      <c r="G38" s="11"/>
      <c r="H38" s="11"/>
    </row>
    <row r="39" spans="2:16" x14ac:dyDescent="0.3">
      <c r="B39" s="23" t="s">
        <v>77</v>
      </c>
      <c r="C39" s="33">
        <v>95.919779000000005</v>
      </c>
      <c r="D39" s="33">
        <v>95.919779000000005</v>
      </c>
      <c r="E39" s="33">
        <v>95.919779000000005</v>
      </c>
      <c r="F39" s="33">
        <v>95.919779000000005</v>
      </c>
      <c r="G39" s="33">
        <v>95.919779000000005</v>
      </c>
      <c r="H39" s="33">
        <v>95.919779000000005</v>
      </c>
    </row>
    <row r="40" spans="2:16" x14ac:dyDescent="0.3">
      <c r="B40" s="23" t="s">
        <v>32</v>
      </c>
      <c r="C40" s="24">
        <f t="shared" ref="C40:H40" si="8">+C15+C20</f>
        <v>1103.92</v>
      </c>
      <c r="D40" s="24">
        <f t="shared" si="8"/>
        <v>1093.1199999999999</v>
      </c>
      <c r="E40" s="24">
        <f t="shared" si="8"/>
        <v>1586.88</v>
      </c>
      <c r="F40" s="24">
        <f t="shared" si="8"/>
        <v>1932.62</v>
      </c>
      <c r="G40" s="24">
        <f t="shared" si="8"/>
        <v>2474.38</v>
      </c>
      <c r="H40" s="24">
        <f t="shared" si="8"/>
        <v>2290.29</v>
      </c>
      <c r="J40" s="42"/>
      <c r="K40" s="42"/>
      <c r="L40" s="42"/>
      <c r="M40" s="42"/>
      <c r="N40" s="42"/>
      <c r="O40" s="42"/>
    </row>
    <row r="41" spans="2:16" x14ac:dyDescent="0.3">
      <c r="B41" s="23" t="s">
        <v>33</v>
      </c>
      <c r="C41" s="24">
        <f t="shared" ref="C41:H41" si="9">C40-C32</f>
        <v>321.09000000000003</v>
      </c>
      <c r="D41" s="24">
        <f t="shared" si="9"/>
        <v>482.36999999999989</v>
      </c>
      <c r="E41" s="24">
        <f t="shared" si="9"/>
        <v>722.55000000000007</v>
      </c>
      <c r="F41" s="24">
        <f t="shared" si="9"/>
        <v>1088.7999999999997</v>
      </c>
      <c r="G41" s="24">
        <f t="shared" si="9"/>
        <v>1390.3700000000001</v>
      </c>
      <c r="H41" s="24">
        <f t="shared" si="9"/>
        <v>1508.31</v>
      </c>
    </row>
  </sheetData>
  <mergeCells count="2">
    <mergeCell ref="B5:H5"/>
    <mergeCell ref="B26:H26"/>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75866-50F3-4926-A419-561CD7EB0326}">
  <dimension ref="A1"/>
  <sheetViews>
    <sheetView showGridLines="0" workbookViewId="0">
      <selection activeCell="K21" sqref="K21"/>
    </sheetView>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8D59B-9E9E-4773-99B6-9983F2A80E7F}">
  <sheetPr>
    <tabColor rgb="FFFDBA3D"/>
  </sheetPr>
  <dimension ref="A2:G8"/>
  <sheetViews>
    <sheetView showGridLines="0" zoomScale="85" zoomScaleNormal="85" workbookViewId="0">
      <selection activeCell="L29" sqref="L29"/>
    </sheetView>
  </sheetViews>
  <sheetFormatPr defaultRowHeight="14.4" x14ac:dyDescent="0.3"/>
  <cols>
    <col min="1" max="1" width="2.77734375" customWidth="1"/>
    <col min="2" max="2" width="40.77734375" bestFit="1" customWidth="1"/>
  </cols>
  <sheetData>
    <row r="2" spans="1:7" s="1" customFormat="1" ht="15.6" x14ac:dyDescent="0.3">
      <c r="A2" s="15" t="s">
        <v>82</v>
      </c>
    </row>
    <row r="3" spans="1:7" s="2" customFormat="1" ht="15.6" x14ac:dyDescent="0.3"/>
    <row r="4" spans="1:7" s="2" customFormat="1" ht="15.6" x14ac:dyDescent="0.3">
      <c r="B4" s="54" t="str">
        <f>'Income Statement'!B4</f>
        <v>Particulars (₹ in Crores)</v>
      </c>
      <c r="C4" s="16">
        <f>'Income Statement'!D4</f>
        <v>2021</v>
      </c>
      <c r="D4" s="16">
        <f>'Income Statement'!E4</f>
        <v>2022</v>
      </c>
      <c r="E4" s="16">
        <f>'Income Statement'!F4</f>
        <v>2023</v>
      </c>
      <c r="F4" s="16">
        <f>'Income Statement'!G4</f>
        <v>2024</v>
      </c>
      <c r="G4" s="16">
        <f>'Income Statement'!H4</f>
        <v>2025</v>
      </c>
    </row>
    <row r="5" spans="1:7" s="2" customFormat="1" ht="15.6" x14ac:dyDescent="0.3">
      <c r="A5" s="26"/>
      <c r="B5" s="3" t="s">
        <v>83</v>
      </c>
      <c r="C5" s="55">
        <v>3683</v>
      </c>
      <c r="D5" s="55">
        <v>986</v>
      </c>
      <c r="E5" s="55">
        <v>4193</v>
      </c>
      <c r="F5" s="55">
        <v>6103</v>
      </c>
      <c r="G5" s="55">
        <v>4423</v>
      </c>
    </row>
    <row r="6" spans="1:7" s="2" customFormat="1" ht="15.6" x14ac:dyDescent="0.3">
      <c r="A6" s="26"/>
      <c r="B6" s="3" t="s">
        <v>84</v>
      </c>
      <c r="C6" s="56">
        <v>-547</v>
      </c>
      <c r="D6" s="56">
        <v>-321</v>
      </c>
      <c r="E6" s="56">
        <v>-1274</v>
      </c>
      <c r="F6" s="56">
        <v>-2517</v>
      </c>
      <c r="G6" s="56">
        <v>-874</v>
      </c>
    </row>
    <row r="7" spans="1:7" s="2" customFormat="1" ht="15.6" x14ac:dyDescent="0.3">
      <c r="A7" s="26"/>
      <c r="B7" s="3" t="s">
        <v>85</v>
      </c>
      <c r="C7" s="56">
        <v>-650</v>
      </c>
      <c r="D7" s="56">
        <v>-1807</v>
      </c>
      <c r="E7" s="56">
        <v>-2140</v>
      </c>
      <c r="F7" s="56">
        <v>-2982</v>
      </c>
      <c r="G7" s="56">
        <v>-3752</v>
      </c>
    </row>
    <row r="8" spans="1:7" s="2" customFormat="1" ht="15.6" x14ac:dyDescent="0.3">
      <c r="A8" s="26"/>
      <c r="B8" s="3" t="s">
        <v>86</v>
      </c>
      <c r="C8" s="57">
        <f t="shared" ref="C8:F8" si="0">SUM(C5:C7)</f>
        <v>2486</v>
      </c>
      <c r="D8" s="57">
        <f t="shared" si="0"/>
        <v>-1142</v>
      </c>
      <c r="E8" s="57">
        <f t="shared" si="0"/>
        <v>779</v>
      </c>
      <c r="F8" s="57">
        <f t="shared" si="0"/>
        <v>604</v>
      </c>
      <c r="G8" s="57">
        <f>SUM(G5:G7)</f>
        <v>-203</v>
      </c>
    </row>
  </sheetData>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94161-251A-4168-9FD2-E7017F3EDEAE}">
  <sheetPr>
    <tabColor rgb="FFFDBA3D"/>
  </sheetPr>
  <dimension ref="A1:H28"/>
  <sheetViews>
    <sheetView showGridLines="0" zoomScale="85" zoomScaleNormal="85" workbookViewId="0">
      <selection activeCell="C5" sqref="C5:H27"/>
    </sheetView>
  </sheetViews>
  <sheetFormatPr defaultRowHeight="14.4" x14ac:dyDescent="0.3"/>
  <cols>
    <col min="1" max="1" width="2.77734375" customWidth="1"/>
    <col min="2" max="2" width="52.21875" customWidth="1"/>
  </cols>
  <sheetData>
    <row r="1" spans="1:8" s="2" customFormat="1" ht="15.6" x14ac:dyDescent="0.3">
      <c r="C1" s="26">
        <f>MATCH(C4,'Income Statement'!$4:$4,0)</f>
        <v>3</v>
      </c>
      <c r="D1" s="26">
        <f>MATCH(D4,'Income Statement'!$4:$4,0)</f>
        <v>4</v>
      </c>
      <c r="E1" s="26">
        <f>MATCH(E4,'Income Statement'!$4:$4,0)</f>
        <v>5</v>
      </c>
      <c r="F1" s="26">
        <f>MATCH(F4,'Income Statement'!$4:$4,0)</f>
        <v>6</v>
      </c>
      <c r="G1" s="26">
        <f>MATCH(G4,'Income Statement'!$4:$4,0)</f>
        <v>7</v>
      </c>
      <c r="H1" s="26">
        <f>MATCH(H4,'Income Statement'!$4:$4,0)</f>
        <v>8</v>
      </c>
    </row>
    <row r="2" spans="1:8" s="1" customFormat="1" ht="15.6" x14ac:dyDescent="0.3">
      <c r="A2" s="15" t="s">
        <v>54</v>
      </c>
    </row>
    <row r="3" spans="1:8" s="2" customFormat="1" ht="15.6" x14ac:dyDescent="0.3"/>
    <row r="4" spans="1:8" s="2" customFormat="1" ht="15.6" x14ac:dyDescent="0.3">
      <c r="B4" s="13" t="s">
        <v>0</v>
      </c>
      <c r="C4" s="16">
        <f>'Income Statement'!C4</f>
        <v>2020</v>
      </c>
      <c r="D4" s="16">
        <f>'Income Statement'!D4</f>
        <v>2021</v>
      </c>
      <c r="E4" s="16">
        <f>'Income Statement'!E4</f>
        <v>2022</v>
      </c>
      <c r="F4" s="16">
        <f>'Income Statement'!F4</f>
        <v>2023</v>
      </c>
      <c r="G4" s="16">
        <f>'Income Statement'!G4</f>
        <v>2024</v>
      </c>
      <c r="H4" s="16">
        <f>'Income Statement'!H4</f>
        <v>2025</v>
      </c>
    </row>
    <row r="5" spans="1:8" s="2" customFormat="1" ht="15.6" x14ac:dyDescent="0.3">
      <c r="A5" s="26">
        <f>MATCH($B5,'Income Statement'!$B:$B,0)</f>
        <v>5</v>
      </c>
      <c r="B5" s="5" t="s">
        <v>53</v>
      </c>
      <c r="C5" s="60" cm="1">
        <f t="array" ref="C5">INDEX('Income Statement'!$A$1:$H$27,'Common Size_IS'!$A5,'Common Size_IS'!C$1)/INDEX('Income Statement'!$A$1:$H$27,'Common Size_IS'!$A$5,'Common Size_IS'!C$1)</f>
        <v>1</v>
      </c>
      <c r="D5" s="60" cm="1">
        <f t="array" ref="D5">INDEX('Income Statement'!$A$1:$H$27,'Common Size_IS'!$A5,'Common Size_IS'!D$1)/INDEX('Income Statement'!$A$1:$H$27,'Common Size_IS'!$A$5,'Common Size_IS'!D$1)</f>
        <v>1</v>
      </c>
      <c r="E5" s="60" cm="1">
        <f t="array" ref="E5">INDEX('Income Statement'!$A$1:$H$27,'Common Size_IS'!$A5,'Common Size_IS'!E$1)/INDEX('Income Statement'!$A$1:$H$27,'Common Size_IS'!$A$5,'Common Size_IS'!E$1)</f>
        <v>1</v>
      </c>
      <c r="F5" s="60" cm="1">
        <f t="array" ref="F5">INDEX('Income Statement'!$A$1:$H$27,'Common Size_IS'!$A5,'Common Size_IS'!F$1)/INDEX('Income Statement'!$A$1:$H$27,'Common Size_IS'!$A$5,'Common Size_IS'!F$1)</f>
        <v>1</v>
      </c>
      <c r="G5" s="60" cm="1">
        <f t="array" ref="G5">INDEX('Income Statement'!$A$1:$H$27,'Common Size_IS'!$A5,'Common Size_IS'!G$1)/INDEX('Income Statement'!$A$1:$H$27,'Common Size_IS'!$A$5,'Common Size_IS'!G$1)</f>
        <v>1</v>
      </c>
      <c r="H5" s="60" cm="1">
        <f t="array" ref="H5">INDEX('Income Statement'!$A$1:$H$27,'Common Size_IS'!$A5,'Common Size_IS'!H$1)/INDEX('Income Statement'!$A$1:$H$27,'Common Size_IS'!$A$5,'Common Size_IS'!H$1)</f>
        <v>1</v>
      </c>
    </row>
    <row r="6" spans="1:8" s="2" customFormat="1" ht="15.6" x14ac:dyDescent="0.3">
      <c r="A6" s="26">
        <f>MATCH($B6,'Income Statement'!$B:$B,0)</f>
        <v>6</v>
      </c>
      <c r="B6" s="3" t="s">
        <v>1</v>
      </c>
      <c r="C6" s="60" cm="1">
        <f t="array" ref="C6">INDEX('Income Statement'!$A$1:$H$27,'Common Size_IS'!$A6,'Common Size_IS'!C$1)/INDEX('Income Statement'!$A$1:$H$27,'Common Size_IS'!$A$5,'Common Size_IS'!C$1)</f>
        <v>1.5056466077061043E-2</v>
      </c>
      <c r="D6" s="60" cm="1">
        <f t="array" ref="D6">INDEX('Income Statement'!$A$1:$H$27,'Common Size_IS'!$A6,'Common Size_IS'!D$1)/INDEX('Income Statement'!$A$1:$H$27,'Common Size_IS'!$A$5,'Common Size_IS'!D$1)</f>
        <v>1.3957211394758574E-2</v>
      </c>
      <c r="E6" s="60" cm="1">
        <f t="array" ref="E6">INDEX('Income Statement'!$A$1:$H$27,'Common Size_IS'!$A6,'Common Size_IS'!E$1)/INDEX('Income Statement'!$A$1:$H$27,'Common Size_IS'!$A$5,'Common Size_IS'!E$1)</f>
        <v>1.3058188505797683E-2</v>
      </c>
      <c r="F6" s="60" cm="1">
        <f t="array" ref="F6">INDEX('Income Statement'!$A$1:$H$27,'Common Size_IS'!$A6,'Common Size_IS'!F$1)/INDEX('Income Statement'!$A$1:$H$27,'Common Size_IS'!$A$5,'Common Size_IS'!F$1)</f>
        <v>1.1206024949120853E-2</v>
      </c>
      <c r="G6" s="60" cm="1">
        <f t="array" ref="G6">INDEX('Income Statement'!$A$1:$H$27,'Common Size_IS'!$A6,'Common Size_IS'!G$1)/INDEX('Income Statement'!$A$1:$H$27,'Common Size_IS'!$A$5,'Common Size_IS'!G$1)</f>
        <v>1.9382032205907753E-2</v>
      </c>
      <c r="H6" s="60" cm="1">
        <f t="array" ref="H6">INDEX('Income Statement'!$A$1:$H$27,'Common Size_IS'!$A6,'Common Size_IS'!H$1)/INDEX('Income Statement'!$A$1:$H$27,'Common Size_IS'!$A$5,'Common Size_IS'!H$1)</f>
        <v>1.688835066281047E-2</v>
      </c>
    </row>
    <row r="7" spans="1:8" s="2" customFormat="1" ht="15.6" x14ac:dyDescent="0.3">
      <c r="A7" s="26">
        <f>MATCH($B7,'Income Statement'!$B:$B,0)</f>
        <v>7</v>
      </c>
      <c r="B7" s="5" t="s">
        <v>2</v>
      </c>
      <c r="C7" s="60" cm="1">
        <f t="array" ref="C7">INDEX('Income Statement'!$A$1:$H$27,'Common Size_IS'!$A7,'Common Size_IS'!C$1)/INDEX('Income Statement'!$A$1:$H$27,'Common Size_IS'!$A$5,'Common Size_IS'!C$1)</f>
        <v>1.0150564660770611</v>
      </c>
      <c r="D7" s="60" cm="1">
        <f t="array" ref="D7">INDEX('Income Statement'!$A$1:$H$27,'Common Size_IS'!$A7,'Common Size_IS'!D$1)/INDEX('Income Statement'!$A$1:$H$27,'Common Size_IS'!$A$5,'Common Size_IS'!D$1)</f>
        <v>1.0139572113947586</v>
      </c>
      <c r="E7" s="60" cm="1">
        <f t="array" ref="E7">INDEX('Income Statement'!$A$1:$H$27,'Common Size_IS'!$A7,'Common Size_IS'!E$1)/INDEX('Income Statement'!$A$1:$H$27,'Common Size_IS'!$A$5,'Common Size_IS'!E$1)</f>
        <v>1.0130581885057977</v>
      </c>
      <c r="F7" s="60" cm="1">
        <f t="array" ref="F7">INDEX('Income Statement'!$A$1:$H$27,'Common Size_IS'!$A7,'Common Size_IS'!F$1)/INDEX('Income Statement'!$A$1:$H$27,'Common Size_IS'!$A$5,'Common Size_IS'!F$1)</f>
        <v>1.011206024949121</v>
      </c>
      <c r="G7" s="60" cm="1">
        <f t="array" ref="G7">INDEX('Income Statement'!$A$1:$H$27,'Common Size_IS'!$A7,'Common Size_IS'!G$1)/INDEX('Income Statement'!$A$1:$H$27,'Common Size_IS'!$A$5,'Common Size_IS'!G$1)</f>
        <v>1.0193820322059077</v>
      </c>
      <c r="H7" s="60" cm="1">
        <f t="array" ref="H7">INDEX('Income Statement'!$A$1:$H$27,'Common Size_IS'!$A7,'Common Size_IS'!H$1)/INDEX('Income Statement'!$A$1:$H$27,'Common Size_IS'!$A$5,'Common Size_IS'!H$1)</f>
        <v>1.0168883506628106</v>
      </c>
    </row>
    <row r="8" spans="1:8" s="2" customFormat="1" ht="15.6" x14ac:dyDescent="0.3">
      <c r="A8" s="26"/>
      <c r="B8" s="3"/>
      <c r="C8" s="60"/>
      <c r="D8" s="60"/>
      <c r="E8" s="60"/>
      <c r="F8" s="60"/>
      <c r="G8" s="60"/>
      <c r="H8" s="60"/>
    </row>
    <row r="9" spans="1:8" s="2" customFormat="1" ht="15.6" x14ac:dyDescent="0.3">
      <c r="A9" s="26">
        <f>MATCH($B9,'Income Statement'!$B:$B,0)</f>
        <v>9</v>
      </c>
      <c r="B9" s="8" t="s">
        <v>3</v>
      </c>
      <c r="C9" s="60" cm="1">
        <f t="array" ref="C9">INDEX('Income Statement'!$A$1:$H$27,'Common Size_IS'!$A9,'Common Size_IS'!C$1)/INDEX('Income Statement'!$A$1:$H$27,'Common Size_IS'!$A$5,'Common Size_IS'!C$1)</f>
        <v>0</v>
      </c>
      <c r="D9" s="60" cm="1">
        <f t="array" ref="D9">INDEX('Income Statement'!$A$1:$H$27,'Common Size_IS'!$A9,'Common Size_IS'!D$1)/INDEX('Income Statement'!$A$1:$H$27,'Common Size_IS'!$A$5,'Common Size_IS'!D$1)</f>
        <v>0</v>
      </c>
      <c r="E9" s="60" cm="1">
        <f t="array" ref="E9">INDEX('Income Statement'!$A$1:$H$27,'Common Size_IS'!$A9,'Common Size_IS'!E$1)/INDEX('Income Statement'!$A$1:$H$27,'Common Size_IS'!$A$5,'Common Size_IS'!E$1)</f>
        <v>0</v>
      </c>
      <c r="F9" s="60" cm="1">
        <f t="array" ref="F9">INDEX('Income Statement'!$A$1:$H$27,'Common Size_IS'!$A9,'Common Size_IS'!F$1)/INDEX('Income Statement'!$A$1:$H$27,'Common Size_IS'!$A$5,'Common Size_IS'!F$1)</f>
        <v>0</v>
      </c>
      <c r="G9" s="60" cm="1">
        <f t="array" ref="G9">INDEX('Income Statement'!$A$1:$H$27,'Common Size_IS'!$A9,'Common Size_IS'!G$1)/INDEX('Income Statement'!$A$1:$H$27,'Common Size_IS'!$A$5,'Common Size_IS'!G$1)</f>
        <v>0</v>
      </c>
      <c r="H9" s="60" cm="1">
        <f t="array" ref="H9">INDEX('Income Statement'!$A$1:$H$27,'Common Size_IS'!$A9,'Common Size_IS'!H$1)/INDEX('Income Statement'!$A$1:$H$27,'Common Size_IS'!$A$5,'Common Size_IS'!H$1)</f>
        <v>0</v>
      </c>
    </row>
    <row r="10" spans="1:8" s="2" customFormat="1" ht="15.6" x14ac:dyDescent="0.3">
      <c r="A10" s="26">
        <f>MATCH($B10,'Income Statement'!$B:$B,0)</f>
        <v>10</v>
      </c>
      <c r="B10" s="3" t="s">
        <v>34</v>
      </c>
      <c r="C10" s="60" cm="1">
        <f t="array" ref="C10">INDEX('Income Statement'!$A$1:$H$27,'Common Size_IS'!$A10,'Common Size_IS'!C$1)/INDEX('Income Statement'!$A$1:$H$27,'Common Size_IS'!$A$5,'Common Size_IS'!C$1)</f>
        <v>0.49931498546601527</v>
      </c>
      <c r="D10" s="60" cm="1">
        <f t="array" ref="D10">INDEX('Income Statement'!$A$1:$H$27,'Common Size_IS'!$A10,'Common Size_IS'!D$1)/INDEX('Income Statement'!$A$1:$H$27,'Common Size_IS'!$A$5,'Common Size_IS'!D$1)</f>
        <v>0.4751618746370227</v>
      </c>
      <c r="E10" s="60" cm="1">
        <f t="array" ref="E10">INDEX('Income Statement'!$A$1:$H$27,'Common Size_IS'!$A10,'Common Size_IS'!E$1)/INDEX('Income Statement'!$A$1:$H$27,'Common Size_IS'!$A$5,'Common Size_IS'!E$1)</f>
        <v>0.55855240731679157</v>
      </c>
      <c r="F10" s="60" cm="1">
        <f t="array" ref="F10">INDEX('Income Statement'!$A$1:$H$27,'Common Size_IS'!$A10,'Common Size_IS'!F$1)/INDEX('Income Statement'!$A$1:$H$27,'Common Size_IS'!$A$5,'Common Size_IS'!F$1)</f>
        <v>0.50250184191351399</v>
      </c>
      <c r="G10" s="60" cm="1">
        <f t="array" ref="G10">INDEX('Income Statement'!$A$1:$H$27,'Common Size_IS'!$A10,'Common Size_IS'!G$1)/INDEX('Income Statement'!$A$1:$H$27,'Common Size_IS'!$A$5,'Common Size_IS'!G$1)</f>
        <v>0.44705819709010325</v>
      </c>
      <c r="H10" s="60" cm="1">
        <f t="array" ref="H10">INDEX('Income Statement'!$A$1:$H$27,'Common Size_IS'!$A10,'Common Size_IS'!H$1)/INDEX('Income Statement'!$A$1:$H$27,'Common Size_IS'!$A$5,'Common Size_IS'!H$1)</f>
        <v>0.46582012067615924</v>
      </c>
    </row>
    <row r="11" spans="1:8" s="2" customFormat="1" ht="15.6" x14ac:dyDescent="0.3">
      <c r="A11" s="26">
        <f>MATCH($B11,'Income Statement'!$B:$B,0)</f>
        <v>11</v>
      </c>
      <c r="B11" s="3" t="s">
        <v>35</v>
      </c>
      <c r="C11" s="60" cm="1">
        <f t="array" ref="C11">INDEX('Income Statement'!$A$1:$H$27,'Common Size_IS'!$A11,'Common Size_IS'!C$1)/INDEX('Income Statement'!$A$1:$H$27,'Common Size_IS'!$A$5,'Common Size_IS'!C$1)</f>
        <v>7.5741480611045825E-2</v>
      </c>
      <c r="D11" s="60" cm="1">
        <f t="array" ref="D11">INDEX('Income Statement'!$A$1:$H$27,'Common Size_IS'!$A11,'Common Size_IS'!D$1)/INDEX('Income Statement'!$A$1:$H$27,'Common Size_IS'!$A$5,'Common Size_IS'!D$1)</f>
        <v>8.6243637966378336E-2</v>
      </c>
      <c r="E11" s="60" cm="1">
        <f t="array" ref="E11">INDEX('Income Statement'!$A$1:$H$27,'Common Size_IS'!$A11,'Common Size_IS'!E$1)/INDEX('Income Statement'!$A$1:$H$27,'Common Size_IS'!$A$5,'Common Size_IS'!E$1)</f>
        <v>0.11584129632785913</v>
      </c>
      <c r="F11" s="60" cm="1">
        <f t="array" ref="F11">INDEX('Income Statement'!$A$1:$H$27,'Common Size_IS'!$A11,'Common Size_IS'!F$1)/INDEX('Income Statement'!$A$1:$H$27,'Common Size_IS'!$A$5,'Common Size_IS'!F$1)</f>
        <v>0.11991357141593782</v>
      </c>
      <c r="G11" s="60" cm="1">
        <f t="array" ref="G11">INDEX('Income Statement'!$A$1:$H$27,'Common Size_IS'!$A11,'Common Size_IS'!G$1)/INDEX('Income Statement'!$A$1:$H$27,'Common Size_IS'!$A$5,'Common Size_IS'!G$1)</f>
        <v>0.10869782640972336</v>
      </c>
      <c r="H11" s="60" cm="1">
        <f t="array" ref="H11">INDEX('Income Statement'!$A$1:$H$27,'Common Size_IS'!$A11,'Common Size_IS'!H$1)/INDEX('Income Statement'!$A$1:$H$27,'Common Size_IS'!$A$5,'Common Size_IS'!H$1)</f>
        <v>0.11581737776805143</v>
      </c>
    </row>
    <row r="12" spans="1:8" s="2" customFormat="1" ht="15.6" x14ac:dyDescent="0.3">
      <c r="A12" s="26">
        <f>MATCH($B12,'Income Statement'!$B:$B,0)</f>
        <v>12</v>
      </c>
      <c r="B12" s="3" t="s">
        <v>37</v>
      </c>
      <c r="C12" s="60" cm="1">
        <f t="array" ref="C12">INDEX('Income Statement'!$A$1:$H$27,'Common Size_IS'!$A12,'Common Size_IS'!C$1)/INDEX('Income Statement'!$A$1:$H$27,'Common Size_IS'!$A$5,'Common Size_IS'!C$1)</f>
        <v>-1.1832519017873709E-2</v>
      </c>
      <c r="D12" s="60" cm="1">
        <f t="array" ref="D12">INDEX('Income Statement'!$A$1:$H$27,'Common Size_IS'!$A12,'Common Size_IS'!D$1)/INDEX('Income Statement'!$A$1:$H$27,'Common Size_IS'!$A$5,'Common Size_IS'!D$1)</f>
        <v>-4.2578590775298802E-3</v>
      </c>
      <c r="E12" s="60" cm="1">
        <f t="array" ref="E12">INDEX('Income Statement'!$A$1:$H$27,'Common Size_IS'!$A12,'Common Size_IS'!E$1)/INDEX('Income Statement'!$A$1:$H$27,'Common Size_IS'!$A$5,'Common Size_IS'!E$1)</f>
        <v>-4.5529612443164016E-2</v>
      </c>
      <c r="F12" s="60" cm="1">
        <f t="array" ref="F12">INDEX('Income Statement'!$A$1:$H$27,'Common Size_IS'!$A12,'Common Size_IS'!F$1)/INDEX('Income Statement'!$A$1:$H$27,'Common Size_IS'!$A$5,'Common Size_IS'!F$1)</f>
        <v>-8.9806512820616909E-3</v>
      </c>
      <c r="G12" s="60" cm="1">
        <f t="array" ref="G12">INDEX('Income Statement'!$A$1:$H$27,'Common Size_IS'!$A12,'Common Size_IS'!G$1)/INDEX('Income Statement'!$A$1:$H$27,'Common Size_IS'!$A$5,'Common Size_IS'!G$1)</f>
        <v>1.0249408855906215E-2</v>
      </c>
      <c r="H12" s="60" cm="1">
        <f t="array" ref="H12">INDEX('Income Statement'!$A$1:$H$27,'Common Size_IS'!$A12,'Common Size_IS'!H$1)/INDEX('Income Statement'!$A$1:$H$27,'Common Size_IS'!$A$5,'Common Size_IS'!H$1)</f>
        <v>-6.0461952915180431E-3</v>
      </c>
    </row>
    <row r="13" spans="1:8" s="2" customFormat="1" ht="15.6" x14ac:dyDescent="0.3">
      <c r="A13" s="26">
        <f>MATCH($B13,'Income Statement'!$B:$B,0)</f>
        <v>13</v>
      </c>
      <c r="B13" s="3" t="s">
        <v>36</v>
      </c>
      <c r="C13" s="60" cm="1">
        <f t="array" ref="C13">INDEX('Income Statement'!$A$1:$H$27,'Common Size_IS'!$A13,'Common Size_IS'!C$1)/INDEX('Income Statement'!$A$1:$H$27,'Common Size_IS'!$A$5,'Common Size_IS'!C$1)</f>
        <v>6.7590574556249616E-2</v>
      </c>
      <c r="D13" s="60" cm="1">
        <f t="array" ref="D13">INDEX('Income Statement'!$A$1:$H$27,'Common Size_IS'!$A13,'Common Size_IS'!D$1)/INDEX('Income Statement'!$A$1:$H$27,'Common Size_IS'!$A$5,'Common Size_IS'!D$1)</f>
        <v>7.0960479975166704E-2</v>
      </c>
      <c r="E13" s="60" cm="1">
        <f t="array" ref="E13">INDEX('Income Statement'!$A$1:$H$27,'Common Size_IS'!$A13,'Common Size_IS'!E$1)/INDEX('Income Statement'!$A$1:$H$27,'Common Size_IS'!$A$5,'Common Size_IS'!E$1)</f>
        <v>6.1394893970299597E-2</v>
      </c>
      <c r="F13" s="60" cm="1">
        <f t="array" ref="F13">INDEX('Income Statement'!$A$1:$H$27,'Common Size_IS'!$A13,'Common Size_IS'!F$1)/INDEX('Income Statement'!$A$1:$H$27,'Common Size_IS'!$A$5,'Common Size_IS'!F$1)</f>
        <v>5.8804085641077232E-2</v>
      </c>
      <c r="G13" s="60" cm="1">
        <f t="array" ref="G13">INDEX('Income Statement'!$A$1:$H$27,'Common Size_IS'!$A13,'Common Size_IS'!G$1)/INDEX('Income Statement'!$A$1:$H$27,'Common Size_IS'!$A$5,'Common Size_IS'!G$1)</f>
        <v>6.5535926037470923E-2</v>
      </c>
      <c r="H13" s="60" cm="1">
        <f t="array" ref="H13">INDEX('Income Statement'!$A$1:$H$27,'Common Size_IS'!$A13,'Common Size_IS'!H$1)/INDEX('Income Statement'!$A$1:$H$27,'Common Size_IS'!$A$5,'Common Size_IS'!H$1)</f>
        <v>7.6601755107265398E-2</v>
      </c>
    </row>
    <row r="14" spans="1:8" s="2" customFormat="1" ht="15.6" x14ac:dyDescent="0.3">
      <c r="A14" s="26">
        <f>MATCH($B14,'Income Statement'!$B:$B,0)</f>
        <v>14</v>
      </c>
      <c r="B14" s="3" t="s">
        <v>4</v>
      </c>
      <c r="C14" s="60" cm="1">
        <f t="array" ref="C14">INDEX('Income Statement'!$A$1:$H$27,'Common Size_IS'!$A14,'Common Size_IS'!C$1)/INDEX('Income Statement'!$A$1:$H$27,'Common Size_IS'!$A$5,'Common Size_IS'!C$1)</f>
        <v>0.16327194013235202</v>
      </c>
      <c r="D14" s="60" cm="1">
        <f t="array" ref="D14">INDEX('Income Statement'!$A$1:$H$27,'Common Size_IS'!$A14,'Common Size_IS'!D$1)/INDEX('Income Statement'!$A$1:$H$27,'Common Size_IS'!$A$5,'Common Size_IS'!D$1)</f>
        <v>0.14826330471579194</v>
      </c>
      <c r="E14" s="60" cm="1">
        <f t="array" ref="E14">INDEX('Income Statement'!$A$1:$H$27,'Common Size_IS'!$A14,'Common Size_IS'!E$1)/INDEX('Income Statement'!$A$1:$H$27,'Common Size_IS'!$A$5,'Common Size_IS'!E$1)</f>
        <v>0.14467576683912187</v>
      </c>
      <c r="F14" s="60" cm="1">
        <f t="array" ref="F14">INDEX('Income Statement'!$A$1:$H$27,'Common Size_IS'!$A14,'Common Size_IS'!F$1)/INDEX('Income Statement'!$A$1:$H$27,'Common Size_IS'!$A$5,'Common Size_IS'!F$1)</f>
        <v>0.1462564865655569</v>
      </c>
      <c r="G14" s="60" cm="1">
        <f t="array" ref="G14">INDEX('Income Statement'!$A$1:$H$27,'Common Size_IS'!$A14,'Common Size_IS'!G$1)/INDEX('Income Statement'!$A$1:$H$27,'Common Size_IS'!$A$5,'Common Size_IS'!G$1)</f>
        <v>0.15476551026025553</v>
      </c>
      <c r="H14" s="60" cm="1">
        <f t="array" ref="H14">INDEX('Income Statement'!$A$1:$H$27,'Common Size_IS'!$A14,'Common Size_IS'!H$1)/INDEX('Income Statement'!$A$1:$H$27,'Common Size_IS'!$A$5,'Common Size_IS'!H$1)</f>
        <v>0.17066197285287804</v>
      </c>
    </row>
    <row r="15" spans="1:8" s="2" customFormat="1" ht="15.6" x14ac:dyDescent="0.3">
      <c r="A15" s="26">
        <f>MATCH($B15,'Income Statement'!$B:$B,0)</f>
        <v>15</v>
      </c>
      <c r="B15" s="5" t="s">
        <v>5</v>
      </c>
      <c r="C15" s="60" cm="1">
        <f t="array" ref="C15">INDEX('Income Statement'!$A$1:$H$27,'Common Size_IS'!$A15,'Common Size_IS'!C$1)/INDEX('Income Statement'!$A$1:$H$27,'Common Size_IS'!$A$5,'Common Size_IS'!C$1)</f>
        <v>0.79408646174778907</v>
      </c>
      <c r="D15" s="60" cm="1">
        <f t="array" ref="D15">INDEX('Income Statement'!$A$1:$H$27,'Common Size_IS'!$A15,'Common Size_IS'!D$1)/INDEX('Income Statement'!$A$1:$H$27,'Common Size_IS'!$A$5,'Common Size_IS'!D$1)</f>
        <v>0.77637143821682975</v>
      </c>
      <c r="E15" s="60" cm="1">
        <f t="array" ref="E15">INDEX('Income Statement'!$A$1:$H$27,'Common Size_IS'!$A15,'Common Size_IS'!E$1)/INDEX('Income Statement'!$A$1:$H$27,'Common Size_IS'!$A$5,'Common Size_IS'!E$1)</f>
        <v>0.83493475201090805</v>
      </c>
      <c r="F15" s="60" cm="1">
        <f t="array" ref="F15">INDEX('Income Statement'!$A$1:$H$27,'Common Size_IS'!$A15,'Common Size_IS'!F$1)/INDEX('Income Statement'!$A$1:$H$27,'Common Size_IS'!$A$5,'Common Size_IS'!F$1)</f>
        <v>0.81849533425402432</v>
      </c>
      <c r="G15" s="60" cm="1">
        <f t="array" ref="G15">INDEX('Income Statement'!$A$1:$H$27,'Common Size_IS'!$A15,'Common Size_IS'!G$1)/INDEX('Income Statement'!$A$1:$H$27,'Common Size_IS'!$A$5,'Common Size_IS'!G$1)</f>
        <v>0.78630686865345933</v>
      </c>
      <c r="H15" s="60" cm="1">
        <f t="array" ref="H15">INDEX('Income Statement'!$A$1:$H$27,'Common Size_IS'!$A15,'Common Size_IS'!H$1)/INDEX('Income Statement'!$A$1:$H$27,'Common Size_IS'!$A$5,'Common Size_IS'!H$1)</f>
        <v>0.82285503111283598</v>
      </c>
    </row>
    <row r="16" spans="1:8" s="2" customFormat="1" ht="15.6" x14ac:dyDescent="0.3">
      <c r="A16" s="26"/>
      <c r="B16" s="5"/>
      <c r="C16" s="60"/>
      <c r="D16" s="60"/>
      <c r="E16" s="60"/>
      <c r="F16" s="60"/>
      <c r="G16" s="60"/>
      <c r="H16" s="60"/>
    </row>
    <row r="17" spans="1:8" s="2" customFormat="1" ht="15.6" x14ac:dyDescent="0.3">
      <c r="A17" s="26">
        <f>MATCH($B17,'Income Statement'!$B:$B,0)</f>
        <v>17</v>
      </c>
      <c r="B17" s="5" t="s">
        <v>6</v>
      </c>
      <c r="C17" s="60" cm="1">
        <f t="array" ref="C17">INDEX('Income Statement'!$A$1:$H$27,'Common Size_IS'!$A17,'Common Size_IS'!C$1)/INDEX('Income Statement'!$A$1:$H$27,'Common Size_IS'!$A$5,'Common Size_IS'!C$1)</f>
        <v>0.22097000432927205</v>
      </c>
      <c r="D17" s="60" cm="1">
        <f t="array" ref="D17">INDEX('Income Statement'!$A$1:$H$27,'Common Size_IS'!$A17,'Common Size_IS'!D$1)/INDEX('Income Statement'!$A$1:$H$27,'Common Size_IS'!$A$5,'Common Size_IS'!D$1)</f>
        <v>0.23758577317792884</v>
      </c>
      <c r="E17" s="60" cm="1">
        <f t="array" ref="E17">INDEX('Income Statement'!$A$1:$H$27,'Common Size_IS'!$A17,'Common Size_IS'!E$1)/INDEX('Income Statement'!$A$1:$H$27,'Common Size_IS'!$A$5,'Common Size_IS'!E$1)</f>
        <v>0.17812343649488954</v>
      </c>
      <c r="F17" s="60" cm="1">
        <f t="array" ref="F17">INDEX('Income Statement'!$A$1:$H$27,'Common Size_IS'!$A17,'Common Size_IS'!F$1)/INDEX('Income Statement'!$A$1:$H$27,'Common Size_IS'!$A$5,'Common Size_IS'!F$1)</f>
        <v>0.19271069069509664</v>
      </c>
      <c r="G17" s="60" cm="1">
        <f t="array" ref="G17">INDEX('Income Statement'!$A$1:$H$27,'Common Size_IS'!$A17,'Common Size_IS'!G$1)/INDEX('Income Statement'!$A$1:$H$27,'Common Size_IS'!$A$5,'Common Size_IS'!G$1)</f>
        <v>0.23307516355244837</v>
      </c>
      <c r="H17" s="60" cm="1">
        <f t="array" ref="H17">INDEX('Income Statement'!$A$1:$H$27,'Common Size_IS'!$A17,'Common Size_IS'!H$1)/INDEX('Income Statement'!$A$1:$H$27,'Common Size_IS'!$A$5,'Common Size_IS'!H$1)</f>
        <v>0.19403331954997449</v>
      </c>
    </row>
    <row r="18" spans="1:8" s="2" customFormat="1" ht="15.6" x14ac:dyDescent="0.3">
      <c r="A18" s="26">
        <f>MATCH($B18,'Income Statement'!$B:$B,0)</f>
        <v>18</v>
      </c>
      <c r="B18" s="3" t="s">
        <v>38</v>
      </c>
      <c r="C18" s="60" cm="1">
        <f t="array" ref="C18">INDEX('Income Statement'!$A$1:$H$27,'Common Size_IS'!$A18,'Common Size_IS'!C$1)/INDEX('Income Statement'!$A$1:$H$27,'Common Size_IS'!$A$5,'Common Size_IS'!C$1)</f>
        <v>3.8617106809326486E-2</v>
      </c>
      <c r="D18" s="60" cm="1">
        <f t="array" ref="D18">INDEX('Income Statement'!$A$1:$H$27,'Common Size_IS'!$A18,'Common Size_IS'!D$1)/INDEX('Income Statement'!$A$1:$H$27,'Common Size_IS'!$A$5,'Common Size_IS'!D$1)</f>
        <v>3.6442576011650275E-2</v>
      </c>
      <c r="E18" s="60" cm="1">
        <f t="array" ref="E18">INDEX('Income Statement'!$A$1:$H$27,'Common Size_IS'!$A18,'Common Size_IS'!E$1)/INDEX('Income Statement'!$A$1:$H$27,'Common Size_IS'!$A$5,'Common Size_IS'!E$1)</f>
        <v>2.8052374328551871E-2</v>
      </c>
      <c r="F18" s="60" cm="1">
        <f t="array" ref="F18">INDEX('Income Statement'!$A$1:$H$27,'Common Size_IS'!$A18,'Common Size_IS'!F$1)/INDEX('Income Statement'!$A$1:$H$27,'Common Size_IS'!$A$5,'Common Size_IS'!F$1)</f>
        <v>2.4878372818372681E-2</v>
      </c>
      <c r="G18" s="60" cm="1">
        <f t="array" ref="G18">INDEX('Income Statement'!$A$1:$H$27,'Common Size_IS'!$A18,'Common Size_IS'!G$1)/INDEX('Income Statement'!$A$1:$H$27,'Common Size_IS'!$A$5,'Common Size_IS'!G$1)</f>
        <v>2.4031736542297972E-2</v>
      </c>
      <c r="H18" s="60" cm="1">
        <f t="array" ref="H18">INDEX('Income Statement'!$A$1:$H$27,'Common Size_IS'!$A18,'Common Size_IS'!H$1)/INDEX('Income Statement'!$A$1:$H$27,'Common Size_IS'!$A$5,'Common Size_IS'!H$1)</f>
        <v>3.0270497929251843E-2</v>
      </c>
    </row>
    <row r="19" spans="1:8" s="2" customFormat="1" ht="15.6" x14ac:dyDescent="0.3">
      <c r="A19" s="26">
        <f>MATCH($B19,'Income Statement'!$B:$B,0)</f>
        <v>19</v>
      </c>
      <c r="B19" s="5" t="s">
        <v>7</v>
      </c>
      <c r="C19" s="60" cm="1">
        <f t="array" ref="C19">INDEX('Income Statement'!$A$1:$H$27,'Common Size_IS'!$A19,'Common Size_IS'!C$1)/INDEX('Income Statement'!$A$1:$H$27,'Common Size_IS'!$A$5,'Common Size_IS'!C$1)</f>
        <v>0.18235289751994557</v>
      </c>
      <c r="D19" s="60" cm="1">
        <f t="array" ref="D19">INDEX('Income Statement'!$A$1:$H$27,'Common Size_IS'!$A19,'Common Size_IS'!D$1)/INDEX('Income Statement'!$A$1:$H$27,'Common Size_IS'!$A$5,'Common Size_IS'!D$1)</f>
        <v>0.20114319716627854</v>
      </c>
      <c r="E19" s="60" cm="1">
        <f t="array" ref="E19">INDEX('Income Statement'!$A$1:$H$27,'Common Size_IS'!$A19,'Common Size_IS'!E$1)/INDEX('Income Statement'!$A$1:$H$27,'Common Size_IS'!$A$5,'Common Size_IS'!E$1)</f>
        <v>0.15007106216633767</v>
      </c>
      <c r="F19" s="60" cm="1">
        <f t="array" ref="F19">INDEX('Income Statement'!$A$1:$H$27,'Common Size_IS'!$A19,'Common Size_IS'!F$1)/INDEX('Income Statement'!$A$1:$H$27,'Common Size_IS'!$A$5,'Common Size_IS'!F$1)</f>
        <v>0.16783231787672392</v>
      </c>
      <c r="G19" s="60" cm="1">
        <f t="array" ref="G19">INDEX('Income Statement'!$A$1:$H$27,'Common Size_IS'!$A19,'Common Size_IS'!G$1)/INDEX('Income Statement'!$A$1:$H$27,'Common Size_IS'!$A$5,'Common Size_IS'!G$1)</f>
        <v>0.20904342701015041</v>
      </c>
      <c r="H19" s="60" cm="1">
        <f t="array" ref="H19">INDEX('Income Statement'!$A$1:$H$27,'Common Size_IS'!$A19,'Common Size_IS'!H$1)/INDEX('Income Statement'!$A$1:$H$27,'Common Size_IS'!$A$5,'Common Size_IS'!H$1)</f>
        <v>0.16376282162072264</v>
      </c>
    </row>
    <row r="20" spans="1:8" s="2" customFormat="1" ht="15.6" x14ac:dyDescent="0.3">
      <c r="A20" s="26">
        <f>MATCH($B20,'Income Statement'!$B:$B,0)</f>
        <v>20</v>
      </c>
      <c r="B20" s="3" t="s">
        <v>39</v>
      </c>
      <c r="C20" s="60" cm="1">
        <f t="array" ref="C20">INDEX('Income Statement'!$A$1:$H$27,'Common Size_IS'!$A20,'Common Size_IS'!C$1)/INDEX('Income Statement'!$A$1:$H$27,'Common Size_IS'!$A$5,'Common Size_IS'!C$1)</f>
        <v>5.0630218319005502E-3</v>
      </c>
      <c r="D20" s="60" cm="1">
        <f t="array" ref="D20">INDEX('Income Statement'!$A$1:$H$27,'Common Size_IS'!$A20,'Common Size_IS'!D$1)/INDEX('Income Statement'!$A$1:$H$27,'Common Size_IS'!$A$5,'Common Size_IS'!D$1)</f>
        <v>4.2200933182700148E-3</v>
      </c>
      <c r="E20" s="60" cm="1">
        <f t="array" ref="E20">INDEX('Income Statement'!$A$1:$H$27,'Common Size_IS'!$A20,'Common Size_IS'!E$1)/INDEX('Income Statement'!$A$1:$H$27,'Common Size_IS'!$A$5,'Common Size_IS'!E$1)</f>
        <v>3.2785499469439143E-3</v>
      </c>
      <c r="F20" s="60" cm="1">
        <f t="array" ref="F20">INDEX('Income Statement'!$A$1:$H$27,'Common Size_IS'!$A20,'Common Size_IS'!F$1)/INDEX('Income Statement'!$A$1:$H$27,'Common Size_IS'!$A$5,'Common Size_IS'!F$1)</f>
        <v>4.1883417095334996E-3</v>
      </c>
      <c r="G20" s="60" cm="1">
        <f t="array" ref="G20">INDEX('Income Statement'!$A$1:$H$27,'Common Size_IS'!$A20,'Common Size_IS'!G$1)/INDEX('Income Statement'!$A$1:$H$27,'Common Size_IS'!$A$5,'Common Size_IS'!G$1)</f>
        <v>5.7802947085384224E-3</v>
      </c>
      <c r="H20" s="60" cm="1">
        <f t="array" ref="H20">INDEX('Income Statement'!$A$1:$H$27,'Common Size_IS'!$A20,'Common Size_IS'!H$1)/INDEX('Income Statement'!$A$1:$H$27,'Common Size_IS'!$A$5,'Common Size_IS'!H$1)</f>
        <v>6.6956451467337858E-3</v>
      </c>
    </row>
    <row r="21" spans="1:8" s="2" customFormat="1" ht="15.6" x14ac:dyDescent="0.3">
      <c r="A21" s="26">
        <f>MATCH($B21,'Income Statement'!$B:$B,0)</f>
        <v>21</v>
      </c>
      <c r="B21" s="5" t="str">
        <f>PROPER("PROFIT BEFORE SHARE OF PROFIT IN ASSOCIATES AND EXCEPTIONAL ITEMS")</f>
        <v>Profit Before Share Of Profit In Associates And Exceptional Items</v>
      </c>
      <c r="C21" s="60" cm="1">
        <f t="array" ref="C21">INDEX('Income Statement'!$A$1:$H$27,'Common Size_IS'!$A21,'Common Size_IS'!C$1)/INDEX('Income Statement'!$A$1:$H$27,'Common Size_IS'!$A$5,'Common Size_IS'!C$1)</f>
        <v>0.17728987568804502</v>
      </c>
      <c r="D21" s="60" cm="1">
        <f t="array" ref="D21">INDEX('Income Statement'!$A$1:$H$27,'Common Size_IS'!$A21,'Common Size_IS'!D$1)/INDEX('Income Statement'!$A$1:$H$27,'Common Size_IS'!$A$5,'Common Size_IS'!D$1)</f>
        <v>0.19692310384800851</v>
      </c>
      <c r="E21" s="60" cm="1">
        <f t="array" ref="E21">INDEX('Income Statement'!$A$1:$H$27,'Common Size_IS'!$A21,'Common Size_IS'!E$1)/INDEX('Income Statement'!$A$1:$H$27,'Common Size_IS'!$A$5,'Common Size_IS'!E$1)</f>
        <v>0.14679251221939377</v>
      </c>
      <c r="F21" s="60" cm="1">
        <f t="array" ref="F21">INDEX('Income Statement'!$A$1:$H$27,'Common Size_IS'!$A21,'Common Size_IS'!F$1)/INDEX('Income Statement'!$A$1:$H$27,'Common Size_IS'!$A$5,'Common Size_IS'!F$1)</f>
        <v>0.16364397616719042</v>
      </c>
      <c r="G21" s="60" cm="1">
        <f t="array" ref="G21">INDEX('Income Statement'!$A$1:$H$27,'Common Size_IS'!$A21,'Common Size_IS'!G$1)/INDEX('Income Statement'!$A$1:$H$27,'Common Size_IS'!$A$5,'Common Size_IS'!G$1)</f>
        <v>0.20326313230161197</v>
      </c>
      <c r="H21" s="60" cm="1">
        <f t="array" ref="H21">INDEX('Income Statement'!$A$1:$H$27,'Common Size_IS'!$A21,'Common Size_IS'!H$1)/INDEX('Income Statement'!$A$1:$H$27,'Common Size_IS'!$A$5,'Common Size_IS'!H$1)</f>
        <v>0.15706717647398885</v>
      </c>
    </row>
    <row r="22" spans="1:8" s="2" customFormat="1" ht="15.6" x14ac:dyDescent="0.3">
      <c r="A22" s="26">
        <f>MATCH($B22,'Income Statement'!$B:$B,0)</f>
        <v>22</v>
      </c>
      <c r="B22" s="3" t="s">
        <v>41</v>
      </c>
      <c r="C22" s="60" cm="1">
        <f t="array" ref="C22">INDEX('Income Statement'!$A$1:$H$27,'Common Size_IS'!$A22,'Common Size_IS'!C$1)/INDEX('Income Statement'!$A$1:$H$27,'Common Size_IS'!$A$5,'Common Size_IS'!C$1)</f>
        <v>2.5104830230688355E-3</v>
      </c>
      <c r="D22" s="60" cm="1">
        <f t="array" ref="D22">INDEX('Income Statement'!$A$1:$H$27,'Common Size_IS'!$A22,'Common Size_IS'!D$1)/INDEX('Income Statement'!$A$1:$H$27,'Common Size_IS'!$A$5,'Common Size_IS'!D$1)</f>
        <v>1.3171959936977239E-3</v>
      </c>
      <c r="E22" s="60" cm="1">
        <f t="array" ref="E22">INDEX('Income Statement'!$A$1:$H$27,'Common Size_IS'!$A22,'Common Size_IS'!E$1)/INDEX('Income Statement'!$A$1:$H$27,'Common Size_IS'!$A$5,'Common Size_IS'!E$1)</f>
        <v>1.0848320073893658E-3</v>
      </c>
      <c r="F22" s="60" cm="1">
        <f t="array" ref="F22">INDEX('Income Statement'!$A$1:$H$27,'Common Size_IS'!$A22,'Common Size_IS'!F$1)/INDEX('Income Statement'!$A$1:$H$27,'Common Size_IS'!$A$5,'Common Size_IS'!F$1)</f>
        <v>2.7211898195896086E-3</v>
      </c>
      <c r="G22" s="60" cm="1">
        <f t="array" ref="G22">INDEX('Income Statement'!$A$1:$H$27,'Common Size_IS'!$A22,'Common Size_IS'!G$1)/INDEX('Income Statement'!$A$1:$H$27,'Common Size_IS'!$A$5,'Common Size_IS'!G$1)</f>
        <v>3.7470351232422395E-3</v>
      </c>
      <c r="H22" s="60" cm="1">
        <f t="array" ref="H22">INDEX('Income Statement'!$A$1:$H$27,'Common Size_IS'!$A22,'Common Size_IS'!H$1)/INDEX('Income Statement'!$A$1:$H$27,'Common Size_IS'!$A$5,'Common Size_IS'!H$1)</f>
        <v>4.1500494608268483E-3</v>
      </c>
    </row>
    <row r="23" spans="1:8" s="2" customFormat="1" ht="15.6" x14ac:dyDescent="0.3">
      <c r="A23" s="26">
        <f>MATCH($B23,'Income Statement'!$B:$B,0)</f>
        <v>23</v>
      </c>
      <c r="B23" s="5" t="s">
        <v>42</v>
      </c>
      <c r="C23" s="60" cm="1">
        <f t="array" ref="C23">INDEX('Income Statement'!$A$1:$H$27,'Common Size_IS'!$A23,'Common Size_IS'!C$1)/INDEX('Income Statement'!$A$1:$H$27,'Common Size_IS'!$A$5,'Common Size_IS'!C$1)</f>
        <v>0.17980035871111386</v>
      </c>
      <c r="D23" s="60" cm="1">
        <f t="array" ref="D23">INDEX('Income Statement'!$A$1:$H$27,'Common Size_IS'!$A23,'Common Size_IS'!D$1)/INDEX('Income Statement'!$A$1:$H$27,'Common Size_IS'!$A$5,'Common Size_IS'!D$1)</f>
        <v>0.19824029984170624</v>
      </c>
      <c r="E23" s="60" cm="1">
        <f t="array" ref="E23">INDEX('Income Statement'!$A$1:$H$27,'Common Size_IS'!$A23,'Common Size_IS'!E$1)/INDEX('Income Statement'!$A$1:$H$27,'Common Size_IS'!$A$5,'Common Size_IS'!E$1)</f>
        <v>0.14787734422678314</v>
      </c>
      <c r="F23" s="60" cm="1">
        <f t="array" ref="F23">INDEX('Income Statement'!$A$1:$H$27,'Common Size_IS'!$A23,'Common Size_IS'!F$1)/INDEX('Income Statement'!$A$1:$H$27,'Common Size_IS'!$A$5,'Common Size_IS'!F$1)</f>
        <v>0.16636516598678006</v>
      </c>
      <c r="G23" s="60" cm="1">
        <f t="array" ref="G23">INDEX('Income Statement'!$A$1:$H$27,'Common Size_IS'!$A23,'Common Size_IS'!G$1)/INDEX('Income Statement'!$A$1:$H$27,'Common Size_IS'!$A$5,'Common Size_IS'!G$1)</f>
        <v>0.20701016742485423</v>
      </c>
      <c r="H23" s="60" cm="1">
        <f t="array" ref="H23">INDEX('Income Statement'!$A$1:$H$27,'Common Size_IS'!$A23,'Common Size_IS'!H$1)/INDEX('Income Statement'!$A$1:$H$27,'Common Size_IS'!$A$5,'Common Size_IS'!H$1)</f>
        <v>0.16121722593481572</v>
      </c>
    </row>
    <row r="24" spans="1:8" s="2" customFormat="1" ht="15.6" x14ac:dyDescent="0.3">
      <c r="A24" s="26">
        <f>MATCH($B24,'Income Statement'!$B:$B,0)</f>
        <v>24</v>
      </c>
      <c r="B24" s="3" t="s">
        <v>43</v>
      </c>
      <c r="C24" s="60" cm="1">
        <f t="array" ref="C24">INDEX('Income Statement'!$A$1:$H$27,'Common Size_IS'!$A24,'Common Size_IS'!C$1)/INDEX('Income Statement'!$A$1:$H$27,'Common Size_IS'!$A$5,'Common Size_IS'!C$1)</f>
        <v>0</v>
      </c>
      <c r="D24" s="60" cm="1">
        <f t="array" ref="D24">INDEX('Income Statement'!$A$1:$H$27,'Common Size_IS'!$A24,'Common Size_IS'!D$1)/INDEX('Income Statement'!$A$1:$H$27,'Common Size_IS'!$A$5,'Common Size_IS'!D$1)</f>
        <v>0</v>
      </c>
      <c r="E24" s="60" cm="1">
        <f t="array" ref="E24">INDEX('Income Statement'!$A$1:$H$27,'Common Size_IS'!$A24,'Common Size_IS'!E$1)/INDEX('Income Statement'!$A$1:$H$27,'Common Size_IS'!$A$5,'Common Size_IS'!E$1)</f>
        <v>3.9757701379458223E-3</v>
      </c>
      <c r="F24" s="60" cm="1">
        <f t="array" ref="F24">INDEX('Income Statement'!$A$1:$H$27,'Common Size_IS'!$A24,'Common Size_IS'!F$1)/INDEX('Income Statement'!$A$1:$H$27,'Common Size_IS'!$A$5,'Common Size_IS'!F$1)</f>
        <v>1.4169903727580626E-3</v>
      </c>
      <c r="G24" s="60" cm="1">
        <f t="array" ref="G24">INDEX('Income Statement'!$A$1:$H$27,'Common Size_IS'!$A24,'Common Size_IS'!G$1)/INDEX('Income Statement'!$A$1:$H$27,'Common Size_IS'!$A$5,'Common Size_IS'!G$1)</f>
        <v>0</v>
      </c>
      <c r="H24" s="60" cm="1">
        <f t="array" ref="H24">INDEX('Income Statement'!$A$1:$H$27,'Common Size_IS'!$A24,'Common Size_IS'!H$1)/INDEX('Income Statement'!$A$1:$H$27,'Common Size_IS'!$A$5,'Common Size_IS'!H$1)</f>
        <v>1.0709139074879031E-2</v>
      </c>
    </row>
    <row r="25" spans="1:8" s="2" customFormat="1" ht="15.6" x14ac:dyDescent="0.3">
      <c r="A25" s="26">
        <f>MATCH($B25,'Income Statement'!$B:$B,0)</f>
        <v>25</v>
      </c>
      <c r="B25" s="5" t="s">
        <v>40</v>
      </c>
      <c r="C25" s="60" cm="1">
        <f t="array" ref="C25">INDEX('Income Statement'!$A$1:$H$27,'Common Size_IS'!$A25,'Common Size_IS'!C$1)/INDEX('Income Statement'!$A$1:$H$27,'Common Size_IS'!$A$5,'Common Size_IS'!C$1)</f>
        <v>0.17980035871111386</v>
      </c>
      <c r="D25" s="60" cm="1">
        <f t="array" ref="D25">INDEX('Income Statement'!$A$1:$H$27,'Common Size_IS'!$A25,'Common Size_IS'!D$1)/INDEX('Income Statement'!$A$1:$H$27,'Common Size_IS'!$A$5,'Common Size_IS'!D$1)</f>
        <v>0.19824029984170624</v>
      </c>
      <c r="E25" s="60" cm="1">
        <f t="array" ref="E25">INDEX('Income Statement'!$A$1:$H$27,'Common Size_IS'!$A25,'Common Size_IS'!E$1)/INDEX('Income Statement'!$A$1:$H$27,'Common Size_IS'!$A$5,'Common Size_IS'!E$1)</f>
        <v>0.1439015740888373</v>
      </c>
      <c r="F25" s="60" cm="1">
        <f t="array" ref="F25">INDEX('Income Statement'!$A$1:$H$27,'Common Size_IS'!$A25,'Common Size_IS'!F$1)/INDEX('Income Statement'!$A$1:$H$27,'Common Size_IS'!$A$5,'Common Size_IS'!F$1)</f>
        <v>0.164948175614022</v>
      </c>
      <c r="G25" s="60" cm="1">
        <f t="array" ref="G25">INDEX('Income Statement'!$A$1:$H$27,'Common Size_IS'!$A25,'Common Size_IS'!G$1)/INDEX('Income Statement'!$A$1:$H$27,'Common Size_IS'!$A$5,'Common Size_IS'!G$1)</f>
        <v>0.20701016742485423</v>
      </c>
      <c r="H25" s="60" cm="1">
        <f t="array" ref="H25">INDEX('Income Statement'!$A$1:$H$27,'Common Size_IS'!$A25,'Common Size_IS'!H$1)/INDEX('Income Statement'!$A$1:$H$27,'Common Size_IS'!$A$5,'Common Size_IS'!H$1)</f>
        <v>0.15050808685993666</v>
      </c>
    </row>
    <row r="26" spans="1:8" s="2" customFormat="1" ht="15.6" x14ac:dyDescent="0.3">
      <c r="A26" s="26">
        <f>MATCH($B26,'Income Statement'!$B:$B,0)</f>
        <v>26</v>
      </c>
      <c r="B26" s="3" t="s">
        <v>44</v>
      </c>
      <c r="C26" s="60" cm="1">
        <f t="array" ref="C26">INDEX('Income Statement'!$A$1:$H$27,'Common Size_IS'!$A26,'Common Size_IS'!C$1)/INDEX('Income Statement'!$A$1:$H$27,'Common Size_IS'!$A$5,'Common Size_IS'!C$1)</f>
        <v>4.2295751128703075E-2</v>
      </c>
      <c r="D26" s="60" cm="1">
        <f t="array" ref="D26">INDEX('Income Statement'!$A$1:$H$27,'Common Size_IS'!$A26,'Common Size_IS'!D$1)/INDEX('Income Statement'!$A$1:$H$27,'Common Size_IS'!$A$5,'Common Size_IS'!D$1)</f>
        <v>5.05508504434483E-2</v>
      </c>
      <c r="E26" s="60" cm="1">
        <f t="array" ref="E26">INDEX('Income Statement'!$A$1:$H$27,'Common Size_IS'!$A26,'Common Size_IS'!E$1)/INDEX('Income Statement'!$A$1:$H$27,'Common Size_IS'!$A$5,'Common Size_IS'!E$1)</f>
        <v>3.7899020249281136E-2</v>
      </c>
      <c r="F26" s="60" cm="1">
        <f t="array" ref="F26">INDEX('Income Statement'!$A$1:$H$27,'Common Size_IS'!$A26,'Common Size_IS'!F$1)/INDEX('Income Statement'!$A$1:$H$27,'Common Size_IS'!$A$5,'Common Size_IS'!F$1)</f>
        <v>4.3304176830656162E-2</v>
      </c>
      <c r="G26" s="60" cm="1">
        <f t="array" ref="G26">INDEX('Income Statement'!$A$1:$H$27,'Common Size_IS'!$A26,'Common Size_IS'!G$1)/INDEX('Income Statement'!$A$1:$H$27,'Common Size_IS'!$A$5,'Common Size_IS'!G$1)</f>
        <v>5.0432275439199009E-2</v>
      </c>
      <c r="H26" s="60" cm="1">
        <f t="array" ref="H26">INDEX('Income Statement'!$A$1:$H$27,'Common Size_IS'!$A26,'Common Size_IS'!H$1)/INDEX('Income Statement'!$A$1:$H$27,'Common Size_IS'!$A$5,'Common Size_IS'!H$1)</f>
        <v>4.1095252055558924E-2</v>
      </c>
    </row>
    <row r="27" spans="1:8" s="2" customFormat="1" ht="15.6" x14ac:dyDescent="0.3">
      <c r="A27" s="26">
        <f>MATCH($B27,'Income Statement'!$B:$B,0)</f>
        <v>27</v>
      </c>
      <c r="B27" s="5" t="s">
        <v>8</v>
      </c>
      <c r="C27" s="60" cm="1">
        <f t="array" ref="C27">INDEX('Income Statement'!$A$1:$H$27,'Common Size_IS'!$A27,'Common Size_IS'!C$1)/INDEX('Income Statement'!$A$1:$H$27,'Common Size_IS'!$A$5,'Common Size_IS'!C$1)</f>
        <v>0.13750460758241079</v>
      </c>
      <c r="D27" s="60" cm="1">
        <f t="array" ref="D27">INDEX('Income Statement'!$A$1:$H$27,'Common Size_IS'!$A27,'Common Size_IS'!D$1)/INDEX('Income Statement'!$A$1:$H$27,'Common Size_IS'!$A$5,'Common Size_IS'!D$1)</f>
        <v>0.14768944939825795</v>
      </c>
      <c r="E27" s="60" cm="1">
        <f t="array" ref="E27">INDEX('Income Statement'!$A$1:$H$27,'Common Size_IS'!$A27,'Common Size_IS'!E$1)/INDEX('Income Statement'!$A$1:$H$27,'Common Size_IS'!$A$5,'Common Size_IS'!E$1)</f>
        <v>0.10600255383955619</v>
      </c>
      <c r="F27" s="60" cm="1">
        <f t="array" ref="F27">INDEX('Income Statement'!$A$1:$H$27,'Common Size_IS'!$A27,'Common Size_IS'!F$1)/INDEX('Income Statement'!$A$1:$H$27,'Common Size_IS'!$A$5,'Common Size_IS'!F$1)</f>
        <v>0.12164399878336583</v>
      </c>
      <c r="G27" s="60" cm="1">
        <f t="array" ref="G27">INDEX('Income Statement'!$A$1:$H$27,'Common Size_IS'!$A27,'Common Size_IS'!G$1)/INDEX('Income Statement'!$A$1:$H$27,'Common Size_IS'!$A$5,'Common Size_IS'!G$1)</f>
        <v>0.15657789198565522</v>
      </c>
      <c r="H27" s="60" cm="1">
        <f t="array" ref="H27">INDEX('Income Statement'!$A$1:$H$27,'Common Size_IS'!$A27,'Common Size_IS'!H$1)/INDEX('Income Statement'!$A$1:$H$27,'Common Size_IS'!$A$5,'Common Size_IS'!H$1)</f>
        <v>0.10941283480437775</v>
      </c>
    </row>
    <row r="28" spans="1:8" s="2" customFormat="1" ht="15.6"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93D34-7C1E-400E-A031-B7753A9762EE}">
  <sheetPr>
    <tabColor rgb="FFFDBA3D"/>
  </sheetPr>
  <dimension ref="A1:O35"/>
  <sheetViews>
    <sheetView showGridLines="0" zoomScale="85" zoomScaleNormal="85" workbookViewId="0">
      <selection activeCell="C30" sqref="C30"/>
    </sheetView>
  </sheetViews>
  <sheetFormatPr defaultRowHeight="14.4" x14ac:dyDescent="0.3"/>
  <cols>
    <col min="1" max="1" width="3.88671875" customWidth="1"/>
    <col min="2" max="2" width="31.44140625" bestFit="1" customWidth="1"/>
  </cols>
  <sheetData>
    <row r="1" spans="1:15" s="2" customFormat="1" ht="15.6" x14ac:dyDescent="0.3">
      <c r="C1" s="26">
        <f>MATCH(C4,'Balance Sheet'!4:4,0)</f>
        <v>3</v>
      </c>
      <c r="D1" s="26">
        <f>MATCH(D4,'Balance Sheet'!4:4,0)</f>
        <v>4</v>
      </c>
      <c r="E1" s="26">
        <f>MATCH(E4,'Balance Sheet'!4:4,0)</f>
        <v>5</v>
      </c>
      <c r="F1" s="26">
        <f>MATCH(F4,'Balance Sheet'!4:4,0)</f>
        <v>6</v>
      </c>
      <c r="G1" s="26">
        <f>MATCH(G4,'Balance Sheet'!4:4,0)</f>
        <v>7</v>
      </c>
      <c r="H1" s="26">
        <f>MATCH(H4,'Balance Sheet'!4:4,0)</f>
        <v>8</v>
      </c>
    </row>
    <row r="2" spans="1:15" s="1" customFormat="1" ht="15.6" x14ac:dyDescent="0.3">
      <c r="A2" s="15" t="s">
        <v>55</v>
      </c>
    </row>
    <row r="3" spans="1:15" s="2" customFormat="1" ht="15.6" x14ac:dyDescent="0.3"/>
    <row r="4" spans="1:15" s="2" customFormat="1" ht="15.6" x14ac:dyDescent="0.3">
      <c r="B4" s="13" t="s">
        <v>0</v>
      </c>
      <c r="C4" s="14">
        <f>'Income Statement'!C4</f>
        <v>2020</v>
      </c>
      <c r="D4" s="14">
        <f>'Income Statement'!D4</f>
        <v>2021</v>
      </c>
      <c r="E4" s="14">
        <f>'Income Statement'!E4</f>
        <v>2022</v>
      </c>
      <c r="F4" s="14">
        <f>'Income Statement'!F4</f>
        <v>2023</v>
      </c>
      <c r="G4" s="14">
        <f>'Income Statement'!G4</f>
        <v>2024</v>
      </c>
      <c r="H4" s="14">
        <f>'Income Statement'!H4</f>
        <v>2025</v>
      </c>
    </row>
    <row r="5" spans="1:15" s="2" customFormat="1" ht="15.6" x14ac:dyDescent="0.3">
      <c r="A5" s="26"/>
      <c r="B5" s="61" t="s">
        <v>9</v>
      </c>
      <c r="C5" s="62"/>
      <c r="D5" s="62"/>
      <c r="E5" s="62"/>
      <c r="F5" s="62"/>
      <c r="G5" s="62"/>
      <c r="H5" s="63"/>
    </row>
    <row r="6" spans="1:15" s="2" customFormat="1" ht="15.6" x14ac:dyDescent="0.3">
      <c r="A6" s="26"/>
      <c r="B6" s="21" t="s">
        <v>46</v>
      </c>
      <c r="C6" s="3"/>
      <c r="D6" s="22"/>
      <c r="E6" s="22"/>
      <c r="F6" s="22"/>
      <c r="G6" s="22"/>
      <c r="H6" s="22"/>
    </row>
    <row r="7" spans="1:15" s="2" customFormat="1" ht="15.6" x14ac:dyDescent="0.3">
      <c r="A7" s="26">
        <f>MATCH(B7,'Balance Sheet'!B:B,)</f>
        <v>7</v>
      </c>
      <c r="B7" s="3" t="s">
        <v>10</v>
      </c>
      <c r="C7" s="32" cm="1">
        <f t="array" ref="C7">INDEX('Balance Sheet'!$A$1:$H$35,Common_Size_BS!$A7,Common_Size_BS!C$1)/INDEX('Balance Sheet'!$A$1:$H$35,Common_Size_BS!$A$35,Common_Size_BS!C$1)</f>
        <v>5.9375651897241493E-3</v>
      </c>
      <c r="D7" s="32" cm="1">
        <f t="array" ref="D7">INDEX('Balance Sheet'!$A$1:$H$35,Common_Size_BS!$A7,Common_Size_BS!D$1)/INDEX('Balance Sheet'!$A$1:$H$35,Common_Size_BS!$A$35,Common_Size_BS!D$1)</f>
        <v>4.70897346145878E-3</v>
      </c>
      <c r="E7" s="32" cm="1">
        <f t="array" ref="E7">INDEX('Balance Sheet'!$A$1:$H$35,Common_Size_BS!$A7,Common_Size_BS!E$1)/INDEX('Balance Sheet'!$A$1:$H$35,Common_Size_BS!$A$35,Common_Size_BS!E$1)</f>
        <v>4.1732562667368594E-3</v>
      </c>
      <c r="F7" s="32" cm="1">
        <f t="array" ref="F7">INDEX('Balance Sheet'!$A$1:$H$35,Common_Size_BS!$A7,Common_Size_BS!F$1)/INDEX('Balance Sheet'!$A$1:$H$35,Common_Size_BS!$A$35,Common_Size_BS!F$1)</f>
        <v>3.7181176835413597E-3</v>
      </c>
      <c r="G7" s="32" cm="1">
        <f t="array" ref="G7">INDEX('Balance Sheet'!$A$1:$H$35,Common_Size_BS!$A7,Common_Size_BS!G$1)/INDEX('Balance Sheet'!$A$1:$H$35,Common_Size_BS!$A$35,Common_Size_BS!G$1)</f>
        <v>3.2054441755789403E-3</v>
      </c>
      <c r="H7" s="32" cm="1">
        <f t="array" ref="H7">INDEX('Balance Sheet'!$A$1:$H$35,Common_Size_BS!$A7,Common_Size_BS!H$1)/INDEX('Balance Sheet'!$A$1:$H$35,Common_Size_BS!$A$35,Common_Size_BS!H$1)</f>
        <v>3.1582375111824062E-3</v>
      </c>
      <c r="J7" s="27"/>
      <c r="K7" s="27"/>
      <c r="L7" s="27"/>
      <c r="M7" s="27"/>
      <c r="N7" s="27"/>
      <c r="O7" s="27"/>
    </row>
    <row r="8" spans="1:15" s="2" customFormat="1" ht="15.6" x14ac:dyDescent="0.3">
      <c r="A8" s="26">
        <f>MATCH(B8,'Balance Sheet'!B:B,)</f>
        <v>8</v>
      </c>
      <c r="B8" s="3" t="s">
        <v>11</v>
      </c>
      <c r="C8" s="32" cm="1">
        <f t="array" ref="C8">INDEX('Balance Sheet'!$A$1:$H$35,Common_Size_BS!$A8,Common_Size_BS!C$1)/INDEX('Balance Sheet'!$A$1:$H$35,Common_Size_BS!$A$35,Common_Size_BS!C$1)</f>
        <v>0.62113171527666433</v>
      </c>
      <c r="D8" s="32" cm="1">
        <f t="array" ref="D8">INDEX('Balance Sheet'!$A$1:$H$35,Common_Size_BS!$A8,Common_Size_BS!D$1)/INDEX('Balance Sheet'!$A$1:$H$35,Common_Size_BS!$A$35,Common_Size_BS!D$1)</f>
        <v>0.62398660357925184</v>
      </c>
      <c r="E8" s="32" cm="1">
        <f t="array" ref="E8">INDEX('Balance Sheet'!$A$1:$H$35,Common_Size_BS!$A8,Common_Size_BS!E$1)/INDEX('Balance Sheet'!$A$1:$H$35,Common_Size_BS!$A$35,Common_Size_BS!E$1)</f>
        <v>0.59673561908159645</v>
      </c>
      <c r="F8" s="32" cm="1">
        <f t="array" ref="F8">INDEX('Balance Sheet'!$A$1:$H$35,Common_Size_BS!$A8,Common_Size_BS!F$1)/INDEX('Balance Sheet'!$A$1:$H$35,Common_Size_BS!$A$35,Common_Size_BS!F$1)</f>
        <v>0.61618381269865874</v>
      </c>
      <c r="G8" s="32" cm="1">
        <f t="array" ref="G8">INDEX('Balance Sheet'!$A$1:$H$35,Common_Size_BS!$A8,Common_Size_BS!G$1)/INDEX('Balance Sheet'!$A$1:$H$35,Common_Size_BS!$A$35,Common_Size_BS!G$1)</f>
        <v>0.62265485767487005</v>
      </c>
      <c r="H8" s="32" cm="1">
        <f t="array" ref="H8">INDEX('Balance Sheet'!$A$1:$H$35,Common_Size_BS!$A8,Common_Size_BS!H$1)/INDEX('Balance Sheet'!$A$1:$H$35,Common_Size_BS!$A$35,Common_Size_BS!H$1)</f>
        <v>0.6355949698680039</v>
      </c>
      <c r="J8" s="27"/>
      <c r="K8" s="27"/>
      <c r="L8" s="27"/>
      <c r="M8" s="27"/>
      <c r="N8" s="27"/>
      <c r="O8" s="27"/>
    </row>
    <row r="9" spans="1:15" s="2" customFormat="1" ht="15.6" x14ac:dyDescent="0.3">
      <c r="A9" s="26">
        <f>MATCH(B9,'Balance Sheet'!B:B,)</f>
        <v>9</v>
      </c>
      <c r="B9" s="5" t="s">
        <v>47</v>
      </c>
      <c r="C9" s="32" cm="1">
        <f t="array" ref="C9">INDEX('Balance Sheet'!$A$1:$H$35,Common_Size_BS!$A9,Common_Size_BS!C$1)/INDEX('Balance Sheet'!$A$1:$H$35,Common_Size_BS!$A$35,Common_Size_BS!C$1)</f>
        <v>0.62706928046638855</v>
      </c>
      <c r="D9" s="32" cm="1">
        <f t="array" ref="D9">INDEX('Balance Sheet'!$A$1:$H$35,Common_Size_BS!$A9,Common_Size_BS!D$1)/INDEX('Balance Sheet'!$A$1:$H$35,Common_Size_BS!$A$35,Common_Size_BS!D$1)</f>
        <v>0.62869557704071055</v>
      </c>
      <c r="E9" s="32" cm="1">
        <f t="array" ref="E9">INDEX('Balance Sheet'!$A$1:$H$35,Common_Size_BS!$A9,Common_Size_BS!E$1)/INDEX('Balance Sheet'!$A$1:$H$35,Common_Size_BS!$A$35,Common_Size_BS!E$1)</f>
        <v>0.60090887534833326</v>
      </c>
      <c r="F9" s="32" cm="1">
        <f t="array" ref="F9">INDEX('Balance Sheet'!$A$1:$H$35,Common_Size_BS!$A9,Common_Size_BS!F$1)/INDEX('Balance Sheet'!$A$1:$H$35,Common_Size_BS!$A$35,Common_Size_BS!F$1)</f>
        <v>0.61990193038220021</v>
      </c>
      <c r="G9" s="32" cm="1">
        <f t="array" ref="G9">INDEX('Balance Sheet'!$A$1:$H$35,Common_Size_BS!$A9,Common_Size_BS!G$1)/INDEX('Balance Sheet'!$A$1:$H$35,Common_Size_BS!$A$35,Common_Size_BS!G$1)</f>
        <v>0.62586030185044894</v>
      </c>
      <c r="H9" s="32" cm="1">
        <f t="array" ref="H9">INDEX('Balance Sheet'!$A$1:$H$35,Common_Size_BS!$A9,Common_Size_BS!H$1)/INDEX('Balance Sheet'!$A$1:$H$35,Common_Size_BS!$A$35,Common_Size_BS!H$1)</f>
        <v>0.63875320737918628</v>
      </c>
      <c r="J9" s="27"/>
      <c r="K9" s="27"/>
      <c r="L9" s="27"/>
      <c r="M9" s="27"/>
      <c r="N9" s="27"/>
      <c r="O9" s="27"/>
    </row>
    <row r="10" spans="1:15" s="2" customFormat="1" ht="15.6" x14ac:dyDescent="0.3">
      <c r="A10" s="26">
        <f>MATCH(B10,'Balance Sheet'!B:B,)</f>
        <v>10</v>
      </c>
      <c r="B10" s="3" t="s">
        <v>48</v>
      </c>
      <c r="C10" s="32" cm="1">
        <f t="array" ref="C10">INDEX('Balance Sheet'!$A$1:$H$35,Common_Size_BS!$A10,Common_Size_BS!C$1)/INDEX('Balance Sheet'!$A$1:$H$35,Common_Size_BS!$A$35,Common_Size_BS!C$1)</f>
        <v>2.4979000010523205E-2</v>
      </c>
      <c r="D10" s="32" cm="1">
        <f t="array" ref="D10">INDEX('Balance Sheet'!$A$1:$H$35,Common_Size_BS!$A10,Common_Size_BS!D$1)/INDEX('Balance Sheet'!$A$1:$H$35,Common_Size_BS!$A$35,Common_Size_BS!D$1)</f>
        <v>2.0759346517018971E-2</v>
      </c>
      <c r="E10" s="32" cm="1">
        <f t="array" ref="E10">INDEX('Balance Sheet'!$A$1:$H$35,Common_Size_BS!$A10,Common_Size_BS!E$1)/INDEX('Balance Sheet'!$A$1:$H$35,Common_Size_BS!$A$35,Common_Size_BS!E$1)</f>
        <v>1.6860529618938018E-2</v>
      </c>
      <c r="F10" s="32" cm="1">
        <f t="array" ref="F10">INDEX('Balance Sheet'!$A$1:$H$35,Common_Size_BS!$A10,Common_Size_BS!F$1)/INDEX('Balance Sheet'!$A$1:$H$35,Common_Size_BS!$A$35,Common_Size_BS!F$1)</f>
        <v>1.7585084115047681E-2</v>
      </c>
      <c r="G10" s="32" cm="1">
        <f t="array" ref="G10">INDEX('Balance Sheet'!$A$1:$H$35,Common_Size_BS!$A10,Common_Size_BS!G$1)/INDEX('Balance Sheet'!$A$1:$H$35,Common_Size_BS!$A$35,Common_Size_BS!G$1)</f>
        <v>2.3238133557277767E-2</v>
      </c>
      <c r="H10" s="32" cm="1">
        <f t="array" ref="H10">INDEX('Balance Sheet'!$A$1:$H$35,Common_Size_BS!$A10,Common_Size_BS!H$1)/INDEX('Balance Sheet'!$A$1:$H$35,Common_Size_BS!$A$35,Common_Size_BS!H$1)</f>
        <v>2.1705968482817861E-2</v>
      </c>
      <c r="J10" s="31"/>
      <c r="K10" s="27"/>
      <c r="L10" s="27"/>
      <c r="M10" s="27"/>
      <c r="N10" s="27"/>
      <c r="O10" s="27"/>
    </row>
    <row r="11" spans="1:15" s="2" customFormat="1" ht="15.6" x14ac:dyDescent="0.3">
      <c r="A11" s="26">
        <f>MATCH(B11,'Balance Sheet'!B:B,)</f>
        <v>11</v>
      </c>
      <c r="B11" s="5" t="s">
        <v>12</v>
      </c>
      <c r="C11" s="32" cm="1">
        <f t="array" ref="C11">INDEX('Balance Sheet'!$A$1:$H$35,Common_Size_BS!$A11,Common_Size_BS!C$1)/INDEX('Balance Sheet'!$A$1:$H$35,Common_Size_BS!$A$35,Common_Size_BS!C$1)</f>
        <v>0.65204828047691177</v>
      </c>
      <c r="D11" s="32" cm="1">
        <f t="array" ref="D11">INDEX('Balance Sheet'!$A$1:$H$35,Common_Size_BS!$A11,Common_Size_BS!D$1)/INDEX('Balance Sheet'!$A$1:$H$35,Common_Size_BS!$A$35,Common_Size_BS!D$1)</f>
        <v>0.6494549235577296</v>
      </c>
      <c r="E11" s="32" cm="1">
        <f t="array" ref="E11">INDEX('Balance Sheet'!$A$1:$H$35,Common_Size_BS!$A11,Common_Size_BS!E$1)/INDEX('Balance Sheet'!$A$1:$H$35,Common_Size_BS!$A$35,Common_Size_BS!E$1)</f>
        <v>0.61776940496727129</v>
      </c>
      <c r="F11" s="32" cm="1">
        <f t="array" ref="F11">INDEX('Balance Sheet'!$A$1:$H$35,Common_Size_BS!$A11,Common_Size_BS!F$1)/INDEX('Balance Sheet'!$A$1:$H$35,Common_Size_BS!$A$35,Common_Size_BS!F$1)</f>
        <v>0.63748701449724787</v>
      </c>
      <c r="G11" s="32" cm="1">
        <f t="array" ref="G11">INDEX('Balance Sheet'!$A$1:$H$35,Common_Size_BS!$A11,Common_Size_BS!G$1)/INDEX('Balance Sheet'!$A$1:$H$35,Common_Size_BS!$A$35,Common_Size_BS!G$1)</f>
        <v>0.64909843540772671</v>
      </c>
      <c r="H11" s="32" cm="1">
        <f t="array" ref="H11">INDEX('Balance Sheet'!$A$1:$H$35,Common_Size_BS!$A11,Common_Size_BS!H$1)/INDEX('Balance Sheet'!$A$1:$H$35,Common_Size_BS!$A$35,Common_Size_BS!H$1)</f>
        <v>0.6604591758620042</v>
      </c>
      <c r="J11" s="31"/>
      <c r="K11" s="27"/>
      <c r="L11" s="27"/>
      <c r="M11" s="27"/>
      <c r="N11" s="27"/>
      <c r="O11" s="27"/>
    </row>
    <row r="12" spans="1:15" s="2" customFormat="1" ht="15.6" x14ac:dyDescent="0.3">
      <c r="A12" s="26"/>
      <c r="B12" s="3"/>
      <c r="C12" s="32"/>
      <c r="D12" s="32"/>
      <c r="E12" s="32"/>
      <c r="F12" s="32"/>
      <c r="G12" s="32"/>
      <c r="H12" s="32"/>
      <c r="J12" s="31"/>
      <c r="K12" s="27"/>
      <c r="L12" s="27"/>
      <c r="M12" s="27"/>
      <c r="N12" s="27"/>
      <c r="O12" s="27"/>
    </row>
    <row r="13" spans="1:15" s="2" customFormat="1" ht="15.6" x14ac:dyDescent="0.3">
      <c r="A13" s="26"/>
      <c r="B13" s="5" t="s">
        <v>49</v>
      </c>
      <c r="C13" s="32"/>
      <c r="D13" s="32"/>
      <c r="E13" s="32"/>
      <c r="F13" s="32"/>
      <c r="G13" s="32"/>
      <c r="H13" s="32"/>
      <c r="J13" s="31"/>
      <c r="K13" s="27"/>
      <c r="L13" s="27"/>
      <c r="M13" s="27"/>
      <c r="N13" s="27"/>
      <c r="O13" s="27"/>
    </row>
    <row r="14" spans="1:15" s="2" customFormat="1" ht="15.6" x14ac:dyDescent="0.3">
      <c r="A14" s="26">
        <f>MATCH(B14,'Balance Sheet'!B:B,)</f>
        <v>14</v>
      </c>
      <c r="B14" s="5" t="s">
        <v>13</v>
      </c>
      <c r="C14" s="32"/>
      <c r="D14" s="32"/>
      <c r="E14" s="32"/>
      <c r="F14" s="32"/>
      <c r="G14" s="32"/>
      <c r="H14" s="32"/>
      <c r="J14" s="31"/>
      <c r="K14" s="27"/>
      <c r="L14" s="27"/>
      <c r="M14" s="27"/>
      <c r="N14" s="27"/>
      <c r="O14" s="27"/>
    </row>
    <row r="15" spans="1:15" s="2" customFormat="1" ht="15.6" x14ac:dyDescent="0.3">
      <c r="A15" s="26">
        <f>MATCH(B15,'Balance Sheet'!B:B,)</f>
        <v>15</v>
      </c>
      <c r="B15" s="12" t="s">
        <v>50</v>
      </c>
      <c r="C15" s="32" cm="1">
        <f t="array" ref="C15">INDEX('Balance Sheet'!$A$1:$H$35,Common_Size_BS!$A15,Common_Size_BS!C$1)/INDEX('Balance Sheet'!$A$1:$H$35,Common_Size_BS!$A$35,Common_Size_BS!C$1)</f>
        <v>3.7671226516997766E-2</v>
      </c>
      <c r="D15" s="32" cm="1">
        <f t="array" ref="D15">INDEX('Balance Sheet'!$A$1:$H$35,Common_Size_BS!$A15,Common_Size_BS!D$1)/INDEX('Balance Sheet'!$A$1:$H$35,Common_Size_BS!$A$35,Common_Size_BS!D$1)</f>
        <v>2.8272005074223276E-2</v>
      </c>
      <c r="E15" s="32" cm="1">
        <f t="array" ref="E15">INDEX('Balance Sheet'!$A$1:$H$35,Common_Size_BS!$A15,Common_Size_BS!E$1)/INDEX('Balance Sheet'!$A$1:$H$35,Common_Size_BS!$A$35,Common_Size_BS!E$1)</f>
        <v>2.7971519875394014E-2</v>
      </c>
      <c r="F15" s="32" cm="1">
        <f t="array" ref="F15">INDEX('Balance Sheet'!$A$1:$H$35,Common_Size_BS!$A15,Common_Size_BS!F$1)/INDEX('Balance Sheet'!$A$1:$H$35,Common_Size_BS!$A$35,Common_Size_BS!F$1)</f>
        <v>3.1207457942476161E-2</v>
      </c>
      <c r="G15" s="32" cm="1">
        <f t="array" ref="G15">INDEX('Balance Sheet'!$A$1:$H$35,Common_Size_BS!$A15,Common_Size_BS!G$1)/INDEX('Balance Sheet'!$A$1:$H$35,Common_Size_BS!$A$35,Common_Size_BS!G$1)</f>
        <v>3.8419547595265224E-2</v>
      </c>
      <c r="H15" s="32" cm="1">
        <f t="array" ref="H15">INDEX('Balance Sheet'!$A$1:$H$35,Common_Size_BS!$A15,Common_Size_BS!H$1)/INDEX('Balance Sheet'!$A$1:$H$35,Common_Size_BS!$A$35,Common_Size_BS!H$1)</f>
        <v>4.5533672007551845E-2</v>
      </c>
      <c r="J15" s="31"/>
      <c r="K15" s="27"/>
      <c r="L15" s="27"/>
      <c r="M15" s="27"/>
      <c r="N15" s="27"/>
      <c r="O15" s="27"/>
    </row>
    <row r="16" spans="1:15" s="2" customFormat="1" ht="15.6" x14ac:dyDescent="0.3">
      <c r="A16" s="26">
        <f>MATCH(B16,'Balance Sheet'!B:B,)</f>
        <v>16</v>
      </c>
      <c r="B16" s="12" t="s">
        <v>14</v>
      </c>
      <c r="C16" s="32" cm="1">
        <f t="array" ref="C16">INDEX('Balance Sheet'!$A$1:$H$35,Common_Size_BS!$A16,Common_Size_BS!C$1)/INDEX('Balance Sheet'!$A$1:$H$35,Common_Size_BS!$A$35,Common_Size_BS!C$1)</f>
        <v>3.9129619301296145E-2</v>
      </c>
      <c r="D16" s="32" cm="1">
        <f t="array" ref="D16">INDEX('Balance Sheet'!$A$1:$H$35,Common_Size_BS!$A16,Common_Size_BS!D$1)/INDEX('Balance Sheet'!$A$1:$H$35,Common_Size_BS!$A$35,Common_Size_BS!D$1)</f>
        <v>3.1356500514000747E-2</v>
      </c>
      <c r="E16" s="32" cm="1">
        <f t="array" ref="E16">INDEX('Balance Sheet'!$A$1:$H$35,Common_Size_BS!$A16,Common_Size_BS!E$1)/INDEX('Balance Sheet'!$A$1:$H$35,Common_Size_BS!$A$35,Common_Size_BS!E$1)</f>
        <v>2.4862896436503811E-2</v>
      </c>
      <c r="F16" s="32" cm="1">
        <f t="array" ref="F16">INDEX('Balance Sheet'!$A$1:$H$35,Common_Size_BS!$A16,Common_Size_BS!F$1)/INDEX('Balance Sheet'!$A$1:$H$35,Common_Size_BS!$A$35,Common_Size_BS!F$1)</f>
        <v>2.5238002945964802E-2</v>
      </c>
      <c r="G16" s="32" cm="1">
        <f t="array" ref="G16">INDEX('Balance Sheet'!$A$1:$H$35,Common_Size_BS!$A16,Common_Size_BS!G$1)/INDEX('Balance Sheet'!$A$1:$H$35,Common_Size_BS!$A$35,Common_Size_BS!G$1)</f>
        <v>2.8397856041737612E-2</v>
      </c>
      <c r="H16" s="32" cm="1">
        <f t="array" ref="H16">INDEX('Balance Sheet'!$A$1:$H$35,Common_Size_BS!$A16,Common_Size_BS!H$1)/INDEX('Balance Sheet'!$A$1:$H$35,Common_Size_BS!$A$35,Common_Size_BS!H$1)</f>
        <v>2.5951084853926571E-2</v>
      </c>
      <c r="J16" s="31"/>
      <c r="K16" s="27"/>
      <c r="L16" s="27"/>
      <c r="M16" s="27"/>
      <c r="N16" s="27"/>
      <c r="O16" s="27"/>
    </row>
    <row r="17" spans="1:15" s="2" customFormat="1" ht="15.6" x14ac:dyDescent="0.3">
      <c r="A17" s="26">
        <f>MATCH(B17,'Balance Sheet'!B:B,)</f>
        <v>17</v>
      </c>
      <c r="B17" s="5" t="s">
        <v>15</v>
      </c>
      <c r="C17" s="32" cm="1">
        <f t="array" ref="C17">INDEX('Balance Sheet'!$A$1:$H$35,Common_Size_BS!$A17,Common_Size_BS!C$1)/INDEX('Balance Sheet'!$A$1:$H$35,Common_Size_BS!$A$35,Common_Size_BS!C$1)</f>
        <v>7.6800845818293911E-2</v>
      </c>
      <c r="D17" s="32" cm="1">
        <f t="array" ref="D17">INDEX('Balance Sheet'!$A$1:$H$35,Common_Size_BS!$A17,Common_Size_BS!D$1)/INDEX('Balance Sheet'!$A$1:$H$35,Common_Size_BS!$A$35,Common_Size_BS!D$1)</f>
        <v>5.9628505588224016E-2</v>
      </c>
      <c r="E17" s="32" cm="1">
        <f t="array" ref="E17">INDEX('Balance Sheet'!$A$1:$H$35,Common_Size_BS!$A17,Common_Size_BS!E$1)/INDEX('Balance Sheet'!$A$1:$H$35,Common_Size_BS!$A$35,Common_Size_BS!E$1)</f>
        <v>5.2834416311897822E-2</v>
      </c>
      <c r="F17" s="32" cm="1">
        <f t="array" ref="F17">INDEX('Balance Sheet'!$A$1:$H$35,Common_Size_BS!$A17,Common_Size_BS!F$1)/INDEX('Balance Sheet'!$A$1:$H$35,Common_Size_BS!$A$35,Common_Size_BS!F$1)</f>
        <v>5.6445460888440956E-2</v>
      </c>
      <c r="G17" s="32" cm="1">
        <f t="array" ref="G17">INDEX('Balance Sheet'!$A$1:$H$35,Common_Size_BS!$A17,Common_Size_BS!G$1)/INDEX('Balance Sheet'!$A$1:$H$35,Common_Size_BS!$A$35,Common_Size_BS!G$1)</f>
        <v>6.6817403637002837E-2</v>
      </c>
      <c r="H17" s="32" cm="1">
        <f t="array" ref="H17">INDEX('Balance Sheet'!$A$1:$H$35,Common_Size_BS!$A17,Common_Size_BS!H$1)/INDEX('Balance Sheet'!$A$1:$H$35,Common_Size_BS!$A$35,Common_Size_BS!H$1)</f>
        <v>7.1484756861478427E-2</v>
      </c>
      <c r="J17" s="27"/>
      <c r="K17" s="27"/>
      <c r="L17" s="27"/>
      <c r="M17" s="27"/>
      <c r="N17" s="27"/>
      <c r="O17" s="27"/>
    </row>
    <row r="18" spans="1:15" s="2" customFormat="1" ht="15.6" x14ac:dyDescent="0.3">
      <c r="A18" s="26"/>
      <c r="B18" s="3"/>
      <c r="C18" s="32"/>
      <c r="D18" s="32"/>
      <c r="E18" s="32"/>
      <c r="F18" s="32"/>
      <c r="G18" s="32"/>
      <c r="H18" s="32"/>
      <c r="J18" s="27"/>
      <c r="K18" s="27"/>
      <c r="L18" s="27"/>
      <c r="M18" s="27"/>
      <c r="N18" s="27"/>
      <c r="O18" s="27"/>
    </row>
    <row r="19" spans="1:15" s="2" customFormat="1" ht="15.6" x14ac:dyDescent="0.3">
      <c r="A19" s="26"/>
      <c r="B19" s="5" t="s">
        <v>16</v>
      </c>
      <c r="C19" s="32"/>
      <c r="D19" s="32"/>
      <c r="E19" s="32"/>
      <c r="F19" s="32"/>
      <c r="G19" s="32"/>
      <c r="H19" s="32"/>
      <c r="J19" s="27"/>
      <c r="K19" s="27"/>
      <c r="L19" s="27"/>
      <c r="M19" s="27"/>
      <c r="N19" s="27"/>
      <c r="O19" s="27"/>
    </row>
    <row r="20" spans="1:15" s="2" customFormat="1" ht="15.6" x14ac:dyDescent="0.3">
      <c r="A20" s="26">
        <f>MATCH(B20,'Balance Sheet'!B:B,)</f>
        <v>20</v>
      </c>
      <c r="B20" s="25" t="s">
        <v>17</v>
      </c>
      <c r="C20" s="32" cm="1">
        <f t="array" ref="C20">INDEX('Balance Sheet'!$A$1:$H$35,Common_Size_BS!$A20,Common_Size_BS!C$1)/INDEX('Balance Sheet'!$A$1:$H$35,Common_Size_BS!$A$35,Common_Size_BS!C$1)</f>
        <v>3.0662770191095264E-2</v>
      </c>
      <c r="D20" s="32" cm="1">
        <f t="array" ref="D20">INDEX('Balance Sheet'!$A$1:$H$35,Common_Size_BS!$A20,Common_Size_BS!D$1)/INDEX('Balance Sheet'!$A$1:$H$35,Common_Size_BS!$A$35,Common_Size_BS!D$1)</f>
        <v>2.5392226266371193E-2</v>
      </c>
      <c r="E20" s="32" cm="1">
        <f t="array" ref="E20">INDEX('Balance Sheet'!$A$1:$H$35,Common_Size_BS!$A20,Common_Size_BS!E$1)/INDEX('Balance Sheet'!$A$1:$H$35,Common_Size_BS!$A$35,Common_Size_BS!E$1)</f>
        <v>4.1069940764299338E-2</v>
      </c>
      <c r="F20" s="32" cm="1">
        <f t="array" ref="F20">INDEX('Balance Sheet'!$A$1:$H$35,Common_Size_BS!$A20,Common_Size_BS!F$1)/INDEX('Balance Sheet'!$A$1:$H$35,Common_Size_BS!$A$35,Common_Size_BS!F$1)</f>
        <v>4.3706101248158769E-2</v>
      </c>
      <c r="G20" s="32" cm="1">
        <f t="array" ref="G20">INDEX('Balance Sheet'!$A$1:$H$35,Common_Size_BS!$A20,Common_Size_BS!G$1)/INDEX('Balance Sheet'!$A$1:$H$35,Common_Size_BS!$A$35,Common_Size_BS!G$1)</f>
        <v>4.4269015365212452E-2</v>
      </c>
      <c r="H20" s="32" cm="1">
        <f t="array" ref="H20">INDEX('Balance Sheet'!$A$1:$H$35,Common_Size_BS!$A20,Common_Size_BS!H$1)/INDEX('Balance Sheet'!$A$1:$H$35,Common_Size_BS!$A$35,Common_Size_BS!H$1)</f>
        <v>2.9875833721033983E-2</v>
      </c>
      <c r="J20" s="27"/>
      <c r="K20" s="27"/>
      <c r="L20" s="27"/>
      <c r="M20" s="27"/>
      <c r="N20" s="27"/>
      <c r="O20" s="27"/>
    </row>
    <row r="21" spans="1:15" s="2" customFormat="1" ht="15.6" x14ac:dyDescent="0.3">
      <c r="A21" s="26">
        <f>MATCH(B21,'Balance Sheet'!B:B,)</f>
        <v>21</v>
      </c>
      <c r="B21" s="25" t="s">
        <v>18</v>
      </c>
      <c r="C21" s="32" cm="1">
        <f t="array" ref="C21">INDEX('Balance Sheet'!$A$1:$H$35,Common_Size_BS!$A21,Common_Size_BS!C$1)/INDEX('Balance Sheet'!$A$1:$H$35,Common_Size_BS!$A$35,Common_Size_BS!C$1)</f>
        <v>0.13225629334246167</v>
      </c>
      <c r="D21" s="32" cm="1">
        <f t="array" ref="D21">INDEX('Balance Sheet'!$A$1:$H$35,Common_Size_BS!$A21,Common_Size_BS!D$1)/INDEX('Balance Sheet'!$A$1:$H$35,Common_Size_BS!$A$35,Common_Size_BS!D$1)</f>
        <v>0.16587054643140126</v>
      </c>
      <c r="E21" s="32" cm="1">
        <f t="array" ref="E21">INDEX('Balance Sheet'!$A$1:$H$35,Common_Size_BS!$A21,Common_Size_BS!E$1)/INDEX('Balance Sheet'!$A$1:$H$35,Common_Size_BS!$A$35,Common_Size_BS!E$1)</f>
        <v>0.18117901450763452</v>
      </c>
      <c r="F21" s="32" cm="1">
        <f t="array" ref="F21">INDEX('Balance Sheet'!$A$1:$H$35,Common_Size_BS!$A21,Common_Size_BS!F$1)/INDEX('Balance Sheet'!$A$1:$H$35,Common_Size_BS!$A$35,Common_Size_BS!F$1)</f>
        <v>0.14091945112024187</v>
      </c>
      <c r="G21" s="32" cm="1">
        <f t="array" ref="G21">INDEX('Balance Sheet'!$A$1:$H$35,Common_Size_BS!$A21,Common_Size_BS!G$1)/INDEX('Balance Sheet'!$A$1:$H$35,Common_Size_BS!$A$35,Common_Size_BS!G$1)</f>
        <v>0.12803530533426416</v>
      </c>
      <c r="H21" s="32" cm="1">
        <f t="array" ref="H21">INDEX('Balance Sheet'!$A$1:$H$35,Common_Size_BS!$A21,Common_Size_BS!H$1)/INDEX('Balance Sheet'!$A$1:$H$35,Common_Size_BS!$A$35,Common_Size_BS!H$1)</f>
        <v>0.12669826879722579</v>
      </c>
      <c r="J21" s="27"/>
      <c r="K21" s="27"/>
      <c r="L21" s="27"/>
      <c r="M21" s="27"/>
      <c r="N21" s="27"/>
      <c r="O21" s="27"/>
    </row>
    <row r="22" spans="1:15" s="2" customFormat="1" ht="15.6" x14ac:dyDescent="0.3">
      <c r="A22" s="26">
        <f>MATCH(B22,'Balance Sheet'!B:B,)</f>
        <v>22</v>
      </c>
      <c r="B22" s="25" t="s">
        <v>19</v>
      </c>
      <c r="C22" s="32" cm="1">
        <f t="array" ref="C22">INDEX('Balance Sheet'!$A$1:$H$35,Common_Size_BS!$A22,Common_Size_BS!C$1)/INDEX('Balance Sheet'!$A$1:$H$35,Common_Size_BS!$A$35,Common_Size_BS!C$1)</f>
        <v>0.10823181017123734</v>
      </c>
      <c r="D22" s="32" cm="1">
        <f t="array" ref="D22">INDEX('Balance Sheet'!$A$1:$H$35,Common_Size_BS!$A22,Common_Size_BS!D$1)/INDEX('Balance Sheet'!$A$1:$H$35,Common_Size_BS!$A$35,Common_Size_BS!D$1)</f>
        <v>9.9653798156273898E-2</v>
      </c>
      <c r="E22" s="32" cm="1">
        <f t="array" ref="E22">INDEX('Balance Sheet'!$A$1:$H$35,Common_Size_BS!$A22,Common_Size_BS!E$1)/INDEX('Balance Sheet'!$A$1:$H$35,Common_Size_BS!$A$35,Common_Size_BS!E$1)</f>
        <v>0.10714722344889696</v>
      </c>
      <c r="F22" s="32" cm="1">
        <f t="array" ref="F22">INDEX('Balance Sheet'!$A$1:$H$35,Common_Size_BS!$A22,Common_Size_BS!F$1)/INDEX('Balance Sheet'!$A$1:$H$35,Common_Size_BS!$A$35,Common_Size_BS!F$1)</f>
        <v>0.12144197224591054</v>
      </c>
      <c r="G22" s="32" cm="1">
        <f t="array" ref="G22">INDEX('Balance Sheet'!$A$1:$H$35,Common_Size_BS!$A22,Common_Size_BS!G$1)/INDEX('Balance Sheet'!$A$1:$H$35,Common_Size_BS!$A$35,Common_Size_BS!G$1)</f>
        <v>0.11177984025579393</v>
      </c>
      <c r="H22" s="32" cm="1">
        <f t="array" ref="H22">INDEX('Balance Sheet'!$A$1:$H$35,Common_Size_BS!$A22,Common_Size_BS!H$1)/INDEX('Balance Sheet'!$A$1:$H$35,Common_Size_BS!$A$35,Common_Size_BS!H$1)</f>
        <v>0.11148196475825753</v>
      </c>
      <c r="J22" s="27"/>
      <c r="K22" s="27"/>
      <c r="L22" s="27"/>
      <c r="M22" s="27"/>
      <c r="N22" s="27"/>
      <c r="O22" s="27"/>
    </row>
    <row r="23" spans="1:15" s="2" customFormat="1" ht="15.6" x14ac:dyDescent="0.3">
      <c r="A23" s="26">
        <f>MATCH(B23,'Balance Sheet'!B:B,)</f>
        <v>23</v>
      </c>
      <c r="B23" s="5" t="s">
        <v>20</v>
      </c>
      <c r="C23" s="32" cm="1">
        <f t="array" ref="C23">INDEX('Balance Sheet'!$A$1:$H$35,Common_Size_BS!$A23,Common_Size_BS!C$1)/INDEX('Balance Sheet'!$A$1:$H$35,Common_Size_BS!$A$35,Common_Size_BS!C$1)</f>
        <v>0.27115087370479424</v>
      </c>
      <c r="D23" s="32" cm="1">
        <f t="array" ref="D23">INDEX('Balance Sheet'!$A$1:$H$35,Common_Size_BS!$A23,Common_Size_BS!D$1)/INDEX('Balance Sheet'!$A$1:$H$35,Common_Size_BS!$A$35,Common_Size_BS!D$1)</f>
        <v>0.29091657085404637</v>
      </c>
      <c r="E23" s="32" cm="1">
        <f t="array" ref="E23">INDEX('Balance Sheet'!$A$1:$H$35,Common_Size_BS!$A23,Common_Size_BS!E$1)/INDEX('Balance Sheet'!$A$1:$H$35,Common_Size_BS!$A$35,Common_Size_BS!E$1)</f>
        <v>0.32939617872083082</v>
      </c>
      <c r="F23" s="32" cm="1">
        <f t="array" ref="F23">INDEX('Balance Sheet'!$A$1:$H$35,Common_Size_BS!$A23,Common_Size_BS!F$1)/INDEX('Balance Sheet'!$A$1:$H$35,Common_Size_BS!$A$35,Common_Size_BS!F$1)</f>
        <v>0.30606752461431119</v>
      </c>
      <c r="G23" s="32" cm="1">
        <f t="array" ref="G23">INDEX('Balance Sheet'!$A$1:$H$35,Common_Size_BS!$A23,Common_Size_BS!G$1)/INDEX('Balance Sheet'!$A$1:$H$35,Common_Size_BS!$A$35,Common_Size_BS!G$1)</f>
        <v>0.28408416095527056</v>
      </c>
      <c r="H23" s="32" cm="1">
        <f t="array" ref="H23">INDEX('Balance Sheet'!$A$1:$H$35,Common_Size_BS!$A23,Common_Size_BS!H$1)/INDEX('Balance Sheet'!$A$1:$H$35,Common_Size_BS!$A$35,Common_Size_BS!H$1)</f>
        <v>0.26805606727651726</v>
      </c>
      <c r="J23" s="27"/>
      <c r="K23" s="27"/>
      <c r="L23" s="27"/>
      <c r="M23" s="27"/>
      <c r="N23" s="27"/>
      <c r="O23" s="27"/>
    </row>
    <row r="24" spans="1:15" s="2" customFormat="1" ht="15.6" x14ac:dyDescent="0.3">
      <c r="A24" s="26">
        <f>MATCH(B24,'Balance Sheet'!B:B,)</f>
        <v>24</v>
      </c>
      <c r="B24" s="5" t="s">
        <v>21</v>
      </c>
      <c r="C24" s="32" cm="1">
        <f t="array" ref="C24">INDEX('Balance Sheet'!$A$1:$H$35,Common_Size_BS!$A24,Common_Size_BS!C$1)/INDEX('Balance Sheet'!$A$1:$H$35,Common_Size_BS!$A$35,Common_Size_BS!C$1)</f>
        <v>1</v>
      </c>
      <c r="D24" s="32" cm="1">
        <f t="array" ref="D24">INDEX('Balance Sheet'!$A$1:$H$35,Common_Size_BS!$A24,Common_Size_BS!D$1)/INDEX('Balance Sheet'!$A$1:$H$35,Common_Size_BS!$A$35,Common_Size_BS!D$1)</f>
        <v>1</v>
      </c>
      <c r="E24" s="32" cm="1">
        <f t="array" ref="E24">INDEX('Balance Sheet'!$A$1:$H$35,Common_Size_BS!$A24,Common_Size_BS!E$1)/INDEX('Balance Sheet'!$A$1:$H$35,Common_Size_BS!$A$35,Common_Size_BS!E$1)</f>
        <v>0.99999999999999989</v>
      </c>
      <c r="F24" s="32" cm="1">
        <f t="array" ref="F24">INDEX('Balance Sheet'!$A$1:$H$35,Common_Size_BS!$A24,Common_Size_BS!F$1)/INDEX('Balance Sheet'!$A$1:$H$35,Common_Size_BS!$A$35,Common_Size_BS!F$1)</f>
        <v>1</v>
      </c>
      <c r="G24" s="32" cm="1">
        <f t="array" ref="G24">INDEX('Balance Sheet'!$A$1:$H$35,Common_Size_BS!$A24,Common_Size_BS!G$1)/INDEX('Balance Sheet'!$A$1:$H$35,Common_Size_BS!$A$35,Common_Size_BS!G$1)</f>
        <v>1.0000000000000002</v>
      </c>
      <c r="H24" s="32" cm="1">
        <f t="array" ref="H24">INDEX('Balance Sheet'!$A$1:$H$35,Common_Size_BS!$A24,Common_Size_BS!H$1)/INDEX('Balance Sheet'!$A$1:$H$35,Common_Size_BS!$A$35,Common_Size_BS!H$1)</f>
        <v>0.99999999999999989</v>
      </c>
      <c r="J24" s="27"/>
      <c r="K24" s="27"/>
      <c r="L24" s="27"/>
      <c r="M24" s="27"/>
      <c r="N24" s="27"/>
      <c r="O24" s="27"/>
    </row>
    <row r="25" spans="1:15" s="2" customFormat="1" ht="15.6" x14ac:dyDescent="0.3">
      <c r="A25" s="26"/>
      <c r="B25" s="3"/>
      <c r="C25" s="30"/>
      <c r="D25" s="30"/>
      <c r="E25" s="30"/>
      <c r="F25" s="30"/>
      <c r="G25" s="30"/>
      <c r="H25" s="30"/>
      <c r="J25" s="27"/>
      <c r="K25" s="27"/>
      <c r="L25" s="27"/>
      <c r="M25" s="27"/>
      <c r="N25" s="27"/>
      <c r="O25" s="27"/>
    </row>
    <row r="26" spans="1:15" s="2" customFormat="1" ht="15.6" x14ac:dyDescent="0.3">
      <c r="A26" s="26">
        <f>MATCH(B26,'Balance Sheet'!B:B,)</f>
        <v>26</v>
      </c>
      <c r="B26" s="61" t="s">
        <v>22</v>
      </c>
      <c r="C26" s="62"/>
      <c r="D26" s="62"/>
      <c r="E26" s="62"/>
      <c r="F26" s="62"/>
      <c r="G26" s="62"/>
      <c r="H26" s="63"/>
      <c r="J26" s="27"/>
      <c r="K26" s="27"/>
      <c r="L26" s="27"/>
      <c r="M26" s="27"/>
      <c r="N26" s="27"/>
      <c r="O26" s="27"/>
    </row>
    <row r="27" spans="1:15" s="2" customFormat="1" ht="15.6" x14ac:dyDescent="0.3">
      <c r="A27" s="26">
        <f>MATCH(B27,'Balance Sheet'!B:B,)</f>
        <v>27</v>
      </c>
      <c r="B27" s="5" t="s">
        <v>23</v>
      </c>
      <c r="C27" s="32" cm="1">
        <f t="array" ref="C27">INDEX('Balance Sheet'!$A$1:$H$35,Common_Size_BS!$A27,Common_Size_BS!C$1)/INDEX('Balance Sheet'!$A$1:$H$35,Common_Size_BS!$A$35,Common_Size_BS!C$1)</f>
        <v>0.53078193004295326</v>
      </c>
      <c r="D27" s="32" cm="1">
        <f t="array" ref="D27">INDEX('Balance Sheet'!$A$1:$H$35,Common_Size_BS!$A27,Common_Size_BS!D$1)/INDEX('Balance Sheet'!$A$1:$H$35,Common_Size_BS!$A$35,Common_Size_BS!D$1)</f>
        <v>0.40958152385758789</v>
      </c>
      <c r="E27" s="32" cm="1">
        <f t="array" ref="E27">INDEX('Balance Sheet'!$A$1:$H$35,Common_Size_BS!$A27,Common_Size_BS!E$1)/INDEX('Balance Sheet'!$A$1:$H$35,Common_Size_BS!$A$35,Common_Size_BS!E$1)</f>
        <v>0.34075733811337666</v>
      </c>
      <c r="F27" s="32" cm="1">
        <f t="array" ref="F27">INDEX('Balance Sheet'!$A$1:$H$35,Common_Size_BS!$A27,Common_Size_BS!F$1)/INDEX('Balance Sheet'!$A$1:$H$35,Common_Size_BS!$A$35,Common_Size_BS!F$1)</f>
        <v>0.35905263973951468</v>
      </c>
      <c r="G27" s="32" cm="1">
        <f t="array" ref="G27">INDEX('Balance Sheet'!$A$1:$H$35,Common_Size_BS!$A27,Common_Size_BS!G$1)/INDEX('Balance Sheet'!$A$1:$H$35,Common_Size_BS!$A$35,Common_Size_BS!G$1)</f>
        <v>0.41394842750439537</v>
      </c>
      <c r="H27" s="32" cm="1">
        <f t="array" ref="H27">INDEX('Balance Sheet'!$A$1:$H$35,Common_Size_BS!$A27,Common_Size_BS!H$1)/INDEX('Balance Sheet'!$A$1:$H$35,Common_Size_BS!$A$35,Common_Size_BS!H$1)</f>
        <v>0.44053626820258684</v>
      </c>
      <c r="J27" s="27"/>
      <c r="K27" s="27"/>
      <c r="L27" s="27"/>
      <c r="M27" s="27"/>
      <c r="N27" s="27"/>
      <c r="O27" s="27"/>
    </row>
    <row r="28" spans="1:15" s="2" customFormat="1" ht="15.6" x14ac:dyDescent="0.3">
      <c r="A28" s="26"/>
      <c r="B28" s="3"/>
      <c r="C28" s="32"/>
      <c r="D28" s="32"/>
      <c r="E28" s="32"/>
      <c r="F28" s="32"/>
      <c r="G28" s="32"/>
      <c r="H28" s="32"/>
      <c r="J28" s="27"/>
      <c r="K28" s="27"/>
      <c r="L28" s="27"/>
      <c r="M28" s="27"/>
      <c r="N28" s="27"/>
      <c r="O28" s="27"/>
    </row>
    <row r="29" spans="1:15" s="2" customFormat="1" ht="15.6" x14ac:dyDescent="0.3">
      <c r="A29" s="26"/>
      <c r="B29" s="5" t="s">
        <v>24</v>
      </c>
      <c r="C29" s="32"/>
      <c r="D29" s="32"/>
      <c r="E29" s="32"/>
      <c r="F29" s="32"/>
      <c r="G29" s="32"/>
      <c r="H29" s="32"/>
      <c r="J29" s="27"/>
      <c r="K29" s="27"/>
      <c r="L29" s="27"/>
      <c r="M29" s="27"/>
      <c r="N29" s="27"/>
      <c r="O29" s="27"/>
    </row>
    <row r="30" spans="1:15" s="2" customFormat="1" ht="15.6" x14ac:dyDescent="0.3">
      <c r="A30" s="26">
        <f>MATCH(B30,'Balance Sheet'!B:B,)</f>
        <v>30</v>
      </c>
      <c r="B30" s="12" t="s">
        <v>25</v>
      </c>
      <c r="C30" s="32" cm="1">
        <f t="array" ref="C30">INDEX('Balance Sheet'!$A$1:$H$35,Common_Size_BS!$A30,Common_Size_BS!C$1)/INDEX('Balance Sheet'!$A$1:$H$35,Common_Size_BS!$A$35,Common_Size_BS!C$1)</f>
        <v>0.20983338048143055</v>
      </c>
      <c r="D30" s="32" cm="1">
        <f t="array" ref="D30">INDEX('Balance Sheet'!$A$1:$H$35,Common_Size_BS!$A30,Common_Size_BS!D$1)/INDEX('Balance Sheet'!$A$1:$H$35,Common_Size_BS!$A$35,Common_Size_BS!D$1)</f>
        <v>0.18648359665030567</v>
      </c>
      <c r="E30" s="32" cm="1">
        <f t="array" ref="E30">INDEX('Balance Sheet'!$A$1:$H$35,Common_Size_BS!$A30,Common_Size_BS!E$1)/INDEX('Balance Sheet'!$A$1:$H$35,Common_Size_BS!$A$35,Common_Size_BS!E$1)</f>
        <v>0.26770185930052709</v>
      </c>
      <c r="F30" s="32" cm="1">
        <f t="array" ref="F30">INDEX('Balance Sheet'!$A$1:$H$35,Common_Size_BS!$A30,Common_Size_BS!F$1)/INDEX('Balance Sheet'!$A$1:$H$35,Common_Size_BS!$A$35,Common_Size_BS!F$1)</f>
        <v>0.24074114272424221</v>
      </c>
      <c r="G30" s="32" cm="1">
        <f t="array" ref="G30">INDEX('Balance Sheet'!$A$1:$H$35,Common_Size_BS!$A30,Common_Size_BS!G$1)/INDEX('Balance Sheet'!$A$1:$H$35,Common_Size_BS!$A$35,Common_Size_BS!G$1)</f>
        <v>0.19794787410410811</v>
      </c>
      <c r="H30" s="32" cm="1">
        <f t="array" ref="H30">INDEX('Balance Sheet'!$A$1:$H$35,Common_Size_BS!$A30,Common_Size_BS!H$1)/INDEX('Balance Sheet'!$A$1:$H$35,Common_Size_BS!$A$35,Common_Size_BS!H$1)</f>
        <v>0.22123697416349675</v>
      </c>
      <c r="J30" s="27"/>
      <c r="K30" s="27"/>
      <c r="L30" s="27"/>
      <c r="M30" s="27"/>
      <c r="N30" s="27"/>
      <c r="O30" s="27"/>
    </row>
    <row r="31" spans="1:15" s="2" customFormat="1" ht="15.6" x14ac:dyDescent="0.3">
      <c r="A31" s="26">
        <f>MATCH(B31,'Balance Sheet'!B:B,)</f>
        <v>31</v>
      </c>
      <c r="B31" s="12" t="s">
        <v>26</v>
      </c>
      <c r="C31" s="32" cm="1">
        <f t="array" ref="C31">INDEX('Balance Sheet'!$A$1:$H$35,Common_Size_BS!$A31,Common_Size_BS!C$1)/INDEX('Balance Sheet'!$A$1:$H$35,Common_Size_BS!$A$35,Common_Size_BS!C$1)</f>
        <v>0.11112631130000612</v>
      </c>
      <c r="D31" s="32" cm="1">
        <f t="array" ref="D31">INDEX('Balance Sheet'!$A$1:$H$35,Common_Size_BS!$A31,Common_Size_BS!D$1)/INDEX('Balance Sheet'!$A$1:$H$35,Common_Size_BS!$A$35,Common_Size_BS!D$1)</f>
        <v>0.12774759666601535</v>
      </c>
      <c r="E31" s="32" cm="1">
        <f t="array" ref="E31">INDEX('Balance Sheet'!$A$1:$H$35,Common_Size_BS!$A31,Common_Size_BS!E$1)/INDEX('Balance Sheet'!$A$1:$H$35,Common_Size_BS!$A$35,Common_Size_BS!E$1)</f>
        <v>0.16843735656063122</v>
      </c>
      <c r="F31" s="32" cm="1">
        <f t="array" ref="F31">INDEX('Balance Sheet'!$A$1:$H$35,Common_Size_BS!$A31,Common_Size_BS!F$1)/INDEX('Balance Sheet'!$A$1:$H$35,Common_Size_BS!$A$35,Common_Size_BS!F$1)</f>
        <v>0.17974028994495697</v>
      </c>
      <c r="G31" s="32" cm="1">
        <f t="array" ref="G31">INDEX('Balance Sheet'!$A$1:$H$35,Common_Size_BS!$A31,Common_Size_BS!G$1)/INDEX('Balance Sheet'!$A$1:$H$35,Common_Size_BS!$A$35,Common_Size_BS!G$1)</f>
        <v>0.1633817436052358</v>
      </c>
      <c r="H31" s="32" cm="1">
        <f t="array" ref="H31">INDEX('Balance Sheet'!$A$1:$H$35,Common_Size_BS!$A31,Common_Size_BS!H$1)/INDEX('Balance Sheet'!$A$1:$H$35,Common_Size_BS!$A$35,Common_Size_BS!H$1)</f>
        <v>0.14203014220300234</v>
      </c>
      <c r="J31" s="27"/>
      <c r="K31" s="27"/>
      <c r="L31" s="27"/>
      <c r="M31" s="27"/>
      <c r="N31" s="27"/>
      <c r="O31" s="27"/>
    </row>
    <row r="32" spans="1:15" s="2" customFormat="1" ht="15.6" x14ac:dyDescent="0.3">
      <c r="A32" s="26">
        <f>MATCH(B32,'Balance Sheet'!B:B,)</f>
        <v>32</v>
      </c>
      <c r="B32" s="12" t="s">
        <v>27</v>
      </c>
      <c r="C32" s="32" cm="1">
        <f t="array" ref="C32">INDEX('Balance Sheet'!$A$1:$H$35,Common_Size_BS!$A32,Common_Size_BS!C$1)/INDEX('Balance Sheet'!$A$1:$H$35,Common_Size_BS!$A$35,Common_Size_BS!C$1)</f>
        <v>4.8458133418179276E-2</v>
      </c>
      <c r="D32" s="32" cm="1">
        <f t="array" ref="D32">INDEX('Balance Sheet'!$A$1:$H$35,Common_Size_BS!$A32,Common_Size_BS!D$1)/INDEX('Balance Sheet'!$A$1:$H$35,Common_Size_BS!$A$35,Common_Size_BS!D$1)</f>
        <v>2.9983377205858523E-2</v>
      </c>
      <c r="E32" s="32" cm="1">
        <f t="array" ref="E32">INDEX('Balance Sheet'!$A$1:$H$35,Common_Size_BS!$A32,Common_Size_BS!E$1)/INDEX('Balance Sheet'!$A$1:$H$35,Common_Size_BS!$A$35,Common_Size_BS!E$1)</f>
        <v>3.7604989460265525E-2</v>
      </c>
      <c r="F32" s="32" cm="1">
        <f t="array" ref="F32">INDEX('Balance Sheet'!$A$1:$H$35,Common_Size_BS!$A32,Common_Size_BS!F$1)/INDEX('Balance Sheet'!$A$1:$H$35,Common_Size_BS!$A$35,Common_Size_BS!F$1)</f>
        <v>3.2708737111403985E-2</v>
      </c>
      <c r="G32" s="32" cm="1">
        <f t="array" ref="G32">INDEX('Balance Sheet'!$A$1:$H$35,Common_Size_BS!$A32,Common_Size_BS!G$1)/INDEX('Balance Sheet'!$A$1:$H$35,Common_Size_BS!$A$35,Common_Size_BS!G$1)</f>
        <v>3.6225328823700241E-2</v>
      </c>
      <c r="H32" s="32" cm="1">
        <f t="array" ref="H32">INDEX('Balance Sheet'!$A$1:$H$35,Common_Size_BS!$A32,Common_Size_BS!H$1)/INDEX('Balance Sheet'!$A$1:$H$35,Common_Size_BS!$A$35,Common_Size_BS!H$1)</f>
        <v>2.5747274489099435E-2</v>
      </c>
      <c r="J32" s="27"/>
      <c r="K32" s="27"/>
      <c r="L32" s="27"/>
      <c r="M32" s="27"/>
      <c r="N32" s="27"/>
      <c r="O32" s="27"/>
    </row>
    <row r="33" spans="1:15" s="2" customFormat="1" ht="15.6" x14ac:dyDescent="0.3">
      <c r="A33" s="26">
        <f>MATCH(B33,'Balance Sheet'!B:B,)</f>
        <v>33</v>
      </c>
      <c r="B33" s="3" t="s">
        <v>28</v>
      </c>
      <c r="C33" s="32" cm="1">
        <f t="array" ref="C33">INDEX('Balance Sheet'!$A$1:$H$35,Common_Size_BS!$A33,Common_Size_BS!C$1)/INDEX('Balance Sheet'!$A$1:$H$35,Common_Size_BS!$A$35,Common_Size_BS!C$1)</f>
        <v>9.9800244757430767E-2</v>
      </c>
      <c r="D33" s="32" cm="1">
        <f t="array" ref="D33">INDEX('Balance Sheet'!$A$1:$H$35,Common_Size_BS!$A33,Common_Size_BS!D$1)/INDEX('Balance Sheet'!$A$1:$H$35,Common_Size_BS!$A$35,Common_Size_BS!D$1)</f>
        <v>0.24620390562023245</v>
      </c>
      <c r="E33" s="32" cm="1">
        <f t="array" ref="E33">INDEX('Balance Sheet'!$A$1:$H$35,Common_Size_BS!$A33,Common_Size_BS!E$1)/INDEX('Balance Sheet'!$A$1:$H$35,Common_Size_BS!$A$35,Common_Size_BS!E$1)</f>
        <v>0.1854984565651995</v>
      </c>
      <c r="F33" s="32" cm="1">
        <f t="array" ref="F33">INDEX('Balance Sheet'!$A$1:$H$35,Common_Size_BS!$A33,Common_Size_BS!F$1)/INDEX('Balance Sheet'!$A$1:$H$35,Common_Size_BS!$A$35,Common_Size_BS!F$1)</f>
        <v>0.18775719047988218</v>
      </c>
      <c r="G33" s="32" cm="1">
        <f t="array" ref="G33">INDEX('Balance Sheet'!$A$1:$H$35,Common_Size_BS!$A33,Common_Size_BS!G$1)/INDEX('Balance Sheet'!$A$1:$H$35,Common_Size_BS!$A$35,Common_Size_BS!G$1)</f>
        <v>0.18849662596256062</v>
      </c>
      <c r="H33" s="32" cm="1">
        <f t="array" ref="H33">INDEX('Balance Sheet'!$A$1:$H$35,Common_Size_BS!$A33,Common_Size_BS!H$1)/INDEX('Balance Sheet'!$A$1:$H$35,Common_Size_BS!$A$35,Common_Size_BS!H$1)</f>
        <v>0.17044934094181458</v>
      </c>
      <c r="J33" s="27"/>
      <c r="K33" s="27"/>
      <c r="L33" s="27"/>
      <c r="M33" s="27"/>
      <c r="N33" s="27"/>
      <c r="O33" s="27"/>
    </row>
    <row r="34" spans="1:15" s="2" customFormat="1" ht="15.6" x14ac:dyDescent="0.3">
      <c r="A34" s="26">
        <f>MATCH(B34,'Balance Sheet'!B:B,)</f>
        <v>34</v>
      </c>
      <c r="B34" s="5" t="s">
        <v>29</v>
      </c>
      <c r="C34" s="32" cm="1">
        <f t="array" ref="C34">INDEX('Balance Sheet'!$A$1:$H$35,Common_Size_BS!$A34,Common_Size_BS!C$1)/INDEX('Balance Sheet'!$A$1:$H$35,Common_Size_BS!$A$35,Common_Size_BS!C$1)</f>
        <v>0.46921806995704674</v>
      </c>
      <c r="D34" s="32" cm="1">
        <f t="array" ref="D34">INDEX('Balance Sheet'!$A$1:$H$35,Common_Size_BS!$A34,Common_Size_BS!D$1)/INDEX('Balance Sheet'!$A$1:$H$35,Common_Size_BS!$A$35,Common_Size_BS!D$1)</f>
        <v>0.59041847614241205</v>
      </c>
      <c r="E34" s="32" cm="1">
        <f t="array" ref="E34">INDEX('Balance Sheet'!$A$1:$H$35,Common_Size_BS!$A34,Common_Size_BS!E$1)/INDEX('Balance Sheet'!$A$1:$H$35,Common_Size_BS!$A$35,Common_Size_BS!E$1)</f>
        <v>0.65924266188662328</v>
      </c>
      <c r="F34" s="32" cm="1">
        <f t="array" ref="F34">INDEX('Balance Sheet'!$A$1:$H$35,Common_Size_BS!$A34,Common_Size_BS!F$1)/INDEX('Balance Sheet'!$A$1:$H$35,Common_Size_BS!$A$35,Common_Size_BS!F$1)</f>
        <v>0.64094736026048527</v>
      </c>
      <c r="G34" s="32" cm="1">
        <f t="array" ref="G34">INDEX('Balance Sheet'!$A$1:$H$35,Common_Size_BS!$A34,Common_Size_BS!G$1)/INDEX('Balance Sheet'!$A$1:$H$35,Common_Size_BS!$A$35,Common_Size_BS!G$1)</f>
        <v>0.58605157249560469</v>
      </c>
      <c r="H34" s="32" cm="1">
        <f t="array" ref="H34">INDEX('Balance Sheet'!$A$1:$H$35,Common_Size_BS!$A34,Common_Size_BS!H$1)/INDEX('Balance Sheet'!$A$1:$H$35,Common_Size_BS!$A$35,Common_Size_BS!H$1)</f>
        <v>0.55946373179741316</v>
      </c>
      <c r="J34" s="27"/>
      <c r="K34" s="27"/>
      <c r="L34" s="27"/>
      <c r="M34" s="27"/>
      <c r="N34" s="27"/>
      <c r="O34" s="27"/>
    </row>
    <row r="35" spans="1:15" s="2" customFormat="1" ht="15.6" x14ac:dyDescent="0.3">
      <c r="A35" s="26">
        <f>MATCH(B35,'Balance Sheet'!B:B,)</f>
        <v>35</v>
      </c>
      <c r="B35" s="5" t="s">
        <v>30</v>
      </c>
      <c r="C35" s="32" cm="1">
        <f t="array" ref="C35">INDEX('Balance Sheet'!$A$1:$H$35,Common_Size_BS!$A35,Common_Size_BS!C$1)/INDEX('Balance Sheet'!$A$1:$H$35,Common_Size_BS!$A$35,Common_Size_BS!C$1)</f>
        <v>1</v>
      </c>
      <c r="D35" s="32" cm="1">
        <f t="array" ref="D35">INDEX('Balance Sheet'!$A$1:$H$35,Common_Size_BS!$A35,Common_Size_BS!D$1)/INDEX('Balance Sheet'!$A$1:$H$35,Common_Size_BS!$A$35,Common_Size_BS!D$1)</f>
        <v>1</v>
      </c>
      <c r="E35" s="32" cm="1">
        <f t="array" ref="E35">INDEX('Balance Sheet'!$A$1:$H$35,Common_Size_BS!$A35,Common_Size_BS!E$1)/INDEX('Balance Sheet'!$A$1:$H$35,Common_Size_BS!$A$35,Common_Size_BS!E$1)</f>
        <v>1</v>
      </c>
      <c r="F35" s="32" cm="1">
        <f t="array" ref="F35">INDEX('Balance Sheet'!$A$1:$H$35,Common_Size_BS!$A35,Common_Size_BS!F$1)/INDEX('Balance Sheet'!$A$1:$H$35,Common_Size_BS!$A$35,Common_Size_BS!F$1)</f>
        <v>1</v>
      </c>
      <c r="G35" s="32" cm="1">
        <f t="array" ref="G35">INDEX('Balance Sheet'!$A$1:$H$35,Common_Size_BS!$A35,Common_Size_BS!G$1)/INDEX('Balance Sheet'!$A$1:$H$35,Common_Size_BS!$A$35,Common_Size_BS!G$1)</f>
        <v>1</v>
      </c>
      <c r="H35" s="32" cm="1">
        <f t="array" ref="H35">INDEX('Balance Sheet'!$A$1:$H$35,Common_Size_BS!$A35,Common_Size_BS!H$1)/INDEX('Balance Sheet'!$A$1:$H$35,Common_Size_BS!$A$35,Common_Size_BS!H$1)</f>
        <v>1</v>
      </c>
      <c r="J35" s="27"/>
      <c r="K35" s="27"/>
      <c r="L35" s="27"/>
      <c r="M35" s="27"/>
      <c r="N35" s="27"/>
      <c r="O35" s="27"/>
    </row>
  </sheetData>
  <mergeCells count="2">
    <mergeCell ref="B5:H5"/>
    <mergeCell ref="B26:H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2F01-B4A0-4CAA-B615-1FE3A205BF5F}">
  <sheetPr>
    <tabColor rgb="FFFDBA3D"/>
  </sheetPr>
  <dimension ref="A2:H30"/>
  <sheetViews>
    <sheetView showGridLines="0" zoomScaleNormal="100" workbookViewId="0">
      <selection activeCell="A2" sqref="A2:XFD2"/>
    </sheetView>
  </sheetViews>
  <sheetFormatPr defaultRowHeight="14.4" x14ac:dyDescent="0.3"/>
  <cols>
    <col min="1" max="1" width="2.77734375" customWidth="1"/>
    <col min="2" max="2" width="23.5546875" bestFit="1" customWidth="1"/>
    <col min="3" max="8" width="9.33203125" style="36" customWidth="1"/>
  </cols>
  <sheetData>
    <row r="2" spans="1:8" s="1" customFormat="1" ht="15.6" x14ac:dyDescent="0.3">
      <c r="A2" s="15" t="s">
        <v>76</v>
      </c>
    </row>
    <row r="3" spans="1:8" x14ac:dyDescent="0.3">
      <c r="B3" s="34"/>
    </row>
    <row r="4" spans="1:8" x14ac:dyDescent="0.3">
      <c r="B4" s="38" t="s">
        <v>56</v>
      </c>
      <c r="C4" s="39">
        <f>'Income Statement'!C4</f>
        <v>2020</v>
      </c>
      <c r="D4" s="39">
        <f>'Income Statement'!D4</f>
        <v>2021</v>
      </c>
      <c r="E4" s="39">
        <f>'Income Statement'!E4</f>
        <v>2022</v>
      </c>
      <c r="F4" s="39">
        <f>'Income Statement'!F4</f>
        <v>2023</v>
      </c>
      <c r="G4" s="39">
        <f>'Income Statement'!G4</f>
        <v>2024</v>
      </c>
      <c r="H4" s="39">
        <f>'Income Statement'!H4</f>
        <v>2025</v>
      </c>
    </row>
    <row r="5" spans="1:8" x14ac:dyDescent="0.3">
      <c r="B5" s="37" t="s">
        <v>57</v>
      </c>
      <c r="C5" s="40">
        <f>'Income Statement'!C19/'Income Statement'!C$5</f>
        <v>0.18235289751994557</v>
      </c>
      <c r="D5" s="40">
        <f>'Income Statement'!D19/'Income Statement'!D$5</f>
        <v>0.20114319716627854</v>
      </c>
      <c r="E5" s="40">
        <f>'Income Statement'!E19/'Income Statement'!E$5</f>
        <v>0.15007106216633767</v>
      </c>
      <c r="F5" s="40">
        <f>'Income Statement'!F19/'Income Statement'!F$5</f>
        <v>0.16783231787672392</v>
      </c>
      <c r="G5" s="40">
        <f>'Income Statement'!G19/'Income Statement'!G$5</f>
        <v>0.20904342701015041</v>
      </c>
      <c r="H5" s="40">
        <f>'Income Statement'!H19/'Income Statement'!H$5</f>
        <v>0.16376282162072264</v>
      </c>
    </row>
    <row r="6" spans="1:8" x14ac:dyDescent="0.3">
      <c r="B6" s="37" t="s">
        <v>58</v>
      </c>
      <c r="C6" s="40">
        <f>'Income Statement'!C27/'Income Statement'!C$5</f>
        <v>0.13750460758241079</v>
      </c>
      <c r="D6" s="40">
        <f>'Income Statement'!D27/'Income Statement'!D$5</f>
        <v>0.14768944939825795</v>
      </c>
      <c r="E6" s="40">
        <f>'Income Statement'!E27/'Income Statement'!E$5</f>
        <v>0.10600255383955619</v>
      </c>
      <c r="F6" s="40">
        <f>'Income Statement'!F27/'Income Statement'!F$5</f>
        <v>0.12164399878336583</v>
      </c>
      <c r="G6" s="40">
        <f>'Income Statement'!G27/'Income Statement'!G$5</f>
        <v>0.15657789198565522</v>
      </c>
      <c r="H6" s="40">
        <f>'Income Statement'!H27/'Income Statement'!H$5</f>
        <v>0.10941283480437775</v>
      </c>
    </row>
    <row r="7" spans="1:8" x14ac:dyDescent="0.3">
      <c r="B7" s="37" t="s">
        <v>59</v>
      </c>
      <c r="C7" s="40">
        <f>'Income Statement'!C$27/'Balance Sheet'!C$35</f>
        <v>0.17203216139876951</v>
      </c>
      <c r="D7" s="40">
        <f>'Income Statement'!D$27/'Balance Sheet'!D$35</f>
        <v>0.15742807180497234</v>
      </c>
      <c r="E7" s="40">
        <f>'Income Statement'!E$27/'Balance Sheet'!E$35</f>
        <v>0.13421291351326656</v>
      </c>
      <c r="F7" s="40">
        <f>'Income Statement'!F$27/'Balance Sheet'!F$35</f>
        <v>0.16262229630203906</v>
      </c>
      <c r="G7" s="40">
        <f>'Income Statement'!G$27/'Balance Sheet'!G$35</f>
        <v>0.18572628273741978</v>
      </c>
      <c r="H7" s="40">
        <f>'Income Statement'!H$27/'Balance Sheet'!H$35</f>
        <v>0.12214496744796188</v>
      </c>
    </row>
    <row r="8" spans="1:8" x14ac:dyDescent="0.3">
      <c r="B8" s="37" t="s">
        <v>60</v>
      </c>
      <c r="C8" s="40">
        <f>'Income Statement'!C$27/'Balance Sheet'!C$11</f>
        <v>0.26383347146156755</v>
      </c>
      <c r="D8" s="40">
        <f>'Income Statement'!D$27/'Balance Sheet'!D$11</f>
        <v>0.24240030538621157</v>
      </c>
      <c r="E8" s="40">
        <f>'Income Statement'!E$27/'Balance Sheet'!E$11</f>
        <v>0.21725406346463044</v>
      </c>
      <c r="F8" s="40">
        <f>'Income Statement'!F$27/'Balance Sheet'!F$11</f>
        <v>0.25509899433840333</v>
      </c>
      <c r="G8" s="40">
        <f>'Income Statement'!G$27/'Balance Sheet'!G$11</f>
        <v>0.28612961086673561</v>
      </c>
      <c r="H8" s="40">
        <f>'Income Statement'!H$27/'Balance Sheet'!H$11</f>
        <v>0.18493946622596816</v>
      </c>
    </row>
    <row r="10" spans="1:8" x14ac:dyDescent="0.3">
      <c r="B10" s="38" t="s">
        <v>61</v>
      </c>
      <c r="C10" s="39">
        <f>C$4</f>
        <v>2020</v>
      </c>
      <c r="D10" s="39">
        <f t="shared" ref="D10:H10" si="0">D$4</f>
        <v>2021</v>
      </c>
      <c r="E10" s="39">
        <f t="shared" si="0"/>
        <v>2022</v>
      </c>
      <c r="F10" s="39">
        <f t="shared" si="0"/>
        <v>2023</v>
      </c>
      <c r="G10" s="39">
        <f t="shared" si="0"/>
        <v>2024</v>
      </c>
      <c r="H10" s="39">
        <f t="shared" si="0"/>
        <v>2025</v>
      </c>
    </row>
    <row r="11" spans="1:8" x14ac:dyDescent="0.3">
      <c r="B11" s="37" t="s">
        <v>62</v>
      </c>
      <c r="C11" s="41">
        <f>'Balance Sheet'!C34/'Balance Sheet'!C23</f>
        <v>1.7304685894831044</v>
      </c>
      <c r="D11" s="41">
        <f>'Balance Sheet'!D34/'Balance Sheet'!D23</f>
        <v>2.0295113283135273</v>
      </c>
      <c r="E11" s="41">
        <f>'Balance Sheet'!E34/'Balance Sheet'!E23</f>
        <v>2.0013670603183997</v>
      </c>
      <c r="F11" s="41">
        <f>'Balance Sheet'!F34/'Balance Sheet'!F23</f>
        <v>2.0941371060787013</v>
      </c>
      <c r="G11" s="41">
        <f>'Balance Sheet'!G34/'Balance Sheet'!G23</f>
        <v>2.062950537351075</v>
      </c>
      <c r="H11" s="41">
        <f>'Balance Sheet'!H34/'Balance Sheet'!H23</f>
        <v>2.0871146006193171</v>
      </c>
    </row>
    <row r="12" spans="1:8" x14ac:dyDescent="0.3">
      <c r="B12" s="37" t="s">
        <v>63</v>
      </c>
      <c r="C12" s="41">
        <f>('Balance Sheet'!C34-'Balance Sheet'!C30)/'Balance Sheet'!C23</f>
        <v>0.95660650445851736</v>
      </c>
      <c r="D12" s="41">
        <f>('Balance Sheet'!D34-'Balance Sheet'!D30)/'Balance Sheet'!D23</f>
        <v>1.3884904469562223</v>
      </c>
      <c r="E12" s="41">
        <f>('Balance Sheet'!E34-'Balance Sheet'!E30)/'Balance Sheet'!E23</f>
        <v>1.1886622489264944</v>
      </c>
      <c r="F12" s="41">
        <f>('Balance Sheet'!F34-'Balance Sheet'!F30)/'Balance Sheet'!F23</f>
        <v>1.3075749151778195</v>
      </c>
      <c r="G12" s="41">
        <f>('Balance Sheet'!G34-'Balance Sheet'!G30)/'Balance Sheet'!G23</f>
        <v>1.3661574692740581</v>
      </c>
      <c r="H12" s="41">
        <f>('Balance Sheet'!H34-'Balance Sheet'!H30)/'Balance Sheet'!H23</f>
        <v>1.2617761689572706</v>
      </c>
    </row>
    <row r="14" spans="1:8" x14ac:dyDescent="0.3">
      <c r="B14" s="38" t="s">
        <v>64</v>
      </c>
      <c r="C14" s="39">
        <f>C$4</f>
        <v>2020</v>
      </c>
      <c r="D14" s="39">
        <f t="shared" ref="D14:H14" si="1">D$4</f>
        <v>2021</v>
      </c>
      <c r="E14" s="39">
        <f t="shared" si="1"/>
        <v>2022</v>
      </c>
      <c r="F14" s="39">
        <f t="shared" si="1"/>
        <v>2023</v>
      </c>
      <c r="G14" s="39">
        <f t="shared" si="1"/>
        <v>2024</v>
      </c>
      <c r="H14" s="39">
        <f t="shared" si="1"/>
        <v>2025</v>
      </c>
    </row>
    <row r="15" spans="1:8" x14ac:dyDescent="0.3">
      <c r="B15" s="37" t="s">
        <v>65</v>
      </c>
      <c r="C15" s="41">
        <f>'Balance Sheet'!C40/'Balance Sheet'!C11</f>
        <v>0.10479898307240862</v>
      </c>
      <c r="D15" s="41">
        <f>'Balance Sheet'!D40/'Balance Sheet'!D11</f>
        <v>8.2629647407429785E-2</v>
      </c>
      <c r="E15" s="41">
        <f>'Balance Sheet'!E40/'Balance Sheet'!E11</f>
        <v>0.1117592747140838</v>
      </c>
      <c r="F15" s="41">
        <f>'Balance Sheet'!F40/'Balance Sheet'!F11</f>
        <v>0.1175138590857655</v>
      </c>
      <c r="G15" s="41">
        <f>'Balance Sheet'!G40/'Balance Sheet'!G11</f>
        <v>0.12738986638989111</v>
      </c>
      <c r="H15" s="41">
        <f>'Balance Sheet'!H40/'Balance Sheet'!H11</f>
        <v>0.11417739125232751</v>
      </c>
    </row>
    <row r="16" spans="1:8" x14ac:dyDescent="0.3">
      <c r="B16" s="37" t="s">
        <v>66</v>
      </c>
      <c r="C16" s="41">
        <f>'Balance Sheet'!C40/'Balance Sheet'!C35</f>
        <v>6.8333996708093037E-2</v>
      </c>
      <c r="D16" s="41">
        <f>'Balance Sheet'!D40/'Balance Sheet'!D35</f>
        <v>5.3664231340594462E-2</v>
      </c>
      <c r="E16" s="41">
        <f>'Balance Sheet'!E40/'Balance Sheet'!E35</f>
        <v>6.9041460639693367E-2</v>
      </c>
      <c r="F16" s="41">
        <f>'Balance Sheet'!F40/'Balance Sheet'!F35</f>
        <v>7.4913559190634929E-2</v>
      </c>
      <c r="G16" s="41">
        <f>'Balance Sheet'!G40/'Balance Sheet'!G35</f>
        <v>8.2688562960477677E-2</v>
      </c>
      <c r="H16" s="41">
        <f>'Balance Sheet'!H40/'Balance Sheet'!H35</f>
        <v>7.5409505728585832E-2</v>
      </c>
    </row>
    <row r="17" spans="2:8" x14ac:dyDescent="0.3">
      <c r="B17" s="37" t="s">
        <v>67</v>
      </c>
      <c r="C17" s="41">
        <f>'Income Statement'!C19/'Income Statement'!C20</f>
        <v>36.01661291898759</v>
      </c>
      <c r="D17" s="41">
        <f>'Income Statement'!D19/'Income Statement'!D20</f>
        <v>47.663210738841002</v>
      </c>
      <c r="E17" s="41">
        <f>'Income Statement'!E19/'Income Statement'!E20</f>
        <v>45.773608636411275</v>
      </c>
      <c r="F17" s="41">
        <f>'Income Statement'!F19/'Income Statement'!F20</f>
        <v>40.071304949809644</v>
      </c>
      <c r="G17" s="41">
        <f>'Income Statement'!G19/'Income Statement'!G20</f>
        <v>36.164838914071233</v>
      </c>
      <c r="H17" s="41">
        <f>'Income Statement'!H19/'Income Statement'!H20</f>
        <v>24.458109417672482</v>
      </c>
    </row>
    <row r="19" spans="2:8" x14ac:dyDescent="0.3">
      <c r="B19" s="38" t="s">
        <v>68</v>
      </c>
      <c r="C19" s="39">
        <f>C$4</f>
        <v>2020</v>
      </c>
      <c r="D19" s="39">
        <f t="shared" ref="D19:H19" si="2">D$4</f>
        <v>2021</v>
      </c>
      <c r="E19" s="39">
        <f t="shared" si="2"/>
        <v>2022</v>
      </c>
      <c r="F19" s="39">
        <f t="shared" si="2"/>
        <v>2023</v>
      </c>
      <c r="G19" s="39">
        <f t="shared" si="2"/>
        <v>2024</v>
      </c>
      <c r="H19" s="39">
        <f t="shared" si="2"/>
        <v>2025</v>
      </c>
    </row>
    <row r="20" spans="2:8" x14ac:dyDescent="0.3">
      <c r="B20" s="37" t="s">
        <v>69</v>
      </c>
      <c r="C20" s="41">
        <f>'Income Statement'!C10/'Balance Sheet'!C30</f>
        <v>2.9770931114133243</v>
      </c>
      <c r="D20" s="41">
        <f>'Income Statement'!D10/'Balance Sheet'!D30</f>
        <v>2.7160243247512241</v>
      </c>
      <c r="E20" s="41">
        <f>'Income Statement'!E10/'Balance Sheet'!E30</f>
        <v>2.6417427002850653</v>
      </c>
      <c r="F20" s="41">
        <f>'Income Statement'!F10/'Balance Sheet'!F30</f>
        <v>2.7904660389267453</v>
      </c>
      <c r="G20" s="41">
        <f>'Income Statement'!G10/'Balance Sheet'!G30</f>
        <v>2.6788977970459582</v>
      </c>
      <c r="H20" s="41">
        <f>'Income Statement'!H10/'Balance Sheet'!H30</f>
        <v>2.3505410557992161</v>
      </c>
    </row>
    <row r="21" spans="2:8" x14ac:dyDescent="0.3">
      <c r="B21" s="37" t="s">
        <v>70</v>
      </c>
      <c r="C21" s="41">
        <f>'Income Statement'!C5/'Balance Sheet'!C31</f>
        <v>11.258369447755706</v>
      </c>
      <c r="D21" s="41">
        <f>'Income Statement'!D5/'Balance Sheet'!D31</f>
        <v>8.3441089552181449</v>
      </c>
      <c r="E21" s="41">
        <f>'Income Statement'!E5/'Balance Sheet'!E31</f>
        <v>7.5169136032070751</v>
      </c>
      <c r="F21" s="41">
        <f>'Income Statement'!F5/'Balance Sheet'!F31</f>
        <v>7.4377908707035258</v>
      </c>
      <c r="G21" s="41">
        <f>'Income Statement'!G5/'Balance Sheet'!G31</f>
        <v>7.2600464302880914</v>
      </c>
      <c r="H21" s="41">
        <f>'Income Statement'!H5/'Balance Sheet'!H31</f>
        <v>7.8600767331610131</v>
      </c>
    </row>
    <row r="22" spans="2:8" x14ac:dyDescent="0.3">
      <c r="B22" s="37" t="s">
        <v>71</v>
      </c>
      <c r="C22" s="41">
        <f>'Income Statement'!C5/'Balance Sheet'!C35</f>
        <v>1.2511010679817787</v>
      </c>
      <c r="D22" s="41">
        <f>'Income Statement'!D5/'Balance Sheet'!D35</f>
        <v>1.0659398653484944</v>
      </c>
      <c r="E22" s="41">
        <f>'Income Statement'!E5/'Balance Sheet'!E35</f>
        <v>1.2661290568188492</v>
      </c>
      <c r="F22" s="41">
        <f>'Income Statement'!F5/'Balance Sheet'!F35</f>
        <v>1.3368706876502057</v>
      </c>
      <c r="G22" s="41">
        <f>'Income Statement'!G5/'Balance Sheet'!G35</f>
        <v>1.1861590444354364</v>
      </c>
      <c r="H22" s="41">
        <f>'Income Statement'!H5/'Balance Sheet'!H35</f>
        <v>1.1163678161373689</v>
      </c>
    </row>
    <row r="24" spans="2:8" x14ac:dyDescent="0.3">
      <c r="B24" s="38" t="s">
        <v>72</v>
      </c>
      <c r="C24" s="39">
        <f>C$4</f>
        <v>2020</v>
      </c>
      <c r="D24" s="39">
        <f t="shared" ref="D24:H24" si="3">D$4</f>
        <v>2021</v>
      </c>
      <c r="E24" s="39">
        <f t="shared" si="3"/>
        <v>2022</v>
      </c>
      <c r="F24" s="39">
        <f t="shared" si="3"/>
        <v>2023</v>
      </c>
      <c r="G24" s="39">
        <f t="shared" si="3"/>
        <v>2024</v>
      </c>
      <c r="H24" s="39">
        <f t="shared" si="3"/>
        <v>2025</v>
      </c>
    </row>
    <row r="25" spans="2:8" x14ac:dyDescent="0.3">
      <c r="B25" s="37" t="s">
        <v>73</v>
      </c>
      <c r="C25" s="41">
        <f>'Income Statement'!C27/'Balance Sheet'!C39</f>
        <v>28.973586354906008</v>
      </c>
      <c r="D25" s="41">
        <f>'Income Statement'!D27/'Balance Sheet'!D39</f>
        <v>33.431582447661825</v>
      </c>
      <c r="E25" s="41">
        <f>'Income Statement'!E27/'Balance Sheet'!E39</f>
        <v>32.160311795547393</v>
      </c>
      <c r="F25" s="41">
        <f>'Income Statement'!F27/'Balance Sheet'!F39</f>
        <v>43.737903107554111</v>
      </c>
      <c r="G25" s="41">
        <f>'Income Statement'!G27/'Balance Sheet'!G39</f>
        <v>57.941021736507494</v>
      </c>
      <c r="H25" s="41">
        <f>'Income Statement'!H27/'Balance Sheet'!H39</f>
        <v>38.675130809048319</v>
      </c>
    </row>
    <row r="26" spans="2:8" x14ac:dyDescent="0.3">
      <c r="B26" s="37" t="s">
        <v>74</v>
      </c>
      <c r="C26" s="41">
        <f>C30/C25</f>
        <v>57.517905432435938</v>
      </c>
      <c r="D26" s="41">
        <f t="shared" ref="D26:H26" si="4">D30/D25</f>
        <v>75.898291801543593</v>
      </c>
      <c r="E26" s="41">
        <f t="shared" si="4"/>
        <v>95.768661062123783</v>
      </c>
      <c r="F26" s="41">
        <f t="shared" si="4"/>
        <v>63.140887051876682</v>
      </c>
      <c r="G26" s="41">
        <f t="shared" si="4"/>
        <v>49.131857096788458</v>
      </c>
      <c r="H26" s="41">
        <f t="shared" si="4"/>
        <v>60.520803706044312</v>
      </c>
    </row>
    <row r="27" spans="2:8" x14ac:dyDescent="0.3">
      <c r="B27" s="37" t="s">
        <v>75</v>
      </c>
      <c r="C27" s="45">
        <v>0.51100000000000001</v>
      </c>
      <c r="D27" s="45">
        <v>0.56100000000000005</v>
      </c>
      <c r="E27" s="45">
        <v>0.58599999999999997</v>
      </c>
      <c r="F27" s="45">
        <v>0.6</v>
      </c>
      <c r="G27" s="45">
        <v>0.6</v>
      </c>
      <c r="H27" s="45">
        <v>0.6</v>
      </c>
    </row>
    <row r="30" spans="2:8" x14ac:dyDescent="0.3">
      <c r="B30" t="s">
        <v>78</v>
      </c>
      <c r="C30" s="43">
        <v>1666.5</v>
      </c>
      <c r="D30" s="43">
        <v>2537.4</v>
      </c>
      <c r="E30" s="43">
        <v>3079.95</v>
      </c>
      <c r="F30" s="43">
        <v>2761.65</v>
      </c>
      <c r="G30" s="43">
        <v>2846.75</v>
      </c>
      <c r="H30" s="43">
        <v>2340.65</v>
      </c>
    </row>
  </sheetData>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5DA71-C8BA-43D8-A46D-880CDD3430F4}">
  <sheetPr>
    <tabColor rgb="FFFDBA3D"/>
  </sheetPr>
  <dimension ref="A1:H15"/>
  <sheetViews>
    <sheetView showGridLines="0" zoomScale="65" zoomScaleNormal="100" workbookViewId="0">
      <selection activeCell="D21" sqref="D21"/>
    </sheetView>
  </sheetViews>
  <sheetFormatPr defaultRowHeight="14.4" outlineLevelCol="1" x14ac:dyDescent="0.3"/>
  <cols>
    <col min="1" max="1" width="2.77734375" customWidth="1"/>
    <col min="2" max="2" width="26" bestFit="1" customWidth="1"/>
    <col min="3" max="3" width="12.77734375" hidden="1" customWidth="1" outlineLevel="1"/>
    <col min="4" max="4" width="11.77734375" bestFit="1" customWidth="1" collapsed="1"/>
    <col min="5" max="8" width="11.77734375" bestFit="1" customWidth="1"/>
  </cols>
  <sheetData>
    <row r="1" spans="1:8" ht="15.6" x14ac:dyDescent="0.3">
      <c r="A1" s="2"/>
      <c r="B1" s="2"/>
      <c r="C1" s="26">
        <f>MATCH(C4,'Income Statement'!$4:$4,0)</f>
        <v>3</v>
      </c>
      <c r="D1" s="26">
        <f>MATCH(D4,'Income Statement'!$4:$4,0)</f>
        <v>4</v>
      </c>
      <c r="E1" s="26">
        <f>MATCH(E4,'Income Statement'!$4:$4,0)</f>
        <v>5</v>
      </c>
      <c r="F1" s="26">
        <f>MATCH(F4,'Income Statement'!$4:$4,0)</f>
        <v>6</v>
      </c>
      <c r="G1" s="26">
        <f>MATCH(G4,'Income Statement'!$4:$4,0)</f>
        <v>7</v>
      </c>
      <c r="H1" s="26">
        <f>MATCH(H4,'Income Statement'!$4:$4,0)</f>
        <v>8</v>
      </c>
    </row>
    <row r="2" spans="1:8" s="1" customFormat="1" ht="15.6" x14ac:dyDescent="0.3">
      <c r="A2" s="15" t="s">
        <v>79</v>
      </c>
    </row>
    <row r="3" spans="1:8" ht="15.6" x14ac:dyDescent="0.3">
      <c r="A3" s="2"/>
      <c r="B3" s="2"/>
      <c r="C3" s="2"/>
      <c r="D3" s="2"/>
      <c r="E3" s="2"/>
      <c r="F3" s="2"/>
      <c r="G3" s="2"/>
      <c r="H3" s="2"/>
    </row>
    <row r="4" spans="1:8" ht="15.6" x14ac:dyDescent="0.3">
      <c r="A4" s="2"/>
      <c r="B4" s="13" t="s">
        <v>0</v>
      </c>
      <c r="C4" s="16">
        <f>'Income Statement'!C4</f>
        <v>2020</v>
      </c>
      <c r="D4" s="16">
        <f>'Income Statement'!D4</f>
        <v>2021</v>
      </c>
      <c r="E4" s="16">
        <f>'Income Statement'!E4</f>
        <v>2022</v>
      </c>
      <c r="F4" s="16">
        <f>'Income Statement'!F4</f>
        <v>2023</v>
      </c>
      <c r="G4" s="16">
        <f>'Income Statement'!G4</f>
        <v>2024</v>
      </c>
      <c r="H4" s="16">
        <f>'Income Statement'!H4</f>
        <v>2025</v>
      </c>
    </row>
    <row r="5" spans="1:8" ht="15.6" x14ac:dyDescent="0.3">
      <c r="A5" s="26">
        <f>MATCH($B5,'Income Statement'!$B:$B,0)</f>
        <v>5</v>
      </c>
      <c r="B5" s="5" t="s">
        <v>53</v>
      </c>
      <c r="C5" s="51" cm="1">
        <f t="array" ref="C5">INDEX('Income Statement'!$A$1:$H$27,Trend_Analysis!$A5,Trend_Analysis!C$1)</f>
        <v>20211.25</v>
      </c>
      <c r="D5" s="51" cm="1">
        <f t="array" ref="D5">INDEX('Income Statement'!$A$1:$H$27,Trend_Analysis!$A5,Trend_Analysis!D$1)</f>
        <v>21712.79</v>
      </c>
      <c r="E5" s="51" cm="1">
        <f t="array" ref="E5">INDEX('Income Statement'!$A$1:$H$27,Trend_Analysis!$A5,Trend_Analysis!E$1)</f>
        <v>29101.279999999999</v>
      </c>
      <c r="F5" s="51" cm="1">
        <f t="array" ref="F5">INDEX('Income Statement'!$A$1:$H$27,Trend_Analysis!$A5,Trend_Analysis!F$1)</f>
        <v>34488.590000000004</v>
      </c>
      <c r="G5" s="51" cm="1">
        <f t="array" ref="G5">INDEX('Income Statement'!$A$1:$H$27,Trend_Analysis!$A5,Trend_Analysis!G$1)</f>
        <v>35494.729999999996</v>
      </c>
      <c r="H5" s="51" cm="1">
        <f t="array" ref="H5">INDEX('Income Statement'!$A$1:$H$27,Trend_Analysis!$A5,Trend_Analysis!H$1)</f>
        <v>33905.620000000003</v>
      </c>
    </row>
    <row r="6" spans="1:8" ht="15.6" x14ac:dyDescent="0.3">
      <c r="A6" s="26"/>
      <c r="B6" s="47" t="s">
        <v>80</v>
      </c>
      <c r="C6" s="52"/>
      <c r="D6" s="53">
        <f>D5/C5 -1</f>
        <v>7.4292287711052118E-2</v>
      </c>
      <c r="E6" s="53">
        <f t="shared" ref="E6:H6" si="0">E5/D5 -1</f>
        <v>0.34028284711453471</v>
      </c>
      <c r="F6" s="53">
        <f t="shared" si="0"/>
        <v>0.18512278497715573</v>
      </c>
      <c r="G6" s="53">
        <f t="shared" si="0"/>
        <v>2.9173126532571869E-2</v>
      </c>
      <c r="H6" s="53">
        <f t="shared" si="0"/>
        <v>-4.4770308155604899E-2</v>
      </c>
    </row>
    <row r="7" spans="1:8" ht="15.6" x14ac:dyDescent="0.3">
      <c r="A7" s="26"/>
      <c r="B7" s="2"/>
      <c r="C7" s="50"/>
      <c r="D7" s="50"/>
      <c r="E7" s="50"/>
      <c r="F7" s="50"/>
      <c r="G7" s="50"/>
      <c r="H7" s="50"/>
    </row>
    <row r="8" spans="1:8" ht="15.6" x14ac:dyDescent="0.3">
      <c r="A8" s="26">
        <f>MATCH($B8,'Income Statement'!$B:$B,0)</f>
        <v>27</v>
      </c>
      <c r="B8" s="5" t="s">
        <v>8</v>
      </c>
      <c r="C8" s="46" cm="1">
        <f t="array" ref="C8">INDEX('Income Statement'!$A$1:$H$27,Trend_Analysis!$A8,Trend_Analysis!C$1)</f>
        <v>2779.14</v>
      </c>
      <c r="D8" s="46" cm="1">
        <f t="array" ref="D8">INDEX('Income Statement'!$A$1:$H$27,Trend_Analysis!$A8,Trend_Analysis!D$1)</f>
        <v>3206.7500000000014</v>
      </c>
      <c r="E8" s="46" cm="1">
        <f t="array" ref="E8">INDEX('Income Statement'!$A$1:$H$27,Trend_Analysis!$A8,Trend_Analysis!E$1)</f>
        <v>3084.8099999999995</v>
      </c>
      <c r="F8" s="46" cm="1">
        <f t="array" ref="F8">INDEX('Income Statement'!$A$1:$H$27,Trend_Analysis!$A8,Trend_Analysis!F$1)</f>
        <v>4195.3300000000036</v>
      </c>
      <c r="G8" s="46" cm="1">
        <f t="array" ref="G8">INDEX('Income Statement'!$A$1:$H$27,Trend_Analysis!$A8,Trend_Analysis!G$1)</f>
        <v>5557.6899999999951</v>
      </c>
      <c r="H8" s="46" cm="1">
        <f t="array" ref="H8">INDEX('Income Statement'!$A$1:$H$27,Trend_Analysis!$A8,Trend_Analysis!H$1)</f>
        <v>3709.7100000000064</v>
      </c>
    </row>
    <row r="9" spans="1:8" ht="15.6" x14ac:dyDescent="0.3">
      <c r="A9" s="26"/>
      <c r="B9" s="47" t="s">
        <v>80</v>
      </c>
      <c r="C9" s="29"/>
      <c r="D9" s="48">
        <f>D8/C8 -1</f>
        <v>0.15386414502328116</v>
      </c>
      <c r="E9" s="48">
        <f t="shared" ref="E9" si="1">E8/D8 -1</f>
        <v>-3.8026038824355402E-2</v>
      </c>
      <c r="F9" s="48">
        <f t="shared" ref="F9" si="2">F8/E8 -1</f>
        <v>0.35999623963874727</v>
      </c>
      <c r="G9" s="48">
        <f t="shared" ref="G9" si="3">G8/F8 -1</f>
        <v>0.32473250018472699</v>
      </c>
      <c r="H9" s="48">
        <f t="shared" ref="H9" si="4">H8/G8 -1</f>
        <v>-0.33250865017660036</v>
      </c>
    </row>
    <row r="10" spans="1:8" ht="15.6" x14ac:dyDescent="0.3">
      <c r="A10" s="26"/>
      <c r="B10" s="49"/>
      <c r="C10" s="50"/>
      <c r="D10" s="50"/>
      <c r="E10" s="50"/>
      <c r="F10" s="50"/>
      <c r="G10" s="50"/>
      <c r="H10" s="50"/>
    </row>
    <row r="11" spans="1:8" ht="15.6" x14ac:dyDescent="0.3">
      <c r="A11" s="26">
        <f>MATCH($B11,'Balance Sheet'!$B:$B,0)</f>
        <v>35</v>
      </c>
      <c r="B11" s="5" t="s">
        <v>81</v>
      </c>
      <c r="C11" s="46" cm="1">
        <f t="array" ref="C11">INDEX('Balance Sheet'!$A$1:$H$35,Trend_Analysis!$A11,Trend_Analysis!C$1)</f>
        <v>16154.77</v>
      </c>
      <c r="D11" s="46" cm="1">
        <f t="array" ref="D11">INDEX('Balance Sheet'!$A$1:$H$35,Trend_Analysis!$A11,Trend_Analysis!D$1)</f>
        <v>20369.620000000003</v>
      </c>
      <c r="E11" s="46" cm="1">
        <f t="array" ref="E11">INDEX('Balance Sheet'!$A$1:$H$35,Trend_Analysis!$A11,Trend_Analysis!E$1)</f>
        <v>22984.45</v>
      </c>
      <c r="F11" s="46" cm="1">
        <f t="array" ref="F11">INDEX('Balance Sheet'!$A$1:$H$35,Trend_Analysis!$A11,Trend_Analysis!F$1)</f>
        <v>25798</v>
      </c>
      <c r="G11" s="46" cm="1">
        <f t="array" ref="G11">INDEX('Balance Sheet'!$A$1:$H$35,Trend_Analysis!$A11,Trend_Analysis!G$1)</f>
        <v>29924.089999999997</v>
      </c>
      <c r="H11" s="46" cm="1">
        <f t="array" ref="H11">INDEX('Balance Sheet'!$A$1:$H$35,Trend_Analysis!$A11,Trend_Analysis!H$1)</f>
        <v>30371.370000000003</v>
      </c>
    </row>
    <row r="12" spans="1:8" ht="15.6" x14ac:dyDescent="0.3">
      <c r="A12" s="26"/>
      <c r="B12" s="47" t="s">
        <v>80</v>
      </c>
      <c r="C12" s="29"/>
      <c r="D12" s="48">
        <f>D11/C11 -1</f>
        <v>0.26090436446944176</v>
      </c>
      <c r="E12" s="48">
        <f t="shared" ref="E12" si="5">E11/D11 -1</f>
        <v>0.12836911046941468</v>
      </c>
      <c r="F12" s="48">
        <f t="shared" ref="F12" si="6">F11/E11 -1</f>
        <v>0.12241102136444426</v>
      </c>
      <c r="G12" s="48">
        <f t="shared" ref="G12" si="7">G11/F11 -1</f>
        <v>0.15993836731529565</v>
      </c>
      <c r="H12" s="48">
        <f t="shared" ref="H12" si="8">H11/G11 -1</f>
        <v>1.4947154616899105E-2</v>
      </c>
    </row>
    <row r="13" spans="1:8" ht="15.6" x14ac:dyDescent="0.3">
      <c r="A13" s="26"/>
      <c r="B13" s="49"/>
      <c r="C13" s="50"/>
      <c r="D13" s="50"/>
      <c r="E13" s="50"/>
      <c r="F13" s="50"/>
      <c r="G13" s="50"/>
      <c r="H13" s="50"/>
    </row>
    <row r="14" spans="1:8" ht="15.6" x14ac:dyDescent="0.3">
      <c r="A14" s="26">
        <f>MATCH($B14,'Balance Sheet'!$B:$B,0)</f>
        <v>40</v>
      </c>
      <c r="B14" s="5" t="s">
        <v>32</v>
      </c>
      <c r="C14" s="46" cm="1">
        <f t="array" ref="C14">INDEX('Balance Sheet'!$A$1:$H$41,Trend_Analysis!$A14,Trend_Analysis!C$1)</f>
        <v>1103.92</v>
      </c>
      <c r="D14" s="46" cm="1">
        <f t="array" ref="D14">INDEX('Balance Sheet'!$A$1:$H$41,Trend_Analysis!$A14,Trend_Analysis!D$1)</f>
        <v>1093.1199999999999</v>
      </c>
      <c r="E14" s="46" cm="1">
        <f t="array" ref="E14">INDEX('Balance Sheet'!$A$1:$H$41,Trend_Analysis!$A14,Trend_Analysis!E$1)</f>
        <v>1586.88</v>
      </c>
      <c r="F14" s="46" cm="1">
        <f t="array" ref="F14">INDEX('Balance Sheet'!$A$1:$H$41,Trend_Analysis!$A14,Trend_Analysis!F$1)</f>
        <v>1932.62</v>
      </c>
      <c r="G14" s="46" cm="1">
        <f t="array" ref="G14">INDEX('Balance Sheet'!$A$1:$H$41,Trend_Analysis!$A14,Trend_Analysis!G$1)</f>
        <v>2474.38</v>
      </c>
      <c r="H14" s="46" cm="1">
        <f t="array" ref="H14">INDEX('Balance Sheet'!$A$1:$H$41,Trend_Analysis!$A14,Trend_Analysis!H$1)</f>
        <v>2290.29</v>
      </c>
    </row>
    <row r="15" spans="1:8" ht="15.6" x14ac:dyDescent="0.3">
      <c r="B15" s="47" t="s">
        <v>80</v>
      </c>
      <c r="C15" s="29"/>
      <c r="D15" s="48">
        <f>D14/C14 -1</f>
        <v>-9.7833176317125847E-3</v>
      </c>
      <c r="E15" s="48">
        <f t="shared" ref="E15" si="9">E14/D14 -1</f>
        <v>0.45169789227166302</v>
      </c>
      <c r="F15" s="48">
        <f t="shared" ref="F15" si="10">F14/E14 -1</f>
        <v>0.21787406735228854</v>
      </c>
      <c r="G15" s="48">
        <f t="shared" ref="G15" si="11">G14/F14 -1</f>
        <v>0.28032411958895187</v>
      </c>
      <c r="H15" s="48">
        <f t="shared" ref="H15" si="12">H14/G14 -1</f>
        <v>-7.4398435163556154E-2</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618D4-880C-4832-AA97-FB7CFBF27BC5}">
  <sheetPr>
    <tabColor rgb="FFFDBA3D"/>
  </sheetPr>
  <dimension ref="A1"/>
  <sheetViews>
    <sheetView showGridLines="0" zoomScale="85" zoomScaleNormal="85" workbookViewId="0">
      <selection activeCell="Z20" sqref="Z20"/>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Project</vt:lpstr>
      <vt:lpstr>Executive Summary</vt:lpstr>
      <vt:lpstr>Introduction</vt:lpstr>
      <vt:lpstr>Company_Profile</vt:lpstr>
      <vt:lpstr>Industry &amp; Business Model</vt:lpstr>
      <vt:lpstr>Past Financials&gt;&gt;&gt;</vt:lpstr>
      <vt:lpstr>Income Statement</vt:lpstr>
      <vt:lpstr>Balance Sheet</vt:lpstr>
      <vt:lpstr>Analysis&gt;&gt;&gt;</vt:lpstr>
      <vt:lpstr>CFS_Analysis</vt:lpstr>
      <vt:lpstr>Common Size_IS</vt:lpstr>
      <vt:lpstr>Common_Size_BS</vt:lpstr>
      <vt:lpstr>Ratio_Analysis</vt:lpstr>
      <vt:lpstr>Trend_Analysis</vt:lpstr>
      <vt:lpstr>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Ambika goel</dc:creator>
  <cp:lastModifiedBy>Ambika goel</cp:lastModifiedBy>
  <dcterms:created xsi:type="dcterms:W3CDTF">2026-03-10T06:32:22Z</dcterms:created>
  <dcterms:modified xsi:type="dcterms:W3CDTF">2026-03-14T04:38:10Z</dcterms:modified>
</cp:coreProperties>
</file>