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hima.prasad.UPGRAD\Desktop\Final Datasets\"/>
    </mc:Choice>
  </mc:AlternateContent>
  <xr:revisionPtr revIDLastSave="0" documentId="13_ncr:1_{0D46190C-609B-40C9-B74A-07DD2E4A3F02}" xr6:coauthVersionLast="43" xr6:coauthVersionMax="43" xr10:uidLastSave="{00000000-0000-0000-0000-000000000000}"/>
  <bookViews>
    <workbookView xWindow="-120" yWindow="-120" windowWidth="20730" windowHeight="11160" activeTab="2" xr2:uid="{00000000-000D-0000-FFFF-FFFF00000000}"/>
  </bookViews>
  <sheets>
    <sheet name="Diabetes Example Data (1)" sheetId="1" r:id="rId1"/>
    <sheet name="Diabetes Data Encoded" sheetId="2" r:id="rId2"/>
    <sheet name="Model" sheetId="3" r:id="rId3"/>
  </sheets>
  <externalReferences>
    <externalReference r:id="rId4"/>
  </externalReferenc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B17" i="3" l="1" a="1"/>
  <c r="A18" i="3" a="1"/>
  <c r="A18" i="3" s="1"/>
  <c r="P19" i="3"/>
  <c r="A3" i="3"/>
  <c r="B3" i="2"/>
  <c r="B4" i="2"/>
  <c r="B5" i="2"/>
  <c r="B6" i="2"/>
  <c r="B7" i="2"/>
  <c r="B8" i="2"/>
  <c r="B9" i="2"/>
  <c r="B10" i="2"/>
  <c r="B11" i="2"/>
  <c r="B2" i="2"/>
  <c r="A4" i="3" a="1"/>
  <c r="B4" i="3" l="1"/>
  <c r="C5" i="3"/>
  <c r="A7" i="3"/>
  <c r="B8" i="3"/>
  <c r="C9" i="3"/>
  <c r="A11" i="3"/>
  <c r="B12" i="3"/>
  <c r="D12" i="3" s="1"/>
  <c r="E12" i="3" s="1"/>
  <c r="C13" i="3"/>
  <c r="A5" i="3"/>
  <c r="B6" i="3"/>
  <c r="C7" i="3"/>
  <c r="A9" i="3"/>
  <c r="B10" i="3"/>
  <c r="C11" i="3"/>
  <c r="A13" i="3"/>
  <c r="A4" i="3"/>
  <c r="P7" i="3" s="1"/>
  <c r="B5" i="3"/>
  <c r="C6" i="3"/>
  <c r="A8" i="3"/>
  <c r="B9" i="3"/>
  <c r="C10" i="3"/>
  <c r="A12" i="3"/>
  <c r="B13" i="3"/>
  <c r="C4" i="3"/>
  <c r="C14" i="3" s="1"/>
  <c r="Y6" i="3" s="1"/>
  <c r="A6" i="3"/>
  <c r="B7" i="3"/>
  <c r="C8" i="3"/>
  <c r="A10" i="3"/>
  <c r="B11" i="3"/>
  <c r="C12" i="3"/>
  <c r="M5" i="3" a="1"/>
  <c r="D11" i="3" l="1"/>
  <c r="E11" i="3" s="1"/>
  <c r="D5" i="3"/>
  <c r="E5" i="3" s="1"/>
  <c r="D8" i="3"/>
  <c r="E8" i="3" s="1"/>
  <c r="M5" i="3"/>
  <c r="B17" i="3" s="1"/>
  <c r="F17" i="3" s="1"/>
  <c r="M6" i="3"/>
  <c r="B18" i="3" s="1"/>
  <c r="F18" i="3" s="1"/>
  <c r="D9" i="3"/>
  <c r="E9" i="3" s="1"/>
  <c r="D13" i="3"/>
  <c r="E13" i="3" s="1"/>
  <c r="D7" i="3"/>
  <c r="E7" i="3" s="1"/>
  <c r="D6" i="3"/>
  <c r="E6" i="3" s="1"/>
  <c r="D10" i="3"/>
  <c r="E10" i="3" s="1"/>
  <c r="D4" i="3"/>
  <c r="B14" i="3"/>
  <c r="F8" i="3"/>
  <c r="F9" i="3"/>
  <c r="F5" i="3" l="1"/>
  <c r="G5" i="3" s="1"/>
  <c r="F12" i="3"/>
  <c r="G12" i="3" s="1"/>
  <c r="H12" i="3" s="1"/>
  <c r="K12" i="3" s="1"/>
  <c r="F6" i="3"/>
  <c r="F13" i="3"/>
  <c r="F7" i="3"/>
  <c r="G7" i="3" s="1"/>
  <c r="H7" i="3" s="1"/>
  <c r="K7" i="3" s="1"/>
  <c r="F4" i="3"/>
  <c r="G4" i="3" s="1"/>
  <c r="F11" i="3"/>
  <c r="F10" i="3"/>
  <c r="Y4" i="3"/>
  <c r="Y5" i="3" s="1"/>
  <c r="Y8" i="3" s="1"/>
  <c r="X4" i="3"/>
  <c r="X6" i="3"/>
  <c r="D14" i="3"/>
  <c r="P3" i="3" s="1"/>
  <c r="P17" i="3"/>
  <c r="E4" i="3"/>
  <c r="I4" i="3" s="1"/>
  <c r="J11" i="3"/>
  <c r="G11" i="3"/>
  <c r="H11" i="3" s="1"/>
  <c r="K11" i="3" s="1"/>
  <c r="I11" i="3"/>
  <c r="J10" i="3"/>
  <c r="I10" i="3"/>
  <c r="G10" i="3"/>
  <c r="J9" i="3"/>
  <c r="G9" i="3"/>
  <c r="H9" i="3" s="1"/>
  <c r="K9" i="3" s="1"/>
  <c r="I9" i="3"/>
  <c r="J8" i="3"/>
  <c r="G8" i="3"/>
  <c r="I8" i="3"/>
  <c r="J13" i="3"/>
  <c r="G13" i="3"/>
  <c r="I13" i="3"/>
  <c r="J7" i="3"/>
  <c r="J4" i="3"/>
  <c r="J5" i="3"/>
  <c r="I5" i="3"/>
  <c r="J12" i="3"/>
  <c r="J6" i="3"/>
  <c r="I6" i="3"/>
  <c r="G6" i="3"/>
  <c r="H6" i="3" s="1"/>
  <c r="K6" i="3" s="1"/>
  <c r="AB5" i="3" a="1"/>
  <c r="H5" i="3" l="1"/>
  <c r="K5" i="3"/>
  <c r="I12" i="3"/>
  <c r="I7" i="3"/>
  <c r="AC6" i="3"/>
  <c r="AD11" i="3"/>
  <c r="AD6" i="3"/>
  <c r="AB12" i="3"/>
  <c r="AC7" i="3"/>
  <c r="AD12" i="3"/>
  <c r="AC8" i="3"/>
  <c r="AD13" i="3"/>
  <c r="AD7" i="3"/>
  <c r="AB13" i="3"/>
  <c r="AB8" i="3"/>
  <c r="AC13" i="3"/>
  <c r="AD8" i="3"/>
  <c r="AB14" i="3"/>
  <c r="AD9" i="3"/>
  <c r="AB5" i="3"/>
  <c r="AC10" i="3"/>
  <c r="AC5" i="3"/>
  <c r="AE5" i="3" s="1"/>
  <c r="AE6" i="3" s="1"/>
  <c r="AE7" i="3" s="1"/>
  <c r="AE8" i="3" s="1"/>
  <c r="AD10" i="3"/>
  <c r="AB6" i="3"/>
  <c r="AC11" i="3"/>
  <c r="AB7" i="3"/>
  <c r="AC12" i="3"/>
  <c r="AB9" i="3"/>
  <c r="AC14" i="3"/>
  <c r="AC9" i="3"/>
  <c r="AD14" i="3"/>
  <c r="AB10" i="3"/>
  <c r="AD5" i="3"/>
  <c r="AF5" i="3" s="1"/>
  <c r="AF6" i="3" s="1"/>
  <c r="AF7" i="3" s="1"/>
  <c r="AF8" i="3" s="1"/>
  <c r="AB11" i="3"/>
  <c r="Z4" i="3"/>
  <c r="X8" i="3"/>
  <c r="Z6" i="3"/>
  <c r="Z8" i="3" s="1"/>
  <c r="X5" i="3"/>
  <c r="Z5" i="3" s="1"/>
  <c r="J14" i="3"/>
  <c r="H4" i="3"/>
  <c r="G14" i="3"/>
  <c r="H8" i="3"/>
  <c r="K8" i="3" s="1"/>
  <c r="H13" i="3"/>
  <c r="K13" i="3" s="1"/>
  <c r="H10" i="3"/>
  <c r="K10" i="3" s="1"/>
  <c r="I14" i="3"/>
  <c r="P4" i="3" s="1"/>
  <c r="H14" i="3" l="1"/>
  <c r="AE9" i="3"/>
  <c r="K4" i="3"/>
  <c r="K14" i="3" s="1"/>
  <c r="P16" i="3" s="1"/>
  <c r="P18" i="3" s="1"/>
  <c r="P20" i="3" s="1"/>
  <c r="AF9" i="3"/>
  <c r="P13" i="3"/>
  <c r="P14" i="3" s="1"/>
  <c r="P12" i="3"/>
  <c r="P6" i="3"/>
  <c r="P8" i="3" s="1"/>
  <c r="P10" i="3" s="1"/>
  <c r="AF10" i="3" l="1"/>
  <c r="AE10" i="3"/>
  <c r="R4" i="3" a="1"/>
  <c r="R5" i="3" l="1"/>
  <c r="S5" i="3"/>
  <c r="S4" i="3"/>
  <c r="R4" i="3"/>
  <c r="AE11" i="3"/>
  <c r="AF11" i="3"/>
  <c r="C17" i="3" a="1"/>
  <c r="U4" i="3" a="1"/>
  <c r="C18" i="3" l="1"/>
  <c r="C17" i="3"/>
  <c r="D17" i="3" s="1"/>
  <c r="E17" i="3" s="1"/>
  <c r="AE12" i="3"/>
  <c r="U4" i="3"/>
  <c r="U5" i="3"/>
  <c r="AF12" i="3"/>
  <c r="H18" i="3" l="1"/>
  <c r="D18" i="3"/>
  <c r="E18" i="3" s="1"/>
  <c r="G18" i="3"/>
  <c r="AF13" i="3"/>
  <c r="AE13" i="3"/>
  <c r="AF14" i="3" l="1"/>
  <c r="AH13" i="3" s="1"/>
  <c r="AE14" i="3"/>
  <c r="AG14" i="3" l="1"/>
  <c r="AG4" i="3"/>
  <c r="AG5" i="3"/>
  <c r="AG6" i="3"/>
  <c r="AG7" i="3"/>
  <c r="AG8" i="3"/>
  <c r="AG9" i="3"/>
  <c r="AG10" i="3"/>
  <c r="AG11" i="3"/>
  <c r="AG12" i="3"/>
  <c r="AG13" i="3"/>
  <c r="AH4" i="3"/>
  <c r="AH14" i="3"/>
  <c r="AI14" i="3" s="1"/>
  <c r="AH5" i="3"/>
  <c r="AH6" i="3"/>
  <c r="AH7" i="3"/>
  <c r="AH8" i="3"/>
  <c r="AH9" i="3"/>
  <c r="AH10" i="3"/>
  <c r="AH11" i="3"/>
  <c r="AH12" i="3"/>
  <c r="AI12" i="3" l="1"/>
  <c r="AI8" i="3"/>
  <c r="AI4" i="3"/>
  <c r="AI6" i="3"/>
  <c r="AI7" i="3"/>
  <c r="AI10" i="3"/>
  <c r="AI11" i="3"/>
  <c r="AI13" i="3"/>
  <c r="AI9" i="3"/>
  <c r="AI5" i="3"/>
  <c r="AI15" i="3" l="1"/>
</calcChain>
</file>

<file path=xl/sharedStrings.xml><?xml version="1.0" encoding="utf-8"?>
<sst xmlns="http://schemas.openxmlformats.org/spreadsheetml/2006/main" count="67" uniqueCount="47">
  <si>
    <t>Blood Sugar Level</t>
  </si>
  <si>
    <t>Diabetes</t>
  </si>
  <si>
    <t>No</t>
  </si>
  <si>
    <t>Yes</t>
  </si>
  <si>
    <t>Logistic Regression</t>
  </si>
  <si>
    <t>Success</t>
  </si>
  <si>
    <t>Failure</t>
  </si>
  <si>
    <t>Total</t>
  </si>
  <si>
    <t>p-Obs</t>
  </si>
  <si>
    <t>p-Pred</t>
  </si>
  <si>
    <t>Suc-Pred</t>
  </si>
  <si>
    <t>Fail-Pred</t>
  </si>
  <si>
    <t>LL</t>
  </si>
  <si>
    <t>% Correct</t>
  </si>
  <si>
    <t>HL Stat</t>
  </si>
  <si>
    <t>Coeff</t>
  </si>
  <si>
    <t>LL0</t>
  </si>
  <si>
    <t>LL1</t>
  </si>
  <si>
    <t>Chi-Sq</t>
  </si>
  <si>
    <t>df</t>
  </si>
  <si>
    <t>p-value</t>
  </si>
  <si>
    <t>alpha</t>
  </si>
  <si>
    <t>sig</t>
  </si>
  <si>
    <t>R-Sq (L)</t>
  </si>
  <si>
    <t>R-Sq (CS)</t>
  </si>
  <si>
    <t>R-Sq (N)</t>
  </si>
  <si>
    <t>Hosmer</t>
  </si>
  <si>
    <t>Covariance Matrix</t>
  </si>
  <si>
    <t>coeff b</t>
  </si>
  <si>
    <t>s.e.</t>
  </si>
  <si>
    <t>Wald</t>
  </si>
  <si>
    <t>exp(b)</t>
  </si>
  <si>
    <t>lower</t>
  </si>
  <si>
    <t>upper</t>
  </si>
  <si>
    <t>Intercept</t>
  </si>
  <si>
    <t>Converge</t>
  </si>
  <si>
    <t>Classification Table</t>
  </si>
  <si>
    <t>Suc-Obs</t>
  </si>
  <si>
    <t>Fail-Obs</t>
  </si>
  <si>
    <t>Accuracy</t>
  </si>
  <si>
    <t>Cutoff</t>
  </si>
  <si>
    <t>ROC Table</t>
  </si>
  <si>
    <t>Fail-Cum</t>
  </si>
  <si>
    <t>Suc-Cum</t>
  </si>
  <si>
    <t>FPR</t>
  </si>
  <si>
    <t>TPR</t>
  </si>
  <si>
    <t>AUC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</si>
</sst>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i/>
      <sz val="11"/>
      <color theme="1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</fills>
  <borders count="28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 style="thin">
        <color indexed="64"/>
      </top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/>
      <top style="thin">
        <color indexed="8"/>
      </top>
      <bottom/>
      <diagonal/>
    </border>
    <border>
      <left/>
      <right style="thin">
        <color indexed="8"/>
      </right>
      <top style="thin">
        <color indexed="8"/>
      </top>
      <bottom/>
      <diagonal/>
    </border>
    <border>
      <left style="thin">
        <color indexed="8"/>
      </left>
      <right/>
      <top/>
      <bottom/>
      <diagonal/>
    </border>
    <border>
      <left/>
      <right style="thin">
        <color indexed="8"/>
      </right>
      <top/>
      <bottom/>
      <diagonal/>
    </border>
    <border>
      <left style="thin">
        <color indexed="8"/>
      </left>
      <right/>
      <top/>
      <bottom style="thin">
        <color indexed="8"/>
      </bottom>
      <diagonal/>
    </border>
    <border>
      <left/>
      <right/>
      <top/>
      <bottom style="thin">
        <color indexed="8"/>
      </bottom>
      <diagonal/>
    </border>
    <border>
      <left/>
      <right style="thin">
        <color indexed="8"/>
      </right>
      <top/>
      <bottom style="thin">
        <color indexed="8"/>
      </bottom>
      <diagonal/>
    </border>
    <border>
      <left/>
      <right/>
      <top style="double">
        <color indexed="64"/>
      </top>
      <bottom style="thin">
        <color auto="1"/>
      </bottom>
      <diagonal/>
    </border>
    <border>
      <left/>
      <right/>
      <top style="thin">
        <color auto="1"/>
      </top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/>
      <diagonal/>
    </border>
    <border>
      <left style="thin">
        <color indexed="8"/>
      </left>
      <right style="thin">
        <color indexed="8"/>
      </right>
      <top/>
      <bottom style="thin">
        <color indexed="8"/>
      </bottom>
      <diagonal/>
    </border>
    <border>
      <left style="thin">
        <color indexed="8"/>
      </left>
      <right style="thin">
        <color indexed="8"/>
      </right>
      <top/>
      <bottom/>
      <diagonal/>
    </border>
    <border>
      <left/>
      <right/>
      <top style="double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8"/>
      </left>
      <right/>
      <top style="thin">
        <color indexed="8"/>
      </top>
      <bottom style="thin">
        <color indexed="8"/>
      </bottom>
      <diagonal/>
    </border>
    <border>
      <left/>
      <right style="thin">
        <color indexed="8"/>
      </right>
      <top style="thin">
        <color indexed="8"/>
      </top>
      <bottom style="thin">
        <color indexed="8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4">
    <xf numFmtId="0" fontId="0" fillId="0" borderId="0" xfId="0"/>
    <xf numFmtId="0" fontId="0" fillId="0" borderId="10" xfId="0" applyBorder="1"/>
    <xf numFmtId="0" fontId="0" fillId="0" borderId="12" xfId="0" applyBorder="1"/>
    <xf numFmtId="0" fontId="0" fillId="0" borderId="13" xfId="0" applyBorder="1"/>
    <xf numFmtId="0" fontId="0" fillId="0" borderId="14" xfId="0" applyBorder="1"/>
    <xf numFmtId="0" fontId="0" fillId="0" borderId="0" xfId="0" applyBorder="1"/>
    <xf numFmtId="0" fontId="0" fillId="0" borderId="15" xfId="0" applyBorder="1"/>
    <xf numFmtId="0" fontId="0" fillId="0" borderId="16" xfId="0" applyBorder="1"/>
    <xf numFmtId="0" fontId="0" fillId="0" borderId="17" xfId="0" applyBorder="1"/>
    <xf numFmtId="0" fontId="0" fillId="0" borderId="18" xfId="0" applyBorder="1"/>
    <xf numFmtId="0" fontId="18" fillId="0" borderId="19" xfId="0" applyFont="1" applyBorder="1" applyAlignment="1">
      <alignment horizontal="center"/>
    </xf>
    <xf numFmtId="0" fontId="0" fillId="0" borderId="20" xfId="0" applyBorder="1"/>
    <xf numFmtId="0" fontId="0" fillId="0" borderId="21" xfId="0" applyBorder="1"/>
    <xf numFmtId="0" fontId="0" fillId="0" borderId="22" xfId="0" applyBorder="1"/>
    <xf numFmtId="0" fontId="0" fillId="0" borderId="23" xfId="0" applyBorder="1"/>
    <xf numFmtId="0" fontId="0" fillId="0" borderId="22" xfId="0" applyBorder="1" applyAlignment="1">
      <alignment horizontal="right"/>
    </xf>
    <xf numFmtId="0" fontId="18" fillId="0" borderId="24" xfId="0" applyFont="1" applyBorder="1" applyAlignment="1">
      <alignment horizontal="center"/>
    </xf>
    <xf numFmtId="0" fontId="0" fillId="0" borderId="25" xfId="0" applyBorder="1"/>
    <xf numFmtId="0" fontId="0" fillId="0" borderId="0" xfId="0" applyAlignment="1">
      <alignment horizontal="center"/>
    </xf>
    <xf numFmtId="0" fontId="0" fillId="0" borderId="26" xfId="0" applyBorder="1"/>
    <xf numFmtId="0" fontId="0" fillId="0" borderId="27" xfId="0" applyBorder="1"/>
    <xf numFmtId="0" fontId="0" fillId="0" borderId="11" xfId="0" applyBorder="1"/>
    <xf numFmtId="0" fontId="0" fillId="33" borderId="21" xfId="0" applyFill="1" applyBorder="1"/>
    <xf numFmtId="0" fontId="0" fillId="33" borderId="22" xfId="0" applyFill="1" applyBorder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externalLink" Target="externalLinks/externalLink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/>
              <a:t>ROC Curve</a:t>
            </a:r>
          </a:p>
        </c:rich>
      </c:tx>
      <c:overlay val="0"/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19050">
              <a:noFill/>
            </a:ln>
          </c:spPr>
          <c:xVal>
            <c:numRef>
              <c:f>Model!$AG$4:$AG$14</c:f>
              <c:numCache>
                <c:formatCode>General</c:formatCode>
                <c:ptCount val="11"/>
                <c:pt idx="0">
                  <c:v>1</c:v>
                </c:pt>
                <c:pt idx="1">
                  <c:v>0.8</c:v>
                </c:pt>
                <c:pt idx="2">
                  <c:v>0.6</c:v>
                </c:pt>
                <c:pt idx="3">
                  <c:v>0.4</c:v>
                </c:pt>
                <c:pt idx="4">
                  <c:v>0.19999999999999996</c:v>
                </c:pt>
                <c:pt idx="5">
                  <c:v>0.19999999999999996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</c:numCache>
            </c:numRef>
          </c:xVal>
          <c:yVal>
            <c:numRef>
              <c:f>Model!$AH$4:$AH$14</c:f>
              <c:numCache>
                <c:formatCode>General</c:formatCode>
                <c:ptCount val="11"/>
                <c:pt idx="0">
                  <c:v>1</c:v>
                </c:pt>
                <c:pt idx="1">
                  <c:v>1</c:v>
                </c:pt>
                <c:pt idx="2">
                  <c:v>1</c:v>
                </c:pt>
                <c:pt idx="3">
                  <c:v>1</c:v>
                </c:pt>
                <c:pt idx="4">
                  <c:v>1</c:v>
                </c:pt>
                <c:pt idx="5">
                  <c:v>0.8</c:v>
                </c:pt>
                <c:pt idx="6">
                  <c:v>0.8</c:v>
                </c:pt>
                <c:pt idx="7">
                  <c:v>0.6</c:v>
                </c:pt>
                <c:pt idx="8">
                  <c:v>0.4</c:v>
                </c:pt>
                <c:pt idx="9">
                  <c:v>0.19999999999999996</c:v>
                </c:pt>
                <c:pt idx="10">
                  <c:v>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2E94-4BE5-B462-605911B91AD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814839071"/>
        <c:axId val="2047867663"/>
      </c:scatterChart>
      <c:valAx>
        <c:axId val="1814839071"/>
        <c:scaling>
          <c:orientation val="minMax"/>
          <c:max val="1"/>
        </c:scaling>
        <c:delete val="0"/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False Positive Rate</a:t>
                </a:r>
              </a:p>
            </c:rich>
          </c:tx>
          <c:overlay val="0"/>
        </c:title>
        <c:numFmt formatCode="General" sourceLinked="1"/>
        <c:majorTickMark val="out"/>
        <c:minorTickMark val="none"/>
        <c:tickLblPos val="nextTo"/>
        <c:crossAx val="2047867663"/>
        <c:crosses val="autoZero"/>
        <c:crossBetween val="midCat"/>
      </c:valAx>
      <c:valAx>
        <c:axId val="2047867663"/>
        <c:scaling>
          <c:orientation val="minMax"/>
          <c:max val="1"/>
        </c:scaling>
        <c:delete val="0"/>
        <c:axPos val="l"/>
        <c:majorGridlines/>
        <c:title>
          <c:tx>
            <c:rich>
              <a:bodyPr rot="-5400000" vert="horz"/>
              <a:lstStyle/>
              <a:p>
                <a:pPr>
                  <a:defRPr/>
                </a:pPr>
                <a:r>
                  <a:rPr lang="en-US"/>
                  <a:t>True Positive Rate</a:t>
                </a:r>
              </a:p>
            </c:rich>
          </c:tx>
          <c:overlay val="0"/>
        </c:title>
        <c:numFmt formatCode="General" sourceLinked="1"/>
        <c:majorTickMark val="out"/>
        <c:minorTickMark val="none"/>
        <c:tickLblPos val="nextTo"/>
        <c:crossAx val="1814839071"/>
        <c:crosses val="autoZero"/>
        <c:crossBetween val="midCat"/>
      </c:valAx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printSettings>
    <c:headerFooter/>
    <c:pageMargins b="0.75" l="0.7" r="0.7" t="0.75" header="0.3" footer="0.3"/>
    <c:pageSetup/>
  </c:printSettings>
</c:chartSpac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542925</xdr:colOff>
      <xdr:row>2</xdr:row>
      <xdr:rowOff>114300</xdr:rowOff>
    </xdr:from>
    <xdr:to>
      <xdr:col>11</xdr:col>
      <xdr:colOff>238125</xdr:colOff>
      <xdr:row>16</xdr:row>
      <xdr:rowOff>161925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C9990EC0-EE86-4CE1-A6B5-6FD27FD41909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mahima.prasad.UPGRAD/Downloads/RealStats.xlam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Config"/>
      <sheetName val="Wilcoxon Table"/>
      <sheetName val="Mann Table"/>
      <sheetName val="Runs Table"/>
      <sheetName val="KS Table"/>
      <sheetName val="KS2 Table"/>
      <sheetName val="Lil Table"/>
      <sheetName val="AD Table"/>
      <sheetName val="SW Table"/>
      <sheetName val="Stud. Q Table"/>
      <sheetName val="Stud. Q Table 2"/>
      <sheetName val="Sp Rho Table"/>
      <sheetName val="Ken Tau Table"/>
      <sheetName val="Durbin Table"/>
      <sheetName val="Dunnett Table"/>
      <sheetName val="Prime"/>
    </sheetNames>
    <definedNames>
      <definedName name="DESIGN"/>
      <definedName name="DIAG"/>
      <definedName name="LogitCoeff"/>
      <definedName name="LogitSummary"/>
      <definedName name="SelectCols"/>
    </defined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1"/>
  <sheetViews>
    <sheetView workbookViewId="0">
      <selection activeCell="C9" sqref="C9"/>
    </sheetView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>
        <v>190</v>
      </c>
      <c r="B2" t="s">
        <v>2</v>
      </c>
    </row>
    <row r="3" spans="1:2" x14ac:dyDescent="0.25">
      <c r="A3">
        <v>240</v>
      </c>
      <c r="B3" t="s">
        <v>3</v>
      </c>
    </row>
    <row r="4" spans="1:2" x14ac:dyDescent="0.25">
      <c r="A4">
        <v>300</v>
      </c>
      <c r="B4" t="s">
        <v>3</v>
      </c>
    </row>
    <row r="5" spans="1:2" x14ac:dyDescent="0.25">
      <c r="A5">
        <v>160</v>
      </c>
      <c r="B5" t="s">
        <v>2</v>
      </c>
    </row>
    <row r="6" spans="1:2" x14ac:dyDescent="0.25">
      <c r="A6">
        <v>200</v>
      </c>
      <c r="B6" t="s">
        <v>3</v>
      </c>
    </row>
    <row r="7" spans="1:2" x14ac:dyDescent="0.25">
      <c r="A7">
        <v>269</v>
      </c>
      <c r="B7" t="s">
        <v>3</v>
      </c>
    </row>
    <row r="8" spans="1:2" x14ac:dyDescent="0.25">
      <c r="A8">
        <v>129</v>
      </c>
      <c r="B8" t="s">
        <v>2</v>
      </c>
    </row>
    <row r="9" spans="1:2" x14ac:dyDescent="0.25">
      <c r="A9">
        <v>141</v>
      </c>
      <c r="B9" t="s">
        <v>2</v>
      </c>
    </row>
    <row r="10" spans="1:2" x14ac:dyDescent="0.25">
      <c r="A10">
        <v>220</v>
      </c>
      <c r="B10" t="s">
        <v>2</v>
      </c>
    </row>
    <row r="11" spans="1:2" x14ac:dyDescent="0.25">
      <c r="A11">
        <v>337</v>
      </c>
      <c r="B11" t="s">
        <v>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B11"/>
  <sheetViews>
    <sheetView workbookViewId="0">
      <selection activeCell="G9" sqref="G9"/>
    </sheetView>
  </sheetViews>
  <sheetFormatPr defaultRowHeight="15" x14ac:dyDescent="0.25"/>
  <cols>
    <col min="1" max="1" width="16.7109375" bestFit="1" customWidth="1"/>
  </cols>
  <sheetData>
    <row r="1" spans="1:2" x14ac:dyDescent="0.25">
      <c r="A1" t="s">
        <v>0</v>
      </c>
      <c r="B1" t="s">
        <v>1</v>
      </c>
    </row>
    <row r="2" spans="1:2" x14ac:dyDescent="0.25">
      <c r="A2">
        <v>190</v>
      </c>
      <c r="B2">
        <f>IF('Diabetes Example Data (1)'!B2="No",0,1)</f>
        <v>0</v>
      </c>
    </row>
    <row r="3" spans="1:2" x14ac:dyDescent="0.25">
      <c r="A3">
        <v>240</v>
      </c>
      <c r="B3">
        <f>IF('Diabetes Example Data (1)'!B3="No",0,1)</f>
        <v>1</v>
      </c>
    </row>
    <row r="4" spans="1:2" x14ac:dyDescent="0.25">
      <c r="A4">
        <v>300</v>
      </c>
      <c r="B4">
        <f>IF('Diabetes Example Data (1)'!B4="No",0,1)</f>
        <v>1</v>
      </c>
    </row>
    <row r="5" spans="1:2" x14ac:dyDescent="0.25">
      <c r="A5">
        <v>160</v>
      </c>
      <c r="B5">
        <f>IF('Diabetes Example Data (1)'!B5="No",0,1)</f>
        <v>0</v>
      </c>
    </row>
    <row r="6" spans="1:2" x14ac:dyDescent="0.25">
      <c r="A6">
        <v>200</v>
      </c>
      <c r="B6">
        <f>IF('Diabetes Example Data (1)'!B6="No",0,1)</f>
        <v>1</v>
      </c>
    </row>
    <row r="7" spans="1:2" x14ac:dyDescent="0.25">
      <c r="A7">
        <v>269</v>
      </c>
      <c r="B7">
        <f>IF('Diabetes Example Data (1)'!B7="No",0,1)</f>
        <v>1</v>
      </c>
    </row>
    <row r="8" spans="1:2" x14ac:dyDescent="0.25">
      <c r="A8">
        <v>129</v>
      </c>
      <c r="B8">
        <f>IF('Diabetes Example Data (1)'!B8="No",0,1)</f>
        <v>0</v>
      </c>
    </row>
    <row r="9" spans="1:2" x14ac:dyDescent="0.25">
      <c r="A9">
        <v>141</v>
      </c>
      <c r="B9">
        <f>IF('Diabetes Example Data (1)'!B9="No",0,1)</f>
        <v>0</v>
      </c>
    </row>
    <row r="10" spans="1:2" x14ac:dyDescent="0.25">
      <c r="A10">
        <v>220</v>
      </c>
      <c r="B10">
        <f>IF('Diabetes Example Data (1)'!B10="No",0,1)</f>
        <v>0</v>
      </c>
    </row>
    <row r="11" spans="1:2" x14ac:dyDescent="0.25">
      <c r="A11">
        <v>337</v>
      </c>
      <c r="B11">
        <f>IF('Diabetes Example Data (1)'!B11="No",0,1)</f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I20"/>
  <sheetViews>
    <sheetView tabSelected="1" workbookViewId="0">
      <selection activeCell="L19" sqref="L19"/>
    </sheetView>
  </sheetViews>
  <sheetFormatPr defaultRowHeight="15" x14ac:dyDescent="0.25"/>
  <sheetData>
    <row r="1" spans="1:35" x14ac:dyDescent="0.25">
      <c r="A1" t="s">
        <v>4</v>
      </c>
      <c r="W1" t="s">
        <v>36</v>
      </c>
      <c r="AB1" t="s">
        <v>41</v>
      </c>
    </row>
    <row r="2" spans="1:35" ht="15.75" thickBot="1" x14ac:dyDescent="0.3"/>
    <row r="3" spans="1:35" ht="15.75" thickTop="1" x14ac:dyDescent="0.25">
      <c r="A3" s="10" t="str">
        <f>'Diabetes Data Encoded'!A1</f>
        <v>Blood Sugar Level</v>
      </c>
      <c r="B3" s="10" t="s">
        <v>5</v>
      </c>
      <c r="C3" s="10" t="s">
        <v>6</v>
      </c>
      <c r="D3" s="10" t="s">
        <v>7</v>
      </c>
      <c r="E3" s="10" t="s">
        <v>8</v>
      </c>
      <c r="F3" s="10" t="s">
        <v>9</v>
      </c>
      <c r="G3" s="10" t="s">
        <v>10</v>
      </c>
      <c r="H3" s="10" t="s">
        <v>11</v>
      </c>
      <c r="I3" s="10" t="s">
        <v>12</v>
      </c>
      <c r="J3" s="10" t="s">
        <v>13</v>
      </c>
      <c r="K3" s="10" t="s">
        <v>14</v>
      </c>
      <c r="M3" t="s">
        <v>15</v>
      </c>
      <c r="O3" t="s">
        <v>16</v>
      </c>
      <c r="P3" s="12">
        <f>B14*LN(B14/D14)+C14*LN(C14/D14)</f>
        <v>-6.9314718055994531</v>
      </c>
      <c r="R3" t="s">
        <v>27</v>
      </c>
      <c r="U3" t="s">
        <v>35</v>
      </c>
      <c r="X3" s="18" t="s">
        <v>37</v>
      </c>
      <c r="Y3" s="18" t="s">
        <v>38</v>
      </c>
      <c r="AB3" s="16" t="s">
        <v>9</v>
      </c>
      <c r="AC3" s="16" t="s">
        <v>6</v>
      </c>
      <c r="AD3" s="16" t="s">
        <v>5</v>
      </c>
      <c r="AE3" s="16" t="s">
        <v>42</v>
      </c>
      <c r="AF3" s="16" t="s">
        <v>43</v>
      </c>
      <c r="AG3" s="16" t="s">
        <v>44</v>
      </c>
      <c r="AH3" s="16" t="s">
        <v>45</v>
      </c>
      <c r="AI3" s="16" t="s">
        <v>46</v>
      </c>
    </row>
    <row r="4" spans="1:35" x14ac:dyDescent="0.25">
      <c r="A4">
        <f t="array" ref="A4:C13">[1]!LogitSummary('Diabetes Data Encoded'!A2:B11)</f>
        <v>129</v>
      </c>
      <c r="B4" s="4">
        <v>0</v>
      </c>
      <c r="C4" s="5">
        <v>1</v>
      </c>
      <c r="D4" s="6">
        <f>B4+C4</f>
        <v>1</v>
      </c>
      <c r="E4">
        <f>IF(D4=0,"",B4/D4)</f>
        <v>0</v>
      </c>
      <c r="F4">
        <f>1/(1+EXP(-$M$5-$M$6*A4))</f>
        <v>4.9282061478658342E-3</v>
      </c>
      <c r="G4" s="2">
        <f>D4*F4</f>
        <v>4.9282061478658342E-3</v>
      </c>
      <c r="H4" s="3">
        <f>D4-G4</f>
        <v>0.99507179385213418</v>
      </c>
      <c r="I4" s="2">
        <f>IFERROR(D4*(E4*LN(F4)+(1-E4)*LN(1-F4)),0)</f>
        <v>-4.9403898013035616E-3</v>
      </c>
      <c r="J4" s="3">
        <f>100*IF(F4&gt;=$X$10,B4/D4,C4/D4)</f>
        <v>100</v>
      </c>
      <c r="K4">
        <f>IFERROR((B4-G4)^2/G4+(C4-H4)^2/H4,0)</f>
        <v>4.9526136488983394E-3</v>
      </c>
      <c r="O4" t="s">
        <v>17</v>
      </c>
      <c r="P4" s="13">
        <f>I14</f>
        <v>-2.5838067205912392</v>
      </c>
      <c r="R4" s="2">
        <f t="array" ref="R4:S5">MINVERSE(MMULT(TRANSPOSE([1]!DESIGN(A4:A13)),F4:F13*(1-F4:F13)*D4:D13*[1]!DESIGN(A4:A13)))</f>
        <v>87.57637641051177</v>
      </c>
      <c r="S4" s="3">
        <v>-0.41129289173885308</v>
      </c>
      <c r="U4" s="12">
        <f t="array" ref="U4:U5">MMULT(R4:S5,MMULT(TRANSPOSE([1]!DESIGN(A4:A13)),D4:D13*(E4:E13-F4:F13)))</f>
        <v>-7.390340553783709E-15</v>
      </c>
      <c r="W4" t="s">
        <v>10</v>
      </c>
      <c r="X4" s="2">
        <f>SUMIF(F4:F13,"&gt;="&amp;X10,B4:B13)</f>
        <v>4</v>
      </c>
      <c r="Y4" s="3">
        <f>SUMIF(F4:F13,"&gt;="&amp;X10,C4:C13)</f>
        <v>1</v>
      </c>
      <c r="Z4">
        <f>X4+Y4</f>
        <v>5</v>
      </c>
      <c r="AE4">
        <v>0</v>
      </c>
      <c r="AF4">
        <v>0</v>
      </c>
      <c r="AG4">
        <f>1-AE4/AE$14</f>
        <v>1</v>
      </c>
      <c r="AH4">
        <f>1-AF4/AF$14</f>
        <v>1</v>
      </c>
      <c r="AI4">
        <f>(AG4-AG5)*AH4</f>
        <v>0.19999999999999996</v>
      </c>
    </row>
    <row r="5" spans="1:35" x14ac:dyDescent="0.25">
      <c r="A5">
        <v>141</v>
      </c>
      <c r="B5" s="4">
        <v>0</v>
      </c>
      <c r="C5" s="5">
        <v>1</v>
      </c>
      <c r="D5" s="6">
        <f t="shared" ref="D5:D13" si="0">B5+C5</f>
        <v>1</v>
      </c>
      <c r="E5">
        <f t="shared" ref="E5:E13" si="1">IF(D5=0,"",B5/D5)</f>
        <v>0</v>
      </c>
      <c r="F5">
        <f t="shared" ref="F5:F13" si="2">1/(1+EXP(-$M$5-$M$6*A5))</f>
        <v>1.0524007599774274E-2</v>
      </c>
      <c r="G5" s="4">
        <f t="shared" ref="G5:G13" si="3">D5*F5</f>
        <v>1.0524007599774274E-2</v>
      </c>
      <c r="H5" s="6">
        <f t="shared" ref="H5:H13" si="4">D5-G5</f>
        <v>0.98947599240022577</v>
      </c>
      <c r="I5" s="4">
        <f t="shared" ref="I5:I13" si="5">IFERROR(D5*(E5*LN(F5)+(1-E5)*LN(1-F5)),0)</f>
        <v>-1.0579776588348763E-2</v>
      </c>
      <c r="J5" s="6">
        <f t="shared" ref="J5:J13" si="6">100*IF(F5&gt;=$X$10,B5/D5,C5/D5)</f>
        <v>100</v>
      </c>
      <c r="K5">
        <f t="shared" ref="K5:K13" si="7">IFERROR((B5-G5)^2/G5+(C5-H5)^2/H5,0)</f>
        <v>1.0635940316495821E-2</v>
      </c>
      <c r="M5" s="22">
        <f t="array" ref="M5:M6">[1]!LogitCoeff(A4:C13,,,,,20)</f>
        <v>-13.524316540892515</v>
      </c>
      <c r="R5" s="7">
        <v>-0.41129289173885303</v>
      </c>
      <c r="S5" s="9">
        <v>1.9591887853539517E-3</v>
      </c>
      <c r="U5" s="13">
        <v>4.3032380874269492E-17</v>
      </c>
      <c r="W5" t="s">
        <v>11</v>
      </c>
      <c r="X5" s="7">
        <f>X6-X4</f>
        <v>1</v>
      </c>
      <c r="Y5" s="9">
        <f>Y6-Y4</f>
        <v>4</v>
      </c>
      <c r="Z5">
        <f t="shared" ref="Z5:Z6" si="8">X5+Y5</f>
        <v>5</v>
      </c>
      <c r="AB5">
        <f t="array" ref="AB5:AD14">[1]!SelectCols(B4:F13,"5,2,1",1)</f>
        <v>4.9282061478658342E-3</v>
      </c>
      <c r="AC5">
        <v>1</v>
      </c>
      <c r="AD5">
        <v>0</v>
      </c>
      <c r="AE5">
        <f>AE4+AC5</f>
        <v>1</v>
      </c>
      <c r="AF5">
        <f>AF4+AD5</f>
        <v>0</v>
      </c>
      <c r="AG5">
        <f t="shared" ref="AG5:AG14" si="9">1-AE5/AE$14</f>
        <v>0.8</v>
      </c>
      <c r="AH5">
        <f t="shared" ref="AH5:AH14" si="10">1-AF5/AF$14</f>
        <v>1</v>
      </c>
      <c r="AI5">
        <f t="shared" ref="AI5:AI14" si="11">(AG5-AG6)*AH5</f>
        <v>0.20000000000000007</v>
      </c>
    </row>
    <row r="6" spans="1:35" x14ac:dyDescent="0.25">
      <c r="A6">
        <v>160</v>
      </c>
      <c r="B6" s="4">
        <v>0</v>
      </c>
      <c r="C6" s="5">
        <v>1</v>
      </c>
      <c r="D6" s="6">
        <f t="shared" si="0"/>
        <v>1</v>
      </c>
      <c r="E6">
        <f t="shared" si="1"/>
        <v>0</v>
      </c>
      <c r="F6">
        <f t="shared" si="2"/>
        <v>3.4445051202018642E-2</v>
      </c>
      <c r="G6" s="4">
        <f t="shared" si="3"/>
        <v>3.4445051202018642E-2</v>
      </c>
      <c r="H6" s="6">
        <f t="shared" si="4"/>
        <v>0.96555494879798132</v>
      </c>
      <c r="I6" s="4">
        <f t="shared" si="5"/>
        <v>-3.5052266461667154E-2</v>
      </c>
      <c r="J6" s="6">
        <f t="shared" si="6"/>
        <v>100</v>
      </c>
      <c r="K6">
        <f t="shared" si="7"/>
        <v>3.5673838392003755E-2</v>
      </c>
      <c r="M6" s="23">
        <v>6.369361789938964E-2</v>
      </c>
      <c r="O6" t="s">
        <v>18</v>
      </c>
      <c r="P6" s="12">
        <f>2*(P4-P3)</f>
        <v>8.6953301700164278</v>
      </c>
      <c r="X6">
        <f>B14</f>
        <v>5</v>
      </c>
      <c r="Y6">
        <f>C14</f>
        <v>5</v>
      </c>
      <c r="Z6">
        <f t="shared" si="8"/>
        <v>10</v>
      </c>
      <c r="AB6">
        <v>1.0524007599774274E-2</v>
      </c>
      <c r="AC6">
        <v>1</v>
      </c>
      <c r="AD6">
        <v>0</v>
      </c>
      <c r="AE6">
        <f t="shared" ref="AE6:AE14" si="12">AE5+AC6</f>
        <v>2</v>
      </c>
      <c r="AF6">
        <f t="shared" ref="AF6:AF14" si="13">AF5+AD6</f>
        <v>0</v>
      </c>
      <c r="AG6">
        <f t="shared" si="9"/>
        <v>0.6</v>
      </c>
      <c r="AH6">
        <f t="shared" si="10"/>
        <v>1</v>
      </c>
      <c r="AI6">
        <f t="shared" si="11"/>
        <v>0.19999999999999996</v>
      </c>
    </row>
    <row r="7" spans="1:35" x14ac:dyDescent="0.25">
      <c r="A7">
        <v>190</v>
      </c>
      <c r="B7" s="4">
        <v>0</v>
      </c>
      <c r="C7" s="5">
        <v>1</v>
      </c>
      <c r="D7" s="6">
        <f t="shared" si="0"/>
        <v>1</v>
      </c>
      <c r="E7">
        <f t="shared" si="1"/>
        <v>0</v>
      </c>
      <c r="F7">
        <f t="shared" si="2"/>
        <v>0.19426540039003679</v>
      </c>
      <c r="G7" s="4">
        <f t="shared" si="3"/>
        <v>0.19426540039003679</v>
      </c>
      <c r="H7" s="6">
        <f t="shared" si="4"/>
        <v>0.80573459960996319</v>
      </c>
      <c r="I7" s="4">
        <f t="shared" si="5"/>
        <v>-0.2160008715813008</v>
      </c>
      <c r="J7" s="6">
        <f t="shared" si="6"/>
        <v>100</v>
      </c>
      <c r="K7">
        <f t="shared" si="7"/>
        <v>0.24110346072276903</v>
      </c>
      <c r="O7" t="s">
        <v>19</v>
      </c>
      <c r="P7" s="14">
        <f>COUNT(A4)</f>
        <v>1</v>
      </c>
      <c r="AB7">
        <v>3.4445051202018642E-2</v>
      </c>
      <c r="AC7">
        <v>1</v>
      </c>
      <c r="AD7">
        <v>0</v>
      </c>
      <c r="AE7">
        <f t="shared" si="12"/>
        <v>3</v>
      </c>
      <c r="AF7">
        <f t="shared" si="13"/>
        <v>0</v>
      </c>
      <c r="AG7">
        <f t="shared" si="9"/>
        <v>0.4</v>
      </c>
      <c r="AH7">
        <f t="shared" si="10"/>
        <v>1</v>
      </c>
      <c r="AI7">
        <f t="shared" si="11"/>
        <v>0.20000000000000007</v>
      </c>
    </row>
    <row r="8" spans="1:35" x14ac:dyDescent="0.25">
      <c r="A8">
        <v>200</v>
      </c>
      <c r="B8" s="4">
        <v>1</v>
      </c>
      <c r="C8" s="5">
        <v>0</v>
      </c>
      <c r="D8" s="6">
        <f t="shared" si="0"/>
        <v>1</v>
      </c>
      <c r="E8">
        <f t="shared" si="1"/>
        <v>1</v>
      </c>
      <c r="F8">
        <f t="shared" si="2"/>
        <v>0.31311572856913616</v>
      </c>
      <c r="G8" s="4">
        <f t="shared" si="3"/>
        <v>0.31311572856913616</v>
      </c>
      <c r="H8" s="6">
        <f t="shared" si="4"/>
        <v>0.68688427143086384</v>
      </c>
      <c r="I8" s="4">
        <f t="shared" si="5"/>
        <v>-1.1611824169414178</v>
      </c>
      <c r="J8" s="6">
        <f t="shared" si="6"/>
        <v>0</v>
      </c>
      <c r="K8">
        <f t="shared" si="7"/>
        <v>2.1937073380815466</v>
      </c>
      <c r="O8" t="s">
        <v>20</v>
      </c>
      <c r="P8" s="14">
        <f>_xlfn.CHISQ.DIST.RT(P6,P7)</f>
        <v>3.1902632429339421E-3</v>
      </c>
      <c r="W8" t="s">
        <v>39</v>
      </c>
      <c r="X8" s="19">
        <f>X4/X6</f>
        <v>0.8</v>
      </c>
      <c r="Y8" s="20">
        <f>Y5/Y6</f>
        <v>0.8</v>
      </c>
      <c r="Z8">
        <f>(X4+Y5)/Z6</f>
        <v>0.8</v>
      </c>
      <c r="AB8">
        <v>0.19426540039003679</v>
      </c>
      <c r="AC8">
        <v>1</v>
      </c>
      <c r="AD8">
        <v>0</v>
      </c>
      <c r="AE8">
        <f t="shared" si="12"/>
        <v>4</v>
      </c>
      <c r="AF8">
        <f t="shared" si="13"/>
        <v>0</v>
      </c>
      <c r="AG8">
        <f t="shared" si="9"/>
        <v>0.19999999999999996</v>
      </c>
      <c r="AH8">
        <f t="shared" si="10"/>
        <v>1</v>
      </c>
      <c r="AI8">
        <f t="shared" si="11"/>
        <v>0</v>
      </c>
    </row>
    <row r="9" spans="1:35" x14ac:dyDescent="0.25">
      <c r="A9">
        <v>220</v>
      </c>
      <c r="B9" s="4">
        <v>0</v>
      </c>
      <c r="C9" s="5">
        <v>1</v>
      </c>
      <c r="D9" s="6">
        <f t="shared" si="0"/>
        <v>1</v>
      </c>
      <c r="E9">
        <f t="shared" si="1"/>
        <v>0</v>
      </c>
      <c r="F9">
        <f t="shared" si="2"/>
        <v>0.61970101855917614</v>
      </c>
      <c r="G9" s="4">
        <f t="shared" si="3"/>
        <v>0.61970101855917614</v>
      </c>
      <c r="H9" s="6">
        <f t="shared" si="4"/>
        <v>0.38029898144082386</v>
      </c>
      <c r="I9" s="4">
        <f t="shared" si="5"/>
        <v>-0.96679754235594351</v>
      </c>
      <c r="J9" s="6">
        <f t="shared" si="6"/>
        <v>0</v>
      </c>
      <c r="K9">
        <f t="shared" si="7"/>
        <v>1.6295100665569473</v>
      </c>
      <c r="O9" t="s">
        <v>21</v>
      </c>
      <c r="P9" s="14">
        <v>0.05</v>
      </c>
      <c r="AB9">
        <v>0.31311572856913616</v>
      </c>
      <c r="AC9">
        <v>0</v>
      </c>
      <c r="AD9">
        <v>1</v>
      </c>
      <c r="AE9">
        <f t="shared" si="12"/>
        <v>4</v>
      </c>
      <c r="AF9">
        <f t="shared" si="13"/>
        <v>1</v>
      </c>
      <c r="AG9">
        <f t="shared" si="9"/>
        <v>0.19999999999999996</v>
      </c>
      <c r="AH9">
        <f t="shared" si="10"/>
        <v>0.8</v>
      </c>
      <c r="AI9">
        <f t="shared" si="11"/>
        <v>0.15999999999999998</v>
      </c>
    </row>
    <row r="10" spans="1:35" x14ac:dyDescent="0.25">
      <c r="A10">
        <v>240</v>
      </c>
      <c r="B10" s="4">
        <v>1</v>
      </c>
      <c r="C10" s="5">
        <v>0</v>
      </c>
      <c r="D10" s="6">
        <f t="shared" si="0"/>
        <v>1</v>
      </c>
      <c r="E10">
        <f t="shared" si="1"/>
        <v>1</v>
      </c>
      <c r="F10">
        <f t="shared" si="2"/>
        <v>0.85347894753952369</v>
      </c>
      <c r="G10" s="4">
        <f t="shared" si="3"/>
        <v>0.85347894753952369</v>
      </c>
      <c r="H10" s="6">
        <f t="shared" si="4"/>
        <v>0.14652105246047631</v>
      </c>
      <c r="I10" s="4">
        <f t="shared" si="5"/>
        <v>-0.15843440308638918</v>
      </c>
      <c r="J10" s="6">
        <f t="shared" si="6"/>
        <v>100</v>
      </c>
      <c r="K10">
        <f t="shared" si="7"/>
        <v>0.1716750634363961</v>
      </c>
      <c r="O10" t="s">
        <v>22</v>
      </c>
      <c r="P10" s="15" t="str">
        <f>IF(P8&lt;P9,"yes","no")</f>
        <v>yes</v>
      </c>
      <c r="W10" t="s">
        <v>40</v>
      </c>
      <c r="X10" s="21">
        <v>0.5</v>
      </c>
      <c r="AB10">
        <v>0.61970101855917614</v>
      </c>
      <c r="AC10">
        <v>1</v>
      </c>
      <c r="AD10">
        <v>0</v>
      </c>
      <c r="AE10">
        <f t="shared" si="12"/>
        <v>5</v>
      </c>
      <c r="AF10">
        <f t="shared" si="13"/>
        <v>1</v>
      </c>
      <c r="AG10">
        <f t="shared" si="9"/>
        <v>0</v>
      </c>
      <c r="AH10">
        <f t="shared" si="10"/>
        <v>0.8</v>
      </c>
      <c r="AI10">
        <f t="shared" si="11"/>
        <v>0</v>
      </c>
    </row>
    <row r="11" spans="1:35" x14ac:dyDescent="0.25">
      <c r="A11">
        <v>269</v>
      </c>
      <c r="B11" s="4">
        <v>1</v>
      </c>
      <c r="C11" s="5">
        <v>0</v>
      </c>
      <c r="D11" s="6">
        <f t="shared" si="0"/>
        <v>1</v>
      </c>
      <c r="E11">
        <f t="shared" si="1"/>
        <v>1</v>
      </c>
      <c r="F11">
        <f t="shared" si="2"/>
        <v>0.97364186728615254</v>
      </c>
      <c r="G11" s="4">
        <f t="shared" si="3"/>
        <v>0.97364186728615254</v>
      </c>
      <c r="H11" s="6">
        <f t="shared" si="4"/>
        <v>2.635813271384746E-2</v>
      </c>
      <c r="I11" s="4">
        <f t="shared" si="5"/>
        <v>-2.6711735679836233E-2</v>
      </c>
      <c r="J11" s="6">
        <f t="shared" si="6"/>
        <v>100</v>
      </c>
      <c r="K11">
        <f t="shared" si="7"/>
        <v>2.7071691963407349E-2</v>
      </c>
      <c r="AB11">
        <v>0.85347894753952369</v>
      </c>
      <c r="AC11">
        <v>0</v>
      </c>
      <c r="AD11">
        <v>1</v>
      </c>
      <c r="AE11">
        <f t="shared" si="12"/>
        <v>5</v>
      </c>
      <c r="AF11">
        <f t="shared" si="13"/>
        <v>2</v>
      </c>
      <c r="AG11">
        <f t="shared" si="9"/>
        <v>0</v>
      </c>
      <c r="AH11">
        <f t="shared" si="10"/>
        <v>0.6</v>
      </c>
      <c r="AI11">
        <f t="shared" si="11"/>
        <v>0</v>
      </c>
    </row>
    <row r="12" spans="1:35" x14ac:dyDescent="0.25">
      <c r="A12">
        <v>300</v>
      </c>
      <c r="B12" s="4">
        <v>1</v>
      </c>
      <c r="C12" s="5">
        <v>0</v>
      </c>
      <c r="D12" s="6">
        <f t="shared" si="0"/>
        <v>1</v>
      </c>
      <c r="E12">
        <f t="shared" si="1"/>
        <v>1</v>
      </c>
      <c r="F12">
        <f t="shared" si="2"/>
        <v>0.99625569836237393</v>
      </c>
      <c r="G12" s="4">
        <f t="shared" si="3"/>
        <v>0.99625569836237393</v>
      </c>
      <c r="H12" s="6">
        <f t="shared" si="4"/>
        <v>3.7443016376260685E-3</v>
      </c>
      <c r="I12" s="4">
        <f t="shared" si="5"/>
        <v>-3.7513290824026319E-3</v>
      </c>
      <c r="J12" s="6">
        <f t="shared" si="6"/>
        <v>100</v>
      </c>
      <c r="K12">
        <f t="shared" si="7"/>
        <v>3.7583741240134238E-3</v>
      </c>
      <c r="O12" t="s">
        <v>23</v>
      </c>
      <c r="P12" s="12">
        <f>1-P4/P3</f>
        <v>0.62723548575874433</v>
      </c>
      <c r="AB12">
        <v>0.97364186728615254</v>
      </c>
      <c r="AC12">
        <v>0</v>
      </c>
      <c r="AD12">
        <v>1</v>
      </c>
      <c r="AE12">
        <f t="shared" si="12"/>
        <v>5</v>
      </c>
      <c r="AF12">
        <f t="shared" si="13"/>
        <v>3</v>
      </c>
      <c r="AG12">
        <f t="shared" si="9"/>
        <v>0</v>
      </c>
      <c r="AH12">
        <f t="shared" si="10"/>
        <v>0.4</v>
      </c>
      <c r="AI12">
        <f t="shared" si="11"/>
        <v>0</v>
      </c>
    </row>
    <row r="13" spans="1:35" x14ac:dyDescent="0.25">
      <c r="A13">
        <v>337</v>
      </c>
      <c r="B13" s="7">
        <v>1</v>
      </c>
      <c r="C13" s="8">
        <v>0</v>
      </c>
      <c r="D13" s="6">
        <f t="shared" si="0"/>
        <v>1</v>
      </c>
      <c r="E13">
        <f t="shared" si="1"/>
        <v>1</v>
      </c>
      <c r="F13">
        <f t="shared" si="2"/>
        <v>0.99964407434394065</v>
      </c>
      <c r="G13" s="4">
        <f t="shared" si="3"/>
        <v>0.99964407434394065</v>
      </c>
      <c r="H13" s="6">
        <f t="shared" si="4"/>
        <v>3.5592565605935267E-4</v>
      </c>
      <c r="I13" s="4">
        <f t="shared" si="5"/>
        <v>-3.5598901262960518E-4</v>
      </c>
      <c r="J13" s="6">
        <f t="shared" si="6"/>
        <v>100</v>
      </c>
      <c r="K13">
        <f t="shared" si="7"/>
        <v>3.5605238423780399E-4</v>
      </c>
      <c r="O13" t="s">
        <v>24</v>
      </c>
      <c r="P13" s="14">
        <f>1-EXP((-2/D14)*(P4-P3))</f>
        <v>0.58085276181357948</v>
      </c>
      <c r="AB13">
        <v>0.99625569836237393</v>
      </c>
      <c r="AC13">
        <v>0</v>
      </c>
      <c r="AD13">
        <v>1</v>
      </c>
      <c r="AE13">
        <f t="shared" si="12"/>
        <v>5</v>
      </c>
      <c r="AF13">
        <f t="shared" si="13"/>
        <v>4</v>
      </c>
      <c r="AG13">
        <f t="shared" si="9"/>
        <v>0</v>
      </c>
      <c r="AH13">
        <f t="shared" si="10"/>
        <v>0.19999999999999996</v>
      </c>
      <c r="AI13">
        <f t="shared" si="11"/>
        <v>0</v>
      </c>
    </row>
    <row r="14" spans="1:35" x14ac:dyDescent="0.25">
      <c r="A14" s="1"/>
      <c r="B14" s="1">
        <f>SUM(B4:B13)</f>
        <v>5</v>
      </c>
      <c r="C14" s="1">
        <f t="shared" ref="C14:D14" si="14">SUM(C4:C13)</f>
        <v>5</v>
      </c>
      <c r="D14" s="11">
        <f t="shared" si="14"/>
        <v>10</v>
      </c>
      <c r="E14" s="11"/>
      <c r="F14" s="11"/>
      <c r="G14" s="11">
        <f>SUM(G4:G13)</f>
        <v>4.9999999999999991</v>
      </c>
      <c r="H14" s="11">
        <f t="shared" ref="H14:I14" si="15">SUM(H4:H13)</f>
        <v>5</v>
      </c>
      <c r="I14" s="11">
        <f t="shared" si="15"/>
        <v>-2.5838067205912392</v>
      </c>
      <c r="J14" s="11">
        <f>SUMPRODUCT(J4:J13,D4:D13)/D14</f>
        <v>80</v>
      </c>
      <c r="K14" s="11">
        <f>SUM(K4:K13)</f>
        <v>4.318444439626715</v>
      </c>
      <c r="O14" t="s">
        <v>25</v>
      </c>
      <c r="P14" s="13">
        <f>P13/(1-EXP(2*P3/D14))</f>
        <v>0.77447034908477264</v>
      </c>
      <c r="AB14" s="17">
        <v>0.99964407434394065</v>
      </c>
      <c r="AC14" s="17">
        <v>0</v>
      </c>
      <c r="AD14" s="17">
        <v>1</v>
      </c>
      <c r="AE14" s="17">
        <f t="shared" si="12"/>
        <v>5</v>
      </c>
      <c r="AF14" s="17">
        <f t="shared" si="13"/>
        <v>5</v>
      </c>
      <c r="AG14" s="17">
        <f t="shared" si="9"/>
        <v>0</v>
      </c>
      <c r="AH14" s="17">
        <f t="shared" si="10"/>
        <v>0</v>
      </c>
      <c r="AI14" s="17">
        <f t="shared" si="11"/>
        <v>0</v>
      </c>
    </row>
    <row r="15" spans="1:35" ht="15.75" thickBot="1" x14ac:dyDescent="0.3">
      <c r="AI15">
        <f>SUM(AI4:AI14)</f>
        <v>0.96</v>
      </c>
    </row>
    <row r="16" spans="1:35" ht="15.75" thickTop="1" x14ac:dyDescent="0.25">
      <c r="A16" s="16"/>
      <c r="B16" s="16" t="s">
        <v>28</v>
      </c>
      <c r="C16" s="16" t="s">
        <v>29</v>
      </c>
      <c r="D16" s="16" t="s">
        <v>30</v>
      </c>
      <c r="E16" s="16" t="s">
        <v>20</v>
      </c>
      <c r="F16" s="16" t="s">
        <v>31</v>
      </c>
      <c r="G16" s="16" t="s">
        <v>32</v>
      </c>
      <c r="H16" s="16" t="s">
        <v>33</v>
      </c>
      <c r="O16" t="s">
        <v>26</v>
      </c>
      <c r="P16" s="12">
        <f>K14</f>
        <v>4.318444439626715</v>
      </c>
    </row>
    <row r="17" spans="1:16" x14ac:dyDescent="0.25">
      <c r="A17" t="s">
        <v>34</v>
      </c>
      <c r="B17">
        <f t="array" ref="B17:B18">M5:M6</f>
        <v>-13.524316540892515</v>
      </c>
      <c r="C17">
        <f t="array" ref="C17:C18">SQRT([1]!DIAG(R4:S5))</f>
        <v>9.3582250673144092</v>
      </c>
      <c r="D17">
        <f>(B17/C17)^2</f>
        <v>2.0885442558263305</v>
      </c>
      <c r="E17">
        <f>_xlfn.CHISQ.DIST.RT(D17,1)</f>
        <v>0.14840742748358277</v>
      </c>
      <c r="F17">
        <f>EXP(B17)</f>
        <v>1.3380241582974287E-6</v>
      </c>
      <c r="O17" t="s">
        <v>19</v>
      </c>
      <c r="P17" s="14">
        <f>COUNT(D4:D13)-2</f>
        <v>8</v>
      </c>
    </row>
    <row r="18" spans="1:16" x14ac:dyDescent="0.25">
      <c r="A18" s="17" t="str">
        <f t="array" ref="A18">TRANSPOSE(A3)</f>
        <v>Blood Sugar Level</v>
      </c>
      <c r="B18" s="17">
        <v>6.369361789938964E-2</v>
      </c>
      <c r="C18" s="17">
        <v>4.426272455863909E-2</v>
      </c>
      <c r="D18" s="17">
        <f>(B18/C18)^2</f>
        <v>2.0706922127366725</v>
      </c>
      <c r="E18" s="17">
        <f>_xlfn.CHISQ.DIST.RT(D18,1)</f>
        <v>0.15015335677222219</v>
      </c>
      <c r="F18" s="17">
        <f>EXP(B18)</f>
        <v>1.0657658171648605</v>
      </c>
      <c r="G18" s="17">
        <f>EXP(B18-C18*_xlfn.NORM.S.INV(1-$P$9/2))</f>
        <v>0.97720411549173536</v>
      </c>
      <c r="H18" s="17">
        <f>EXP(B18+C18*_xlfn.NORM.S.INV(1-$P$9/2))</f>
        <v>1.1623536567542108</v>
      </c>
      <c r="O18" t="s">
        <v>20</v>
      </c>
      <c r="P18" s="14">
        <f>_xlfn.CHISQ.DIST.RT(P16,P17)</f>
        <v>0.82731037805749386</v>
      </c>
    </row>
    <row r="19" spans="1:16" x14ac:dyDescent="0.25">
      <c r="O19" t="s">
        <v>21</v>
      </c>
      <c r="P19" s="14">
        <f>P9</f>
        <v>0.05</v>
      </c>
    </row>
    <row r="20" spans="1:16" x14ac:dyDescent="0.25">
      <c r="O20" t="s">
        <v>22</v>
      </c>
      <c r="P20" s="15" t="str">
        <f>IF(P18&lt;P19,"yes","no")</f>
        <v>no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Diabetes Example Data (1)</vt:lpstr>
      <vt:lpstr>Diabetes Data Encoded</vt:lpstr>
      <vt:lpstr>Model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Mahima Prasad</dc:creator>
  <cp:lastModifiedBy>Mahima Prasad</cp:lastModifiedBy>
  <dcterms:modified xsi:type="dcterms:W3CDTF">2019-06-15T12:30:56Z</dcterms:modified>
</cp:coreProperties>
</file>