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ad\Desktop\dashboard001\"/>
    </mc:Choice>
  </mc:AlternateContent>
  <xr:revisionPtr revIDLastSave="0" documentId="13_ncr:1_{9A2D35B1-AABC-4F8F-8010-AD343FC02804}" xr6:coauthVersionLast="47" xr6:coauthVersionMax="47" xr10:uidLastSave="{00000000-0000-0000-0000-000000000000}"/>
  <bookViews>
    <workbookView xWindow="-23148" yWindow="-108" windowWidth="23256" windowHeight="12576" activeTab="2" xr2:uid="{DA2C06C3-E61A-44DD-99B9-D759CE9C2162}"/>
  </bookViews>
  <sheets>
    <sheet name="complaints" sheetId="2" r:id="rId1"/>
    <sheet name="workorders" sheetId="1" r:id="rId2"/>
    <sheet name="calc" sheetId="7" r:id="rId3"/>
    <sheet name="weekl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7" l="1" a="1"/>
  <c r="AB5" i="7" s="1"/>
  <c r="AB4" i="7" a="1"/>
  <c r="AB4" i="7" s="1"/>
  <c r="AB3" i="7" a="1"/>
  <c r="AB3" i="7" s="1"/>
  <c r="AB2" i="7" a="1"/>
  <c r="AB2" i="7" s="1"/>
  <c r="Y5" i="7" a="1"/>
  <c r="Y5" i="7" s="1"/>
  <c r="Y4" i="7" a="1"/>
  <c r="Y4" i="7" s="1"/>
  <c r="Y3" i="7" a="1"/>
  <c r="Y3" i="7" s="1"/>
  <c r="Y2" i="7" a="1"/>
  <c r="Y2" i="7" s="1"/>
  <c r="V5" i="7" a="1"/>
  <c r="V5" i="7" s="1"/>
  <c r="V4" i="7" a="1"/>
  <c r="V4" i="7" s="1"/>
  <c r="V3" i="7" a="1"/>
  <c r="V3" i="7" s="1"/>
  <c r="V2" i="7" a="1"/>
  <c r="V2" i="7" s="1"/>
  <c r="R6" i="7" a="1"/>
  <c r="R6" i="7" s="1"/>
  <c r="R5" i="7" a="1"/>
  <c r="R5" i="7" s="1"/>
  <c r="R4" i="7" a="1"/>
  <c r="R4" i="7" s="1"/>
  <c r="R3" i="7" a="1"/>
  <c r="R3" i="7" s="1"/>
  <c r="O6" i="7" a="1"/>
  <c r="O6" i="7" s="1"/>
  <c r="O5" i="7" a="1"/>
  <c r="O5" i="7" s="1"/>
  <c r="O4" i="7" a="1"/>
  <c r="O4" i="7" s="1"/>
  <c r="O3" i="7" a="1"/>
  <c r="O3" i="7" s="1"/>
  <c r="R2" i="7" a="1"/>
  <c r="R2" i="7" s="1"/>
  <c r="O2" i="7" a="1"/>
  <c r="O2" i="7" s="1"/>
  <c r="L5" i="7" a="1"/>
  <c r="L5" i="7" s="1"/>
  <c r="L6" i="7" a="1"/>
  <c r="L6" i="7" s="1"/>
  <c r="L4" i="7" a="1"/>
  <c r="L4" i="7" s="1"/>
  <c r="L3" i="7" a="1"/>
  <c r="L3" i="7" s="1"/>
  <c r="L2" i="7" a="1"/>
  <c r="L2" i="7" s="1"/>
  <c r="E6" i="7" a="1"/>
  <c r="E6" i="7" s="1"/>
  <c r="E5" i="7" a="1"/>
  <c r="E5" i="7" s="1"/>
  <c r="E4" i="7" a="1"/>
  <c r="E4" i="7" s="1"/>
  <c r="E3" i="7" a="1"/>
  <c r="E3" i="7" s="1"/>
  <c r="E2" i="7" a="1"/>
  <c r="E2" i="7" s="1"/>
  <c r="H6" i="7" a="1"/>
  <c r="H6" i="7" s="1"/>
  <c r="H5" i="7" a="1"/>
  <c r="H5" i="7" s="1"/>
  <c r="H4" i="7" a="1"/>
  <c r="H4" i="7" s="1"/>
  <c r="H3" i="7" a="1"/>
  <c r="H3" i="7" s="1"/>
  <c r="H2" i="7" a="1"/>
  <c r="H2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AA5" i="7" a="1"/>
  <c r="AA5" i="7" s="1"/>
  <c r="Z5" i="7" a="1"/>
  <c r="Z5" i="7" s="1"/>
  <c r="Z4" i="7" a="1"/>
  <c r="Z4" i="7" s="1"/>
  <c r="Z3" i="7" a="1"/>
  <c r="Z3" i="7" s="1"/>
  <c r="AA4" i="7" a="1"/>
  <c r="AA4" i="7" s="1"/>
  <c r="AA3" i="7" a="1"/>
  <c r="AA3" i="7" s="1"/>
  <c r="AC5" i="7" a="1"/>
  <c r="AC5" i="7" s="1"/>
  <c r="AC4" i="7" a="1"/>
  <c r="AC4" i="7" s="1"/>
  <c r="AC3" i="7" a="1"/>
  <c r="AC3" i="7" s="1"/>
  <c r="AD5" i="7" a="1"/>
  <c r="AD5" i="7" s="1"/>
  <c r="AD4" i="7" a="1"/>
  <c r="AD4" i="7" s="1"/>
  <c r="AD3" i="7" a="1"/>
  <c r="AD3" i="7" s="1"/>
  <c r="AD2" i="7" a="1"/>
  <c r="AD2" i="7" s="1"/>
  <c r="AA2" i="7" a="1"/>
  <c r="AA2" i="7" s="1"/>
  <c r="AC2" i="7" a="1"/>
  <c r="AC2" i="7" s="1"/>
  <c r="Z2" i="7" a="1"/>
  <c r="Z2" i="7" s="1"/>
  <c r="X5" i="7"/>
  <c r="X4" i="7"/>
  <c r="X3" i="7"/>
  <c r="X2" i="7"/>
  <c r="W5" i="7"/>
  <c r="W4" i="7"/>
  <c r="W3" i="7"/>
  <c r="W2" i="7"/>
  <c r="T6" i="7" a="1"/>
  <c r="T6" i="7" s="1"/>
  <c r="T5" i="7" a="1"/>
  <c r="T5" i="7" s="1"/>
  <c r="T4" i="7" a="1"/>
  <c r="T4" i="7" s="1"/>
  <c r="T3" i="7" a="1"/>
  <c r="T3" i="7" s="1"/>
  <c r="S6" i="7" a="1"/>
  <c r="S6" i="7" s="1"/>
  <c r="S5" i="7" a="1"/>
  <c r="S5" i="7" s="1"/>
  <c r="S4" i="7" a="1"/>
  <c r="S4" i="7" s="1"/>
  <c r="S3" i="7" a="1"/>
  <c r="S3" i="7" s="1"/>
  <c r="Q6" i="7" a="1"/>
  <c r="Q6" i="7" s="1"/>
  <c r="Q5" i="7" a="1"/>
  <c r="Q5" i="7" s="1"/>
  <c r="Q4" i="7" a="1"/>
  <c r="Q4" i="7" s="1"/>
  <c r="Q3" i="7" a="1"/>
  <c r="Q3" i="7" s="1"/>
  <c r="P6" i="7" a="1"/>
  <c r="P6" i="7" s="1"/>
  <c r="P5" i="7" a="1"/>
  <c r="P5" i="7" s="1"/>
  <c r="P4" i="7" a="1"/>
  <c r="P4" i="7" s="1"/>
  <c r="P3" i="7" a="1"/>
  <c r="P3" i="7" s="1"/>
  <c r="P2" i="7" a="1"/>
  <c r="P2" i="7" s="1"/>
  <c r="Q2" i="7" a="1"/>
  <c r="Q2" i="7" s="1"/>
  <c r="S2" i="7" a="1"/>
  <c r="S2" i="7" s="1"/>
  <c r="T2" i="7" a="1"/>
  <c r="T2" i="7" s="1"/>
  <c r="J6" i="7" a="1"/>
  <c r="J6" i="7" s="1"/>
  <c r="D2" i="7"/>
  <c r="D3" i="7"/>
  <c r="D4" i="7"/>
  <c r="D5" i="7"/>
  <c r="D6" i="7"/>
  <c r="J5" i="7" a="1"/>
  <c r="J5" i="7" s="1"/>
  <c r="J4" i="7" a="1"/>
  <c r="J4" i="7" s="1"/>
  <c r="J3" i="7" a="1"/>
  <c r="J3" i="7" s="1"/>
  <c r="I6" i="7" a="1"/>
  <c r="I6" i="7" s="1"/>
  <c r="I5" i="7" a="1"/>
  <c r="I5" i="7" s="1"/>
  <c r="I4" i="7" a="1"/>
  <c r="I4" i="7" s="1"/>
  <c r="I3" i="7" a="1"/>
  <c r="I3" i="7" s="1"/>
  <c r="G6" i="7" a="1"/>
  <c r="G6" i="7" s="1"/>
  <c r="G5" i="7" a="1"/>
  <c r="G5" i="7" s="1"/>
  <c r="G4" i="7" a="1"/>
  <c r="G4" i="7" s="1"/>
  <c r="G3" i="7" a="1"/>
  <c r="G3" i="7" s="1"/>
  <c r="F6" i="7" a="1"/>
  <c r="F6" i="7" s="1"/>
  <c r="F5" i="7" a="1"/>
  <c r="F5" i="7" s="1"/>
  <c r="F4" i="7" a="1"/>
  <c r="F4" i="7" s="1"/>
  <c r="F3" i="7" a="1"/>
  <c r="F3" i="7" s="1"/>
  <c r="J2" i="7" a="1"/>
  <c r="J2" i="7" s="1"/>
  <c r="I2" i="7" a="1"/>
  <c r="I2" i="7" s="1"/>
  <c r="G2" i="7" a="1"/>
  <c r="G2" i="7" s="1"/>
  <c r="F2" i="7" a="1"/>
  <c r="F2" i="7" s="1"/>
  <c r="C6" i="7"/>
  <c r="C5" i="7"/>
  <c r="C4" i="7"/>
  <c r="C3" i="7"/>
  <c r="N6" i="7"/>
  <c r="N5" i="7"/>
  <c r="N4" i="7"/>
  <c r="M6" i="7"/>
  <c r="M5" i="7"/>
  <c r="M4" i="7"/>
  <c r="N3" i="7"/>
  <c r="M3" i="7"/>
  <c r="M2" i="7"/>
  <c r="N2" i="7"/>
  <c r="C2" i="7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O25" i="1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N17" i="2"/>
  <c r="N18" i="2"/>
  <c r="N19" i="2"/>
  <c r="N20" i="2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M18" i="2"/>
  <c r="M19" i="2"/>
  <c r="M20" i="2"/>
  <c r="M21" i="2"/>
  <c r="N21" i="2" s="1"/>
  <c r="K9" i="2" a="1"/>
  <c r="K9" i="2" s="1"/>
  <c r="L9" i="2" s="1"/>
  <c r="K10" i="2" a="1"/>
  <c r="K10" i="2" s="1"/>
  <c r="L10" i="2" s="1"/>
  <c r="K11" i="2" a="1"/>
  <c r="K11" i="2" s="1"/>
  <c r="L11" i="2" s="1"/>
  <c r="K12" i="2" a="1"/>
  <c r="K12" i="2" s="1"/>
  <c r="L12" i="2" s="1"/>
  <c r="K13" i="2" a="1"/>
  <c r="K13" i="2" s="1"/>
  <c r="L13" i="2" s="1"/>
  <c r="K14" i="2" a="1"/>
  <c r="K14" i="2" s="1"/>
  <c r="L14" i="2" s="1"/>
  <c r="K15" i="2" a="1"/>
  <c r="K15" i="2" s="1"/>
  <c r="L15" i="2" s="1"/>
  <c r="K16" i="2" a="1"/>
  <c r="K16" i="2" s="1"/>
  <c r="L16" i="2" s="1"/>
  <c r="K17" i="2" a="1"/>
  <c r="K17" i="2" s="1"/>
  <c r="L17" i="2" s="1"/>
  <c r="K18" i="2" a="1"/>
  <c r="K18" i="2" s="1"/>
  <c r="L18" i="2" s="1"/>
  <c r="K19" i="2" a="1"/>
  <c r="K19" i="2" s="1"/>
  <c r="L19" i="2" s="1"/>
  <c r="K20" i="2" a="1"/>
  <c r="K20" i="2" s="1"/>
  <c r="L20" i="2" s="1"/>
  <c r="K21" i="2" a="1"/>
  <c r="K21" i="2" s="1"/>
  <c r="L21" i="2" s="1"/>
  <c r="J20" i="2"/>
  <c r="J21" i="2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I21" i="2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M9" i="2"/>
  <c r="N9" i="2" s="1"/>
  <c r="L13" i="6"/>
  <c r="L12" i="6"/>
  <c r="L11" i="6"/>
  <c r="L9" i="6"/>
  <c r="L8" i="6"/>
  <c r="L7" i="6"/>
  <c r="L5" i="6"/>
  <c r="L4" i="6"/>
  <c r="L3" i="6"/>
  <c r="M13" i="6"/>
  <c r="M12" i="6"/>
  <c r="M11" i="6"/>
  <c r="M9" i="6"/>
  <c r="M8" i="6"/>
  <c r="M7" i="6"/>
  <c r="M5" i="6"/>
  <c r="M4" i="6"/>
  <c r="M3" i="6"/>
  <c r="F13" i="6"/>
  <c r="F12" i="6"/>
  <c r="F11" i="6"/>
  <c r="F9" i="6"/>
  <c r="F8" i="6"/>
  <c r="F7" i="6"/>
  <c r="F3" i="6"/>
  <c r="E13" i="6"/>
  <c r="E12" i="6"/>
  <c r="E11" i="6"/>
  <c r="E9" i="6"/>
  <c r="E8" i="6"/>
  <c r="E7" i="6"/>
  <c r="F5" i="6"/>
  <c r="F4" i="6"/>
  <c r="E5" i="6"/>
  <c r="E4" i="6"/>
  <c r="E3" i="6"/>
  <c r="K12" i="6"/>
  <c r="K11" i="6"/>
  <c r="K5" i="6"/>
  <c r="D5" i="6"/>
  <c r="D4" i="6"/>
  <c r="D3" i="6"/>
  <c r="D8" i="6"/>
  <c r="D13" i="6"/>
  <c r="K7" i="6"/>
  <c r="K8" i="6"/>
  <c r="K13" i="6"/>
  <c r="D2" i="2"/>
  <c r="D7" i="6" s="1"/>
  <c r="O3" i="1"/>
  <c r="O4" i="1"/>
  <c r="O5" i="1"/>
  <c r="O6" i="1"/>
  <c r="O7" i="1"/>
  <c r="O8" i="1"/>
  <c r="O9" i="1"/>
  <c r="O10" i="1"/>
  <c r="O11" i="1"/>
  <c r="O2" i="1"/>
  <c r="M8" i="1"/>
  <c r="M7" i="1"/>
  <c r="L8" i="1"/>
  <c r="L9" i="1"/>
  <c r="M9" i="1" s="1"/>
  <c r="L10" i="1"/>
  <c r="M10" i="1" s="1"/>
  <c r="L11" i="1"/>
  <c r="M11" i="1" s="1"/>
  <c r="N7" i="2"/>
  <c r="K7" i="2" a="1"/>
  <c r="K7" i="2" s="1"/>
  <c r="L7" i="2" s="1"/>
  <c r="K8" i="2" a="1"/>
  <c r="K8" i="2" s="1"/>
  <c r="L8" i="2" s="1"/>
  <c r="I7" i="2"/>
  <c r="J7" i="2" s="1"/>
  <c r="I8" i="2"/>
  <c r="J8" i="2" s="1"/>
  <c r="M8" i="2"/>
  <c r="N8" i="2" s="1"/>
  <c r="Q8" i="2"/>
  <c r="Q2" i="2"/>
  <c r="Q3" i="2"/>
  <c r="Q4" i="2"/>
  <c r="Q5" i="2"/>
  <c r="Q6" i="2"/>
  <c r="Q7" i="2"/>
  <c r="L7" i="1"/>
  <c r="M6" i="2"/>
  <c r="N6" i="2" s="1"/>
  <c r="M7" i="2"/>
  <c r="I2" i="2"/>
  <c r="J2" i="2" s="1"/>
  <c r="I3" i="2"/>
  <c r="J3" i="2" s="1"/>
  <c r="I4" i="2"/>
  <c r="J4" i="2" s="1"/>
  <c r="I5" i="2"/>
  <c r="J5" i="2" s="1"/>
  <c r="I6" i="2"/>
  <c r="J6" i="2" s="1"/>
  <c r="K6" i="2" a="1"/>
  <c r="K6" i="2" s="1"/>
  <c r="L6" i="2" s="1"/>
  <c r="L6" i="1"/>
  <c r="M6" i="1" s="1"/>
  <c r="K2" i="2" a="1"/>
  <c r="K2" i="2" s="1"/>
  <c r="L2" i="2" s="1"/>
  <c r="K3" i="2" a="1"/>
  <c r="K3" i="2" s="1"/>
  <c r="L3" i="2" s="1"/>
  <c r="K4" i="2" a="1"/>
  <c r="K4" i="2" s="1"/>
  <c r="L4" i="2" s="1"/>
  <c r="K5" i="2" a="1"/>
  <c r="K5" i="2" s="1"/>
  <c r="L5" i="2" s="1"/>
  <c r="M5" i="2"/>
  <c r="N5" i="2" s="1"/>
  <c r="M3" i="2"/>
  <c r="N3" i="2" s="1"/>
  <c r="M4" i="2"/>
  <c r="N4" i="2" s="1"/>
  <c r="L3" i="1"/>
  <c r="M3" i="1" s="1"/>
  <c r="L4" i="1"/>
  <c r="M4" i="1" s="1"/>
  <c r="L5" i="1"/>
  <c r="M5" i="1" s="1"/>
  <c r="L2" i="1"/>
  <c r="M2" i="1" s="1"/>
  <c r="M2" i="2"/>
  <c r="N2" i="2" s="1"/>
  <c r="D12" i="6" l="1"/>
  <c r="K9" i="6"/>
  <c r="K10" i="6" s="1"/>
  <c r="K4" i="6"/>
  <c r="K3" i="6"/>
  <c r="D9" i="6"/>
  <c r="D10" i="6" s="1"/>
  <c r="D11" i="6"/>
  <c r="M14" i="6"/>
  <c r="L14" i="6"/>
  <c r="M10" i="6"/>
  <c r="M6" i="6"/>
  <c r="L10" i="6"/>
  <c r="L6" i="6"/>
  <c r="F10" i="6"/>
  <c r="F14" i="6"/>
  <c r="E14" i="6"/>
  <c r="E10" i="6"/>
  <c r="F6" i="6"/>
  <c r="E6" i="6"/>
  <c r="K14" i="6"/>
  <c r="D6" i="6"/>
  <c r="D14" i="6" l="1"/>
  <c r="K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<sst xmlns="http://schemas.openxmlformats.org/spreadsheetml/2006/main" count="388" uniqueCount="97">
  <si>
    <t>index</t>
  </si>
  <si>
    <t>staus</t>
  </si>
  <si>
    <t>craft</t>
  </si>
  <si>
    <t>created</t>
  </si>
  <si>
    <t>appointment start</t>
  </si>
  <si>
    <t>closed date</t>
  </si>
  <si>
    <t>closure reason</t>
  </si>
  <si>
    <t>missed appointment?</t>
  </si>
  <si>
    <t>follow on created correctly?</t>
  </si>
  <si>
    <t>closed</t>
  </si>
  <si>
    <t>multi</t>
  </si>
  <si>
    <t>yes</t>
  </si>
  <si>
    <t>no</t>
  </si>
  <si>
    <t>carpet</t>
  </si>
  <si>
    <t>plumber</t>
  </si>
  <si>
    <t>target date</t>
  </si>
  <si>
    <t>resolution time</t>
  </si>
  <si>
    <t>past target</t>
  </si>
  <si>
    <t>escalated to</t>
  </si>
  <si>
    <t>am</t>
  </si>
  <si>
    <t>incorrectly handled</t>
  </si>
  <si>
    <t>status</t>
  </si>
  <si>
    <t xml:space="preserve">tone of complaint </t>
  </si>
  <si>
    <t>source</t>
  </si>
  <si>
    <t>contacted within 24 hours</t>
  </si>
  <si>
    <t>within target</t>
  </si>
  <si>
    <t>area</t>
  </si>
  <si>
    <t>related wo</t>
  </si>
  <si>
    <t>wos completed</t>
  </si>
  <si>
    <t>request sent</t>
  </si>
  <si>
    <t>responses received</t>
  </si>
  <si>
    <t>social</t>
  </si>
  <si>
    <t>general</t>
  </si>
  <si>
    <t>open by area</t>
  </si>
  <si>
    <t>a</t>
  </si>
  <si>
    <t>b</t>
  </si>
  <si>
    <t>c</t>
  </si>
  <si>
    <t>total</t>
  </si>
  <si>
    <t>received by area</t>
  </si>
  <si>
    <t>d</t>
  </si>
  <si>
    <t>e</t>
  </si>
  <si>
    <t>f</t>
  </si>
  <si>
    <t>closed by area</t>
  </si>
  <si>
    <t>negative</t>
  </si>
  <si>
    <t>rm</t>
  </si>
  <si>
    <t>dm</t>
  </si>
  <si>
    <t>wrong status</t>
  </si>
  <si>
    <t>incorrectly closed</t>
  </si>
  <si>
    <t>no communication</t>
  </si>
  <si>
    <t>neutral</t>
  </si>
  <si>
    <t>call centre</t>
  </si>
  <si>
    <t>most recent wo target date</t>
  </si>
  <si>
    <t>met most recent wo target date</t>
  </si>
  <si>
    <t>open</t>
  </si>
  <si>
    <t>created weeknum</t>
  </si>
  <si>
    <t>closed weeknum</t>
  </si>
  <si>
    <t>tues</t>
  </si>
  <si>
    <t>wed</t>
  </si>
  <si>
    <t>thurs</t>
  </si>
  <si>
    <t>fri</t>
  </si>
  <si>
    <t>week 1</t>
  </si>
  <si>
    <t>week 2</t>
  </si>
  <si>
    <t>week 3</t>
  </si>
  <si>
    <t>week 4</t>
  </si>
  <si>
    <t>pest</t>
  </si>
  <si>
    <t>complete</t>
  </si>
  <si>
    <t>thisw open all</t>
  </si>
  <si>
    <t>thisw new all</t>
  </si>
  <si>
    <t>thisw closed all</t>
  </si>
  <si>
    <t>thisw open se</t>
  </si>
  <si>
    <t>thisw new se</t>
  </si>
  <si>
    <t>thisw closed se</t>
  </si>
  <si>
    <t>thisw open sw</t>
  </si>
  <si>
    <t>thisw new sw</t>
  </si>
  <si>
    <t>thisw closed sw</t>
  </si>
  <si>
    <t>mon</t>
  </si>
  <si>
    <t>lastw open all</t>
  </si>
  <si>
    <t>lastw new all</t>
  </si>
  <si>
    <t>lastw closed all</t>
  </si>
  <si>
    <t>lastw open se</t>
  </si>
  <si>
    <t>lastw new se</t>
  </si>
  <si>
    <t>lastw closed se</t>
  </si>
  <si>
    <t>lastw open sw</t>
  </si>
  <si>
    <t>lastw new sw</t>
  </si>
  <si>
    <t>lastw closed sw</t>
  </si>
  <si>
    <t>this week</t>
  </si>
  <si>
    <t>last week</t>
  </si>
  <si>
    <t>month open all</t>
  </si>
  <si>
    <t>month new all</t>
  </si>
  <si>
    <t>month closed all</t>
  </si>
  <si>
    <t>month open se</t>
  </si>
  <si>
    <t>month new se</t>
  </si>
  <si>
    <t>month closed se</t>
  </si>
  <si>
    <t>month open sw</t>
  </si>
  <si>
    <t>month new sw</t>
  </si>
  <si>
    <t>month closed sw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</si>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</sst>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5EB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36B2-81C5-4D2C-8B83-F288596091A3}">
  <dimension ref="A1:R21"/>
  <sheetViews>
    <sheetView workbookViewId="0">
      <selection activeCell="F13" sqref="F13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10.85546875" customWidth="1"/>
    <col min="4" max="4" width="20.28515625" customWidth="1"/>
    <col min="5" max="5" width="4.85546875" bestFit="1" customWidth="1"/>
    <col min="6" max="6" width="10.140625" customWidth="1"/>
    <col min="7" max="7" width="17.42578125" bestFit="1" customWidth="1"/>
    <col min="8" max="8" width="24.140625" bestFit="1" customWidth="1"/>
    <col min="9" max="9" width="11.28515625" customWidth="1"/>
    <col min="10" max="10" width="14.7109375" bestFit="1" customWidth="1"/>
    <col min="11" max="11" width="25.7109375" customWidth="1"/>
    <col min="12" max="12" width="29.42578125" customWidth="1"/>
    <col min="13" max="13" width="10.7109375" bestFit="1" customWidth="1"/>
    <col min="14" max="14" width="12.42578125" bestFit="1" customWidth="1"/>
    <col min="15" max="15" width="11.140625" bestFit="1" customWidth="1"/>
    <col min="16" max="16" width="13.85546875" customWidth="1"/>
    <col min="17" max="17" width="14.85546875" bestFit="1" customWidth="1"/>
    <col min="18" max="18" width="14" bestFit="1" customWidth="1"/>
  </cols>
  <sheetData>
    <row r="1" spans="1:18" x14ac:dyDescent="0.25">
      <c r="A1" t="s">
        <v>0</v>
      </c>
      <c r="B1" t="s">
        <v>21</v>
      </c>
      <c r="C1" t="s">
        <v>3</v>
      </c>
      <c r="D1" t="s">
        <v>54</v>
      </c>
      <c r="E1" t="s">
        <v>26</v>
      </c>
      <c r="F1" t="s">
        <v>23</v>
      </c>
      <c r="G1" t="s">
        <v>22</v>
      </c>
      <c r="H1" t="s">
        <v>24</v>
      </c>
      <c r="I1" t="s">
        <v>27</v>
      </c>
      <c r="J1" t="s">
        <v>28</v>
      </c>
      <c r="K1" t="s">
        <v>51</v>
      </c>
      <c r="L1" t="s">
        <v>52</v>
      </c>
      <c r="M1" t="s">
        <v>15</v>
      </c>
      <c r="N1" t="s">
        <v>25</v>
      </c>
      <c r="O1" t="s">
        <v>5</v>
      </c>
      <c r="P1" t="s">
        <v>55</v>
      </c>
      <c r="Q1" t="s">
        <v>16</v>
      </c>
      <c r="R1" t="s">
        <v>6</v>
      </c>
    </row>
    <row r="2" spans="1:18" s="3" customFormat="1" x14ac:dyDescent="0.25">
      <c r="A2" s="3">
        <v>1</v>
      </c>
      <c r="B2" s="3" t="s">
        <v>9</v>
      </c>
      <c r="C2" s="4">
        <v>45487</v>
      </c>
      <c r="D2" s="3">
        <f>WEEKNUM(C2,11)</f>
        <v>28</v>
      </c>
      <c r="E2" s="3" t="s">
        <v>34</v>
      </c>
      <c r="F2" s="3" t="s">
        <v>31</v>
      </c>
      <c r="G2" s="3" t="s">
        <v>43</v>
      </c>
      <c r="H2" s="3" t="s">
        <v>11</v>
      </c>
      <c r="I2" s="3">
        <f>IF(COUNTIF(workorders!A:A, A2) = 0, "No workorder", COUNTIF(workorders!A:A, A2))</f>
        <v>1</v>
      </c>
      <c r="J2" s="3">
        <f>IF(I2="No workorder", "No workorder", COUNTIFS(workorders!A:A, A2, workorders!B:B, "closed"))</f>
        <v>1</v>
      </c>
      <c r="K2" s="4" cm="1">
        <f t="array" ref="K2">IFERROR(MAX(_xlfn._xlws.FILTER(workorders!$L:$L, workorders!$A:$A = A2)), "No workorder")</f>
        <v>45391</v>
      </c>
      <c r="L2" s="3" t="str">
        <f>IF(K2="No workorder","No workorder",IF(O2&lt;=K2,"yes","no"))</f>
        <v>no</v>
      </c>
      <c r="M2" s="4">
        <f t="shared" ref="M2:M21" si="0">C2+10</f>
        <v>45497</v>
      </c>
      <c r="N2" s="3" t="str">
        <f t="shared" ref="N2:N5" ca="1" si="1">IF(ISBLANK(O2), IF(TODAY() &lt;= M2, "yes", "no"), IF(O2 &lt;= M2, "yes", "no"))</f>
        <v>yes</v>
      </c>
      <c r="O2" s="4">
        <v>45493</v>
      </c>
      <c r="P2" s="3">
        <f t="shared" ref="P2:P21" si="2">IF(ISBLANK(O2), "", WEEKNUM(O2,11))</f>
        <v>29</v>
      </c>
      <c r="Q2" s="3">
        <f t="shared" ref="Q2:Q21" ca="1" si="3">IF(ISBLANK(O2), DATEDIF(C2, TODAY(), "d"), DATEDIF(C2, O2, "d"))</f>
        <v>6</v>
      </c>
      <c r="R2" s="3" t="s">
        <v>65</v>
      </c>
    </row>
    <row r="3" spans="1:18" s="3" customFormat="1" x14ac:dyDescent="0.25">
      <c r="A3" s="3">
        <v>2</v>
      </c>
      <c r="B3" s="3" t="s">
        <v>9</v>
      </c>
      <c r="C3" s="4">
        <v>45487</v>
      </c>
      <c r="D3" s="3">
        <f t="shared" ref="D3:D21" si="4">WEEKNUM(C3,11)</f>
        <v>28</v>
      </c>
      <c r="E3" s="3" t="s">
        <v>35</v>
      </c>
      <c r="F3" s="3" t="s">
        <v>31</v>
      </c>
      <c r="G3" s="3" t="s">
        <v>43</v>
      </c>
      <c r="H3" s="3" t="s">
        <v>11</v>
      </c>
      <c r="I3" s="3">
        <f>IF(COUNTIF(workorders!A:A, A3) = 0, "No workorder", COUNTIF(workorders!A:A, A3))</f>
        <v>2</v>
      </c>
      <c r="J3" s="3">
        <f>IF(I3="No workorder", "No workorder", COUNTIFS(workorders!A:A, A3, workorders!B:B, "closed"))</f>
        <v>2</v>
      </c>
      <c r="K3" s="4" cm="1">
        <f t="array" ref="K3">IFERROR(MAX(_xlfn._xlws.FILTER(workorders!$L:$L, workorders!$A:$A = A3)), "No workorder")</f>
        <v>45498</v>
      </c>
      <c r="L3" s="3" t="str">
        <f>IF(K3="No workorder","No workorder",IF(O3&lt;=K3,"yes","no"))</f>
        <v>yes</v>
      </c>
      <c r="M3" s="4">
        <f t="shared" si="0"/>
        <v>45497</v>
      </c>
      <c r="N3" s="3" t="str">
        <f t="shared" ca="1" si="1"/>
        <v>yes</v>
      </c>
      <c r="O3" s="4">
        <v>45495</v>
      </c>
      <c r="P3" s="3">
        <f t="shared" si="2"/>
        <v>30</v>
      </c>
      <c r="Q3" s="3">
        <f t="shared" ca="1" si="3"/>
        <v>8</v>
      </c>
      <c r="R3" s="3" t="s">
        <v>65</v>
      </c>
    </row>
    <row r="4" spans="1:18" s="3" customFormat="1" x14ac:dyDescent="0.25">
      <c r="A4" s="3">
        <v>3</v>
      </c>
      <c r="B4" s="3" t="s">
        <v>9</v>
      </c>
      <c r="C4" s="4">
        <v>45493</v>
      </c>
      <c r="D4" s="3">
        <f t="shared" si="4"/>
        <v>29</v>
      </c>
      <c r="E4" s="3" t="s">
        <v>35</v>
      </c>
      <c r="F4" s="3" t="s">
        <v>50</v>
      </c>
      <c r="G4" s="3" t="s">
        <v>43</v>
      </c>
      <c r="H4" s="3" t="s">
        <v>12</v>
      </c>
      <c r="I4" s="3">
        <f>IF(COUNTIF(workorders!A:A, A4) = 0, "No workorder", COUNTIF(workorders!A:A, A4))</f>
        <v>1</v>
      </c>
      <c r="J4" s="3">
        <f>IF(I4="No workorder", "No workorder", COUNTIFS(workorders!A:A, A4, workorders!B:B, "closed"))</f>
        <v>1</v>
      </c>
      <c r="K4" s="4" cm="1">
        <f t="array" ref="K4">IFERROR(MAX(_xlfn._xlws.FILTER(workorders!$L:$L, workorders!$A:$A = A4)), "No workorder")</f>
        <v>45455</v>
      </c>
      <c r="L4" s="3" t="str">
        <f>IF(K4="No workorder","No workorder",IF(O4&lt;=K4,"yes","no"))</f>
        <v>no</v>
      </c>
      <c r="M4" s="4">
        <f t="shared" si="0"/>
        <v>45503</v>
      </c>
      <c r="N4" s="3" t="str">
        <f t="shared" ca="1" si="1"/>
        <v>yes</v>
      </c>
      <c r="O4" s="4">
        <v>45497</v>
      </c>
      <c r="P4" s="3">
        <f t="shared" si="2"/>
        <v>30</v>
      </c>
      <c r="Q4" s="3">
        <f t="shared" ca="1" si="3"/>
        <v>4</v>
      </c>
      <c r="R4" s="3" t="s">
        <v>65</v>
      </c>
    </row>
    <row r="5" spans="1:18" s="3" customFormat="1" x14ac:dyDescent="0.25">
      <c r="A5" s="3">
        <v>4</v>
      </c>
      <c r="B5" s="3" t="s">
        <v>9</v>
      </c>
      <c r="C5" s="4">
        <v>45483</v>
      </c>
      <c r="D5" s="3">
        <f t="shared" si="4"/>
        <v>28</v>
      </c>
      <c r="E5" s="3" t="s">
        <v>36</v>
      </c>
      <c r="F5" s="3" t="s">
        <v>32</v>
      </c>
      <c r="G5" s="3" t="s">
        <v>49</v>
      </c>
      <c r="H5" s="3" t="s">
        <v>11</v>
      </c>
      <c r="I5" s="3">
        <f>IF(COUNTIF(workorders!A:A, A5) = 0, "No workorder", COUNTIF(workorders!A:A, A5))</f>
        <v>1</v>
      </c>
      <c r="J5" s="3">
        <f>IF(I5="No workorder", "No workorder", COUNTIFS(workorders!A:A, A5, workorders!B:B, "closed"))</f>
        <v>1</v>
      </c>
      <c r="K5" s="4" cm="1">
        <f t="array" ref="K5">IFERROR(MAX(_xlfn._xlws.FILTER(workorders!$L:$L, workorders!$A:$A = A5)), "No workorder")</f>
        <v>45427</v>
      </c>
      <c r="L5" s="3" t="str">
        <f>IF(K5="No workorder","No workorder",IF(O5&lt;=K5,"yes","no"))</f>
        <v>no</v>
      </c>
      <c r="M5" s="4">
        <f t="shared" si="0"/>
        <v>45493</v>
      </c>
      <c r="N5" s="3" t="str">
        <f t="shared" ca="1" si="1"/>
        <v>yes</v>
      </c>
      <c r="O5" s="4">
        <v>45491</v>
      </c>
      <c r="P5" s="3">
        <f t="shared" si="2"/>
        <v>29</v>
      </c>
      <c r="Q5" s="3">
        <f t="shared" ca="1" si="3"/>
        <v>8</v>
      </c>
      <c r="R5" s="3" t="s">
        <v>65</v>
      </c>
    </row>
    <row r="6" spans="1:18" x14ac:dyDescent="0.25">
      <c r="A6">
        <v>5</v>
      </c>
      <c r="B6" t="s">
        <v>53</v>
      </c>
      <c r="C6" s="1">
        <v>45486</v>
      </c>
      <c r="D6">
        <f t="shared" si="4"/>
        <v>28</v>
      </c>
      <c r="E6" t="s">
        <v>39</v>
      </c>
      <c r="F6" t="s">
        <v>31</v>
      </c>
      <c r="G6" t="s">
        <v>49</v>
      </c>
      <c r="H6" t="s">
        <v>12</v>
      </c>
      <c r="I6">
        <f>IF(COUNTIF(workorders!A:A, A6) = 0, "No workorder", COUNTIF(workorders!A:A, A6))</f>
        <v>1</v>
      </c>
      <c r="J6">
        <f>IF(I6="No workorder", "No workorder", COUNTIFS(workorders!A:A, A6, workorders!B:B, "closed"))</f>
        <v>0</v>
      </c>
      <c r="K6" s="1" cm="1">
        <f t="array" ref="K6">IFERROR(MAX(_xlfn._xlws.FILTER(workorders!$L:$L, workorders!$A:$A = A6)), "No workorder")</f>
        <v>45330</v>
      </c>
      <c r="L6" t="str">
        <f t="shared" ref="L6:L21" si="5">IF(K6="No workorder","No workorder",IF(O6&lt;=K6,"yes","no"))</f>
        <v>yes</v>
      </c>
      <c r="M6" s="1">
        <f t="shared" si="0"/>
        <v>45496</v>
      </c>
      <c r="N6" t="str">
        <f ca="1">IF(ISBLANK(O6), IF(TODAY() &lt;= M6, "yes", "no"), IF(O6 &lt;= M6, "yes", "no"))</f>
        <v>no</v>
      </c>
      <c r="P6" t="str">
        <f t="shared" si="2"/>
        <v/>
      </c>
      <c r="Q6">
        <f t="shared" ca="1" si="3"/>
        <v>16</v>
      </c>
    </row>
    <row r="7" spans="1:18" x14ac:dyDescent="0.25">
      <c r="A7">
        <v>6</v>
      </c>
      <c r="B7" t="s">
        <v>53</v>
      </c>
      <c r="C7" s="1">
        <v>45485</v>
      </c>
      <c r="D7">
        <f t="shared" si="4"/>
        <v>28</v>
      </c>
      <c r="E7" t="s">
        <v>40</v>
      </c>
      <c r="F7" t="s">
        <v>31</v>
      </c>
      <c r="G7" t="s">
        <v>43</v>
      </c>
      <c r="H7" t="s">
        <v>11</v>
      </c>
      <c r="I7">
        <f>IF(COUNTIF(workorders!A:A, A7) = 0, "No workorder", COUNTIF(workorders!A:A, A7))</f>
        <v>1</v>
      </c>
      <c r="J7">
        <f>IF(I7="No workorder", "No workorder", COUNTIFS(workorders!A:A, A7, workorders!B:B, "closed"))</f>
        <v>0</v>
      </c>
      <c r="K7" s="1" cm="1">
        <f t="array" ref="K7">IFERROR(MAX(_xlfn._xlws.FILTER(workorders!$L:$L, workorders!$A:$A = A7)), "No workorder")</f>
        <v>45434</v>
      </c>
      <c r="L7" t="str">
        <f t="shared" si="5"/>
        <v>yes</v>
      </c>
      <c r="M7" s="1">
        <f t="shared" si="0"/>
        <v>45495</v>
      </c>
      <c r="N7" t="str">
        <f t="shared" ref="N7:N21" ca="1" si="6">IF(ISBLANK(O7), IF(TODAY() &lt;= M7, "yes", "no"), IF(O7 &lt;= M7, "yes", "no"))</f>
        <v>no</v>
      </c>
      <c r="P7" t="str">
        <f t="shared" si="2"/>
        <v/>
      </c>
      <c r="Q7">
        <f t="shared" ca="1" si="3"/>
        <v>17</v>
      </c>
    </row>
    <row r="8" spans="1:18" s="3" customFormat="1" x14ac:dyDescent="0.25">
      <c r="A8" s="3">
        <v>7</v>
      </c>
      <c r="B8" s="3" t="s">
        <v>9</v>
      </c>
      <c r="C8" s="4">
        <v>45480</v>
      </c>
      <c r="D8" s="3">
        <f t="shared" si="4"/>
        <v>27</v>
      </c>
      <c r="E8" s="3" t="s">
        <v>41</v>
      </c>
      <c r="F8" s="3" t="s">
        <v>32</v>
      </c>
      <c r="G8" s="3" t="s">
        <v>49</v>
      </c>
      <c r="H8" s="3" t="s">
        <v>12</v>
      </c>
      <c r="I8" s="3">
        <f>IF(COUNTIF(workorders!A:A, A8) = 0, "No workorder", COUNTIF(workorders!A:A, A8))</f>
        <v>3</v>
      </c>
      <c r="J8" s="3">
        <f>IF(I8="No workorder", "No workorder", COUNTIFS(workorders!A:A, A8, workorders!B:B, "closed"))</f>
        <v>3</v>
      </c>
      <c r="K8" s="4" cm="1">
        <f t="array" ref="K8">IFERROR(MAX(_xlfn._xlws.FILTER(workorders!$L:$L, workorders!$A:$A = A8)), "No workorder")</f>
        <v>45460</v>
      </c>
      <c r="L8" s="3" t="str">
        <f t="shared" si="5"/>
        <v>no</v>
      </c>
      <c r="M8" s="4">
        <f t="shared" si="0"/>
        <v>45490</v>
      </c>
      <c r="N8" s="3" t="str">
        <f t="shared" ca="1" si="6"/>
        <v>no</v>
      </c>
      <c r="O8" s="4">
        <v>45492</v>
      </c>
      <c r="P8" s="3">
        <f t="shared" si="2"/>
        <v>29</v>
      </c>
      <c r="Q8" s="3">
        <f t="shared" ca="1" si="3"/>
        <v>12</v>
      </c>
      <c r="R8" s="3" t="s">
        <v>65</v>
      </c>
    </row>
    <row r="9" spans="1:18" x14ac:dyDescent="0.25">
      <c r="A9">
        <v>8</v>
      </c>
      <c r="B9" t="s">
        <v>53</v>
      </c>
      <c r="C9" s="1">
        <v>45488</v>
      </c>
      <c r="D9">
        <f t="shared" si="4"/>
        <v>29</v>
      </c>
      <c r="E9" t="s">
        <v>39</v>
      </c>
      <c r="F9" t="s">
        <v>32</v>
      </c>
      <c r="G9" t="s">
        <v>43</v>
      </c>
      <c r="H9" t="s">
        <v>11</v>
      </c>
      <c r="I9">
        <f>IF(COUNTIF(workorders!A:A, A9) = 0, "No workorder", COUNTIF(workorders!A:A, A9))</f>
        <v>3</v>
      </c>
      <c r="J9">
        <f>IF(I9="No workorder", "No workorder", COUNTIFS(workorders!A:A, A9, workorders!B:B, "closed"))</f>
        <v>1</v>
      </c>
      <c r="K9" s="1" cm="1">
        <f t="array" ref="K9">IFERROR(MAX(_xlfn._xlws.FILTER(workorders!$L:$L, workorders!$A:$A = A9)), "No workorder")</f>
        <v>45498</v>
      </c>
      <c r="L9" t="str">
        <f t="shared" si="5"/>
        <v>yes</v>
      </c>
      <c r="M9" s="1">
        <f t="shared" si="0"/>
        <v>45498</v>
      </c>
      <c r="N9" t="str">
        <f t="shared" ca="1" si="6"/>
        <v>no</v>
      </c>
      <c r="P9" t="str">
        <f t="shared" si="2"/>
        <v/>
      </c>
      <c r="Q9">
        <f t="shared" ca="1" si="3"/>
        <v>14</v>
      </c>
    </row>
    <row r="10" spans="1:18" x14ac:dyDescent="0.25">
      <c r="A10">
        <v>9</v>
      </c>
      <c r="B10" t="s">
        <v>53</v>
      </c>
      <c r="C10" s="1">
        <v>45488</v>
      </c>
      <c r="D10">
        <f t="shared" si="4"/>
        <v>29</v>
      </c>
      <c r="E10" t="s">
        <v>34</v>
      </c>
      <c r="F10" t="s">
        <v>31</v>
      </c>
      <c r="G10" t="s">
        <v>43</v>
      </c>
      <c r="H10" t="s">
        <v>11</v>
      </c>
      <c r="I10">
        <f>IF(COUNTIF(workorders!A:A, A10) = 0, "No workorder", COUNTIF(workorders!A:A, A10))</f>
        <v>1</v>
      </c>
      <c r="J10">
        <f>IF(I10="No workorder", "No workorder", COUNTIFS(workorders!A:A, A10, workorders!B:B, "closed"))</f>
        <v>0</v>
      </c>
      <c r="K10" s="1" cm="1">
        <f t="array" ref="K10">IFERROR(MAX(_xlfn._xlws.FILTER(workorders!$L:$L, workorders!$A:$A = A10)), "No workorder")</f>
        <v>45351</v>
      </c>
      <c r="L10" t="str">
        <f t="shared" si="5"/>
        <v>yes</v>
      </c>
      <c r="M10" s="1">
        <f t="shared" si="0"/>
        <v>45498</v>
      </c>
      <c r="N10" t="str">
        <f t="shared" ca="1" si="6"/>
        <v>no</v>
      </c>
      <c r="P10" t="str">
        <f t="shared" si="2"/>
        <v/>
      </c>
      <c r="Q10">
        <f t="shared" ca="1" si="3"/>
        <v>14</v>
      </c>
    </row>
    <row r="11" spans="1:18" s="3" customFormat="1" x14ac:dyDescent="0.25">
      <c r="A11" s="3">
        <v>10</v>
      </c>
      <c r="B11" s="3" t="s">
        <v>9</v>
      </c>
      <c r="C11" s="4">
        <v>45488</v>
      </c>
      <c r="D11" s="3">
        <f t="shared" si="4"/>
        <v>29</v>
      </c>
      <c r="E11" s="3" t="s">
        <v>41</v>
      </c>
      <c r="F11" s="3" t="s">
        <v>31</v>
      </c>
      <c r="G11" s="3" t="s">
        <v>43</v>
      </c>
      <c r="H11" s="3" t="s">
        <v>11</v>
      </c>
      <c r="I11" s="3">
        <f>IF(COUNTIF(workorders!A:A, A11) = 0, "No workorder", COUNTIF(workorders!A:A, A11))</f>
        <v>1</v>
      </c>
      <c r="J11" s="3">
        <f>IF(I11="No workorder", "No workorder", COUNTIFS(workorders!A:A, A11, workorders!B:B, "closed"))</f>
        <v>1</v>
      </c>
      <c r="K11" s="4" cm="1">
        <f t="array" ref="K11">IFERROR(MAX(_xlfn._xlws.FILTER(workorders!$L:$L, workorders!$A:$A = A11)), "No workorder")</f>
        <v>45139</v>
      </c>
      <c r="L11" s="3" t="str">
        <f t="shared" si="5"/>
        <v>no</v>
      </c>
      <c r="M11" s="4">
        <f t="shared" si="0"/>
        <v>45498</v>
      </c>
      <c r="N11" s="3" t="str">
        <f t="shared" ca="1" si="6"/>
        <v>yes</v>
      </c>
      <c r="O11" s="4">
        <v>45497</v>
      </c>
      <c r="P11" s="3">
        <f t="shared" si="2"/>
        <v>30</v>
      </c>
      <c r="Q11" s="3">
        <f t="shared" ca="1" si="3"/>
        <v>9</v>
      </c>
      <c r="R11" s="3" t="s">
        <v>65</v>
      </c>
    </row>
    <row r="12" spans="1:18" x14ac:dyDescent="0.25">
      <c r="A12">
        <v>11</v>
      </c>
      <c r="B12" t="s">
        <v>53</v>
      </c>
      <c r="C12" s="1">
        <v>45489</v>
      </c>
      <c r="D12">
        <f t="shared" si="4"/>
        <v>29</v>
      </c>
      <c r="E12" t="s">
        <v>34</v>
      </c>
      <c r="F12" t="s">
        <v>32</v>
      </c>
      <c r="G12" t="s">
        <v>43</v>
      </c>
      <c r="H12" t="s">
        <v>12</v>
      </c>
      <c r="I12">
        <f>IF(COUNTIF(workorders!A:A, A12) = 0, "No workorder", COUNTIF(workorders!A:A, A12))</f>
        <v>2</v>
      </c>
      <c r="J12">
        <f>IF(I12="No workorder", "No workorder", COUNTIFS(workorders!A:A, A12, workorders!B:B, "closed"))</f>
        <v>0</v>
      </c>
      <c r="K12" s="1" cm="1">
        <f t="array" ref="K12">IFERROR(MAX(_xlfn._xlws.FILTER(workorders!$L:$L, workorders!$A:$A = A12)), "No workorder")</f>
        <v>45502</v>
      </c>
      <c r="L12" t="str">
        <f t="shared" si="5"/>
        <v>yes</v>
      </c>
      <c r="M12" s="1">
        <f t="shared" si="0"/>
        <v>45499</v>
      </c>
      <c r="N12" t="str">
        <f t="shared" ca="1" si="6"/>
        <v>no</v>
      </c>
      <c r="P12" t="str">
        <f t="shared" si="2"/>
        <v/>
      </c>
      <c r="Q12">
        <f t="shared" ca="1" si="3"/>
        <v>13</v>
      </c>
    </row>
    <row r="13" spans="1:18" x14ac:dyDescent="0.25">
      <c r="A13">
        <v>12</v>
      </c>
      <c r="B13" t="s">
        <v>53</v>
      </c>
      <c r="C13" s="1">
        <v>45490</v>
      </c>
      <c r="D13">
        <f t="shared" si="4"/>
        <v>29</v>
      </c>
      <c r="E13" t="s">
        <v>39</v>
      </c>
      <c r="F13" t="s">
        <v>50</v>
      </c>
      <c r="G13" t="s">
        <v>43</v>
      </c>
      <c r="H13" t="s">
        <v>12</v>
      </c>
      <c r="I13">
        <f>IF(COUNTIF(workorders!A:A, A13) = 0, "No workorder", COUNTIF(workorders!A:A, A13))</f>
        <v>2</v>
      </c>
      <c r="J13">
        <f>IF(I13="No workorder", "No workorder", COUNTIFS(workorders!A:A, A13, workorders!B:B, "closed"))</f>
        <v>0</v>
      </c>
      <c r="K13" s="1" cm="1">
        <f t="array" ref="K13">IFERROR(MAX(_xlfn._xlws.FILTER(workorders!$L:$L, workorders!$A:$A = A13)), "No workorder")</f>
        <v>45504</v>
      </c>
      <c r="L13" t="str">
        <f t="shared" si="5"/>
        <v>yes</v>
      </c>
      <c r="M13" s="1">
        <f t="shared" si="0"/>
        <v>45500</v>
      </c>
      <c r="N13" t="str">
        <f t="shared" ca="1" si="6"/>
        <v>no</v>
      </c>
      <c r="P13" t="str">
        <f t="shared" si="2"/>
        <v/>
      </c>
      <c r="Q13">
        <f t="shared" ca="1" si="3"/>
        <v>12</v>
      </c>
    </row>
    <row r="14" spans="1:18" s="3" customFormat="1" x14ac:dyDescent="0.25">
      <c r="A14" s="3">
        <v>13</v>
      </c>
      <c r="B14" s="3" t="s">
        <v>9</v>
      </c>
      <c r="C14" s="4">
        <v>45491</v>
      </c>
      <c r="D14" s="3">
        <f t="shared" si="4"/>
        <v>29</v>
      </c>
      <c r="E14" s="3" t="s">
        <v>41</v>
      </c>
      <c r="F14" s="3" t="s">
        <v>31</v>
      </c>
      <c r="G14" s="3" t="s">
        <v>43</v>
      </c>
      <c r="H14" s="3" t="s">
        <v>12</v>
      </c>
      <c r="I14" s="3">
        <f>IF(COUNTIF(workorders!A:A, A14) = 0, "No workorder", COUNTIF(workorders!A:A, A14))</f>
        <v>1</v>
      </c>
      <c r="J14" s="3">
        <f>IF(I14="No workorder", "No workorder", COUNTIFS(workorders!A:A, A14, workorders!B:B, "closed"))</f>
        <v>1</v>
      </c>
      <c r="K14" s="4" cm="1">
        <f t="array" ref="K14">IFERROR(MAX(_xlfn._xlws.FILTER(workorders!$L:$L, workorders!$A:$A = A14)), "No workorder")</f>
        <v>45501</v>
      </c>
      <c r="L14" s="3" t="str">
        <f t="shared" si="5"/>
        <v>yes</v>
      </c>
      <c r="M14" s="4">
        <f t="shared" si="0"/>
        <v>45501</v>
      </c>
      <c r="N14" s="3" t="str">
        <f t="shared" ca="1" si="6"/>
        <v>yes</v>
      </c>
      <c r="O14" s="4">
        <v>45495</v>
      </c>
      <c r="P14" s="3">
        <f t="shared" si="2"/>
        <v>30</v>
      </c>
      <c r="Q14" s="3">
        <f t="shared" ca="1" si="3"/>
        <v>4</v>
      </c>
      <c r="R14" s="3" t="s">
        <v>65</v>
      </c>
    </row>
    <row r="15" spans="1:18" x14ac:dyDescent="0.25">
      <c r="A15">
        <v>14</v>
      </c>
      <c r="B15" t="s">
        <v>53</v>
      </c>
      <c r="C15" s="1">
        <v>45490</v>
      </c>
      <c r="D15">
        <f t="shared" si="4"/>
        <v>29</v>
      </c>
      <c r="E15" t="s">
        <v>36</v>
      </c>
      <c r="F15" t="s">
        <v>31</v>
      </c>
      <c r="G15" t="s">
        <v>49</v>
      </c>
      <c r="H15" t="s">
        <v>11</v>
      </c>
      <c r="I15">
        <f>IF(COUNTIF(workorders!A:A, A15) = 0, "No workorder", COUNTIF(workorders!A:A, A15))</f>
        <v>1</v>
      </c>
      <c r="J15">
        <f>IF(I15="No workorder", "No workorder", COUNTIFS(workorders!A:A, A15, workorders!B:B, "closed"))</f>
        <v>0</v>
      </c>
      <c r="K15" s="1" cm="1">
        <f t="array" ref="K15">IFERROR(MAX(_xlfn._xlws.FILTER(workorders!$L:$L, workorders!$A:$A = A15)), "No workorder")</f>
        <v>45500</v>
      </c>
      <c r="L15" t="str">
        <f t="shared" si="5"/>
        <v>yes</v>
      </c>
      <c r="M15" s="1">
        <f t="shared" si="0"/>
        <v>45500</v>
      </c>
      <c r="N15" t="str">
        <f t="shared" ca="1" si="6"/>
        <v>no</v>
      </c>
      <c r="P15" t="str">
        <f t="shared" si="2"/>
        <v/>
      </c>
      <c r="Q15">
        <f t="shared" ca="1" si="3"/>
        <v>12</v>
      </c>
    </row>
    <row r="16" spans="1:18" x14ac:dyDescent="0.25">
      <c r="A16">
        <v>15</v>
      </c>
      <c r="B16" t="s">
        <v>53</v>
      </c>
      <c r="C16" s="1">
        <v>45491</v>
      </c>
      <c r="D16">
        <f t="shared" si="4"/>
        <v>29</v>
      </c>
      <c r="E16" t="s">
        <v>41</v>
      </c>
      <c r="F16" t="s">
        <v>31</v>
      </c>
      <c r="G16" t="s">
        <v>49</v>
      </c>
      <c r="H16" t="s">
        <v>11</v>
      </c>
      <c r="I16">
        <f>IF(COUNTIF(workorders!A:A, A16) = 0, "No workorder", COUNTIF(workorders!A:A, A16))</f>
        <v>1</v>
      </c>
      <c r="J16">
        <f>IF(I16="No workorder", "No workorder", COUNTIFS(workorders!A:A, A16, workorders!B:B, "closed"))</f>
        <v>0</v>
      </c>
      <c r="K16" s="1" cm="1">
        <f t="array" ref="K16">IFERROR(MAX(_xlfn._xlws.FILTER(workorders!$L:$L, workorders!$A:$A = A16)), "No workorder")</f>
        <v>45440</v>
      </c>
      <c r="L16" t="str">
        <f t="shared" si="5"/>
        <v>yes</v>
      </c>
      <c r="M16" s="1">
        <f t="shared" si="0"/>
        <v>45501</v>
      </c>
      <c r="N16" t="str">
        <f t="shared" ca="1" si="6"/>
        <v>no</v>
      </c>
      <c r="P16" t="str">
        <f t="shared" si="2"/>
        <v/>
      </c>
      <c r="Q16">
        <f t="shared" ca="1" si="3"/>
        <v>11</v>
      </c>
    </row>
    <row r="17" spans="1:18" x14ac:dyDescent="0.25">
      <c r="A17">
        <v>16</v>
      </c>
      <c r="B17" t="s">
        <v>53</v>
      </c>
      <c r="C17" s="1">
        <v>45489</v>
      </c>
      <c r="D17">
        <f t="shared" si="4"/>
        <v>29</v>
      </c>
      <c r="E17" t="s">
        <v>41</v>
      </c>
      <c r="F17" t="s">
        <v>50</v>
      </c>
      <c r="G17" t="s">
        <v>49</v>
      </c>
      <c r="H17" t="s">
        <v>11</v>
      </c>
      <c r="I17">
        <f>IF(COUNTIF(workorders!A:A, A17) = 0, "No workorder", COUNTIF(workorders!A:A, A17))</f>
        <v>2</v>
      </c>
      <c r="J17">
        <f>IF(I17="No workorder", "No workorder", COUNTIFS(workorders!A:A, A17, workorders!B:B, "closed"))</f>
        <v>1</v>
      </c>
      <c r="K17" s="1" cm="1">
        <f t="array" ref="K17">IFERROR(MAX(_xlfn._xlws.FILTER(workorders!$L:$L, workorders!$A:$A = A17)), "No workorder")</f>
        <v>45469</v>
      </c>
      <c r="L17" t="str">
        <f t="shared" si="5"/>
        <v>yes</v>
      </c>
      <c r="M17" s="1">
        <f t="shared" si="0"/>
        <v>45499</v>
      </c>
      <c r="N17" t="str">
        <f t="shared" ca="1" si="6"/>
        <v>no</v>
      </c>
      <c r="P17" t="str">
        <f t="shared" si="2"/>
        <v/>
      </c>
      <c r="Q17">
        <f t="shared" ca="1" si="3"/>
        <v>13</v>
      </c>
    </row>
    <row r="18" spans="1:18" x14ac:dyDescent="0.25">
      <c r="A18">
        <v>17</v>
      </c>
      <c r="B18" t="s">
        <v>53</v>
      </c>
      <c r="C18" s="1">
        <v>45489</v>
      </c>
      <c r="D18">
        <f t="shared" si="4"/>
        <v>29</v>
      </c>
      <c r="E18" t="s">
        <v>41</v>
      </c>
      <c r="F18" t="s">
        <v>50</v>
      </c>
      <c r="G18" t="s">
        <v>43</v>
      </c>
      <c r="H18" t="s">
        <v>11</v>
      </c>
      <c r="I18">
        <f>IF(COUNTIF(workorders!A:A, A18) = 0, "No workorder", COUNTIF(workorders!A:A, A18))</f>
        <v>1</v>
      </c>
      <c r="J18">
        <f>IF(I18="No workorder", "No workorder", COUNTIFS(workorders!A:A, A18, workorders!B:B, "closed"))</f>
        <v>0</v>
      </c>
      <c r="K18" s="1" cm="1">
        <f t="array" ref="K18">IFERROR(MAX(_xlfn._xlws.FILTER(workorders!$L:$L, workorders!$A:$A = A18)), "No workorder")</f>
        <v>45348</v>
      </c>
      <c r="L18" t="str">
        <f t="shared" si="5"/>
        <v>yes</v>
      </c>
      <c r="M18" s="1">
        <f t="shared" si="0"/>
        <v>45499</v>
      </c>
      <c r="N18" t="str">
        <f t="shared" ca="1" si="6"/>
        <v>no</v>
      </c>
      <c r="P18" t="str">
        <f t="shared" si="2"/>
        <v/>
      </c>
      <c r="Q18">
        <f t="shared" ca="1" si="3"/>
        <v>13</v>
      </c>
    </row>
    <row r="19" spans="1:18" x14ac:dyDescent="0.25">
      <c r="A19">
        <v>18</v>
      </c>
      <c r="B19" t="s">
        <v>53</v>
      </c>
      <c r="C19" s="1">
        <v>45489</v>
      </c>
      <c r="D19">
        <f t="shared" si="4"/>
        <v>29</v>
      </c>
      <c r="E19" t="s">
        <v>39</v>
      </c>
      <c r="F19" t="s">
        <v>32</v>
      </c>
      <c r="G19" t="s">
        <v>43</v>
      </c>
      <c r="H19" t="s">
        <v>11</v>
      </c>
      <c r="I19">
        <f>IF(COUNTIF(workorders!A:A, A19) = 0, "No workorder", COUNTIF(workorders!A:A, A19))</f>
        <v>1</v>
      </c>
      <c r="J19">
        <f>IF(I19="No workorder", "No workorder", COUNTIFS(workorders!A:A, A19, workorders!B:B, "closed"))</f>
        <v>0</v>
      </c>
      <c r="K19" s="1" cm="1">
        <f t="array" ref="K19">IFERROR(MAX(_xlfn._xlws.FILTER(workorders!$L:$L, workorders!$A:$A = A19)), "No workorder")</f>
        <v>45480</v>
      </c>
      <c r="L19" t="str">
        <f t="shared" si="5"/>
        <v>yes</v>
      </c>
      <c r="M19" s="1">
        <f t="shared" si="0"/>
        <v>45499</v>
      </c>
      <c r="N19" t="str">
        <f t="shared" ca="1" si="6"/>
        <v>no</v>
      </c>
      <c r="P19" t="str">
        <f t="shared" si="2"/>
        <v/>
      </c>
      <c r="Q19">
        <f t="shared" ca="1" si="3"/>
        <v>13</v>
      </c>
    </row>
    <row r="20" spans="1:18" s="3" customFormat="1" x14ac:dyDescent="0.25">
      <c r="A20" s="3">
        <v>19</v>
      </c>
      <c r="B20" s="3" t="s">
        <v>9</v>
      </c>
      <c r="C20" s="4">
        <v>45490</v>
      </c>
      <c r="D20" s="3">
        <f t="shared" si="4"/>
        <v>29</v>
      </c>
      <c r="E20" s="3" t="s">
        <v>35</v>
      </c>
      <c r="F20" s="3" t="s">
        <v>31</v>
      </c>
      <c r="G20" s="3" t="s">
        <v>43</v>
      </c>
      <c r="H20" s="3" t="s">
        <v>11</v>
      </c>
      <c r="I20" s="3">
        <f>IF(COUNTIF(workorders!A:A, A20) = 0, "No workorder", COUNTIF(workorders!A:A, A20))</f>
        <v>2</v>
      </c>
      <c r="J20" s="3">
        <f>IF(I20="No workorder", "No workorder", COUNTIFS(workorders!A:A, A20, workorders!B:B, "closed"))</f>
        <v>2</v>
      </c>
      <c r="K20" s="4" cm="1">
        <f t="array" ref="K20">IFERROR(MAX(_xlfn._xlws.FILTER(workorders!$L:$L, workorders!$A:$A = A20)), "No workorder")</f>
        <v>45500</v>
      </c>
      <c r="L20" s="3" t="str">
        <f t="shared" si="5"/>
        <v>yes</v>
      </c>
      <c r="M20" s="4">
        <f t="shared" si="0"/>
        <v>45500</v>
      </c>
      <c r="N20" s="3" t="str">
        <f t="shared" ca="1" si="6"/>
        <v>yes</v>
      </c>
      <c r="O20" s="4">
        <v>45492</v>
      </c>
      <c r="P20" s="3">
        <f t="shared" si="2"/>
        <v>29</v>
      </c>
      <c r="Q20" s="3">
        <f t="shared" ca="1" si="3"/>
        <v>2</v>
      </c>
      <c r="R20" s="3" t="s">
        <v>65</v>
      </c>
    </row>
    <row r="21" spans="1:18" x14ac:dyDescent="0.25">
      <c r="A21">
        <v>20</v>
      </c>
      <c r="B21" t="s">
        <v>53</v>
      </c>
      <c r="C21" s="1">
        <v>45488</v>
      </c>
      <c r="D21">
        <f t="shared" si="4"/>
        <v>29</v>
      </c>
      <c r="E21" t="s">
        <v>35</v>
      </c>
      <c r="F21" t="s">
        <v>31</v>
      </c>
      <c r="G21" t="s">
        <v>43</v>
      </c>
      <c r="H21" t="s">
        <v>11</v>
      </c>
      <c r="I21">
        <f>IF(COUNTIF(workorders!A:A, A21) = 0, "No workorder", COUNTIF(workorders!A:A, A21))</f>
        <v>1</v>
      </c>
      <c r="J21">
        <f>IF(I21="No workorder", "No workorder", COUNTIFS(workorders!A:A, A21, workorders!B:B, "closed"))</f>
        <v>0</v>
      </c>
      <c r="K21" s="1" cm="1">
        <f t="array" ref="K21">IFERROR(MAX(_xlfn._xlws.FILTER(workorders!$L:$L, workorders!$A:$A = A21)), "No workorder")</f>
        <v>45423</v>
      </c>
      <c r="L21" t="str">
        <f t="shared" si="5"/>
        <v>yes</v>
      </c>
      <c r="M21" s="1">
        <f t="shared" si="0"/>
        <v>45498</v>
      </c>
      <c r="N21" t="str">
        <f t="shared" ca="1" si="6"/>
        <v>no</v>
      </c>
      <c r="P21" t="str">
        <f t="shared" si="2"/>
        <v/>
      </c>
      <c r="Q21">
        <f t="shared" ca="1" si="3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0C0F-CE08-4154-BDBC-33469C4B0CA6}">
  <dimension ref="A1:O30"/>
  <sheetViews>
    <sheetView workbookViewId="0">
      <selection activeCell="M5" sqref="M5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10.7109375" bestFit="1" customWidth="1"/>
    <col min="4" max="4" width="8.5703125" bestFit="1" customWidth="1"/>
    <col min="5" max="5" width="17.28515625" bestFit="1" customWidth="1"/>
    <col min="6" max="6" width="18.28515625" customWidth="1"/>
    <col min="7" max="7" width="20.5703125" bestFit="1" customWidth="1"/>
    <col min="8" max="8" width="26.28515625" bestFit="1" customWidth="1"/>
    <col min="9" max="9" width="12.140625" customWidth="1"/>
    <col min="10" max="10" width="16.140625" customWidth="1"/>
    <col min="11" max="11" width="19.5703125" customWidth="1"/>
    <col min="12" max="12" width="14.42578125" customWidth="1"/>
    <col min="13" max="13" width="12.140625" customWidth="1"/>
    <col min="14" max="14" width="14.85546875" bestFit="1" customWidth="1"/>
    <col min="15" max="15" width="14.85546875" customWidth="1"/>
    <col min="16" max="16" width="17.7109375" customWidth="1"/>
    <col min="18" max="18" width="20.285156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20</v>
      </c>
      <c r="G1" t="s">
        <v>7</v>
      </c>
      <c r="H1" t="s">
        <v>8</v>
      </c>
      <c r="I1" t="s">
        <v>18</v>
      </c>
      <c r="J1" t="s">
        <v>29</v>
      </c>
      <c r="K1" t="s">
        <v>30</v>
      </c>
      <c r="L1" t="s">
        <v>15</v>
      </c>
      <c r="M1" t="s">
        <v>17</v>
      </c>
      <c r="N1" t="s">
        <v>5</v>
      </c>
      <c r="O1" t="s">
        <v>16</v>
      </c>
    </row>
    <row r="2" spans="1:15" s="3" customFormat="1" x14ac:dyDescent="0.25">
      <c r="A2" s="3">
        <v>1</v>
      </c>
      <c r="B2" s="3" t="s">
        <v>9</v>
      </c>
      <c r="C2" s="4">
        <v>45381</v>
      </c>
      <c r="D2" s="3" t="s">
        <v>10</v>
      </c>
      <c r="E2" s="4">
        <v>45444</v>
      </c>
      <c r="F2" s="3" t="s">
        <v>46</v>
      </c>
      <c r="G2" s="3" t="s">
        <v>11</v>
      </c>
      <c r="H2" s="3" t="s">
        <v>12</v>
      </c>
      <c r="I2" s="3" t="s">
        <v>19</v>
      </c>
      <c r="J2" s="3">
        <v>3</v>
      </c>
      <c r="K2" s="3">
        <v>1</v>
      </c>
      <c r="L2" s="4">
        <f t="shared" ref="L2:L7" si="0">C2+10</f>
        <v>45391</v>
      </c>
      <c r="M2" s="3" t="str">
        <f ca="1">IF(ISBLANK(N2), IF(TODAY() &lt;= N2, "no", "yes"),  IF(N2&lt;=L2,"no","yes"))</f>
        <v>yes</v>
      </c>
      <c r="N2" s="4">
        <v>45493</v>
      </c>
      <c r="O2" s="3">
        <f ca="1">IF(ISBLANK(N2), DATEDIF(C2, TODAY(), "d"), DATEDIF(C2,N2,"d"))</f>
        <v>112</v>
      </c>
    </row>
    <row r="3" spans="1:15" s="3" customFormat="1" x14ac:dyDescent="0.25">
      <c r="A3" s="3">
        <v>2</v>
      </c>
      <c r="B3" s="3" t="s">
        <v>9</v>
      </c>
      <c r="C3" s="4">
        <v>45458</v>
      </c>
      <c r="D3" s="3" t="s">
        <v>13</v>
      </c>
      <c r="E3" s="4">
        <v>45475</v>
      </c>
      <c r="F3" s="3" t="s">
        <v>46</v>
      </c>
      <c r="G3" s="3" t="s">
        <v>11</v>
      </c>
      <c r="H3" s="3" t="s">
        <v>11</v>
      </c>
      <c r="I3" s="3" t="s">
        <v>19</v>
      </c>
      <c r="J3" s="3">
        <v>4</v>
      </c>
      <c r="K3" s="3">
        <v>1</v>
      </c>
      <c r="L3" s="4">
        <f t="shared" si="0"/>
        <v>45468</v>
      </c>
      <c r="M3" s="3" t="str">
        <f t="shared" ref="M3:M6" ca="1" si="1">IF(ISBLANK(N3), IF(TODAY() &lt;= N3, "no", "yes"),  IF(N3&lt;=L3,"no","yes"))</f>
        <v>yes</v>
      </c>
      <c r="N3" s="4">
        <v>45476</v>
      </c>
      <c r="O3" s="3">
        <f t="shared" ref="O3:O30" ca="1" si="2">IF(ISBLANK(N3), DATEDIF(C3, TODAY(), "d"), DATEDIF(C3,N3,"d"))</f>
        <v>18</v>
      </c>
    </row>
    <row r="4" spans="1:15" s="3" customFormat="1" x14ac:dyDescent="0.25">
      <c r="A4" s="3">
        <v>2</v>
      </c>
      <c r="B4" s="3" t="s">
        <v>9</v>
      </c>
      <c r="C4" s="4">
        <v>45488</v>
      </c>
      <c r="D4" s="3" t="s">
        <v>14</v>
      </c>
      <c r="E4" s="4">
        <v>45496</v>
      </c>
      <c r="F4" s="3" t="s">
        <v>47</v>
      </c>
      <c r="G4" s="3" t="s">
        <v>12</v>
      </c>
      <c r="H4" s="3" t="s">
        <v>12</v>
      </c>
      <c r="I4" s="3" t="s">
        <v>44</v>
      </c>
      <c r="J4" s="3">
        <v>5</v>
      </c>
      <c r="K4" s="3">
        <v>3</v>
      </c>
      <c r="L4" s="4">
        <f t="shared" si="0"/>
        <v>45498</v>
      </c>
      <c r="M4" s="3" t="str">
        <f t="shared" ca="1" si="1"/>
        <v>no</v>
      </c>
      <c r="N4" s="4">
        <v>45495</v>
      </c>
      <c r="O4" s="3">
        <f t="shared" ca="1" si="2"/>
        <v>7</v>
      </c>
    </row>
    <row r="5" spans="1:15" s="3" customFormat="1" x14ac:dyDescent="0.25">
      <c r="A5" s="3">
        <v>3</v>
      </c>
      <c r="B5" s="3" t="s">
        <v>9</v>
      </c>
      <c r="C5" s="4">
        <v>45445</v>
      </c>
      <c r="D5" s="3" t="s">
        <v>10</v>
      </c>
      <c r="E5" s="4">
        <v>45451</v>
      </c>
      <c r="F5" s="3" t="s">
        <v>48</v>
      </c>
      <c r="G5" s="3" t="s">
        <v>12</v>
      </c>
      <c r="H5" s="3" t="s">
        <v>12</v>
      </c>
      <c r="I5" s="3" t="s">
        <v>45</v>
      </c>
      <c r="J5" s="3">
        <v>4</v>
      </c>
      <c r="K5" s="3">
        <v>2</v>
      </c>
      <c r="L5" s="4">
        <f t="shared" si="0"/>
        <v>45455</v>
      </c>
      <c r="M5" s="3" t="str">
        <f t="shared" ca="1" si="1"/>
        <v>yes</v>
      </c>
      <c r="N5" s="4">
        <v>45497</v>
      </c>
      <c r="O5" s="3">
        <f t="shared" ca="1" si="2"/>
        <v>52</v>
      </c>
    </row>
    <row r="6" spans="1:15" s="3" customFormat="1" x14ac:dyDescent="0.25">
      <c r="A6" s="3">
        <v>4</v>
      </c>
      <c r="B6" s="3" t="s">
        <v>9</v>
      </c>
      <c r="C6" s="4">
        <v>45417</v>
      </c>
      <c r="D6" s="3" t="s">
        <v>10</v>
      </c>
      <c r="E6" s="4">
        <v>45426</v>
      </c>
      <c r="F6" s="3" t="s">
        <v>48</v>
      </c>
      <c r="G6" s="3" t="s">
        <v>12</v>
      </c>
      <c r="H6" s="3" t="s">
        <v>12</v>
      </c>
      <c r="I6" s="3" t="s">
        <v>19</v>
      </c>
      <c r="J6" s="3">
        <v>2</v>
      </c>
      <c r="K6" s="3">
        <v>2</v>
      </c>
      <c r="L6" s="4">
        <f t="shared" si="0"/>
        <v>45427</v>
      </c>
      <c r="M6" s="3" t="str">
        <f t="shared" ca="1" si="1"/>
        <v>yes</v>
      </c>
      <c r="N6" s="4">
        <v>45491</v>
      </c>
      <c r="O6" s="3">
        <f t="shared" ca="1" si="2"/>
        <v>74</v>
      </c>
    </row>
    <row r="7" spans="1:15" x14ac:dyDescent="0.25">
      <c r="A7">
        <v>5</v>
      </c>
      <c r="B7" t="s">
        <v>53</v>
      </c>
      <c r="C7" s="1">
        <v>45320</v>
      </c>
      <c r="D7" t="s">
        <v>13</v>
      </c>
      <c r="F7" t="s">
        <v>48</v>
      </c>
      <c r="G7" t="s">
        <v>12</v>
      </c>
      <c r="H7" t="s">
        <v>12</v>
      </c>
      <c r="I7" t="s">
        <v>19</v>
      </c>
      <c r="J7">
        <v>1</v>
      </c>
      <c r="K7">
        <v>1</v>
      </c>
      <c r="L7" s="1">
        <f t="shared" si="0"/>
        <v>45330</v>
      </c>
      <c r="M7" t="str">
        <f ca="1">IF(ISBLANK(N7), IF(TODAY() &lt;= N7, "no", "yes"),  IF(N7&lt;=L7,"no","yes"))</f>
        <v>yes</v>
      </c>
      <c r="N7" s="1"/>
      <c r="O7">
        <f t="shared" ca="1" si="2"/>
        <v>182</v>
      </c>
    </row>
    <row r="8" spans="1:15" x14ac:dyDescent="0.25">
      <c r="A8">
        <v>6</v>
      </c>
      <c r="B8" t="s">
        <v>53</v>
      </c>
      <c r="C8" s="1">
        <v>45424</v>
      </c>
      <c r="F8" t="s">
        <v>48</v>
      </c>
      <c r="G8" t="s">
        <v>12</v>
      </c>
      <c r="H8" t="s">
        <v>11</v>
      </c>
      <c r="I8" t="s">
        <v>19</v>
      </c>
      <c r="J8">
        <v>1</v>
      </c>
      <c r="K8">
        <v>1</v>
      </c>
      <c r="L8" s="1">
        <f t="shared" ref="L8:L30" si="3">C8+10</f>
        <v>45434</v>
      </c>
      <c r="M8" t="str">
        <f t="shared" ref="M8:M30" ca="1" si="4">IF(ISBLANK(N8), IF(TODAY() &lt;= N8, "no", "yes"),  IF(N8&lt;=L8,"no","yes"))</f>
        <v>yes</v>
      </c>
      <c r="N8" s="1"/>
      <c r="O8">
        <f t="shared" ca="1" si="2"/>
        <v>78</v>
      </c>
    </row>
    <row r="9" spans="1:15" s="3" customFormat="1" x14ac:dyDescent="0.25">
      <c r="A9" s="3">
        <v>7</v>
      </c>
      <c r="B9" s="3" t="s">
        <v>9</v>
      </c>
      <c r="C9" s="4">
        <v>45405</v>
      </c>
      <c r="D9" s="3" t="s">
        <v>10</v>
      </c>
      <c r="E9" s="4">
        <v>45422</v>
      </c>
      <c r="F9" s="3" t="s">
        <v>46</v>
      </c>
      <c r="G9" s="4" t="s">
        <v>11</v>
      </c>
      <c r="H9" s="3" t="s">
        <v>12</v>
      </c>
      <c r="I9" s="4" t="s">
        <v>44</v>
      </c>
      <c r="J9" s="3">
        <v>2</v>
      </c>
      <c r="K9" s="3">
        <v>1</v>
      </c>
      <c r="L9" s="4">
        <f t="shared" si="3"/>
        <v>45415</v>
      </c>
      <c r="M9" s="3" t="str">
        <f t="shared" ca="1" si="4"/>
        <v>yes</v>
      </c>
      <c r="N9" s="4">
        <v>45429</v>
      </c>
      <c r="O9" s="3">
        <f t="shared" ca="1" si="2"/>
        <v>24</v>
      </c>
    </row>
    <row r="10" spans="1:15" s="3" customFormat="1" x14ac:dyDescent="0.25">
      <c r="A10" s="3">
        <v>7</v>
      </c>
      <c r="B10" s="3" t="s">
        <v>9</v>
      </c>
      <c r="C10" s="4">
        <v>45422</v>
      </c>
      <c r="D10" s="3" t="s">
        <v>10</v>
      </c>
      <c r="E10" s="4">
        <v>45450</v>
      </c>
      <c r="F10" s="3" t="s">
        <v>48</v>
      </c>
      <c r="G10" s="4" t="s">
        <v>11</v>
      </c>
      <c r="H10" s="3" t="s">
        <v>11</v>
      </c>
      <c r="I10" s="4" t="s">
        <v>44</v>
      </c>
      <c r="J10" s="3">
        <v>4</v>
      </c>
      <c r="K10" s="3">
        <v>1</v>
      </c>
      <c r="L10" s="4">
        <f t="shared" si="3"/>
        <v>45432</v>
      </c>
      <c r="M10" s="3" t="str">
        <f t="shared" ca="1" si="4"/>
        <v>no</v>
      </c>
      <c r="N10" s="4">
        <v>45430</v>
      </c>
      <c r="O10" s="3">
        <f t="shared" ca="1" si="2"/>
        <v>8</v>
      </c>
    </row>
    <row r="11" spans="1:15" s="3" customFormat="1" x14ac:dyDescent="0.25">
      <c r="A11" s="3">
        <v>7</v>
      </c>
      <c r="B11" s="3" t="s">
        <v>9</v>
      </c>
      <c r="C11" s="4">
        <v>45450</v>
      </c>
      <c r="D11" s="3" t="s">
        <v>10</v>
      </c>
      <c r="E11" s="4">
        <v>45467</v>
      </c>
      <c r="F11" s="3" t="s">
        <v>48</v>
      </c>
      <c r="G11" s="4" t="s">
        <v>12</v>
      </c>
      <c r="H11" s="3" t="s">
        <v>12</v>
      </c>
      <c r="I11" s="4" t="s">
        <v>19</v>
      </c>
      <c r="J11" s="3">
        <v>2</v>
      </c>
      <c r="K11" s="3">
        <v>2</v>
      </c>
      <c r="L11" s="4">
        <f t="shared" si="3"/>
        <v>45460</v>
      </c>
      <c r="M11" s="3" t="str">
        <f t="shared" ca="1" si="4"/>
        <v>yes</v>
      </c>
      <c r="N11" s="4">
        <v>45492</v>
      </c>
      <c r="O11" s="3">
        <f t="shared" ca="1" si="2"/>
        <v>42</v>
      </c>
    </row>
    <row r="12" spans="1:15" x14ac:dyDescent="0.25">
      <c r="A12">
        <v>8</v>
      </c>
      <c r="B12" t="s">
        <v>53</v>
      </c>
      <c r="C12" s="1">
        <v>45444</v>
      </c>
      <c r="D12" t="s">
        <v>14</v>
      </c>
      <c r="E12" s="1"/>
      <c r="F12" t="s">
        <v>48</v>
      </c>
      <c r="G12" s="1" t="s">
        <v>12</v>
      </c>
      <c r="H12" t="s">
        <v>11</v>
      </c>
      <c r="I12" s="1" t="s">
        <v>19</v>
      </c>
      <c r="J12">
        <v>3</v>
      </c>
      <c r="K12">
        <v>0</v>
      </c>
      <c r="L12" s="1">
        <f t="shared" si="3"/>
        <v>45454</v>
      </c>
      <c r="M12" t="str">
        <f t="shared" ca="1" si="4"/>
        <v>yes</v>
      </c>
      <c r="N12" s="1"/>
      <c r="O12">
        <f t="shared" ca="1" si="2"/>
        <v>58</v>
      </c>
    </row>
    <row r="13" spans="1:15" x14ac:dyDescent="0.25">
      <c r="A13">
        <v>8</v>
      </c>
      <c r="B13" t="s">
        <v>53</v>
      </c>
      <c r="C13" s="1">
        <v>45488</v>
      </c>
      <c r="D13" t="s">
        <v>13</v>
      </c>
      <c r="E13" s="1"/>
      <c r="F13" t="s">
        <v>48</v>
      </c>
      <c r="G13" s="1" t="s">
        <v>12</v>
      </c>
      <c r="H13" t="s">
        <v>11</v>
      </c>
      <c r="I13" t="s">
        <v>45</v>
      </c>
      <c r="J13">
        <v>3</v>
      </c>
      <c r="K13">
        <v>0</v>
      </c>
      <c r="L13" s="1">
        <f t="shared" si="3"/>
        <v>45498</v>
      </c>
      <c r="M13" t="str">
        <f t="shared" ca="1" si="4"/>
        <v>yes</v>
      </c>
      <c r="N13" s="1"/>
      <c r="O13">
        <f t="shared" ca="1" si="2"/>
        <v>14</v>
      </c>
    </row>
    <row r="14" spans="1:15" s="3" customFormat="1" x14ac:dyDescent="0.25">
      <c r="A14" s="3">
        <v>8</v>
      </c>
      <c r="B14" s="3" t="s">
        <v>9</v>
      </c>
      <c r="C14" s="4">
        <v>45427</v>
      </c>
      <c r="D14" s="3" t="s">
        <v>10</v>
      </c>
      <c r="F14" s="3" t="s">
        <v>48</v>
      </c>
      <c r="G14" s="4" t="s">
        <v>11</v>
      </c>
      <c r="H14" s="3" t="s">
        <v>12</v>
      </c>
      <c r="I14" s="3" t="s">
        <v>19</v>
      </c>
      <c r="J14" s="3">
        <v>3</v>
      </c>
      <c r="K14" s="3">
        <v>2</v>
      </c>
      <c r="L14" s="4">
        <f t="shared" si="3"/>
        <v>45437</v>
      </c>
      <c r="M14" s="3" t="str">
        <f t="shared" ca="1" si="4"/>
        <v>yes</v>
      </c>
      <c r="N14" s="4">
        <v>45458</v>
      </c>
      <c r="O14" s="3">
        <f t="shared" ca="1" si="2"/>
        <v>31</v>
      </c>
    </row>
    <row r="15" spans="1:15" x14ac:dyDescent="0.25">
      <c r="A15">
        <v>9</v>
      </c>
      <c r="B15" t="s">
        <v>53</v>
      </c>
      <c r="C15" s="1">
        <v>45341</v>
      </c>
      <c r="D15" t="s">
        <v>10</v>
      </c>
      <c r="F15" t="s">
        <v>48</v>
      </c>
      <c r="G15" t="s">
        <v>11</v>
      </c>
      <c r="H15" t="s">
        <v>12</v>
      </c>
      <c r="I15" t="s">
        <v>19</v>
      </c>
      <c r="J15">
        <v>3</v>
      </c>
      <c r="K15">
        <v>0</v>
      </c>
      <c r="L15" s="1">
        <f t="shared" si="3"/>
        <v>45351</v>
      </c>
      <c r="M15" t="str">
        <f t="shared" ca="1" si="4"/>
        <v>yes</v>
      </c>
      <c r="O15">
        <f t="shared" ca="1" si="2"/>
        <v>161</v>
      </c>
    </row>
    <row r="16" spans="1:15" s="3" customFormat="1" x14ac:dyDescent="0.25">
      <c r="A16" s="3">
        <v>10</v>
      </c>
      <c r="B16" s="3" t="s">
        <v>9</v>
      </c>
      <c r="C16" s="4">
        <v>45129</v>
      </c>
      <c r="D16" s="3" t="s">
        <v>10</v>
      </c>
      <c r="E16" s="4">
        <v>45491</v>
      </c>
      <c r="F16" s="3" t="s">
        <v>46</v>
      </c>
      <c r="G16" s="3" t="s">
        <v>12</v>
      </c>
      <c r="H16" s="3" t="s">
        <v>11</v>
      </c>
      <c r="I16" s="3" t="s">
        <v>19</v>
      </c>
      <c r="J16" s="3">
        <v>1</v>
      </c>
      <c r="K16" s="3">
        <v>1</v>
      </c>
      <c r="L16" s="4">
        <f t="shared" si="3"/>
        <v>45139</v>
      </c>
      <c r="M16" s="3" t="str">
        <f t="shared" ca="1" si="4"/>
        <v>yes</v>
      </c>
      <c r="N16" s="4">
        <v>45497</v>
      </c>
      <c r="O16" s="3">
        <f t="shared" ca="1" si="2"/>
        <v>368</v>
      </c>
    </row>
    <row r="17" spans="1:15" x14ac:dyDescent="0.25">
      <c r="A17">
        <v>11</v>
      </c>
      <c r="B17" t="s">
        <v>53</v>
      </c>
      <c r="C17" s="1">
        <v>45482</v>
      </c>
      <c r="D17" t="s">
        <v>14</v>
      </c>
      <c r="F17" t="s">
        <v>48</v>
      </c>
      <c r="G17" t="s">
        <v>11</v>
      </c>
      <c r="H17" t="s">
        <v>11</v>
      </c>
      <c r="I17" s="1" t="s">
        <v>44</v>
      </c>
      <c r="J17">
        <v>1</v>
      </c>
      <c r="K17">
        <v>0</v>
      </c>
      <c r="L17" s="1">
        <f t="shared" si="3"/>
        <v>45492</v>
      </c>
      <c r="M17" t="str">
        <f t="shared" ca="1" si="4"/>
        <v>yes</v>
      </c>
      <c r="O17">
        <f t="shared" ca="1" si="2"/>
        <v>20</v>
      </c>
    </row>
    <row r="18" spans="1:15" x14ac:dyDescent="0.25">
      <c r="A18">
        <v>11</v>
      </c>
      <c r="B18" t="s">
        <v>53</v>
      </c>
      <c r="C18" s="1">
        <v>45492</v>
      </c>
      <c r="D18" t="s">
        <v>13</v>
      </c>
      <c r="F18" t="s">
        <v>46</v>
      </c>
      <c r="G18" t="s">
        <v>12</v>
      </c>
      <c r="H18" t="s">
        <v>12</v>
      </c>
      <c r="I18" s="1" t="s">
        <v>44</v>
      </c>
      <c r="J18">
        <v>2</v>
      </c>
      <c r="K18">
        <v>0</v>
      </c>
      <c r="L18" s="1">
        <f t="shared" si="3"/>
        <v>45502</v>
      </c>
      <c r="M18" t="str">
        <f t="shared" ca="1" si="4"/>
        <v>yes</v>
      </c>
      <c r="O18">
        <f t="shared" ca="1" si="2"/>
        <v>10</v>
      </c>
    </row>
    <row r="19" spans="1:15" x14ac:dyDescent="0.25">
      <c r="A19">
        <v>12</v>
      </c>
      <c r="B19" t="s">
        <v>53</v>
      </c>
      <c r="C19" s="1">
        <v>45490</v>
      </c>
      <c r="D19" t="s">
        <v>14</v>
      </c>
      <c r="F19" t="s">
        <v>46</v>
      </c>
      <c r="G19" t="s">
        <v>12</v>
      </c>
      <c r="H19" t="s">
        <v>12</v>
      </c>
      <c r="I19" s="1" t="s">
        <v>19</v>
      </c>
      <c r="J19">
        <v>5</v>
      </c>
      <c r="K19">
        <v>3</v>
      </c>
      <c r="L19" s="1">
        <f t="shared" si="3"/>
        <v>45500</v>
      </c>
      <c r="M19" t="str">
        <f t="shared" ca="1" si="4"/>
        <v>yes</v>
      </c>
      <c r="O19">
        <f t="shared" ca="1" si="2"/>
        <v>12</v>
      </c>
    </row>
    <row r="20" spans="1:15" x14ac:dyDescent="0.25">
      <c r="A20">
        <v>12</v>
      </c>
      <c r="B20" t="s">
        <v>53</v>
      </c>
      <c r="C20" s="1">
        <v>45494</v>
      </c>
      <c r="D20" t="s">
        <v>10</v>
      </c>
      <c r="F20" t="s">
        <v>48</v>
      </c>
      <c r="G20" t="s">
        <v>12</v>
      </c>
      <c r="H20" t="s">
        <v>11</v>
      </c>
      <c r="I20" s="1" t="s">
        <v>19</v>
      </c>
      <c r="J20">
        <v>3</v>
      </c>
      <c r="K20">
        <v>0</v>
      </c>
      <c r="L20" s="1">
        <f t="shared" si="3"/>
        <v>45504</v>
      </c>
      <c r="M20" t="str">
        <f t="shared" ca="1" si="4"/>
        <v>yes</v>
      </c>
      <c r="O20">
        <f t="shared" ca="1" si="2"/>
        <v>8</v>
      </c>
    </row>
    <row r="21" spans="1:15" s="3" customFormat="1" x14ac:dyDescent="0.25">
      <c r="A21" s="3">
        <v>13</v>
      </c>
      <c r="B21" s="3" t="s">
        <v>9</v>
      </c>
      <c r="C21" s="4">
        <v>45491</v>
      </c>
      <c r="D21" s="3" t="s">
        <v>10</v>
      </c>
      <c r="E21" s="4">
        <v>45495</v>
      </c>
      <c r="F21" s="3" t="s">
        <v>48</v>
      </c>
      <c r="G21" s="3" t="s">
        <v>12</v>
      </c>
      <c r="H21" s="3" t="s">
        <v>12</v>
      </c>
      <c r="I21" s="3" t="s">
        <v>45</v>
      </c>
      <c r="J21" s="3">
        <v>1</v>
      </c>
      <c r="K21" s="3">
        <v>1</v>
      </c>
      <c r="L21" s="4">
        <f t="shared" si="3"/>
        <v>45501</v>
      </c>
      <c r="M21" s="3" t="str">
        <f t="shared" ca="1" si="4"/>
        <v>no</v>
      </c>
      <c r="N21" s="4">
        <v>45495</v>
      </c>
      <c r="O21" s="3">
        <f t="shared" ca="1" si="2"/>
        <v>4</v>
      </c>
    </row>
    <row r="22" spans="1:15" x14ac:dyDescent="0.25">
      <c r="A22">
        <v>14</v>
      </c>
      <c r="B22" t="s">
        <v>53</v>
      </c>
      <c r="C22" s="1">
        <v>45490</v>
      </c>
      <c r="D22" t="s">
        <v>10</v>
      </c>
      <c r="F22" t="s">
        <v>46</v>
      </c>
      <c r="G22" t="s">
        <v>12</v>
      </c>
      <c r="H22" t="s">
        <v>12</v>
      </c>
      <c r="I22" t="s">
        <v>19</v>
      </c>
      <c r="J22">
        <v>5</v>
      </c>
      <c r="K22">
        <v>1</v>
      </c>
      <c r="L22" s="1">
        <f t="shared" si="3"/>
        <v>45500</v>
      </c>
      <c r="M22" t="str">
        <f t="shared" ca="1" si="4"/>
        <v>yes</v>
      </c>
      <c r="O22">
        <f t="shared" ca="1" si="2"/>
        <v>12</v>
      </c>
    </row>
    <row r="23" spans="1:15" x14ac:dyDescent="0.25">
      <c r="A23">
        <v>15</v>
      </c>
      <c r="B23" t="s">
        <v>53</v>
      </c>
      <c r="C23" s="1">
        <v>45430</v>
      </c>
      <c r="D23" t="s">
        <v>10</v>
      </c>
      <c r="F23" t="s">
        <v>46</v>
      </c>
      <c r="G23" t="s">
        <v>11</v>
      </c>
      <c r="H23" t="s">
        <v>12</v>
      </c>
      <c r="I23" t="s">
        <v>19</v>
      </c>
      <c r="J23">
        <v>1</v>
      </c>
      <c r="K23">
        <v>0</v>
      </c>
      <c r="L23" s="1">
        <f t="shared" si="3"/>
        <v>45440</v>
      </c>
      <c r="M23" t="str">
        <f t="shared" ca="1" si="4"/>
        <v>yes</v>
      </c>
      <c r="O23">
        <f t="shared" ca="1" si="2"/>
        <v>72</v>
      </c>
    </row>
    <row r="24" spans="1:15" x14ac:dyDescent="0.25">
      <c r="A24">
        <v>16</v>
      </c>
      <c r="B24" t="s">
        <v>53</v>
      </c>
      <c r="C24" s="1">
        <v>45459</v>
      </c>
      <c r="D24" t="s">
        <v>10</v>
      </c>
      <c r="F24" t="s">
        <v>48</v>
      </c>
      <c r="G24" t="s">
        <v>12</v>
      </c>
      <c r="H24" t="s">
        <v>11</v>
      </c>
      <c r="I24" t="s">
        <v>45</v>
      </c>
      <c r="J24">
        <v>2</v>
      </c>
      <c r="K24">
        <v>0</v>
      </c>
      <c r="L24" s="1">
        <f t="shared" si="3"/>
        <v>45469</v>
      </c>
      <c r="M24" t="str">
        <f t="shared" ca="1" si="4"/>
        <v>yes</v>
      </c>
      <c r="O24">
        <f t="shared" ca="1" si="2"/>
        <v>43</v>
      </c>
    </row>
    <row r="25" spans="1:15" s="3" customFormat="1" x14ac:dyDescent="0.25">
      <c r="A25" s="3">
        <v>16</v>
      </c>
      <c r="B25" s="3" t="s">
        <v>9</v>
      </c>
      <c r="C25" s="4">
        <v>45428</v>
      </c>
      <c r="D25" s="3" t="s">
        <v>14</v>
      </c>
      <c r="E25" s="4">
        <v>45492</v>
      </c>
      <c r="F25" s="3" t="s">
        <v>48</v>
      </c>
      <c r="G25" s="3" t="s">
        <v>12</v>
      </c>
      <c r="H25" s="3" t="s">
        <v>12</v>
      </c>
      <c r="I25" s="3" t="s">
        <v>45</v>
      </c>
      <c r="J25" s="3">
        <v>1</v>
      </c>
      <c r="K25" s="3">
        <v>1</v>
      </c>
      <c r="L25" s="4">
        <f t="shared" si="3"/>
        <v>45438</v>
      </c>
      <c r="M25" s="3" t="str">
        <f t="shared" ca="1" si="4"/>
        <v>yes</v>
      </c>
      <c r="N25" s="4">
        <v>45492</v>
      </c>
      <c r="O25" s="3">
        <f ca="1">IF(ISBLANK(N25), DATEDIF(C25, TODAY(), "d"), DATEDIF(C25,N25,"d"))</f>
        <v>64</v>
      </c>
    </row>
    <row r="26" spans="1:15" x14ac:dyDescent="0.25">
      <c r="A26">
        <v>17</v>
      </c>
      <c r="B26" t="s">
        <v>53</v>
      </c>
      <c r="C26" s="1">
        <v>45338</v>
      </c>
      <c r="D26" t="s">
        <v>10</v>
      </c>
      <c r="F26" t="s">
        <v>46</v>
      </c>
      <c r="G26" t="s">
        <v>12</v>
      </c>
      <c r="H26" t="s">
        <v>11</v>
      </c>
      <c r="I26" t="s">
        <v>45</v>
      </c>
      <c r="J26">
        <v>3</v>
      </c>
      <c r="K26">
        <v>3</v>
      </c>
      <c r="L26" s="1">
        <f t="shared" si="3"/>
        <v>45348</v>
      </c>
      <c r="M26" t="str">
        <f t="shared" ca="1" si="4"/>
        <v>yes</v>
      </c>
      <c r="O26">
        <f t="shared" ca="1" si="2"/>
        <v>164</v>
      </c>
    </row>
    <row r="27" spans="1:15" x14ac:dyDescent="0.25">
      <c r="A27">
        <v>18</v>
      </c>
      <c r="B27" t="s">
        <v>53</v>
      </c>
      <c r="C27" s="1">
        <v>45470</v>
      </c>
      <c r="D27" t="s">
        <v>64</v>
      </c>
      <c r="F27" t="s">
        <v>48</v>
      </c>
      <c r="G27" t="s">
        <v>12</v>
      </c>
      <c r="H27" t="s">
        <v>12</v>
      </c>
      <c r="I27" t="s">
        <v>45</v>
      </c>
      <c r="J27">
        <v>2</v>
      </c>
      <c r="K27">
        <v>1</v>
      </c>
      <c r="L27" s="1">
        <f t="shared" si="3"/>
        <v>45480</v>
      </c>
      <c r="M27" t="str">
        <f t="shared" ca="1" si="4"/>
        <v>yes</v>
      </c>
      <c r="O27">
        <f t="shared" ca="1" si="2"/>
        <v>32</v>
      </c>
    </row>
    <row r="28" spans="1:15" s="3" customFormat="1" x14ac:dyDescent="0.25">
      <c r="A28" s="3">
        <v>19</v>
      </c>
      <c r="B28" s="3" t="s">
        <v>9</v>
      </c>
      <c r="C28" s="4">
        <v>45490</v>
      </c>
      <c r="D28" s="3" t="s">
        <v>14</v>
      </c>
      <c r="E28" s="4">
        <v>45491</v>
      </c>
      <c r="F28" s="3" t="s">
        <v>48</v>
      </c>
      <c r="G28" s="3" t="s">
        <v>12</v>
      </c>
      <c r="H28" s="3" t="s">
        <v>12</v>
      </c>
      <c r="I28" s="3" t="s">
        <v>45</v>
      </c>
      <c r="J28" s="3">
        <v>2</v>
      </c>
      <c r="K28" s="3">
        <v>1</v>
      </c>
      <c r="L28" s="4">
        <f t="shared" si="3"/>
        <v>45500</v>
      </c>
      <c r="M28" s="3" t="str">
        <f t="shared" ca="1" si="4"/>
        <v>no</v>
      </c>
      <c r="N28" s="4">
        <v>45492</v>
      </c>
      <c r="O28" s="3">
        <f t="shared" ca="1" si="2"/>
        <v>2</v>
      </c>
    </row>
    <row r="29" spans="1:15" s="3" customFormat="1" x14ac:dyDescent="0.25">
      <c r="A29" s="3">
        <v>19</v>
      </c>
      <c r="B29" s="3" t="s">
        <v>9</v>
      </c>
      <c r="C29" s="4">
        <v>45483</v>
      </c>
      <c r="D29" s="3" t="s">
        <v>14</v>
      </c>
      <c r="E29" s="4">
        <v>45488</v>
      </c>
      <c r="F29" s="3" t="s">
        <v>46</v>
      </c>
      <c r="G29" s="3" t="s">
        <v>11</v>
      </c>
      <c r="H29" s="3" t="s">
        <v>11</v>
      </c>
      <c r="I29" s="3" t="s">
        <v>45</v>
      </c>
      <c r="J29" s="3">
        <v>4</v>
      </c>
      <c r="K29" s="3">
        <v>2</v>
      </c>
      <c r="L29" s="4">
        <f t="shared" si="3"/>
        <v>45493</v>
      </c>
      <c r="M29" s="3" t="str">
        <f t="shared" ca="1" si="4"/>
        <v>no</v>
      </c>
      <c r="N29" s="4">
        <v>45489</v>
      </c>
      <c r="O29" s="3">
        <f t="shared" ca="1" si="2"/>
        <v>6</v>
      </c>
    </row>
    <row r="30" spans="1:15" x14ac:dyDescent="0.25">
      <c r="A30">
        <v>20</v>
      </c>
      <c r="B30" t="s">
        <v>53</v>
      </c>
      <c r="C30" s="1">
        <v>45413</v>
      </c>
      <c r="D30" t="s">
        <v>14</v>
      </c>
      <c r="F30" t="s">
        <v>48</v>
      </c>
      <c r="G30" t="s">
        <v>12</v>
      </c>
      <c r="H30" t="s">
        <v>11</v>
      </c>
      <c r="I30" t="s">
        <v>45</v>
      </c>
      <c r="J30">
        <v>4</v>
      </c>
      <c r="K30">
        <v>2</v>
      </c>
      <c r="L30" s="1">
        <f t="shared" si="3"/>
        <v>45423</v>
      </c>
      <c r="M30" t="str">
        <f t="shared" ca="1" si="4"/>
        <v>yes</v>
      </c>
      <c r="O30">
        <f t="shared" ca="1" si="2"/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5328-93C5-435B-9AC8-BC61764F8092}">
  <dimension ref="A1:AD6"/>
  <sheetViews>
    <sheetView tabSelected="1" workbookViewId="0">
      <selection activeCell="I12" sqref="I12"/>
    </sheetView>
  </sheetViews>
  <sheetFormatPr defaultRowHeight="15" x14ac:dyDescent="0.25"/>
  <cols>
    <col min="1" max="1" width="9.85546875" customWidth="1"/>
    <col min="2" max="2" width="13.5703125" bestFit="1" customWidth="1"/>
    <col min="3" max="3" width="12.7109375" bestFit="1" customWidth="1"/>
    <col min="4" max="4" width="14.7109375" bestFit="1" customWidth="1"/>
    <col min="5" max="5" width="13.42578125" bestFit="1" customWidth="1"/>
    <col min="6" max="6" width="12.5703125" bestFit="1" customWidth="1"/>
    <col min="7" max="7" width="14.5703125" bestFit="1" customWidth="1"/>
    <col min="8" max="8" width="13.85546875" bestFit="1" customWidth="1"/>
    <col min="9" max="9" width="13.140625" bestFit="1" customWidth="1"/>
    <col min="10" max="10" width="15" bestFit="1" customWidth="1"/>
    <col min="11" max="11" width="11" customWidth="1"/>
    <col min="12" max="12" width="13.42578125" bestFit="1" customWidth="1"/>
    <col min="13" max="13" width="12.5703125" bestFit="1" customWidth="1"/>
    <col min="14" max="14" width="14.5703125" bestFit="1" customWidth="1"/>
    <col min="15" max="15" width="13.28515625" bestFit="1" customWidth="1"/>
    <col min="16" max="16" width="12.42578125" bestFit="1" customWidth="1"/>
    <col min="17" max="17" width="14.42578125" bestFit="1" customWidth="1"/>
    <col min="18" max="18" width="13.7109375" bestFit="1" customWidth="1"/>
    <col min="19" max="19" width="12.85546875" bestFit="1" customWidth="1"/>
    <col min="20" max="20" width="14.85546875" bestFit="1" customWidth="1"/>
    <col min="21" max="21" width="10.5703125" customWidth="1"/>
    <col min="22" max="22" width="15.140625" bestFit="1" customWidth="1"/>
    <col min="23" max="23" width="14.42578125" bestFit="1" customWidth="1"/>
    <col min="24" max="24" width="16.28515625" bestFit="1" customWidth="1"/>
    <col min="25" max="25" width="15" bestFit="1" customWidth="1"/>
    <col min="26" max="26" width="14.28515625" bestFit="1" customWidth="1"/>
    <col min="27" max="27" width="16.140625" bestFit="1" customWidth="1"/>
    <col min="28" max="28" width="15.42578125" bestFit="1" customWidth="1"/>
    <col min="29" max="29" width="14.7109375" bestFit="1" customWidth="1"/>
    <col min="30" max="30" width="16.5703125" bestFit="1" customWidth="1"/>
  </cols>
  <sheetData>
    <row r="1" spans="1:30" x14ac:dyDescent="0.25">
      <c r="A1" t="s">
        <v>85</v>
      </c>
      <c r="B1" s="2" t="s">
        <v>66</v>
      </c>
      <c r="C1" t="s">
        <v>67</v>
      </c>
      <c r="D1" t="s">
        <v>68</v>
      </c>
      <c r="E1" s="2" t="s">
        <v>69</v>
      </c>
      <c r="F1" t="s">
        <v>70</v>
      </c>
      <c r="G1" t="s">
        <v>71</v>
      </c>
      <c r="H1" s="2" t="s">
        <v>72</v>
      </c>
      <c r="I1" t="s">
        <v>73</v>
      </c>
      <c r="J1" t="s">
        <v>74</v>
      </c>
      <c r="K1" t="s">
        <v>86</v>
      </c>
      <c r="L1" s="2" t="s">
        <v>76</v>
      </c>
      <c r="M1" t="s">
        <v>77</v>
      </c>
      <c r="N1" t="s">
        <v>78</v>
      </c>
      <c r="O1" s="2" t="s">
        <v>79</v>
      </c>
      <c r="P1" t="s">
        <v>80</v>
      </c>
      <c r="Q1" t="s">
        <v>81</v>
      </c>
      <c r="R1" s="2" t="s">
        <v>82</v>
      </c>
      <c r="S1" t="s">
        <v>83</v>
      </c>
      <c r="T1" t="s">
        <v>84</v>
      </c>
      <c r="U1" t="s">
        <v>96</v>
      </c>
      <c r="V1" s="2" t="s">
        <v>87</v>
      </c>
      <c r="W1" t="s">
        <v>88</v>
      </c>
      <c r="X1" t="s">
        <v>89</v>
      </c>
      <c r="Y1" s="2" t="s">
        <v>90</v>
      </c>
      <c r="Z1" t="s">
        <v>91</v>
      </c>
      <c r="AA1" t="s">
        <v>92</v>
      </c>
      <c r="AB1" s="2" t="s">
        <v>93</v>
      </c>
      <c r="AC1" t="s">
        <v>94</v>
      </c>
      <c r="AD1" t="s">
        <v>95</v>
      </c>
    </row>
    <row r="2" spans="1:30" x14ac:dyDescent="0.25">
      <c r="A2" t="s">
        <v>75</v>
      </c>
      <c r="B2" s="2" cm="1">
        <f t="array" ref="B2">SUMPRODUCT( (complaints!$C:$C &lt;= DATE(2024, 7, 22)) *  (complaints!$O:$O &gt;= DATE(2024, 7, 22)) )</f>
        <v>4</v>
      </c>
      <c r="C2">
        <f>COUNTIF( complaints!$C:$C, DATE(2024, 7, 22) )</f>
        <v>0</v>
      </c>
      <c r="D2">
        <f>COUNTIF( complaints!$O:$O, DATE(2024, 7, 22) )</f>
        <v>2</v>
      </c>
      <c r="E2" cm="1">
        <f t="array" ref="E2">SUMPRODUCT( (complaints!$C:$C &lt;= DATE(2024, 7, 22)) * (complaints!$O:$O &gt;= DATE(2024, 7, 22)) * ((complaints!$E:$E = "a") + (complaints!$E:$E = "b") + (complaints!$E:$E = "c")) )</f>
        <v>2</v>
      </c>
      <c r="F2" cm="1">
        <f t="array" ref="F2">SUMPRODUCT(  (complaints!$C:$C = DATE(2024, 7, 22)) * ((complaints!$E:$E = "a") + (complaints!$E:$E = "b") + (complaints!$E:$E = "c")) )</f>
        <v>0</v>
      </c>
      <c r="G2" cm="1">
        <f t="array" ref="G2">SUMPRODUCT(  (complaints!$O:$O = DATE(2024, 7, 22)) * ((complaints!$E:$E = "a") + (complaints!$E:$E = "b") + (complaints!$E:$E = "c")) )</f>
        <v>1</v>
      </c>
      <c r="H2" cm="1">
        <f t="array" ref="H2">SUMPRODUCT( (complaints!$C:$C &lt;= DATE(2024, 7, 22)) * (complaints!$O:$O &gt;= DATE(2024, 7, 22)) * ((complaints!$E:$E = "d") + (complaints!$E:$E = "e") + (complaints!$E:$E = "f")) )</f>
        <v>2</v>
      </c>
      <c r="I2" cm="1">
        <f t="array" ref="I2">SUMPRODUCT(  (complaints!$C:$C = DATE(2024, 7, 22)) * ((complaints!$E:$E = "d") + (complaints!$E:$E = "e") + (complaints!$E:$E = "f")) )</f>
        <v>0</v>
      </c>
      <c r="J2" cm="1">
        <f t="array" ref="J2">SUMPRODUCT(  (complaints!$O:$O = DATE(2024, 7, 22)) * ((complaints!$E:$E = "d") + (complaints!$E:$E = "e") + (complaints!$E:$E = "f")) )</f>
        <v>1</v>
      </c>
      <c r="K2" t="s">
        <v>75</v>
      </c>
      <c r="L2" s="2" cm="1">
        <f t="array" ref="L2">SUMPRODUCT( (complaints!$C:$C &lt;= DATE(2024, 7, 15)) * (complaints!$O:$O &gt;= DATE(2024, 7, 15)) )</f>
        <v>5</v>
      </c>
      <c r="M2">
        <f>COUNTIF( complaints!$C:$C, DATE(2024, 7, 15) )</f>
        <v>4</v>
      </c>
      <c r="N2">
        <f>COUNTIF( complaints!$O:$O, DATE(2024, 7, 15) )</f>
        <v>0</v>
      </c>
      <c r="O2" s="2" cm="1">
        <f t="array" ref="O2">SUMPRODUCT( (complaints!$C:$C &lt;= DATE(2024, 7, 15)) * (complaints!$O:$O &gt;= DATE(2024, 7, 15)) * ((complaints!$E:$E = "a") + (complaints!$E:$E = "b") + (complaints!$E:$E = "c")) )</f>
        <v>3</v>
      </c>
      <c r="P2" cm="1">
        <f t="array" ref="P2">SUMPRODUCT(  (complaints!$C:$C = DATE(2024, 7, 15)) * ((complaints!$E:$E = "a") + (complaints!$E:$E = "b") + (complaints!$E:$E = "c")) )</f>
        <v>2</v>
      </c>
      <c r="Q2" cm="1">
        <f t="array" ref="Q2">SUMPRODUCT(  (complaints!$O:$O = DATE(2024, 7, 15)) * ((complaints!$E:$E = "a") + (complaints!$E:$E = "b") + (complaints!$E:$E = "c")) )</f>
        <v>0</v>
      </c>
      <c r="R2" s="2" cm="1">
        <f t="array" ref="R2">SUMPRODUCT( (complaints!$C:$C &lt;= DATE(2024, 7, 15)) * (complaints!$O:$O &gt;= DATE(2024, 7, 15)) * ((complaints!$E:$E = "d") + (complaints!$E:$E = "e") + (complaints!$E:$E = "f")) )</f>
        <v>2</v>
      </c>
      <c r="S2" cm="1">
        <f t="array" ref="S2">SUMPRODUCT(  (complaints!$C:$C = DATE(2024, 7, 15)) * ((complaints!$E:$E = "d") + (complaints!$E:$E = "e") + (complaints!$E:$E = "f")) )</f>
        <v>2</v>
      </c>
      <c r="T2" cm="1">
        <f t="array" ref="T2">SUMPRODUCT(  (complaints!$O:$O = DATE(2024, 7, 15)) * ((complaints!$E:$E = "d") + (complaints!$E:$E = "e") + (complaints!$E:$E = "f")) )</f>
        <v>0</v>
      </c>
      <c r="U2" t="s">
        <v>60</v>
      </c>
      <c r="V2" s="2" cm="1">
        <f t="array" ref="V2">SUMPRODUCT((complaints!$D:$D&lt;=30)*(complaints!$P:$P&gt;=30))</f>
        <v>16</v>
      </c>
      <c r="W2">
        <f>COUNTIF( complaints!$D:$D, 30)</f>
        <v>0</v>
      </c>
      <c r="X2">
        <f>COUNTIF( complaints!$P:$P, 30)</f>
        <v>4</v>
      </c>
      <c r="Y2" s="2" cm="1">
        <f t="array" ref="Y2">SUMPRODUCT((complaints!$D:$D&lt;=30)*(complaints!$P:$P&gt;=30)  * ((complaints!$E:$E = "a") + (complaints!$E:$E = "b") + (complaints!$E:$E = "c")))</f>
        <v>6</v>
      </c>
      <c r="Z2" cm="1">
        <f t="array" ref="Z2">SUMPRODUCT(  (complaints!$D:$D = 30) * ((complaints!$E:$E = "a") + (complaints!$E:$E = "b") + (complaints!$E:$E = "c")) )</f>
        <v>0</v>
      </c>
      <c r="AA2" cm="1">
        <f t="array" ref="AA2">SUMPRODUCT(  (complaints!$P:$P = 30) * ((complaints!$E:$E = "a") + (complaints!$E:$E = "b") + (complaints!$E:$E = "c")) )</f>
        <v>2</v>
      </c>
      <c r="AB2" s="2" cm="1">
        <f t="array" ref="AB2">SUMPRODUCT((complaints!$D:$D&lt;=30)*(complaints!$P:$P&gt;=30)  * ((complaints!$E:$E = "d") + (complaints!$E:$E = "e") + (complaints!$E:$E = "f")))</f>
        <v>10</v>
      </c>
      <c r="AC2" cm="1">
        <f t="array" ref="AC2">SUMPRODUCT(  (complaints!$D:$D=30) * ((complaints!$E:$E = "d") + (complaints!$E:$E = "e") + (complaints!$E:$E = "f")) )</f>
        <v>0</v>
      </c>
      <c r="AD2" cm="1">
        <f t="array" ref="AD2">SUMPRODUCT(  (complaints!$P:$P = 30) * ((complaints!$E:$E = "d") + (complaints!$E:$E = "e") + (complaints!$E:$E = "f")) )</f>
        <v>2</v>
      </c>
    </row>
    <row r="3" spans="1:30" x14ac:dyDescent="0.25">
      <c r="A3" t="s">
        <v>56</v>
      </c>
      <c r="B3" s="2" cm="1">
        <f t="array" ref="B3">SUMPRODUCT( (complaints!$C:$C &lt;= DATE(2024, 7, 23)) *  (complaints!$O:$O &gt;= DATE(2024, 7, 23)) )</f>
        <v>2</v>
      </c>
      <c r="C3">
        <f>COUNTIF( complaints!$C:$C, DATE(2024, 7, 23) )</f>
        <v>0</v>
      </c>
      <c r="D3">
        <f>COUNTIF( complaints!$O:$O, DATE(2024, 7, 23) )</f>
        <v>0</v>
      </c>
      <c r="E3" cm="1">
        <f t="array" ref="E3">SUMPRODUCT( (complaints!$C:$C &lt;= DATE(2024, 7, 23)) * (complaints!$O:$O &gt;= DATE(2024, 7, 23)) * ((complaints!$E:$E = "a") + (complaints!$E:$E = "b") + (complaints!$E:$E = "c")) )</f>
        <v>1</v>
      </c>
      <c r="F3" cm="1">
        <f t="array" ref="F3">SUMPRODUCT(  (complaints!$C:$C = DATE(2024, 7, 23)) * ((complaints!$E:$E = "a") + (complaints!$E:$E = "b") + (complaints!$E:$E = "c")) )</f>
        <v>0</v>
      </c>
      <c r="G3" cm="1">
        <f t="array" ref="G3">SUMPRODUCT(  (complaints!$O:$O = DATE(2024, 7, 23)) * ((complaints!$E:$E = "a") + (complaints!$E:$E = "b") + (complaints!$E:$E = "c")) )</f>
        <v>0</v>
      </c>
      <c r="H3" cm="1">
        <f t="array" ref="H3">SUMPRODUCT( (complaints!$C:$C &lt;= DATE(2024, 7, 23)) * (complaints!$O:$O &gt;= DATE(2024, 7, 23)) * ((complaints!$E:$E = "d") + (complaints!$E:$E = "e") + (complaints!$E:$E = "f")) )</f>
        <v>1</v>
      </c>
      <c r="I3" cm="1">
        <f t="array" ref="I3">SUMPRODUCT(  (complaints!$C:$C = DATE(2024, 7, 23)) * ((complaints!$E:$E = "d") + (complaints!$E:$E = "e") + (complaints!$E:$E = "f")) )</f>
        <v>0</v>
      </c>
      <c r="J3" cm="1">
        <f t="array" ref="J3">SUMPRODUCT(  (complaints!$O:$O = DATE(2024, 7, 23)) * ((complaints!$E:$E = "d") + (complaints!$E:$E = "e") + (complaints!$E:$E = "f")) )</f>
        <v>0</v>
      </c>
      <c r="K3" t="s">
        <v>56</v>
      </c>
      <c r="L3" s="2" cm="1">
        <f t="array" ref="L3">SUMPRODUCT( (complaints!$C:$C &lt;= DATE(2024, 7, 16)) * (complaints!$O:$O &gt;= DATE(2024, 7, 16)) )</f>
        <v>5</v>
      </c>
      <c r="M3">
        <f>COUNTIF( complaints!$C:$C, DATE(2024, 7, 16) )</f>
        <v>4</v>
      </c>
      <c r="N3">
        <f>COUNTIF( complaints!$O:$O, DATE(2024, 7, 16) )</f>
        <v>0</v>
      </c>
      <c r="O3" s="2" cm="1">
        <f t="array" ref="O3">SUMPRODUCT( (complaints!$C:$C &lt;= DATE(2024, 7, 16)) * (complaints!$O:$O &gt;= DATE(2024, 7, 16)) * ((complaints!$E:$E = "a") + (complaints!$E:$E = "b") + (complaints!$E:$E = "c")) )</f>
        <v>3</v>
      </c>
      <c r="P3" cm="1">
        <f t="array" ref="P3">SUMPRODUCT(  (complaints!$C:$C = DATE(2024, 7, 16)) * ((complaints!$E:$E = "a") + (complaints!$E:$E = "b") + (complaints!$E:$E = "c")) )</f>
        <v>1</v>
      </c>
      <c r="Q3" cm="1">
        <f t="array" ref="Q3">SUMPRODUCT(  (complaints!$O:$O = DATE(2024, 7, 16)) * ((complaints!$E:$E = "a") + (complaints!$E:$E = "b") + (complaints!$E:$E = "c")) )</f>
        <v>0</v>
      </c>
      <c r="R3" s="2" cm="1">
        <f t="array" ref="R3">SUMPRODUCT( (complaints!$C:$C &lt;= DATE(2024, 7, 16)) * (complaints!$O:$O &gt;= DATE(2024, 7, 16)) * ((complaints!$E:$E = "d") + (complaints!$E:$E = "e") + (complaints!$E:$E = "f")) )</f>
        <v>2</v>
      </c>
      <c r="S3" cm="1">
        <f t="array" ref="S3">SUMPRODUCT(  (complaints!$C:$C = DATE(2024, 7, 16)) * ((complaints!$E:$E = "d") + (complaints!$E:$E = "e") + (complaints!$E:$E = "f")) )</f>
        <v>3</v>
      </c>
      <c r="T3" cm="1">
        <f t="array" ref="T3">SUMPRODUCT(  (complaints!$O:$O = DATE(2024, 7, 16)) * ((complaints!$E:$E = "d") + (complaints!$E:$E = "e") + (complaints!$E:$E = "f")) )</f>
        <v>0</v>
      </c>
      <c r="U3" t="s">
        <v>61</v>
      </c>
      <c r="V3" s="2" cm="1">
        <f t="array" ref="V3">SUMPRODUCT((complaints!$D:$D&lt;=29)*(complaints!$P:$P&gt;=29))</f>
        <v>20</v>
      </c>
      <c r="W3">
        <f>COUNTIF( complaints!$D:$D, 29)</f>
        <v>14</v>
      </c>
      <c r="X3">
        <f>COUNTIF( complaints!$P:$P, 29)</f>
        <v>4</v>
      </c>
      <c r="Y3" s="2" cm="1">
        <f t="array" ref="Y3">SUMPRODUCT((complaints!$D:$D&lt;=29)*(complaints!$P:$P&gt;=29)  * ((complaints!$E:$E = "a") + (complaints!$E:$E = "b") + (complaints!$E:$E = "c")))</f>
        <v>9</v>
      </c>
      <c r="Z3" cm="1">
        <f t="array" ref="Z3">SUMPRODUCT(  (complaints!$D:$D = 29) * ((complaints!$E:$E = "a") + (complaints!$E:$E = "b") + (complaints!$E:$E = "c")) )</f>
        <v>6</v>
      </c>
      <c r="AA3" cm="1">
        <f t="array" ref="AA3">SUMPRODUCT(  (complaints!$P:$P = 29) * ((complaints!$E:$E = "a") + (complaints!$E:$E = "b") + (complaints!$E:$E = "c")) )</f>
        <v>3</v>
      </c>
      <c r="AB3" s="2" cm="1">
        <f t="array" ref="AB3">SUMPRODUCT((complaints!$D:$D&lt;=29)*(complaints!$P:$P&gt;=29)  * ((complaints!$E:$E = "d") + (complaints!$E:$E = "e") + (complaints!$E:$E = "f")))</f>
        <v>11</v>
      </c>
      <c r="AC3" cm="1">
        <f t="array" ref="AC3">SUMPRODUCT(  (complaints!$D:$D=29) * ((complaints!$E:$E = "d") + (complaints!$E:$E = "e") + (complaints!$E:$E = "f")) )</f>
        <v>8</v>
      </c>
      <c r="AD3" cm="1">
        <f t="array" ref="AD3">SUMPRODUCT(  (complaints!$P:$P = 29) * ((complaints!$E:$E = "d") + (complaints!$E:$E = "e") + (complaints!$E:$E = "f")) )</f>
        <v>1</v>
      </c>
    </row>
    <row r="4" spans="1:30" x14ac:dyDescent="0.25">
      <c r="A4" t="s">
        <v>57</v>
      </c>
      <c r="B4" s="2" cm="1">
        <f t="array" ref="B4">SUMPRODUCT( (complaints!$C:$C &lt;= DATE(2024, 7, 24)) *  (complaints!$O:$O &gt;= DATE(2024, 7, 24)) )</f>
        <v>2</v>
      </c>
      <c r="C4">
        <f>COUNTIF( complaints!$C:$C, DATE(2024, 7, 24) )</f>
        <v>0</v>
      </c>
      <c r="D4">
        <f>COUNTIF( complaints!$O:$O, DATE(2024, 7, 24) )</f>
        <v>2</v>
      </c>
      <c r="E4" cm="1">
        <f t="array" ref="E4">SUMPRODUCT( (complaints!$C:$C &lt;= DATE(2024, 7, 24)) * (complaints!$O:$O &gt;= DATE(2024, 7, 24)) * ((complaints!$E:$E = "a") + (complaints!$E:$E = "b") + (complaints!$E:$E = "c")) )</f>
        <v>1</v>
      </c>
      <c r="F4" cm="1">
        <f t="array" ref="F4">SUMPRODUCT(  (complaints!$C:$C = DATE(2024, 7, 24)) * ((complaints!$E:$E = "a") + (complaints!$E:$E = "b") + (complaints!$E:$E = "c")) )</f>
        <v>0</v>
      </c>
      <c r="G4" cm="1">
        <f t="array" ref="G4">SUMPRODUCT(  (complaints!$O:$O = DATE(2024, 7, 24)) * ((complaints!$E:$E = "a") + (complaints!$E:$E = "b") + (complaints!$E:$E = "c")) )</f>
        <v>1</v>
      </c>
      <c r="H4" cm="1">
        <f t="array" ref="H4">SUMPRODUCT( (complaints!$C:$C &lt;= DATE(2024, 7, 24)) * (complaints!$O:$O &gt;= DATE(2024, 7, 24)) * ((complaints!$E:$E = "d") + (complaints!$E:$E = "e") + (complaints!$E:$E = "f")) )</f>
        <v>1</v>
      </c>
      <c r="I4" cm="1">
        <f t="array" ref="I4">SUMPRODUCT(  (complaints!$C:$C = DATE(2024, 7, 24)) * ((complaints!$E:$E = "d") + (complaints!$E:$E = "e") + (complaints!$E:$E = "f")) )</f>
        <v>0</v>
      </c>
      <c r="J4" cm="1">
        <f t="array" ref="J4">SUMPRODUCT(  (complaints!$O:$O = DATE(2024, 7, 24)) * ((complaints!$E:$E = "d") + (complaints!$E:$E = "e") + (complaints!$E:$E = "f")) )</f>
        <v>1</v>
      </c>
      <c r="K4" t="s">
        <v>57</v>
      </c>
      <c r="L4" s="2" cm="1">
        <f t="array" ref="L4">SUMPRODUCT( (complaints!$C:$C &lt;= DATE(2024, 7, 17)) * (complaints!$O:$O &gt;= DATE(2024, 7, 17)) )</f>
        <v>6</v>
      </c>
      <c r="M4">
        <f>COUNTIF( complaints!$C:$C, DATE(2024, 7, 17) )</f>
        <v>3</v>
      </c>
      <c r="N4">
        <f>COUNTIF( complaints!$O:$O, DATE(2024, 7, 17) )</f>
        <v>0</v>
      </c>
      <c r="O4" s="2" cm="1">
        <f t="array" ref="O4">SUMPRODUCT( (complaints!$C:$C &lt;= DATE(2024, 7, 17)) * (complaints!$O:$O &gt;= DATE(2024, 7, 17)) * ((complaints!$E:$E = "a") + (complaints!$E:$E = "b") + (complaints!$E:$E = "c")) )</f>
        <v>4</v>
      </c>
      <c r="P4" cm="1">
        <f t="array" ref="P4">SUMPRODUCT(  (complaints!$C:$C = DATE(2024, 7, 17)) * ((complaints!$E:$E = "a") + (complaints!$E:$E = "b") + (complaints!$E:$E = "c")) )</f>
        <v>2</v>
      </c>
      <c r="Q4" cm="1">
        <f t="array" ref="Q4">SUMPRODUCT(  (complaints!$O:$O = DATE(2024, 7, 17)) * ((complaints!$E:$E = "a") + (complaints!$E:$E = "b") + (complaints!$E:$E = "c")) )</f>
        <v>0</v>
      </c>
      <c r="R4" s="2" cm="1">
        <f t="array" ref="R4">SUMPRODUCT( (complaints!$C:$C &lt;= DATE(2024, 7, 17)) * (complaints!$O:$O &gt;= DATE(2024, 7, 17)) * ((complaints!$E:$E = "d") + (complaints!$E:$E = "e") + (complaints!$E:$E = "f")) )</f>
        <v>2</v>
      </c>
      <c r="S4" cm="1">
        <f t="array" ref="S4">SUMPRODUCT(  (complaints!$C:$C = DATE(2024, 7, 17)) * ((complaints!$E:$E = "d") + (complaints!$E:$E = "e") + (complaints!$E:$E = "f")) )</f>
        <v>1</v>
      </c>
      <c r="T4" cm="1">
        <f t="array" ref="T4">SUMPRODUCT(  (complaints!$O:$O = DATE(2024, 7, 17)) * ((complaints!$E:$E = "d") + (complaints!$E:$E = "e") + (complaints!$E:$E = "f")) )</f>
        <v>0</v>
      </c>
      <c r="U4" t="s">
        <v>62</v>
      </c>
      <c r="V4" s="2" cm="1">
        <f t="array" ref="V4">SUMPRODUCT((complaints!$D:$D&lt;=28)*(complaints!$P:$P&gt;=28))</f>
        <v>6</v>
      </c>
      <c r="W4">
        <f>COUNTIF( complaints!$D:$D, 28)</f>
        <v>5</v>
      </c>
      <c r="X4">
        <f>COUNTIF( complaints!$P:$P, 28)</f>
        <v>0</v>
      </c>
      <c r="Y4" s="2" cm="1">
        <f t="array" ref="Y4">SUMPRODUCT((complaints!$D:$D&lt;=28)*(complaints!$P:$P&gt;=28)  * ((complaints!$E:$E = "a") + (complaints!$E:$E = "b") + (complaints!$E:$E = "c")))</f>
        <v>3</v>
      </c>
      <c r="Z4" cm="1">
        <f t="array" ref="Z4">SUMPRODUCT(  (complaints!$D:$D = 28) * ((complaints!$E:$E = "a") + (complaints!$E:$E = "b") + (complaints!$E:$E = "c")) )</f>
        <v>3</v>
      </c>
      <c r="AA4" cm="1">
        <f t="array" ref="AA4">SUMPRODUCT(  (complaints!$P:$P = 28) * ((complaints!$E:$E = "a") + (complaints!$E:$E = "b") + (complaints!$E:$E = "c")) )</f>
        <v>0</v>
      </c>
      <c r="AB4" s="2" cm="1">
        <f t="array" ref="AB4">SUMPRODUCT((complaints!$D:$D&lt;=28)*(complaints!$P:$P&gt;=28)  * ((complaints!$E:$E = "d") + (complaints!$E:$E = "e") + (complaints!$E:$E = "f")))</f>
        <v>3</v>
      </c>
      <c r="AC4" cm="1">
        <f t="array" ref="AC4">SUMPRODUCT(  (complaints!$D:$D=28) * ((complaints!$E:$E = "d") + (complaints!$E:$E = "e") + (complaints!$E:$E = "f")) )</f>
        <v>2</v>
      </c>
      <c r="AD4" cm="1">
        <f t="array" ref="AD4">SUMPRODUCT(  (complaints!$P:$P = 28) * ((complaints!$E:$E = "d") + (complaints!$E:$E = "e") + (complaints!$E:$E = "f")) )</f>
        <v>0</v>
      </c>
    </row>
    <row r="5" spans="1:30" x14ac:dyDescent="0.25">
      <c r="A5" t="s">
        <v>58</v>
      </c>
      <c r="B5" s="2" cm="1">
        <f t="array" ref="B5">SUMPRODUCT( (complaints!$C:$C &lt;= DATE(2024, 7, 25)) *  (complaints!$O:$O &gt;= DATE(2024, 7, 25)) )</f>
        <v>0</v>
      </c>
      <c r="C5">
        <f>COUNTIF( complaints!$C:$C, DATE(2024, 7, 25) )</f>
        <v>0</v>
      </c>
      <c r="D5">
        <f>COUNTIF( complaints!$O:$O, DATE(2024, 7, 25) )</f>
        <v>0</v>
      </c>
      <c r="E5" cm="1">
        <f t="array" ref="E5">SUMPRODUCT( (complaints!$C:$C &lt;= DATE(2024, 7, 25)) * (complaints!$O:$O &gt;= DATE(2024, 7, 25)) * ((complaints!$E:$E = "a") + (complaints!$E:$E = "b") + (complaints!$E:$E = "c")) )</f>
        <v>0</v>
      </c>
      <c r="F5" cm="1">
        <f t="array" ref="F5">SUMPRODUCT(  (complaints!$C:$C = DATE(2024, 7, 25)) * ((complaints!$E:$E = "a") + (complaints!$E:$E = "b") + (complaints!$E:$E = "c")) )</f>
        <v>0</v>
      </c>
      <c r="G5" cm="1">
        <f t="array" ref="G5">SUMPRODUCT(  (complaints!$O:$O = DATE(2024, 7, 25)) * ((complaints!$E:$E = "a") + (complaints!$E:$E = "b") + (complaints!$E:$E = "c")) )</f>
        <v>0</v>
      </c>
      <c r="H5" cm="1">
        <f t="array" ref="H5">SUMPRODUCT( (complaints!$C:$C &lt;= DATE(2024, 7, 25)) * (complaints!$O:$O &gt;= DATE(2024, 7, 25)) * ((complaints!$E:$E = "d") + (complaints!$E:$E = "e") + (complaints!$E:$E = "f")) )</f>
        <v>0</v>
      </c>
      <c r="I5" cm="1">
        <f t="array" ref="I5">SUMPRODUCT(  (complaints!$C:$C = DATE(2024, 7, 25)) * ((complaints!$E:$E = "d") + (complaints!$E:$E = "e") + (complaints!$E:$E = "f")) )</f>
        <v>0</v>
      </c>
      <c r="J5" cm="1">
        <f t="array" ref="J5">SUMPRODUCT(  (complaints!$O:$O = DATE(2024, 7, 25)) * ((complaints!$E:$E = "d") + (complaints!$E:$E = "e") + (complaints!$E:$E = "f")) )</f>
        <v>0</v>
      </c>
      <c r="K5" t="s">
        <v>58</v>
      </c>
      <c r="L5" s="2" cm="1">
        <f t="array" ref="L5">SUMPRODUCT( (complaints!$C:$C &lt;= DATE(2024, 7, 18)) * (complaints!$O:$O &gt;= DATE(2024, 7, 18)) )</f>
        <v>7</v>
      </c>
      <c r="M5">
        <f>COUNTIF( complaints!$C:$C, DATE(2024, 7, 18) )</f>
        <v>2</v>
      </c>
      <c r="N5">
        <f>COUNTIF( complaints!$O:$O, DATE(2024, 7, 18) )</f>
        <v>1</v>
      </c>
      <c r="O5" s="2" cm="1">
        <f t="array" ref="O5">SUMPRODUCT( (complaints!$C:$C &lt;= DATE(2024, 7, 18)) * (complaints!$O:$O &gt;= DATE(2024, 7, 18)) * ((complaints!$E:$E = "a") + (complaints!$E:$E = "b") + (complaints!$E:$E = "c")) )</f>
        <v>4</v>
      </c>
      <c r="P5" cm="1">
        <f t="array" ref="P5">SUMPRODUCT(  (complaints!$C:$C = DATE(2024, 7, 18)) * ((complaints!$E:$E = "a") + (complaints!$E:$E = "b") + (complaints!$E:$E = "c")) )</f>
        <v>0</v>
      </c>
      <c r="Q5" cm="1">
        <f t="array" ref="Q5">SUMPRODUCT(  (complaints!$O:$O = DATE(2024, 7, 18)) * ((complaints!$E:$E = "a") + (complaints!$E:$E = "b") + (complaints!$E:$E = "c")) )</f>
        <v>1</v>
      </c>
      <c r="R5" s="2" cm="1">
        <f t="array" ref="R5">SUMPRODUCT( (complaints!$C:$C &lt;= DATE(2024, 7, 18)) * (complaints!$O:$O &gt;= DATE(2024, 7, 18)) * ((complaints!$E:$E = "d") + (complaints!$E:$E = "e") + (complaints!$E:$E = "f")) )</f>
        <v>3</v>
      </c>
      <c r="S5" cm="1">
        <f t="array" ref="S5">SUMPRODUCT(  (complaints!$C:$C = DATE(2024, 7, 18)) * ((complaints!$E:$E = "d") + (complaints!$E:$E = "e") + (complaints!$E:$E = "f")) )</f>
        <v>2</v>
      </c>
      <c r="T5" cm="1">
        <f t="array" ref="T5">SUMPRODUCT(  (complaints!$O:$O = DATE(2024, 7, 18)) * ((complaints!$E:$E = "d") + (complaints!$E:$E = "e") + (complaints!$E:$E = "f")) )</f>
        <v>0</v>
      </c>
      <c r="U5" t="s">
        <v>63</v>
      </c>
      <c r="V5" s="2" cm="1">
        <f t="array" ref="V5">SUMPRODUCT((complaints!$D:$D&lt;=27)*(complaints!$P:$P&gt;=27))</f>
        <v>1</v>
      </c>
      <c r="W5">
        <f>COUNTIF( complaints!$D:$D, 27)</f>
        <v>1</v>
      </c>
      <c r="X5">
        <f>COUNTIF( complaints!$P:$P, 27)</f>
        <v>0</v>
      </c>
      <c r="Y5" s="2" cm="1">
        <f t="array" ref="Y5">SUMPRODUCT((complaints!$D:$D&lt;=27)*(complaints!$P:$P&gt;=27)  * ((complaints!$E:$E = "a") + (complaints!$E:$E = "b") + (complaints!$E:$E = "c")))</f>
        <v>0</v>
      </c>
      <c r="Z5" cm="1">
        <f t="array" ref="Z5">SUMPRODUCT(  (complaints!$D:$D = 27) * ((complaints!$E:$E = "a") + (complaints!$E:$E = "b") + (complaints!$E:$E = "c")) )</f>
        <v>0</v>
      </c>
      <c r="AA5" cm="1">
        <f t="array" ref="AA5">SUMPRODUCT(  (complaints!$P:$P = 27) * ((complaints!$E:$E = "a") + (complaints!$E:$E = "b") + (complaints!$E:$E = "c")) )</f>
        <v>0</v>
      </c>
      <c r="AB5" s="2" cm="1">
        <f t="array" ref="AB5">SUMPRODUCT((complaints!$D:$D&lt;=27)*(complaints!$P:$P&gt;=27)  * ((complaints!$E:$E = "d") + (complaints!$E:$E = "e") + (complaints!$E:$E = "f")))</f>
        <v>1</v>
      </c>
      <c r="AC5" cm="1">
        <f t="array" ref="AC5">SUMPRODUCT(  (complaints!$D:$D=27) * ((complaints!$E:$E = "d") + (complaints!$E:$E = "e") + (complaints!$E:$E = "f")) )</f>
        <v>1</v>
      </c>
      <c r="AD5" cm="1">
        <f t="array" ref="AD5">SUMPRODUCT(  (complaints!$P:$P = 27) * ((complaints!$E:$E = "d") + (complaints!$E:$E = "e") + (complaints!$E:$E = "f")) )</f>
        <v>0</v>
      </c>
    </row>
    <row r="6" spans="1:30" x14ac:dyDescent="0.25">
      <c r="A6" t="s">
        <v>59</v>
      </c>
      <c r="B6" s="2" cm="1">
        <f t="array" ref="B6">SUMPRODUCT( (complaints!$C:$C &lt;= DATE(2024, 7, 26)) *  (complaints!$O:$O &gt;= DATE(2024, 7, 26)) )</f>
        <v>0</v>
      </c>
      <c r="C6">
        <f>COUNTIF( complaints!$C:$C, DATE(2024, 7, 26) )</f>
        <v>0</v>
      </c>
      <c r="D6">
        <f>COUNTIF( complaints!$O:$O, DATE(2024, 7, 26) )</f>
        <v>0</v>
      </c>
      <c r="E6" cm="1">
        <f t="array" ref="E6">SUMPRODUCT( (complaints!$C:$C &lt;= DATE(2024, 7, 26)) * (complaints!$O:$O &gt;= DATE(2024, 7, 26)) * ((complaints!$E:$E = "a") + (complaints!$E:$E = "b") + (complaints!$E:$E = "c")) )</f>
        <v>0</v>
      </c>
      <c r="F6" cm="1">
        <f t="array" ref="F6">SUMPRODUCT(  (complaints!$C:$C = DATE(2024, 7, 26)) * ((complaints!$E:$E = "a") + (complaints!$E:$E = "b") + (complaints!$E:$E = "c")) )</f>
        <v>0</v>
      </c>
      <c r="G6" cm="1">
        <f t="array" ref="G6">SUMPRODUCT(  (complaints!$O:$O = DATE(2024, 7, 26)) * ((complaints!$E:$E = "a") + (complaints!$E:$E = "b") + (complaints!$E:$E = "c")) )</f>
        <v>0</v>
      </c>
      <c r="H6" cm="1">
        <f t="array" ref="H6">SUMPRODUCT( (complaints!$C:$C &lt;= DATE(2024, 7, 26)) * (complaints!$O:$O &gt;= DATE(2024, 7, 26)) * ((complaints!$E:$E = "d") + (complaints!$E:$E = "e") + (complaints!$E:$E = "f")) )</f>
        <v>0</v>
      </c>
      <c r="I6" cm="1">
        <f t="array" ref="I6">SUMPRODUCT(  (complaints!$C:$C = DATE(2024, 7, 26)) * ((complaints!$E:$E = "d") + (complaints!$E:$E = "e") + (complaints!$E:$E = "f")) )</f>
        <v>0</v>
      </c>
      <c r="J6" cm="1">
        <f t="array" ref="J6">SUMPRODUCT(  (complaints!$O:$O = DATE(2024, 7, 26)) * ((complaints!$E:$E = "d") + (complaints!$E:$E = "e") + (complaints!$E:$E = "f")) )</f>
        <v>0</v>
      </c>
      <c r="K6" t="s">
        <v>59</v>
      </c>
      <c r="L6" s="2" cm="1">
        <f t="array" ref="L6">SUMPRODUCT( (complaints!$C:$C &lt;= DATE(2024, 7, 19)) * (complaints!$O:$O &gt;= DATE(2024, 7, 19)) )</f>
        <v>6</v>
      </c>
      <c r="M6">
        <f>COUNTIF( complaints!$C:$C, DATE(2024, 7, 19) )</f>
        <v>0</v>
      </c>
      <c r="N6">
        <f>COUNTIF( complaints!$O:$O, DATE(2024, 7, 19) )</f>
        <v>2</v>
      </c>
      <c r="O6" s="2" cm="1">
        <f t="array" ref="O6">SUMPRODUCT( (complaints!$C:$C &lt;= DATE(2024, 7, 19)) * (complaints!$O:$O &gt;= DATE(2024, 7, 19)) * ((complaints!$E:$E = "a") + (complaints!$E:$E = "b") + (complaints!$E:$E = "c")) )</f>
        <v>3</v>
      </c>
      <c r="P6" cm="1">
        <f t="array" ref="P6">SUMPRODUCT(  (complaints!$C:$C = DATE(2024, 7, 19)) * ((complaints!$E:$E = "a") + (complaints!$E:$E = "b") + (complaints!$E:$E = "c")) )</f>
        <v>0</v>
      </c>
      <c r="Q6" cm="1">
        <f t="array" ref="Q6">SUMPRODUCT(  (complaints!$O:$O = DATE(2024, 7, 19)) * ((complaints!$E:$E = "a") + (complaints!$E:$E = "b") + (complaints!$E:$E = "c")) )</f>
        <v>1</v>
      </c>
      <c r="R6" s="2" cm="1">
        <f t="array" ref="R6">SUMPRODUCT( (complaints!$C:$C &lt;= DATE(2024, 7, 19)) * (complaints!$O:$O &gt;= DATE(2024, 7, 19)) * ((complaints!$E:$E = "d") + (complaints!$E:$E = "e") + (complaints!$E:$E = "f")) )</f>
        <v>3</v>
      </c>
      <c r="S6" cm="1">
        <f t="array" ref="S6">SUMPRODUCT(  (complaints!$C:$C = DATE(2024, 7, 19)) * ((complaints!$E:$E = "d") + (complaints!$E:$E = "e") + (complaints!$E:$E = "f")) )</f>
        <v>0</v>
      </c>
      <c r="T6" cm="1">
        <f t="array" ref="T6">SUMPRODUCT(  (complaints!$O:$O = DATE(2024, 7, 19)) * ((complaints!$E:$E = "d") + (complaints!$E:$E = "e") + (complaints!$E:$E = "f")) 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D94-750C-49AE-B009-8793A10716A6}">
  <dimension ref="B3:M14"/>
  <sheetViews>
    <sheetView workbookViewId="0">
      <selection activeCell="B3" sqref="B3:N16"/>
    </sheetView>
  </sheetViews>
  <sheetFormatPr defaultRowHeight="15" x14ac:dyDescent="0.25"/>
  <cols>
    <col min="2" max="2" width="15.7109375" bestFit="1" customWidth="1"/>
    <col min="3" max="3" width="5.140625" bestFit="1" customWidth="1"/>
    <col min="4" max="6" width="7.28515625" bestFit="1" customWidth="1"/>
    <col min="9" max="9" width="15.7109375" bestFit="1" customWidth="1"/>
    <col min="10" max="10" width="5.140625" bestFit="1" customWidth="1"/>
    <col min="11" max="13" width="7.28515625" bestFit="1" customWidth="1"/>
  </cols>
  <sheetData>
    <row r="3" spans="2:13" x14ac:dyDescent="0.25">
      <c r="B3" t="s">
        <v>33</v>
      </c>
      <c r="C3" t="s">
        <v>34</v>
      </c>
      <c r="D3">
        <f ca="1">COUNTIFS(complaints!E:E,"a",complaints!B:B,"open", complaints!D:D, WEEKNUM(TODAY(), 11))</f>
        <v>0</v>
      </c>
      <c r="E3">
        <f ca="1">COUNTIFS(complaints!F:F,"a",complaints!C:C,"open", complaints!E:E, WEEKNUM(TODAY(), 11)-1)</f>
        <v>0</v>
      </c>
      <c r="F3" t="e">
        <f ca="1">COUNTIFS(complaints!#REF!,"a",complaints!D:D,"open", complaints!F:F, WEEKNUM(TODAY(), 11)-2)</f>
        <v>#REF!</v>
      </c>
      <c r="I3" t="s">
        <v>33</v>
      </c>
      <c r="J3" t="s">
        <v>39</v>
      </c>
      <c r="K3">
        <f ca="1">COUNTIFS(complaints!E:E,"d",complaints!B:B,"open", complaints!D:D, WEEKNUM(TODAY(), 11))</f>
        <v>0</v>
      </c>
      <c r="L3">
        <f ca="1">COUNTIFS(complaints!F:F,"d",complaints!C:C,"open", complaints!E:E, WEEKNUM(TODAY(), 11)-1)</f>
        <v>0</v>
      </c>
      <c r="M3" t="e">
        <f ca="1">COUNTIFS(complaints!#REF!,"d",complaints!D:D,"open", complaints!F:F, WEEKNUM(TODAY(), 11)-2)</f>
        <v>#REF!</v>
      </c>
    </row>
    <row r="4" spans="2:13" x14ac:dyDescent="0.25">
      <c r="C4" t="s">
        <v>35</v>
      </c>
      <c r="D4">
        <f ca="1">COUNTIFS(complaints!E:E,"b",complaints!B:B,"open", complaints!D:D, WEEKNUM(TODAY(), 11))</f>
        <v>0</v>
      </c>
      <c r="E4">
        <f ca="1">COUNTIFS(complaints!F:F,"b",complaints!C:C,"open", complaints!E:E, WEEKNUM(TODAY(), 11)-1)</f>
        <v>0</v>
      </c>
      <c r="F4" t="e">
        <f ca="1">COUNTIFS(complaints!#REF!,"b",complaints!D:D,"open", complaints!F:F, WEEKNUM(TODAY(), 11)-2)</f>
        <v>#REF!</v>
      </c>
      <c r="J4" t="s">
        <v>40</v>
      </c>
      <c r="K4">
        <f ca="1">COUNTIFS(complaints!E:E,"e",complaints!B:B,"open", complaints!D:D, WEEKNUM(TODAY(), 11))</f>
        <v>0</v>
      </c>
      <c r="L4">
        <f ca="1">COUNTIFS(complaints!F:F,"e",complaints!C:C,"open", complaints!E:E, WEEKNUM(TODAY(), 11)-1)</f>
        <v>0</v>
      </c>
      <c r="M4" t="e">
        <f ca="1">COUNTIFS(complaints!#REF!,"e",complaints!D:D,"open", complaints!F:F, WEEKNUM(TODAY(), 11)-2)</f>
        <v>#REF!</v>
      </c>
    </row>
    <row r="5" spans="2:13" x14ac:dyDescent="0.25">
      <c r="C5" t="s">
        <v>36</v>
      </c>
      <c r="D5">
        <f ca="1">COUNTIFS(complaints!E:E,"c",complaints!B:B,"open", complaints!D:D, WEEKNUM(TODAY(), 11))</f>
        <v>0</v>
      </c>
      <c r="E5">
        <f ca="1">COUNTIFS(complaints!F:F,"c",complaints!C:C,"open", complaints!E:E, WEEKNUM(TODAY(), 11)-1)</f>
        <v>0</v>
      </c>
      <c r="F5" t="e">
        <f ca="1">COUNTIFS(complaints!#REF!,"c",complaints!D:D,"open", complaints!F:F, WEEKNUM(TODAY(), 11)-2)</f>
        <v>#REF!</v>
      </c>
      <c r="J5" t="s">
        <v>41</v>
      </c>
      <c r="K5">
        <f ca="1">COUNTIFS(complaints!E:E,"f",complaints!B:B,"open", complaints!D:D, WEEKNUM(TODAY(), 11))</f>
        <v>0</v>
      </c>
      <c r="L5">
        <f ca="1">COUNTIFS(complaints!F:F,"f",complaints!C:C,"open", complaints!E:E, WEEKNUM(TODAY(), 11)-1)</f>
        <v>0</v>
      </c>
      <c r="M5" t="e">
        <f ca="1">COUNTIFS(complaints!#REF!,"f",complaints!D:D,"open", complaints!F:F, WEEKNUM(TODAY(), 11)-2)</f>
        <v>#REF!</v>
      </c>
    </row>
    <row r="6" spans="2:13" x14ac:dyDescent="0.25">
      <c r="C6" t="s">
        <v>37</v>
      </c>
      <c r="D6">
        <f ca="1">SUM(D3:D5)</f>
        <v>0</v>
      </c>
      <c r="E6">
        <f t="shared" ref="E6:F6" ca="1" si="0">SUM(E3:E5)</f>
        <v>0</v>
      </c>
      <c r="F6" t="e">
        <f t="shared" ca="1" si="0"/>
        <v>#REF!</v>
      </c>
      <c r="J6" t="s">
        <v>37</v>
      </c>
      <c r="K6">
        <f ca="1">SUM(K3:K5)</f>
        <v>0</v>
      </c>
      <c r="L6">
        <f t="shared" ref="L6:M6" ca="1" si="1">SUM(L3:L5)</f>
        <v>0</v>
      </c>
      <c r="M6" t="e">
        <f t="shared" ca="1" si="1"/>
        <v>#REF!</v>
      </c>
    </row>
    <row r="7" spans="2:13" x14ac:dyDescent="0.25">
      <c r="B7" t="s">
        <v>38</v>
      </c>
      <c r="C7" t="s">
        <v>34</v>
      </c>
      <c r="D7">
        <f ca="1">COUNTIFS(complaints!E:E,"a", complaints!D:D, WEEKNUM(TODAY(), 11))</f>
        <v>0</v>
      </c>
      <c r="E7">
        <f ca="1">COUNTIFS(complaints!F:F,"a", complaints!E:E, WEEKNUM(TODAY(), 11)-1)</f>
        <v>0</v>
      </c>
      <c r="F7" t="e">
        <f ca="1">COUNTIFS(complaints!#REF!,"a", complaints!F:F, WEEKNUM(TODAY(), 11)-2)</f>
        <v>#REF!</v>
      </c>
      <c r="I7" t="s">
        <v>38</v>
      </c>
      <c r="J7" t="s">
        <v>39</v>
      </c>
      <c r="K7">
        <f ca="1">COUNTIFS(complaints!E:E,"d", complaints!D:D, WEEKNUM(TODAY(), 11))</f>
        <v>0</v>
      </c>
      <c r="L7">
        <f ca="1">COUNTIFS(complaints!F:F,"d", complaints!E:E, WEEKNUM(TODAY(), 11)-1)</f>
        <v>0</v>
      </c>
      <c r="M7" t="e">
        <f ca="1">COUNTIFS(complaints!#REF!,"d", complaints!F:F, WEEKNUM(TODAY(), 11)-2)</f>
        <v>#REF!</v>
      </c>
    </row>
    <row r="8" spans="2:13" x14ac:dyDescent="0.25">
      <c r="C8" t="s">
        <v>35</v>
      </c>
      <c r="D8">
        <f ca="1">COUNTIFS(complaints!E:E,"b", complaints!D:D, WEEKNUM(TODAY(), 11))</f>
        <v>0</v>
      </c>
      <c r="E8">
        <f ca="1">COUNTIFS(complaints!F:F,"b", complaints!E:E, WEEKNUM(TODAY(), 11)-1)</f>
        <v>0</v>
      </c>
      <c r="F8" t="e">
        <f ca="1">COUNTIFS(complaints!#REF!,"b", complaints!F:F, WEEKNUM(TODAY(), 11)-2)</f>
        <v>#REF!</v>
      </c>
      <c r="J8" t="s">
        <v>40</v>
      </c>
      <c r="K8">
        <f ca="1">COUNTIFS(complaints!E:E,"e", complaints!D:D, WEEKNUM(TODAY(), 11))</f>
        <v>0</v>
      </c>
      <c r="L8">
        <f ca="1">COUNTIFS(complaints!F:F,"e", complaints!E:E, WEEKNUM(TODAY(), 11)-1)</f>
        <v>0</v>
      </c>
      <c r="M8" t="e">
        <f ca="1">COUNTIFS(complaints!#REF!,"e", complaints!F:F, WEEKNUM(TODAY(), 11)-2)</f>
        <v>#REF!</v>
      </c>
    </row>
    <row r="9" spans="2:13" x14ac:dyDescent="0.25">
      <c r="C9" t="s">
        <v>36</v>
      </c>
      <c r="D9">
        <f ca="1">COUNTIFS(complaints!E:E,"c", complaints!D:D, WEEKNUM(TODAY(), 11))</f>
        <v>0</v>
      </c>
      <c r="E9">
        <f ca="1">COUNTIFS(complaints!F:F,"c", complaints!E:E, WEEKNUM(TODAY(), 11)-1)</f>
        <v>0</v>
      </c>
      <c r="F9" t="e">
        <f ca="1">COUNTIFS(complaints!#REF!,"c", complaints!F:F, WEEKNUM(TODAY(), 11)-2)</f>
        <v>#REF!</v>
      </c>
      <c r="J9" t="s">
        <v>41</v>
      </c>
      <c r="K9">
        <f ca="1">COUNTIFS(complaints!E:E,"f", complaints!D:D, WEEKNUM(TODAY(), 11))</f>
        <v>0</v>
      </c>
      <c r="L9">
        <f ca="1">COUNTIFS(complaints!F:F,"f", complaints!E:E, WEEKNUM(TODAY(), 11)-1)</f>
        <v>0</v>
      </c>
      <c r="M9" t="e">
        <f ca="1">COUNTIFS(complaints!#REF!,"f", complaints!F:F, WEEKNUM(TODAY(), 11)-2)</f>
        <v>#REF!</v>
      </c>
    </row>
    <row r="10" spans="2:13" x14ac:dyDescent="0.25">
      <c r="C10" t="s">
        <v>37</v>
      </c>
      <c r="D10">
        <f ca="1">SUM(D7:D9)</f>
        <v>0</v>
      </c>
      <c r="E10">
        <f t="shared" ref="E10:F10" ca="1" si="2">SUM(E7:E9)</f>
        <v>0</v>
      </c>
      <c r="F10" t="e">
        <f t="shared" ca="1" si="2"/>
        <v>#REF!</v>
      </c>
      <c r="J10" t="s">
        <v>37</v>
      </c>
      <c r="K10">
        <f ca="1">SUM(K7:K9)</f>
        <v>0</v>
      </c>
      <c r="L10">
        <f t="shared" ref="L10:M10" ca="1" si="3">SUM(L7:L9)</f>
        <v>0</v>
      </c>
      <c r="M10" t="e">
        <f t="shared" ca="1" si="3"/>
        <v>#REF!</v>
      </c>
    </row>
    <row r="11" spans="2:13" x14ac:dyDescent="0.25">
      <c r="B11" t="s">
        <v>42</v>
      </c>
      <c r="C11" t="s">
        <v>34</v>
      </c>
      <c r="D11">
        <f ca="1">COUNTIFS(complaints!E:E,"a",complaints!B:B,"closed", complaints!D:D, WEEKNUM(TODAY(), 11))</f>
        <v>0</v>
      </c>
      <c r="E11">
        <f ca="1">COUNTIFS(complaints!F:F,"a",complaints!C:C,"closed", complaints!E:E, WEEKNUM(TODAY(), 11)-1)</f>
        <v>0</v>
      </c>
      <c r="F11" t="e">
        <f ca="1">COUNTIFS(complaints!#REF!,"a",complaints!D:D,"closed", complaints!F:F, WEEKNUM(TODAY(), 11)-2)</f>
        <v>#REF!</v>
      </c>
      <c r="I11" t="s">
        <v>42</v>
      </c>
      <c r="J11" t="s">
        <v>39</v>
      </c>
      <c r="K11">
        <f ca="1">COUNTIFS(complaints!E:E,"d",complaints!B:B,"closed", complaints!D:D, WEEKNUM(TODAY(), 11))</f>
        <v>0</v>
      </c>
      <c r="L11">
        <f ca="1">COUNTIFS(complaints!F:F,"d",complaints!C:C,"closed", complaints!E:E, WEEKNUM(TODAY(), 11)-1)</f>
        <v>0</v>
      </c>
      <c r="M11" t="e">
        <f ca="1">COUNTIFS(complaints!#REF!,"d",complaints!D:D,"closed", complaints!F:F, WEEKNUM(TODAY(), 11)-2)</f>
        <v>#REF!</v>
      </c>
    </row>
    <row r="12" spans="2:13" x14ac:dyDescent="0.25">
      <c r="C12" t="s">
        <v>35</v>
      </c>
      <c r="D12">
        <f ca="1">COUNTIFS(complaints!E:E,"b",complaints!B:B,"closed", complaints!D:D, WEEKNUM(TODAY(), 11))</f>
        <v>0</v>
      </c>
      <c r="E12">
        <f ca="1">COUNTIFS(complaints!F:F,"b",complaints!C:C,"closed", complaints!E:E, WEEKNUM(TODAY(), 11)-1)</f>
        <v>0</v>
      </c>
      <c r="F12" t="e">
        <f ca="1">COUNTIFS(complaints!#REF!,"b",complaints!D:D,"closed", complaints!F:F, WEEKNUM(TODAY(), 11)-2)</f>
        <v>#REF!</v>
      </c>
      <c r="J12" t="s">
        <v>40</v>
      </c>
      <c r="K12">
        <f ca="1">COUNTIFS(complaints!E:E,"e",complaints!B:B,"closed", complaints!D:D, WEEKNUM(TODAY(), 11))</f>
        <v>0</v>
      </c>
      <c r="L12">
        <f ca="1">COUNTIFS(complaints!F:F,"e",complaints!C:C,"closed", complaints!E:E, WEEKNUM(TODAY(), 11)-1)</f>
        <v>0</v>
      </c>
      <c r="M12" t="e">
        <f ca="1">COUNTIFS(complaints!#REF!,"e",complaints!D:D,"closed", complaints!F:F, WEEKNUM(TODAY(), 11)-2)</f>
        <v>#REF!</v>
      </c>
    </row>
    <row r="13" spans="2:13" x14ac:dyDescent="0.25">
      <c r="C13" t="s">
        <v>36</v>
      </c>
      <c r="D13">
        <f ca="1">COUNTIFS(complaints!E:E,"c",complaints!B:B,"closed", complaints!D:D, WEEKNUM(TODAY(), 11))</f>
        <v>0</v>
      </c>
      <c r="E13">
        <f ca="1">COUNTIFS(complaints!F:F,"c",complaints!C:C,"closed", complaints!E:E, WEEKNUM(TODAY(), 11)-1)</f>
        <v>0</v>
      </c>
      <c r="F13" t="e">
        <f ca="1">COUNTIFS(complaints!#REF!,"c",complaints!D:D,"closed", complaints!F:F, WEEKNUM(TODAY(), 11)-2)</f>
        <v>#REF!</v>
      </c>
      <c r="J13" t="s">
        <v>41</v>
      </c>
      <c r="K13">
        <f ca="1">COUNTIFS(complaints!E:E,"f",complaints!B:B,"closed", complaints!D:D, WEEKNUM(TODAY(), 11))</f>
        <v>0</v>
      </c>
      <c r="L13">
        <f ca="1">COUNTIFS(complaints!F:F,"f",complaints!C:C,"closed", complaints!E:E, WEEKNUM(TODAY(), 11)-1)</f>
        <v>0</v>
      </c>
      <c r="M13" t="e">
        <f ca="1">COUNTIFS(complaints!#REF!,"f",complaints!D:D,"closed", complaints!F:F, WEEKNUM(TODAY(), 11)-2)</f>
        <v>#REF!</v>
      </c>
    </row>
    <row r="14" spans="2:13" x14ac:dyDescent="0.25">
      <c r="C14" t="s">
        <v>37</v>
      </c>
      <c r="D14">
        <f ca="1">SUM(D11:D13)</f>
        <v>0</v>
      </c>
      <c r="E14">
        <f t="shared" ref="E14:F14" ca="1" si="4">SUM(E11:E13)</f>
        <v>0</v>
      </c>
      <c r="F14" t="e">
        <f t="shared" ca="1" si="4"/>
        <v>#REF!</v>
      </c>
      <c r="J14" t="s">
        <v>37</v>
      </c>
      <c r="K14">
        <f ca="1">SUM(K11:K13)</f>
        <v>0</v>
      </c>
      <c r="L14">
        <f t="shared" ref="L14:M14" ca="1" si="5">SUM(L11:L13)</f>
        <v>0</v>
      </c>
      <c r="M14" t="e">
        <f t="shared" ca="1" si="5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complaints</vt:lpstr>
      <vt:lpstr>workorders</vt:lpstr>
      <vt:lpstr>calc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amdad rahman</dc:creator>
  <cp:lastModifiedBy>amdad rahman</cp:lastModifiedBy>
  <dcterms:created xsi:type="dcterms:W3CDTF">2024-07-17T00:06:04Z</dcterms:created>
  <dcterms:modified xsi:type="dcterms:W3CDTF">2024-07-29T02:22:41Z</dcterms:modified>
</cp:coreProperties>
</file>