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14183\OneDrive\Documents\GitHub\Landis-II_ECCC\Harvest\"/>
    </mc:Choice>
  </mc:AlternateContent>
  <xr:revisionPtr revIDLastSave="0" documentId="13_ncr:1_{A9D40C3E-D6F3-476B-A5A1-668AF7F85EE0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forestarea" sheetId="11" r:id="rId1"/>
    <sheet name="Harvested per forest type" sheetId="6" r:id="rId2"/>
    <sheet name="treatments groups" sheetId="10" r:id="rId3"/>
    <sheet name="AAC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1" l="1"/>
  <c r="F2" i="11"/>
  <c r="D2" i="11"/>
  <c r="B16" i="12"/>
  <c r="E3" i="11"/>
  <c r="E4" i="11"/>
  <c r="E5" i="11"/>
  <c r="E6" i="11"/>
  <c r="F3" i="11" l="1"/>
  <c r="F4" i="11"/>
  <c r="P5" i="11"/>
  <c r="M2" i="10"/>
  <c r="M7" i="10"/>
  <c r="C16" i="12"/>
  <c r="D16" i="12"/>
  <c r="E16" i="12"/>
  <c r="F16" i="12"/>
  <c r="G16" i="12"/>
  <c r="H16" i="12"/>
  <c r="I16" i="12"/>
  <c r="J16" i="12"/>
  <c r="C17" i="12"/>
  <c r="D17" i="12"/>
  <c r="E17" i="12"/>
  <c r="F17" i="12"/>
  <c r="G17" i="12"/>
  <c r="H17" i="12"/>
  <c r="I17" i="12"/>
  <c r="J17" i="12"/>
  <c r="C18" i="12"/>
  <c r="D18" i="12"/>
  <c r="E18" i="12"/>
  <c r="F18" i="12"/>
  <c r="G18" i="12"/>
  <c r="H18" i="12"/>
  <c r="I18" i="12"/>
  <c r="J18" i="12"/>
  <c r="C19" i="12"/>
  <c r="D19" i="12"/>
  <c r="E19" i="12"/>
  <c r="F19" i="12"/>
  <c r="G19" i="12"/>
  <c r="H19" i="12"/>
  <c r="I19" i="12"/>
  <c r="J19" i="12"/>
  <c r="C20" i="12"/>
  <c r="D20" i="12"/>
  <c r="E20" i="12"/>
  <c r="F20" i="12"/>
  <c r="G20" i="12"/>
  <c r="H20" i="12"/>
  <c r="I20" i="12"/>
  <c r="J20" i="12"/>
  <c r="B19" i="12"/>
  <c r="B20" i="12"/>
  <c r="B18" i="12"/>
  <c r="B17" i="12"/>
  <c r="O3" i="10"/>
  <c r="O4" i="10"/>
  <c r="O5" i="10"/>
  <c r="O6" i="10"/>
  <c r="O7" i="10"/>
  <c r="O8" i="10"/>
  <c r="O2" i="10"/>
  <c r="N9" i="10"/>
  <c r="N3" i="10"/>
  <c r="N4" i="10"/>
  <c r="N5" i="10"/>
  <c r="N6" i="10"/>
  <c r="N7" i="10"/>
  <c r="N8" i="10"/>
  <c r="N2" i="10"/>
  <c r="M6" i="10"/>
  <c r="M5" i="10"/>
  <c r="M4" i="10"/>
  <c r="M3" i="10"/>
  <c r="F6" i="11"/>
  <c r="D6" i="11"/>
  <c r="F5" i="11"/>
  <c r="D5" i="11"/>
  <c r="D4" i="11"/>
  <c r="K3" i="11"/>
  <c r="D3" i="11"/>
  <c r="L2" i="11"/>
  <c r="L3" i="11" s="1"/>
  <c r="E21" i="12" l="1"/>
  <c r="G21" i="12"/>
  <c r="D21" i="12"/>
  <c r="H21" i="12"/>
  <c r="I21" i="12"/>
  <c r="C21" i="12"/>
  <c r="J21" i="12"/>
  <c r="F21" i="12"/>
  <c r="K18" i="12"/>
  <c r="K16" i="12"/>
  <c r="K17" i="12"/>
  <c r="K19" i="12"/>
  <c r="K20" i="12"/>
  <c r="B21" i="12"/>
  <c r="M8" i="10"/>
  <c r="M2" i="11"/>
  <c r="P7" i="11" s="1"/>
  <c r="L40" i="12" l="1"/>
  <c r="L41" i="12" s="1"/>
  <c r="M40" i="12"/>
  <c r="M41" i="12" s="1"/>
  <c r="B40" i="12"/>
  <c r="B41" i="12" s="1"/>
  <c r="C40" i="12"/>
  <c r="C41" i="12" s="1"/>
  <c r="E40" i="12"/>
  <c r="E41" i="12" s="1"/>
  <c r="D40" i="12"/>
  <c r="D41" i="12" s="1"/>
  <c r="G40" i="12"/>
  <c r="G41" i="12" s="1"/>
  <c r="I40" i="12"/>
  <c r="I41" i="12" s="1"/>
  <c r="H40" i="12"/>
  <c r="H41" i="12" s="1"/>
  <c r="J40" i="12"/>
  <c r="J41" i="12" s="1"/>
  <c r="K40" i="12"/>
  <c r="K41" i="12" s="1"/>
  <c r="F40" i="12"/>
  <c r="F41" i="12" s="1"/>
  <c r="K21" i="12"/>
  <c r="K22" i="12" s="1"/>
  <c r="I28" i="12"/>
  <c r="I30" i="12" s="1"/>
  <c r="M28" i="12"/>
  <c r="M30" i="12" s="1"/>
  <c r="F28" i="12"/>
  <c r="F30" i="12" s="1"/>
  <c r="L28" i="12"/>
  <c r="L30" i="12" s="1"/>
  <c r="K28" i="12"/>
  <c r="K30" i="12" s="1"/>
  <c r="G28" i="12"/>
  <c r="G30" i="12" s="1"/>
  <c r="D28" i="12"/>
  <c r="D30" i="12" s="1"/>
  <c r="E28" i="12"/>
  <c r="E30" i="12" s="1"/>
  <c r="B28" i="12"/>
  <c r="C28" i="12"/>
  <c r="C30" i="12" s="1"/>
  <c r="J28" i="12"/>
  <c r="J30" i="12" s="1"/>
  <c r="H28" i="12"/>
  <c r="H30" i="12" s="1"/>
  <c r="M3" i="11"/>
  <c r="N2" i="11"/>
  <c r="B22" i="12" l="1"/>
  <c r="B30" i="12"/>
  <c r="N30" i="12" s="1"/>
  <c r="N28" i="12"/>
  <c r="F22" i="12"/>
  <c r="J22" i="12"/>
  <c r="D22" i="12"/>
  <c r="H22" i="12"/>
  <c r="I22" i="12"/>
  <c r="E22" i="12"/>
  <c r="G22" i="12"/>
  <c r="C22" i="12"/>
  <c r="E31" i="12" l="1"/>
  <c r="N31" i="12"/>
  <c r="P4" i="11"/>
  <c r="P6" i="11" s="1"/>
  <c r="M31" i="12"/>
  <c r="J31" i="12"/>
  <c r="H31" i="12"/>
  <c r="B31" i="12"/>
  <c r="F31" i="12"/>
  <c r="L31" i="12"/>
  <c r="C31" i="12"/>
  <c r="I31" i="12"/>
  <c r="D31" i="12"/>
  <c r="G31" i="12"/>
  <c r="K31" i="12"/>
  <c r="M18" i="6"/>
  <c r="N18" i="6"/>
  <c r="L18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L4" i="6"/>
  <c r="L5" i="6"/>
  <c r="L6" i="6"/>
  <c r="L7" i="6"/>
  <c r="L8" i="6"/>
  <c r="L9" i="6"/>
  <c r="L10" i="6"/>
  <c r="L11" i="6"/>
  <c r="L12" i="6"/>
  <c r="L13" i="6"/>
  <c r="L14" i="6"/>
  <c r="L15" i="6"/>
  <c r="N15" i="6" s="1"/>
  <c r="L16" i="6"/>
  <c r="L3" i="6"/>
  <c r="F88" i="6"/>
  <c r="G88" i="6"/>
  <c r="N16" i="6" l="1"/>
  <c r="O16" i="6" s="1"/>
  <c r="N14" i="6"/>
  <c r="O14" i="6" s="1"/>
  <c r="N13" i="6"/>
  <c r="O13" i="6" s="1"/>
  <c r="N4" i="6"/>
  <c r="O4" i="6" s="1"/>
  <c r="N10" i="6"/>
  <c r="O10" i="6" s="1"/>
  <c r="N12" i="6"/>
  <c r="P12" i="6" s="1"/>
  <c r="N11" i="6"/>
  <c r="P11" i="6" s="1"/>
  <c r="P16" i="6"/>
  <c r="O15" i="6"/>
  <c r="P15" i="6"/>
  <c r="N9" i="6"/>
  <c r="P9" i="6" s="1"/>
  <c r="N8" i="6"/>
  <c r="O8" i="6" s="1"/>
  <c r="M17" i="6"/>
  <c r="N7" i="6"/>
  <c r="P7" i="6" s="1"/>
  <c r="P13" i="6"/>
  <c r="N6" i="6"/>
  <c r="P6" i="6" s="1"/>
  <c r="N3" i="6"/>
  <c r="P3" i="6" s="1"/>
  <c r="N5" i="6"/>
  <c r="O5" i="6" s="1"/>
  <c r="L17" i="6"/>
  <c r="G18" i="6"/>
  <c r="F18" i="6"/>
  <c r="G37" i="6"/>
  <c r="F37" i="6"/>
  <c r="G71" i="6"/>
  <c r="F71" i="6"/>
  <c r="G54" i="6"/>
  <c r="F54" i="6"/>
  <c r="P8" i="11" l="1"/>
  <c r="N17" i="6"/>
  <c r="P14" i="6"/>
  <c r="P4" i="6"/>
  <c r="O9" i="6"/>
  <c r="P10" i="6"/>
  <c r="P5" i="6"/>
  <c r="O11" i="6"/>
  <c r="O12" i="6"/>
  <c r="O6" i="6"/>
  <c r="O7" i="6"/>
  <c r="P8" i="6"/>
  <c r="O3" i="6"/>
  <c r="P9" i="11" l="1"/>
  <c r="R8" i="11"/>
  <c r="N33" i="12"/>
  <c r="N34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BDFC2-966A-4898-AC81-921FF622D6E6}" keepAlive="1" name="Query - Commercial_Harvest_Treatments" description="Connection to the 'Commercial_Harvest_Treatments' query in the workbook." type="5" refreshedVersion="0" background="1">
    <dbPr connection="Provider=Microsoft.Mashup.OleDb.1;Data Source=$Workbook$;Location=Commercial_Harvest_Treatments;Extended Properties=&quot;&quot;" command="SELECT * FROM [Commercial_Harvest_Treatments]"/>
  </connection>
  <connection id="2" xr16:uid="{B0E8B5B5-F853-4B85-9CFF-8F0781AFE6DF}" keepAlive="1" name="Query - Corrected_Forest_Type_Table" description="Connection to the 'Corrected_Forest_Type_Table' query in the workbook." type="5" refreshedVersion="0" background="1">
    <dbPr connection="Provider=Microsoft.Mashup.OleDb.1;Data Source=$Workbook$;Location=Corrected_Forest_Type_Table;Extended Properties=&quot;&quot;" command="SELECT * FROM [Corrected_Forest_Type_Table]"/>
  </connection>
  <connection id="3" xr16:uid="{5A718A56-2033-47FF-91D1-A4448E1EFFA8}" keepAlive="1" name="Query - Species_Management_Strategy" description="Connection to the 'Species_Management_Strategy' query in the workbook." type="5" refreshedVersion="0" background="1">
    <dbPr connection="Provider=Microsoft.Mashup.OleDb.1;Data Source=$Workbook$;Location=Species_Management_Strategy;Extended Properties=&quot;&quot;" command="SELECT * FROM [Species_Management_Strategy]"/>
  </connection>
  <connection id="4" xr16:uid="{54BCC95C-40F6-4A63-A5B6-415F7D7A9FE0}" keepAlive="1" name="Query - summarylog" description="Connection to the 'summarylog' query in the workbook." type="5" refreshedVersion="8" background="1" saveData="1">
    <dbPr connection="Provider=Microsoft.Mashup.OleDb.1;Data Source=$Workbook$;Location=summarylog;Extended Properties=&quot;&quot;" command="SELECT * FROM [summarylog]"/>
  </connection>
</connections>
</file>

<file path=xl/sharedStrings.xml><?xml version="1.0" encoding="utf-8"?>
<sst xmlns="http://schemas.openxmlformats.org/spreadsheetml/2006/main" count="339" uniqueCount="148">
  <si>
    <t>Grands types de forêt *</t>
  </si>
  <si>
    <t>Superficie récoltée</t>
  </si>
  <si>
    <t xml:space="preserve">Coupes finales </t>
  </si>
  <si>
    <t xml:space="preserve">Coupes partielles </t>
  </si>
  <si>
    <t>Total</t>
  </si>
  <si>
    <t>ha/an</t>
  </si>
  <si>
    <t>%</t>
  </si>
  <si>
    <t>Pessières</t>
  </si>
  <si>
    <t>Sapinières</t>
  </si>
  <si>
    <t>Pinèdes grises</t>
  </si>
  <si>
    <t>Pinèdes blanches</t>
  </si>
  <si>
    <t>Cédrières</t>
  </si>
  <si>
    <t>Prucheraies</t>
  </si>
  <si>
    <t>Résineux à feuillus</t>
  </si>
  <si>
    <t>Bétulaies blanches à résineux</t>
  </si>
  <si>
    <t>Peupleraies à résineux</t>
  </si>
  <si>
    <t>Feuillus tolérants à résineux</t>
  </si>
  <si>
    <t>Bétulaies blanches</t>
  </si>
  <si>
    <t>Peupleraies</t>
  </si>
  <si>
    <t>Érablières rouges</t>
  </si>
  <si>
    <t>Feuillus tolérants</t>
  </si>
  <si>
    <t>Périodes</t>
  </si>
  <si>
    <t>Possibilités forestières (m³/an)</t>
  </si>
  <si>
    <t>SEPM</t>
  </si>
  <si>
    <t>Thuya</t>
  </si>
  <si>
    <t>Pruche</t>
  </si>
  <si>
    <t>Pins blanc et rouge</t>
  </si>
  <si>
    <t>Peupliers</t>
  </si>
  <si>
    <t>Bouleau à papier</t>
  </si>
  <si>
    <t>Bouleau jaune</t>
  </si>
  <si>
    <t xml:space="preserve">Érables à sucre et </t>
  </si>
  <si>
    <t>Autres feuillus durs</t>
  </si>
  <si>
    <t>2018-2023</t>
  </si>
  <si>
    <t>Traitements commerciaux (récolte)</t>
  </si>
  <si>
    <t xml:space="preserve">Superficie annuelle </t>
  </si>
  <si>
    <t xml:space="preserve">moyenne </t>
  </si>
  <si>
    <t>(ha/an)</t>
  </si>
  <si>
    <t>Coupe avec protection de la régénération et des sols (CPRS)</t>
  </si>
  <si>
    <t>Coupe avec protection des petites tiges marchandes (CPPTM)</t>
  </si>
  <si>
    <t>Coupe avec réserve de semenciers (CRS)</t>
  </si>
  <si>
    <t xml:space="preserve">Total des coupes finales </t>
  </si>
  <si>
    <t>Éclaircie commerciale</t>
  </si>
  <si>
    <t xml:space="preserve">Coupe progressive régulière </t>
  </si>
  <si>
    <t xml:space="preserve">Coupe progressive irrégulière à régénération lente (CPIL) </t>
  </si>
  <si>
    <t xml:space="preserve">Coupe progressive irrégulière à couvert permanent(CPIP) </t>
  </si>
  <si>
    <t>Coupes de jardinage ou d'amélioration</t>
  </si>
  <si>
    <t xml:space="preserve">Total des coupes partielles </t>
  </si>
  <si>
    <t xml:space="preserve">Total des activités de récolte </t>
  </si>
  <si>
    <t>% des coupes totales / récolte</t>
  </si>
  <si>
    <t>% des coupes partielles / récolte</t>
  </si>
  <si>
    <t>Coupes partielles de peuplements résineux</t>
  </si>
  <si>
    <t>Coupes partielles de peuplements de feuillus tolérants et de pins</t>
  </si>
  <si>
    <t>MU06151</t>
  </si>
  <si>
    <t>MU06152</t>
  </si>
  <si>
    <t>Grands types de forêt</t>
  </si>
  <si>
    <t>Total des coupes finales (ha/an)</t>
  </si>
  <si>
    <t>Total des coupes partielles (ha/an)</t>
  </si>
  <si>
    <t>MU06452</t>
  </si>
  <si>
    <t>MU07251</t>
  </si>
  <si>
    <t>MU07351</t>
  </si>
  <si>
    <t>total</t>
  </si>
  <si>
    <t>CT</t>
  </si>
  <si>
    <t>CP</t>
  </si>
  <si>
    <t xml:space="preserve">all study area </t>
  </si>
  <si>
    <t>Overlaping with study area  %</t>
  </si>
  <si>
    <t>Coupes totales (ha/an)</t>
  </si>
  <si>
    <t>Coupes partielles (ha/an)</t>
  </si>
  <si>
    <t>Total des coupes totales</t>
  </si>
  <si>
    <t>Coupe progressive régulière</t>
  </si>
  <si>
    <t>Coupe progressive irrégulière à régénération lente (CPIL)</t>
  </si>
  <si>
    <t>Coupe progressive irrégulière à couvert permanent (CPIP)</t>
  </si>
  <si>
    <t>Coupe de jardinage ou d'amélioration</t>
  </si>
  <si>
    <t>Total des coupes partielles</t>
  </si>
  <si>
    <t>Total des activités de récolte</t>
  </si>
  <si>
    <t>CPRS</t>
  </si>
  <si>
    <t>CRS</t>
  </si>
  <si>
    <t>Clear cuts</t>
  </si>
  <si>
    <t>CPR</t>
  </si>
  <si>
    <t>Coupe progressive régulière  (CPR)</t>
  </si>
  <si>
    <t>CPIL</t>
  </si>
  <si>
    <t>CPIP</t>
  </si>
  <si>
    <t>Coupes de jardinage ou d'amélioration (CJ)</t>
  </si>
  <si>
    <t>Partial cuts</t>
  </si>
  <si>
    <t>harvest rates*</t>
  </si>
  <si>
    <t>MFU</t>
  </si>
  <si>
    <t xml:space="preserve">total area </t>
  </si>
  <si>
    <t xml:space="preserve">overlapped area  </t>
  </si>
  <si>
    <t xml:space="preserve">totalStudyArea </t>
  </si>
  <si>
    <t>% overlapped area/totalStudyArea</t>
  </si>
  <si>
    <t>parks area (ha)</t>
  </si>
  <si>
    <t>AllMUarea</t>
  </si>
  <si>
    <t xml:space="preserve">remaining </t>
  </si>
  <si>
    <t>the remaining area is private forest   !!</t>
  </si>
  <si>
    <t>06151</t>
  </si>
  <si>
    <t xml:space="preserve">the double of the area is prive forest, so maybe we will double the AAC, assuming that we will harvest similar volume from those stands </t>
  </si>
  <si>
    <t>06452</t>
  </si>
  <si>
    <t>06471</t>
  </si>
  <si>
    <t>07251</t>
  </si>
  <si>
    <t>07351</t>
  </si>
  <si>
    <t>Total des coupes finales</t>
  </si>
  <si>
    <t>Coupe progressive irrégulière à couvert permanent (CPICP)</t>
  </si>
  <si>
    <t>Coupes de jardinage ou d’amélioration</t>
  </si>
  <si>
    <t>*this rate will be calibrated until we reach the same AAC (see sheet ACC)</t>
  </si>
  <si>
    <t>39%</t>
  </si>
  <si>
    <t>61%</t>
  </si>
  <si>
    <t>EC</t>
  </si>
  <si>
    <t>Éclaircie commerciale (EC)</t>
  </si>
  <si>
    <t>total harvest public forest</t>
  </si>
  <si>
    <t>total area harvested</t>
  </si>
  <si>
    <t>per yr</t>
  </si>
  <si>
    <t>For calibration purposes, it is important to quantify the relative contribution of each treatment at the landscape scale as a percentage. For example, CPRS accounts for 31% of the annual harvest, which itself represents 0.7% of the total area.</t>
  </si>
  <si>
    <t xml:space="preserve">Adjusted based on overlapping with the study area </t>
  </si>
  <si>
    <t>Pins_blanc_rouge</t>
  </si>
  <si>
    <t>Bouleau_papier</t>
  </si>
  <si>
    <t>Bouleau_jaune</t>
  </si>
  <si>
    <t>Erables_sucre_rouge</t>
  </si>
  <si>
    <t>Autres_feuillus_durs</t>
  </si>
  <si>
    <t>tot</t>
  </si>
  <si>
    <t>061-51</t>
  </si>
  <si>
    <t>064-52</t>
  </si>
  <si>
    <t>064-71</t>
  </si>
  <si>
    <t>072-51</t>
  </si>
  <si>
    <t>073-51</t>
  </si>
  <si>
    <t>all</t>
  </si>
  <si>
    <t>density kg /m3</t>
  </si>
  <si>
    <t>kg</t>
  </si>
  <si>
    <t>t/ha/yr</t>
  </si>
  <si>
    <t>sapin</t>
  </si>
  <si>
    <t>épinettes</t>
  </si>
  <si>
    <t xml:space="preserve">pin gris </t>
  </si>
  <si>
    <t>mélèzes</t>
  </si>
  <si>
    <t xml:space="preserve">SEPM % </t>
  </si>
  <si>
    <t>Mg</t>
  </si>
  <si>
    <t xml:space="preserve">target Volume during the calibration </t>
  </si>
  <si>
    <t>Areapublic</t>
  </si>
  <si>
    <t>Areaprivate</t>
  </si>
  <si>
    <t>total Mg/yr</t>
  </si>
  <si>
    <t>mg</t>
  </si>
  <si>
    <t>category</t>
  </si>
  <si>
    <t>emp_Mg</t>
  </si>
  <si>
    <t>activated cells</t>
  </si>
  <si>
    <t>Mt</t>
  </si>
  <si>
    <t>AACpublic</t>
  </si>
  <si>
    <t>AACprivate</t>
  </si>
  <si>
    <t>=</t>
  </si>
  <si>
    <t>Mega Ton</t>
  </si>
  <si>
    <t>% overlapped area</t>
  </si>
  <si>
    <t xml:space="preserve">those rates are the most important info to know to calibrate biomass harvest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</si>
</sst>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9" fontId="0" fillId="0" borderId="0" xfId="0" applyNumberFormat="1"/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left" vertical="center" wrapText="1" indent="2"/>
    </xf>
    <xf numFmtId="0" fontId="0" fillId="4" borderId="0" xfId="0" applyFill="1"/>
    <xf numFmtId="0" fontId="4" fillId="2" borderId="4" xfId="0" applyFont="1" applyFill="1" applyBorder="1" applyAlignment="1">
      <alignment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9" fontId="0" fillId="0" borderId="0" xfId="1" applyFont="1"/>
    <xf numFmtId="164" fontId="0" fillId="0" borderId="0" xfId="0" applyNumberFormat="1"/>
    <xf numFmtId="0" fontId="5" fillId="9" borderId="0" xfId="0" applyFont="1" applyFill="1"/>
    <xf numFmtId="164" fontId="5" fillId="9" borderId="0" xfId="0" applyNumberFormat="1" applyFont="1" applyFill="1"/>
    <xf numFmtId="0" fontId="0" fillId="0" borderId="0" xfId="0" applyAlignment="1">
      <alignment horizontal="center"/>
    </xf>
    <xf numFmtId="9" fontId="5" fillId="9" borderId="0" xfId="1" applyFont="1" applyFill="1"/>
    <xf numFmtId="9" fontId="0" fillId="2" borderId="0" xfId="1" applyFont="1" applyFill="1"/>
    <xf numFmtId="9" fontId="0" fillId="5" borderId="0" xfId="1" applyFont="1" applyFill="1"/>
    <xf numFmtId="0" fontId="0" fillId="0" borderId="6" xfId="0" applyBorder="1" applyAlignment="1">
      <alignment horizontal="center"/>
    </xf>
    <xf numFmtId="0" fontId="0" fillId="0" borderId="6" xfId="0" applyBorder="1"/>
    <xf numFmtId="0" fontId="2" fillId="0" borderId="6" xfId="0" applyFont="1" applyBorder="1"/>
    <xf numFmtId="49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9" fontId="0" fillId="0" borderId="6" xfId="1" applyFont="1" applyBorder="1"/>
    <xf numFmtId="164" fontId="0" fillId="0" borderId="6" xfId="0" applyNumberFormat="1" applyBorder="1" applyAlignment="1">
      <alignment horizontal="center"/>
    </xf>
    <xf numFmtId="165" fontId="0" fillId="0" borderId="6" xfId="1" applyNumberFormat="1" applyFont="1" applyBorder="1" applyAlignment="1">
      <alignment horizontal="center"/>
    </xf>
    <xf numFmtId="164" fontId="0" fillId="0" borderId="6" xfId="0" applyNumberFormat="1" applyBorder="1"/>
    <xf numFmtId="2" fontId="0" fillId="0" borderId="0" xfId="0" applyNumberFormat="1"/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5" fontId="0" fillId="0" borderId="0" xfId="1" applyNumberFormat="1" applyFont="1"/>
    <xf numFmtId="10" fontId="0" fillId="0" borderId="0" xfId="1" applyNumberFormat="1" applyFont="1"/>
    <xf numFmtId="0" fontId="6" fillId="0" borderId="0" xfId="0" applyFont="1"/>
    <xf numFmtId="0" fontId="0" fillId="10" borderId="0" xfId="0" applyFill="1"/>
    <xf numFmtId="11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166" fontId="0" fillId="0" borderId="0" xfId="0" applyNumberFormat="1"/>
    <xf numFmtId="164" fontId="2" fillId="0" borderId="0" xfId="0" applyNumberFormat="1" applyFont="1"/>
    <xf numFmtId="165" fontId="2" fillId="0" borderId="0" xfId="1" applyNumberFormat="1" applyFont="1"/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D1C2-DBB2-45B3-A780-8E753B63C53F}">
  <dimension ref="A1:S13"/>
  <sheetViews>
    <sheetView topLeftCell="B1" workbookViewId="0">
      <selection activeCell="F18" sqref="F18"/>
    </sheetView>
  </sheetViews>
  <sheetFormatPr defaultRowHeight="14.4" x14ac:dyDescent="0.3"/>
  <cols>
    <col min="1" max="1" width="20.5546875" customWidth="1"/>
    <col min="2" max="2" width="22.6640625" style="21" customWidth="1"/>
    <col min="3" max="3" width="17.109375" style="21" customWidth="1"/>
    <col min="4" max="4" width="17.33203125" customWidth="1"/>
    <col min="5" max="5" width="25.109375" customWidth="1"/>
    <col min="6" max="6" width="32.33203125" style="21" customWidth="1"/>
    <col min="11" max="11" width="13.6640625" customWidth="1"/>
    <col min="12" max="12" width="12.44140625" customWidth="1"/>
    <col min="13" max="13" width="11.44140625" customWidth="1"/>
    <col min="15" max="15" width="11.44140625" customWidth="1"/>
    <col min="16" max="16" width="15.6640625" bestFit="1" customWidth="1"/>
  </cols>
  <sheetData>
    <row r="1" spans="1:19" x14ac:dyDescent="0.3">
      <c r="A1" s="25" t="s">
        <v>84</v>
      </c>
      <c r="B1" s="25" t="s">
        <v>85</v>
      </c>
      <c r="C1" s="25" t="s">
        <v>86</v>
      </c>
      <c r="D1" s="26" t="s">
        <v>6</v>
      </c>
      <c r="E1" s="25" t="s">
        <v>87</v>
      </c>
      <c r="F1" s="25" t="s">
        <v>88</v>
      </c>
      <c r="K1" s="27" t="s">
        <v>89</v>
      </c>
      <c r="L1" s="27" t="s">
        <v>90</v>
      </c>
      <c r="M1" s="27" t="s">
        <v>91</v>
      </c>
      <c r="O1" t="s">
        <v>92</v>
      </c>
    </row>
    <row r="2" spans="1:19" x14ac:dyDescent="0.3">
      <c r="A2" s="28" t="s">
        <v>93</v>
      </c>
      <c r="B2" s="29">
        <v>75511.182994000003</v>
      </c>
      <c r="C2" s="29">
        <v>63760.524324999998</v>
      </c>
      <c r="D2" s="30">
        <f>C2/B2</f>
        <v>0.84438518636459858</v>
      </c>
      <c r="E2" s="31">
        <f>E$8*6.25</f>
        <v>2184668.75</v>
      </c>
      <c r="F2" s="32">
        <f>C2/E2</f>
        <v>2.9185442564233135E-2</v>
      </c>
      <c r="K2" s="26">
        <v>230250</v>
      </c>
      <c r="L2" s="33">
        <f>SUM(C2:C6)</f>
        <v>1020059.4307200001</v>
      </c>
      <c r="M2" s="33">
        <f>E2-L2-K2</f>
        <v>934359.31927999994</v>
      </c>
      <c r="N2" s="34">
        <f>M2/E2</f>
        <v>0.42768924088834975</v>
      </c>
      <c r="O2" t="s">
        <v>94</v>
      </c>
    </row>
    <row r="3" spans="1:19" x14ac:dyDescent="0.3">
      <c r="A3" s="28" t="s">
        <v>95</v>
      </c>
      <c r="B3" s="29">
        <v>170327.54854600001</v>
      </c>
      <c r="C3" s="29">
        <v>156306.16079699999</v>
      </c>
      <c r="D3" s="30">
        <f t="shared" ref="D3:D6" si="0">C3/B3</f>
        <v>0.91767985937275853</v>
      </c>
      <c r="E3" s="31">
        <f t="shared" ref="E3:E6" si="1">E$8*6.25</f>
        <v>2184668.75</v>
      </c>
      <c r="F3" s="32">
        <f t="shared" ref="F3:F6" si="2">C3/E3</f>
        <v>7.1546846997742788E-2</v>
      </c>
      <c r="K3" s="30">
        <f>K2/E2</f>
        <v>0.10539355222616702</v>
      </c>
      <c r="L3" s="30">
        <f>L2/E2</f>
        <v>0.46691720688548322</v>
      </c>
      <c r="M3" s="30">
        <f>M2/E2</f>
        <v>0.42768924088834975</v>
      </c>
    </row>
    <row r="4" spans="1:19" x14ac:dyDescent="0.3">
      <c r="A4" s="28" t="s">
        <v>96</v>
      </c>
      <c r="B4" s="29">
        <v>1111155.802159</v>
      </c>
      <c r="C4" s="29">
        <v>349637.16025800002</v>
      </c>
      <c r="D4" s="30">
        <f t="shared" si="0"/>
        <v>0.31466078796389074</v>
      </c>
      <c r="E4" s="31">
        <f t="shared" si="1"/>
        <v>2184668.75</v>
      </c>
      <c r="F4" s="32">
        <f t="shared" si="2"/>
        <v>0.16004126953250922</v>
      </c>
      <c r="L4" s="1">
        <v>0.56000000000000005</v>
      </c>
      <c r="O4" t="s">
        <v>142</v>
      </c>
      <c r="P4" s="44">
        <f>AAC!N30</f>
        <v>427662317.06053007</v>
      </c>
    </row>
    <row r="5" spans="1:19" x14ac:dyDescent="0.3">
      <c r="A5" s="28" t="s">
        <v>97</v>
      </c>
      <c r="B5" s="29">
        <v>139049.017073</v>
      </c>
      <c r="C5" s="29">
        <v>127728.925001</v>
      </c>
      <c r="D5" s="30">
        <f t="shared" si="0"/>
        <v>0.91858919746223733</v>
      </c>
      <c r="E5" s="31">
        <f t="shared" si="1"/>
        <v>2184668.75</v>
      </c>
      <c r="F5" s="32">
        <f t="shared" si="2"/>
        <v>5.8466037471813517E-2</v>
      </c>
      <c r="O5" t="s">
        <v>134</v>
      </c>
      <c r="P5" s="18">
        <f>L2</f>
        <v>1020059.4307200001</v>
      </c>
    </row>
    <row r="6" spans="1:19" x14ac:dyDescent="0.3">
      <c r="A6" s="28" t="s">
        <v>98</v>
      </c>
      <c r="B6" s="29">
        <v>405805.89945899998</v>
      </c>
      <c r="C6" s="29">
        <v>322626.66033899999</v>
      </c>
      <c r="D6" s="30">
        <f t="shared" si="0"/>
        <v>0.79502703329130908</v>
      </c>
      <c r="E6" s="31">
        <f t="shared" si="1"/>
        <v>2184668.75</v>
      </c>
      <c r="F6" s="32">
        <f t="shared" si="2"/>
        <v>0.14767761031918455</v>
      </c>
      <c r="O6" t="s">
        <v>143</v>
      </c>
      <c r="P6">
        <f>P7*P4/P5</f>
        <v>391732343.64230824</v>
      </c>
    </row>
    <row r="7" spans="1:19" x14ac:dyDescent="0.3">
      <c r="C7" s="35"/>
      <c r="O7" t="s">
        <v>135</v>
      </c>
      <c r="P7" s="18">
        <f>M2</f>
        <v>934359.31927999994</v>
      </c>
    </row>
    <row r="8" spans="1:19" x14ac:dyDescent="0.3">
      <c r="C8" s="36"/>
      <c r="D8" t="s">
        <v>140</v>
      </c>
      <c r="E8">
        <v>349547</v>
      </c>
      <c r="O8" t="s">
        <v>136</v>
      </c>
      <c r="P8" s="44">
        <f>(P4+P6)/1000</f>
        <v>819394.66070283833</v>
      </c>
      <c r="Q8" t="s">
        <v>144</v>
      </c>
      <c r="R8" s="47">
        <f>P8/1000000</f>
        <v>0.81939466070283828</v>
      </c>
      <c r="S8" t="s">
        <v>145</v>
      </c>
    </row>
    <row r="9" spans="1:19" x14ac:dyDescent="0.3">
      <c r="A9" s="37"/>
      <c r="B9" s="38"/>
      <c r="C9" s="36"/>
      <c r="O9" t="s">
        <v>126</v>
      </c>
      <c r="P9" s="34">
        <f>P8/E2</f>
        <v>0.37506585870413461</v>
      </c>
    </row>
    <row r="10" spans="1:19" x14ac:dyDescent="0.3">
      <c r="A10" s="37"/>
      <c r="B10" s="38"/>
      <c r="C10" s="36"/>
    </row>
    <row r="11" spans="1:19" x14ac:dyDescent="0.3">
      <c r="A11" s="37"/>
      <c r="B11" s="38"/>
      <c r="C11" s="36"/>
    </row>
    <row r="12" spans="1:19" x14ac:dyDescent="0.3">
      <c r="A12" s="37"/>
      <c r="B12" s="38"/>
      <c r="C12" s="36"/>
    </row>
    <row r="13" spans="1:19" x14ac:dyDescent="0.3">
      <c r="A13" s="37"/>
      <c r="B13" s="38"/>
      <c r="C13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20D4-86F8-463C-98E8-A97B6434A518}">
  <dimension ref="A1:P88"/>
  <sheetViews>
    <sheetView workbookViewId="0">
      <selection activeCell="C12" sqref="C12"/>
    </sheetView>
  </sheetViews>
  <sheetFormatPr defaultRowHeight="14.4" x14ac:dyDescent="0.3"/>
  <cols>
    <col min="3" max="3" width="27.44140625" customWidth="1"/>
    <col min="5" max="5" width="32.6640625" customWidth="1"/>
    <col min="6" max="6" width="19.88671875" customWidth="1"/>
    <col min="7" max="7" width="15.88671875" customWidth="1"/>
    <col min="11" max="11" width="25.6640625" customWidth="1"/>
    <col min="14" max="14" width="7.6640625" customWidth="1"/>
  </cols>
  <sheetData>
    <row r="1" spans="1:16" ht="15" thickBot="1" x14ac:dyDescent="0.35">
      <c r="E1" s="53" t="s">
        <v>0</v>
      </c>
      <c r="F1" s="55" t="s">
        <v>1</v>
      </c>
      <c r="G1" s="56"/>
      <c r="K1" t="s">
        <v>63</v>
      </c>
    </row>
    <row r="2" spans="1:16" ht="13.2" customHeight="1" thickBot="1" x14ac:dyDescent="0.35">
      <c r="E2" s="53"/>
      <c r="F2" s="2" t="s">
        <v>2</v>
      </c>
      <c r="G2" s="2" t="s">
        <v>3</v>
      </c>
      <c r="K2" s="19"/>
      <c r="L2" s="19" t="s">
        <v>61</v>
      </c>
      <c r="M2" s="19" t="s">
        <v>62</v>
      </c>
      <c r="N2" t="s">
        <v>60</v>
      </c>
      <c r="O2" s="19" t="s">
        <v>61</v>
      </c>
      <c r="P2" s="19" t="s">
        <v>62</v>
      </c>
    </row>
    <row r="3" spans="1:16" ht="15" thickBot="1" x14ac:dyDescent="0.35">
      <c r="C3" t="s">
        <v>64</v>
      </c>
      <c r="E3" s="54"/>
      <c r="F3" s="3" t="s">
        <v>5</v>
      </c>
      <c r="G3" s="3" t="s">
        <v>5</v>
      </c>
      <c r="K3" s="19" t="s">
        <v>7</v>
      </c>
      <c r="L3" s="20">
        <f>(F4*$C$4+F23*$C$5+F40*$C$6+F57*$C$7+F74*$C$8)</f>
        <v>338.87998051215959</v>
      </c>
      <c r="M3" s="20">
        <f>(G4*$C$4+G23*$C$5+G40*$C$6+G57*$C$7+G74*$C$8)</f>
        <v>104.63645015837591</v>
      </c>
      <c r="N3" s="18">
        <f>SUM(L3:M3)</f>
        <v>443.5164306705355</v>
      </c>
      <c r="O3" s="17">
        <f>L3/N3</f>
        <v>0.76407536920294006</v>
      </c>
      <c r="P3" s="17">
        <f>M3/N3</f>
        <v>0.23592463079705991</v>
      </c>
    </row>
    <row r="4" spans="1:16" ht="15.6" customHeight="1" thickBot="1" x14ac:dyDescent="0.35">
      <c r="A4" s="5"/>
      <c r="B4" t="s">
        <v>52</v>
      </c>
      <c r="C4" s="17">
        <v>0.84438518636459858</v>
      </c>
      <c r="E4" s="4" t="s">
        <v>7</v>
      </c>
      <c r="F4" s="12">
        <v>0</v>
      </c>
      <c r="G4" s="12">
        <v>0</v>
      </c>
      <c r="K4" s="19" t="s">
        <v>8</v>
      </c>
      <c r="L4" s="20">
        <f t="shared" ref="L4:M16" si="0">(F5*$C$4+F24*$C$5+F41*$C$6+F58*$C$7+F75*$C$8)</f>
        <v>115.37943173666642</v>
      </c>
      <c r="M4" s="20">
        <f t="shared" si="0"/>
        <v>45.883992968637926</v>
      </c>
      <c r="N4" s="18">
        <f t="shared" ref="N4:N18" si="1">SUM(L4:M4)</f>
        <v>161.26342470530435</v>
      </c>
      <c r="O4" s="17">
        <f t="shared" ref="O4:O16" si="2">L4/N4</f>
        <v>0.71547179372826075</v>
      </c>
      <c r="P4" s="17">
        <f t="shared" ref="P4:P16" si="3">M4/N4</f>
        <v>0.28452820627173925</v>
      </c>
    </row>
    <row r="5" spans="1:16" ht="15.6" customHeight="1" thickBot="1" x14ac:dyDescent="0.35">
      <c r="A5" s="13"/>
      <c r="B5" t="s">
        <v>53</v>
      </c>
      <c r="C5" s="17">
        <v>0.91767985937275853</v>
      </c>
      <c r="E5" s="4" t="s">
        <v>8</v>
      </c>
      <c r="F5" s="12">
        <v>20</v>
      </c>
      <c r="G5" s="12">
        <v>0</v>
      </c>
      <c r="K5" s="19" t="s">
        <v>9</v>
      </c>
      <c r="L5" s="20">
        <f t="shared" si="0"/>
        <v>15.900540665826181</v>
      </c>
      <c r="M5" s="20">
        <f t="shared" si="0"/>
        <v>23.850810998739274</v>
      </c>
      <c r="N5" s="18">
        <f t="shared" si="1"/>
        <v>39.751351664565455</v>
      </c>
      <c r="O5" s="17">
        <f t="shared" si="2"/>
        <v>0.39999999999999997</v>
      </c>
      <c r="P5" s="17">
        <f t="shared" si="3"/>
        <v>0.6</v>
      </c>
    </row>
    <row r="6" spans="1:16" ht="15.6" customHeight="1" thickBot="1" x14ac:dyDescent="0.35">
      <c r="A6" s="16"/>
      <c r="B6" t="s">
        <v>57</v>
      </c>
      <c r="C6" s="17">
        <v>0.31466078796389074</v>
      </c>
      <c r="E6" s="4" t="s">
        <v>9</v>
      </c>
      <c r="F6" s="12">
        <v>0</v>
      </c>
      <c r="G6" s="12">
        <v>0</v>
      </c>
      <c r="K6" s="19" t="s">
        <v>10</v>
      </c>
      <c r="L6" s="20">
        <f t="shared" si="0"/>
        <v>0</v>
      </c>
      <c r="M6" s="20">
        <f t="shared" si="0"/>
        <v>207.67711659814637</v>
      </c>
      <c r="N6" s="18">
        <f t="shared" si="1"/>
        <v>207.67711659814637</v>
      </c>
      <c r="O6" s="17">
        <f t="shared" si="2"/>
        <v>0</v>
      </c>
      <c r="P6" s="17">
        <f t="shared" si="3"/>
        <v>1</v>
      </c>
    </row>
    <row r="7" spans="1:16" ht="15.6" customHeight="1" thickBot="1" x14ac:dyDescent="0.35">
      <c r="A7" s="11"/>
      <c r="B7" t="s">
        <v>58</v>
      </c>
      <c r="C7" s="17">
        <v>0.91858919746223733</v>
      </c>
      <c r="E7" s="4" t="s">
        <v>10</v>
      </c>
      <c r="F7" s="12">
        <v>0</v>
      </c>
      <c r="G7" s="12">
        <v>10</v>
      </c>
      <c r="K7" s="19" t="s">
        <v>11</v>
      </c>
      <c r="L7" s="20">
        <f t="shared" si="0"/>
        <v>0</v>
      </c>
      <c r="M7" s="20">
        <f t="shared" si="0"/>
        <v>33.582273915473607</v>
      </c>
      <c r="N7" s="18">
        <f t="shared" si="1"/>
        <v>33.582273915473607</v>
      </c>
      <c r="O7" s="17">
        <f t="shared" si="2"/>
        <v>0</v>
      </c>
      <c r="P7" s="17">
        <f t="shared" si="3"/>
        <v>1</v>
      </c>
    </row>
    <row r="8" spans="1:16" ht="15.6" customHeight="1" thickBot="1" x14ac:dyDescent="0.35">
      <c r="A8" s="15"/>
      <c r="B8" t="s">
        <v>59</v>
      </c>
      <c r="C8" s="17">
        <v>0.79502703329130908</v>
      </c>
      <c r="E8" s="4" t="s">
        <v>11</v>
      </c>
      <c r="F8" s="12">
        <v>0</v>
      </c>
      <c r="G8" s="12">
        <v>0</v>
      </c>
      <c r="K8" s="19" t="s">
        <v>12</v>
      </c>
      <c r="L8" s="20">
        <f t="shared" si="0"/>
        <v>0</v>
      </c>
      <c r="M8" s="20">
        <f t="shared" si="0"/>
        <v>20.086301018309943</v>
      </c>
      <c r="N8" s="18">
        <f t="shared" si="1"/>
        <v>20.086301018309943</v>
      </c>
      <c r="O8" s="17">
        <f t="shared" si="2"/>
        <v>0</v>
      </c>
      <c r="P8" s="17">
        <f t="shared" si="3"/>
        <v>1</v>
      </c>
    </row>
    <row r="9" spans="1:16" ht="15.6" customHeight="1" thickBot="1" x14ac:dyDescent="0.35">
      <c r="E9" s="4" t="s">
        <v>12</v>
      </c>
      <c r="F9" s="12">
        <v>0</v>
      </c>
      <c r="G9" s="12">
        <v>10</v>
      </c>
      <c r="K9" s="19" t="s">
        <v>13</v>
      </c>
      <c r="L9" s="20">
        <f t="shared" si="0"/>
        <v>399.78953339173069</v>
      </c>
      <c r="M9" s="20">
        <f t="shared" si="0"/>
        <v>31.935646812677227</v>
      </c>
      <c r="N9" s="18">
        <f t="shared" si="1"/>
        <v>431.72518020440793</v>
      </c>
      <c r="O9" s="17">
        <f t="shared" si="2"/>
        <v>0.92602783373080821</v>
      </c>
      <c r="P9" s="17">
        <f t="shared" si="3"/>
        <v>7.397216626919173E-2</v>
      </c>
    </row>
    <row r="10" spans="1:16" ht="15.6" customHeight="1" thickBot="1" x14ac:dyDescent="0.35">
      <c r="E10" s="4" t="s">
        <v>13</v>
      </c>
      <c r="F10" s="12">
        <v>0</v>
      </c>
      <c r="G10" s="12">
        <v>0</v>
      </c>
      <c r="K10" s="19" t="s">
        <v>14</v>
      </c>
      <c r="L10" s="20">
        <f t="shared" si="0"/>
        <v>579.13434025407241</v>
      </c>
      <c r="M10" s="20">
        <f t="shared" si="0"/>
        <v>5.3492333953861424</v>
      </c>
      <c r="N10" s="18">
        <f t="shared" si="1"/>
        <v>584.48357364945855</v>
      </c>
      <c r="O10" s="17">
        <f t="shared" si="2"/>
        <v>0.99084793202658195</v>
      </c>
      <c r="P10" s="17">
        <f t="shared" si="3"/>
        <v>9.1520679734180543E-3</v>
      </c>
    </row>
    <row r="11" spans="1:16" ht="15.6" customHeight="1" thickBot="1" x14ac:dyDescent="0.35">
      <c r="E11" s="4" t="s">
        <v>14</v>
      </c>
      <c r="F11" s="12">
        <v>10</v>
      </c>
      <c r="G11" s="12">
        <v>0</v>
      </c>
      <c r="K11" s="19" t="s">
        <v>15</v>
      </c>
      <c r="L11" s="20">
        <f t="shared" si="0"/>
        <v>144.05425851893796</v>
      </c>
      <c r="M11" s="20">
        <f t="shared" si="0"/>
        <v>0</v>
      </c>
      <c r="N11" s="18">
        <f t="shared" si="1"/>
        <v>144.05425851893796</v>
      </c>
      <c r="O11" s="17">
        <f t="shared" si="2"/>
        <v>1</v>
      </c>
      <c r="P11" s="17">
        <f t="shared" si="3"/>
        <v>0</v>
      </c>
    </row>
    <row r="12" spans="1:16" ht="15.6" customHeight="1" thickBot="1" x14ac:dyDescent="0.35">
      <c r="E12" s="4" t="s">
        <v>15</v>
      </c>
      <c r="F12" s="12">
        <v>20</v>
      </c>
      <c r="G12" s="12">
        <v>0</v>
      </c>
      <c r="K12" s="19" t="s">
        <v>16</v>
      </c>
      <c r="L12" s="20">
        <f t="shared" si="0"/>
        <v>27.548582542972333</v>
      </c>
      <c r="M12" s="20">
        <f t="shared" si="0"/>
        <v>1102.0993240404155</v>
      </c>
      <c r="N12" s="18">
        <f t="shared" si="1"/>
        <v>1129.6479065833878</v>
      </c>
      <c r="O12" s="17">
        <f t="shared" si="2"/>
        <v>2.4386875222291899E-2</v>
      </c>
      <c r="P12" s="17">
        <f t="shared" si="3"/>
        <v>0.97561312477770812</v>
      </c>
    </row>
    <row r="13" spans="1:16" ht="15.6" customHeight="1" thickBot="1" x14ac:dyDescent="0.35">
      <c r="E13" s="4" t="s">
        <v>16</v>
      </c>
      <c r="F13" s="12">
        <v>0</v>
      </c>
      <c r="G13" s="12">
        <v>120</v>
      </c>
      <c r="K13" s="19" t="s">
        <v>17</v>
      </c>
      <c r="L13" s="20">
        <f t="shared" si="0"/>
        <v>190.80648798991419</v>
      </c>
      <c r="M13" s="20">
        <f t="shared" si="0"/>
        <v>0</v>
      </c>
      <c r="N13" s="18">
        <f t="shared" si="1"/>
        <v>190.80648798991419</v>
      </c>
      <c r="O13" s="17">
        <f t="shared" si="2"/>
        <v>1</v>
      </c>
      <c r="P13" s="17">
        <f t="shared" si="3"/>
        <v>0</v>
      </c>
    </row>
    <row r="14" spans="1:16" ht="15.6" customHeight="1" thickBot="1" x14ac:dyDescent="0.35">
      <c r="E14" s="4" t="s">
        <v>17</v>
      </c>
      <c r="F14" s="12">
        <v>0</v>
      </c>
      <c r="G14" s="12">
        <v>0</v>
      </c>
      <c r="K14" s="19" t="s">
        <v>18</v>
      </c>
      <c r="L14" s="20">
        <f t="shared" si="0"/>
        <v>586.20403126213387</v>
      </c>
      <c r="M14" s="20">
        <f t="shared" si="0"/>
        <v>0</v>
      </c>
      <c r="N14" s="18">
        <f t="shared" si="1"/>
        <v>586.20403126213387</v>
      </c>
      <c r="O14" s="17">
        <f t="shared" si="2"/>
        <v>1</v>
      </c>
      <c r="P14" s="17">
        <f t="shared" si="3"/>
        <v>0</v>
      </c>
    </row>
    <row r="15" spans="1:16" ht="15.6" customHeight="1" thickBot="1" x14ac:dyDescent="0.35">
      <c r="E15" s="4" t="s">
        <v>18</v>
      </c>
      <c r="F15" s="12">
        <v>30</v>
      </c>
      <c r="G15" s="12">
        <v>0</v>
      </c>
      <c r="K15" s="19" t="s">
        <v>19</v>
      </c>
      <c r="L15" s="20">
        <f t="shared" si="0"/>
        <v>18.371783949244747</v>
      </c>
      <c r="M15" s="20">
        <f t="shared" si="0"/>
        <v>8.7585126516098768</v>
      </c>
      <c r="N15" s="18">
        <f t="shared" si="1"/>
        <v>27.130296600854624</v>
      </c>
      <c r="O15" s="17">
        <f t="shared" si="2"/>
        <v>0.67716856249430102</v>
      </c>
      <c r="P15" s="17">
        <f t="shared" si="3"/>
        <v>0.32283143750569898</v>
      </c>
    </row>
    <row r="16" spans="1:16" ht="15.6" customHeight="1" thickBot="1" x14ac:dyDescent="0.35">
      <c r="E16" s="4" t="s">
        <v>19</v>
      </c>
      <c r="F16" s="12">
        <v>0</v>
      </c>
      <c r="G16" s="12">
        <v>10</v>
      </c>
      <c r="K16" s="19" t="s">
        <v>20</v>
      </c>
      <c r="L16" s="20">
        <f t="shared" si="0"/>
        <v>33.983365100100201</v>
      </c>
      <c r="M16" s="20">
        <f t="shared" si="0"/>
        <v>4372.4555266045045</v>
      </c>
      <c r="N16" s="18">
        <f t="shared" si="1"/>
        <v>4406.4388917046044</v>
      </c>
      <c r="O16" s="17">
        <f t="shared" si="2"/>
        <v>7.71220614543776E-3</v>
      </c>
      <c r="P16" s="17">
        <f t="shared" si="3"/>
        <v>0.99228779385456234</v>
      </c>
    </row>
    <row r="17" spans="5:14" ht="15.6" customHeight="1" thickBot="1" x14ac:dyDescent="0.35">
      <c r="E17" s="4" t="s">
        <v>20</v>
      </c>
      <c r="F17" s="12">
        <v>0</v>
      </c>
      <c r="G17" s="12">
        <v>640</v>
      </c>
      <c r="K17" t="s">
        <v>60</v>
      </c>
      <c r="L17" s="18">
        <f>SUM(L3:L16)</f>
        <v>2450.0523359237586</v>
      </c>
      <c r="M17" s="18">
        <f>SUM(M3:M16)</f>
        <v>5956.3151891622765</v>
      </c>
      <c r="N17" s="18">
        <f t="shared" si="1"/>
        <v>8406.367525086036</v>
      </c>
    </row>
    <row r="18" spans="5:14" ht="15.6" customHeight="1" x14ac:dyDescent="0.3">
      <c r="E18" s="14" t="s">
        <v>60</v>
      </c>
      <c r="F18" s="14">
        <f>SUM(F4:F17)</f>
        <v>80</v>
      </c>
      <c r="G18" s="14">
        <f>SUM(G4:G17)</f>
        <v>790</v>
      </c>
      <c r="L18" s="22">
        <f>L17/N17</f>
        <v>0.29145196526470968</v>
      </c>
      <c r="M18" s="22">
        <f>M17/N17</f>
        <v>0.70854803473529027</v>
      </c>
      <c r="N18" s="18">
        <f t="shared" si="1"/>
        <v>1</v>
      </c>
    </row>
    <row r="19" spans="5:14" ht="15" thickBot="1" x14ac:dyDescent="0.35"/>
    <row r="20" spans="5:14" ht="15" thickBot="1" x14ac:dyDescent="0.35">
      <c r="E20" s="49" t="s">
        <v>0</v>
      </c>
      <c r="F20" s="51" t="s">
        <v>1</v>
      </c>
      <c r="G20" s="52"/>
    </row>
    <row r="21" spans="5:14" ht="27" thickBot="1" x14ac:dyDescent="0.35">
      <c r="E21" s="49"/>
      <c r="F21" s="6" t="s">
        <v>2</v>
      </c>
      <c r="G21" s="6" t="s">
        <v>3</v>
      </c>
    </row>
    <row r="22" spans="5:14" ht="15" thickBot="1" x14ac:dyDescent="0.35">
      <c r="E22" s="50"/>
      <c r="F22" s="7" t="s">
        <v>5</v>
      </c>
      <c r="G22" s="7" t="s">
        <v>5</v>
      </c>
    </row>
    <row r="23" spans="5:14" ht="15" thickBot="1" x14ac:dyDescent="0.35">
      <c r="E23" s="8" t="s">
        <v>7</v>
      </c>
      <c r="F23" s="9">
        <v>150</v>
      </c>
      <c r="G23" s="9">
        <v>50</v>
      </c>
    </row>
    <row r="24" spans="5:14" ht="15" thickBot="1" x14ac:dyDescent="0.35">
      <c r="E24" s="8" t="s">
        <v>8</v>
      </c>
      <c r="F24" s="9">
        <v>90</v>
      </c>
      <c r="G24" s="9">
        <v>50</v>
      </c>
    </row>
    <row r="25" spans="5:14" ht="15" thickBot="1" x14ac:dyDescent="0.35">
      <c r="E25" s="8" t="s">
        <v>9</v>
      </c>
      <c r="F25" s="9">
        <v>0</v>
      </c>
      <c r="G25" s="9">
        <v>0</v>
      </c>
    </row>
    <row r="26" spans="5:14" ht="15" thickBot="1" x14ac:dyDescent="0.35">
      <c r="E26" s="8" t="s">
        <v>10</v>
      </c>
      <c r="F26" s="9">
        <v>0</v>
      </c>
      <c r="G26" s="9">
        <v>0</v>
      </c>
    </row>
    <row r="27" spans="5:14" ht="15" thickBot="1" x14ac:dyDescent="0.35">
      <c r="E27" s="8" t="s">
        <v>11</v>
      </c>
      <c r="F27" s="9">
        <v>0</v>
      </c>
      <c r="G27" s="9">
        <v>0</v>
      </c>
    </row>
    <row r="28" spans="5:14" ht="15" thickBot="1" x14ac:dyDescent="0.35">
      <c r="E28" s="8" t="s">
        <v>12</v>
      </c>
      <c r="F28" s="9">
        <v>0</v>
      </c>
      <c r="G28" s="9">
        <v>0</v>
      </c>
    </row>
    <row r="29" spans="5:14" ht="15" thickBot="1" x14ac:dyDescent="0.35">
      <c r="E29" s="8" t="s">
        <v>13</v>
      </c>
      <c r="F29" s="9">
        <v>210</v>
      </c>
      <c r="G29" s="9">
        <v>30</v>
      </c>
    </row>
    <row r="30" spans="5:14" ht="15" thickBot="1" x14ac:dyDescent="0.35">
      <c r="E30" s="8" t="s">
        <v>14</v>
      </c>
      <c r="F30" s="9">
        <v>310</v>
      </c>
      <c r="G30" s="9">
        <v>0</v>
      </c>
    </row>
    <row r="31" spans="5:14" ht="15" thickBot="1" x14ac:dyDescent="0.35">
      <c r="E31" s="8" t="s">
        <v>15</v>
      </c>
      <c r="F31" s="9">
        <v>10</v>
      </c>
      <c r="G31" s="9">
        <v>0</v>
      </c>
    </row>
    <row r="32" spans="5:14" ht="15" thickBot="1" x14ac:dyDescent="0.35">
      <c r="E32" s="8" t="s">
        <v>16</v>
      </c>
      <c r="F32" s="9">
        <v>10</v>
      </c>
      <c r="G32" s="10">
        <v>300</v>
      </c>
    </row>
    <row r="33" spans="5:7" ht="15" thickBot="1" x14ac:dyDescent="0.35">
      <c r="E33" s="8" t="s">
        <v>17</v>
      </c>
      <c r="F33" s="9">
        <v>0</v>
      </c>
      <c r="G33" s="9">
        <v>0</v>
      </c>
    </row>
    <row r="34" spans="5:7" ht="15" thickBot="1" x14ac:dyDescent="0.35">
      <c r="E34" s="8" t="s">
        <v>18</v>
      </c>
      <c r="F34" s="9">
        <v>0</v>
      </c>
      <c r="G34" s="9">
        <v>0</v>
      </c>
    </row>
    <row r="35" spans="5:7" ht="15" thickBot="1" x14ac:dyDescent="0.35">
      <c r="E35" s="8" t="s">
        <v>19</v>
      </c>
      <c r="F35" s="9">
        <v>0</v>
      </c>
      <c r="G35" s="9">
        <v>0</v>
      </c>
    </row>
    <row r="36" spans="5:7" ht="15" thickBot="1" x14ac:dyDescent="0.35">
      <c r="E36" s="8" t="s">
        <v>20</v>
      </c>
      <c r="F36" s="9">
        <v>0</v>
      </c>
      <c r="G36" s="10">
        <v>840</v>
      </c>
    </row>
    <row r="37" spans="5:7" x14ac:dyDescent="0.3">
      <c r="E37" s="14" t="s">
        <v>60</v>
      </c>
      <c r="F37" s="14">
        <f>SUM(F23:F36)</f>
        <v>780</v>
      </c>
      <c r="G37" s="14">
        <f>SUM(G23:G36)</f>
        <v>1270</v>
      </c>
    </row>
    <row r="39" spans="5:7" x14ac:dyDescent="0.3">
      <c r="E39" s="16" t="s">
        <v>54</v>
      </c>
      <c r="F39" s="16" t="s">
        <v>55</v>
      </c>
      <c r="G39" s="16" t="s">
        <v>56</v>
      </c>
    </row>
    <row r="40" spans="5:7" x14ac:dyDescent="0.3">
      <c r="E40" s="16" t="s">
        <v>7</v>
      </c>
      <c r="F40" s="16">
        <v>0</v>
      </c>
      <c r="G40" s="16">
        <v>2</v>
      </c>
    </row>
    <row r="41" spans="5:7" x14ac:dyDescent="0.3">
      <c r="E41" s="16" t="s">
        <v>8</v>
      </c>
      <c r="F41" s="16">
        <v>0</v>
      </c>
      <c r="G41" s="16">
        <v>0</v>
      </c>
    </row>
    <row r="42" spans="5:7" x14ac:dyDescent="0.3">
      <c r="E42" s="16" t="s">
        <v>9</v>
      </c>
      <c r="F42" s="16">
        <v>0</v>
      </c>
      <c r="G42" s="16">
        <v>0</v>
      </c>
    </row>
    <row r="43" spans="5:7" x14ac:dyDescent="0.3">
      <c r="E43" s="16" t="s">
        <v>10</v>
      </c>
      <c r="F43" s="16">
        <v>0</v>
      </c>
      <c r="G43" s="16">
        <v>15</v>
      </c>
    </row>
    <row r="44" spans="5:7" x14ac:dyDescent="0.3">
      <c r="E44" s="16" t="s">
        <v>11</v>
      </c>
      <c r="F44" s="16">
        <v>0</v>
      </c>
      <c r="G44" s="16">
        <v>27</v>
      </c>
    </row>
    <row r="45" spans="5:7" x14ac:dyDescent="0.3">
      <c r="E45" s="16" t="s">
        <v>12</v>
      </c>
      <c r="F45" s="16">
        <v>0</v>
      </c>
      <c r="G45" s="16">
        <v>37</v>
      </c>
    </row>
    <row r="46" spans="5:7" x14ac:dyDescent="0.3">
      <c r="E46" s="16" t="s">
        <v>13</v>
      </c>
      <c r="F46" s="16">
        <v>36</v>
      </c>
      <c r="G46" s="16">
        <v>14</v>
      </c>
    </row>
    <row r="47" spans="5:7" x14ac:dyDescent="0.3">
      <c r="E47" s="16" t="s">
        <v>14</v>
      </c>
      <c r="F47" s="16">
        <v>0</v>
      </c>
      <c r="G47" s="16">
        <v>17</v>
      </c>
    </row>
    <row r="48" spans="5:7" x14ac:dyDescent="0.3">
      <c r="E48" s="16" t="s">
        <v>15</v>
      </c>
      <c r="F48" s="16">
        <v>60</v>
      </c>
      <c r="G48" s="16">
        <v>0</v>
      </c>
    </row>
    <row r="49" spans="5:7" x14ac:dyDescent="0.3">
      <c r="E49" s="16" t="s">
        <v>16</v>
      </c>
      <c r="F49" s="16">
        <v>0</v>
      </c>
      <c r="G49" s="16">
        <v>793</v>
      </c>
    </row>
    <row r="50" spans="5:7" x14ac:dyDescent="0.3">
      <c r="E50" s="16" t="s">
        <v>17</v>
      </c>
      <c r="F50" s="16">
        <v>0</v>
      </c>
      <c r="G50" s="16">
        <v>0</v>
      </c>
    </row>
    <row r="51" spans="5:7" x14ac:dyDescent="0.3">
      <c r="E51" s="16" t="s">
        <v>18</v>
      </c>
      <c r="F51" s="16">
        <v>70</v>
      </c>
      <c r="G51" s="16">
        <v>0</v>
      </c>
    </row>
    <row r="52" spans="5:7" x14ac:dyDescent="0.3">
      <c r="E52" s="16" t="s">
        <v>19</v>
      </c>
      <c r="F52" s="16">
        <v>0</v>
      </c>
      <c r="G52" s="16">
        <v>1</v>
      </c>
    </row>
    <row r="53" spans="5:7" x14ac:dyDescent="0.3">
      <c r="E53" s="16" t="s">
        <v>20</v>
      </c>
      <c r="F53" s="16">
        <v>108</v>
      </c>
      <c r="G53" s="16">
        <v>1221</v>
      </c>
    </row>
    <row r="54" spans="5:7" s="14" customFormat="1" x14ac:dyDescent="0.3">
      <c r="E54" s="14" t="s">
        <v>60</v>
      </c>
      <c r="F54" s="14">
        <f>SUM(F40:F53)</f>
        <v>274</v>
      </c>
      <c r="G54" s="14">
        <f>SUM(G40:G53)</f>
        <v>2127</v>
      </c>
    </row>
    <row r="55" spans="5:7" s="14" customFormat="1" x14ac:dyDescent="0.3"/>
    <row r="56" spans="5:7" x14ac:dyDescent="0.3">
      <c r="E56" s="11" t="s">
        <v>54</v>
      </c>
      <c r="F56" s="11" t="s">
        <v>55</v>
      </c>
      <c r="G56" s="11" t="s">
        <v>56</v>
      </c>
    </row>
    <row r="57" spans="5:7" x14ac:dyDescent="0.3">
      <c r="E57" s="11" t="s">
        <v>7</v>
      </c>
      <c r="F57" s="11">
        <v>20</v>
      </c>
      <c r="G57" s="11">
        <v>20</v>
      </c>
    </row>
    <row r="58" spans="5:7" x14ac:dyDescent="0.3">
      <c r="E58" s="11" t="s">
        <v>8</v>
      </c>
      <c r="F58" s="11">
        <v>0</v>
      </c>
      <c r="G58" s="11">
        <v>0</v>
      </c>
    </row>
    <row r="59" spans="5:7" x14ac:dyDescent="0.3">
      <c r="E59" s="11" t="s">
        <v>9</v>
      </c>
      <c r="F59" s="11">
        <v>0</v>
      </c>
      <c r="G59" s="11">
        <v>0</v>
      </c>
    </row>
    <row r="60" spans="5:7" x14ac:dyDescent="0.3">
      <c r="E60" s="11" t="s">
        <v>10</v>
      </c>
      <c r="F60" s="11">
        <v>0</v>
      </c>
      <c r="G60" s="11">
        <v>30</v>
      </c>
    </row>
    <row r="61" spans="5:7" x14ac:dyDescent="0.3">
      <c r="E61" s="11" t="s">
        <v>11</v>
      </c>
      <c r="F61" s="11">
        <v>0</v>
      </c>
      <c r="G61" s="11">
        <v>10</v>
      </c>
    </row>
    <row r="62" spans="5:7" x14ac:dyDescent="0.3">
      <c r="E62" s="11" t="s">
        <v>12</v>
      </c>
      <c r="F62" s="11">
        <v>0</v>
      </c>
      <c r="G62" s="11">
        <v>0</v>
      </c>
    </row>
    <row r="63" spans="5:7" x14ac:dyDescent="0.3">
      <c r="E63" s="11" t="s">
        <v>13</v>
      </c>
      <c r="F63" s="11">
        <v>40</v>
      </c>
      <c r="G63" s="11">
        <v>0</v>
      </c>
    </row>
    <row r="64" spans="5:7" x14ac:dyDescent="0.3">
      <c r="E64" s="11" t="s">
        <v>14</v>
      </c>
      <c r="F64" s="11">
        <v>0</v>
      </c>
      <c r="G64" s="11">
        <v>0</v>
      </c>
    </row>
    <row r="65" spans="5:7" x14ac:dyDescent="0.3">
      <c r="E65" s="11" t="s">
        <v>15</v>
      </c>
      <c r="F65" s="11">
        <v>30</v>
      </c>
      <c r="G65" s="11">
        <v>0</v>
      </c>
    </row>
    <row r="66" spans="5:7" x14ac:dyDescent="0.3">
      <c r="E66" s="11" t="s">
        <v>16</v>
      </c>
      <c r="F66" s="11">
        <v>20</v>
      </c>
      <c r="G66" s="11">
        <v>120</v>
      </c>
    </row>
    <row r="67" spans="5:7" x14ac:dyDescent="0.3">
      <c r="E67" s="11" t="s">
        <v>17</v>
      </c>
      <c r="F67" s="11">
        <v>0</v>
      </c>
      <c r="G67" s="11">
        <v>0</v>
      </c>
    </row>
    <row r="68" spans="5:7" x14ac:dyDescent="0.3">
      <c r="E68" s="11" t="s">
        <v>18</v>
      </c>
      <c r="F68" s="11">
        <v>50</v>
      </c>
      <c r="G68" s="11">
        <v>0</v>
      </c>
    </row>
    <row r="69" spans="5:7" x14ac:dyDescent="0.3">
      <c r="E69" s="11" t="s">
        <v>19</v>
      </c>
      <c r="F69" s="11">
        <v>20</v>
      </c>
      <c r="G69" s="11">
        <v>0</v>
      </c>
    </row>
    <row r="70" spans="5:7" x14ac:dyDescent="0.3">
      <c r="E70" s="11" t="s">
        <v>20</v>
      </c>
      <c r="F70" s="11">
        <v>0</v>
      </c>
      <c r="G70" s="11">
        <v>1140</v>
      </c>
    </row>
    <row r="71" spans="5:7" x14ac:dyDescent="0.3">
      <c r="E71" s="14" t="s">
        <v>60</v>
      </c>
      <c r="F71" s="14">
        <f>SUM(F57:F70)</f>
        <v>180</v>
      </c>
      <c r="G71" s="14">
        <f>SUM(G57:G70)</f>
        <v>1320</v>
      </c>
    </row>
    <row r="73" spans="5:7" x14ac:dyDescent="0.3">
      <c r="E73" s="15" t="s">
        <v>54</v>
      </c>
      <c r="F73" s="15" t="s">
        <v>65</v>
      </c>
      <c r="G73" s="15" t="s">
        <v>66</v>
      </c>
    </row>
    <row r="74" spans="5:7" x14ac:dyDescent="0.3">
      <c r="E74" s="15" t="s">
        <v>7</v>
      </c>
      <c r="F74" s="15">
        <v>230</v>
      </c>
      <c r="G74" s="15">
        <v>50</v>
      </c>
    </row>
    <row r="75" spans="5:7" x14ac:dyDescent="0.3">
      <c r="E75" s="15" t="s">
        <v>8</v>
      </c>
      <c r="F75" s="15">
        <v>20</v>
      </c>
      <c r="G75" s="15">
        <v>0</v>
      </c>
    </row>
    <row r="76" spans="5:7" x14ac:dyDescent="0.3">
      <c r="E76" s="15" t="s">
        <v>9</v>
      </c>
      <c r="F76" s="15">
        <v>20</v>
      </c>
      <c r="G76" s="15">
        <v>30</v>
      </c>
    </row>
    <row r="77" spans="5:7" x14ac:dyDescent="0.3">
      <c r="E77" s="15" t="s">
        <v>10</v>
      </c>
      <c r="F77" s="15">
        <v>0</v>
      </c>
      <c r="G77" s="15">
        <v>210</v>
      </c>
    </row>
    <row r="78" spans="5:7" x14ac:dyDescent="0.3">
      <c r="E78" s="15" t="s">
        <v>11</v>
      </c>
      <c r="F78" s="15">
        <v>0</v>
      </c>
      <c r="G78" s="15">
        <v>20</v>
      </c>
    </row>
    <row r="79" spans="5:7" x14ac:dyDescent="0.3">
      <c r="E79" s="15" t="s">
        <v>12</v>
      </c>
      <c r="F79" s="15">
        <v>0</v>
      </c>
      <c r="G79" s="15">
        <v>0</v>
      </c>
    </row>
    <row r="80" spans="5:7" x14ac:dyDescent="0.3">
      <c r="E80" s="15" t="s">
        <v>13</v>
      </c>
      <c r="F80" s="15">
        <v>200</v>
      </c>
      <c r="G80" s="15">
        <v>0</v>
      </c>
    </row>
    <row r="81" spans="5:7" x14ac:dyDescent="0.3">
      <c r="E81" s="15" t="s">
        <v>14</v>
      </c>
      <c r="F81" s="15">
        <v>360</v>
      </c>
      <c r="G81" s="15">
        <v>0</v>
      </c>
    </row>
    <row r="82" spans="5:7" x14ac:dyDescent="0.3">
      <c r="E82" s="15" t="s">
        <v>15</v>
      </c>
      <c r="F82" s="15">
        <v>90</v>
      </c>
      <c r="G82" s="15">
        <v>0</v>
      </c>
    </row>
    <row r="83" spans="5:7" x14ac:dyDescent="0.3">
      <c r="E83" s="15" t="s">
        <v>16</v>
      </c>
      <c r="F83" s="15">
        <v>0</v>
      </c>
      <c r="G83" s="15">
        <v>460</v>
      </c>
    </row>
    <row r="84" spans="5:7" x14ac:dyDescent="0.3">
      <c r="E84" s="15" t="s">
        <v>17</v>
      </c>
      <c r="F84" s="15">
        <v>240</v>
      </c>
      <c r="G84" s="15">
        <v>0</v>
      </c>
    </row>
    <row r="85" spans="5:7" x14ac:dyDescent="0.3">
      <c r="E85" s="15" t="s">
        <v>18</v>
      </c>
      <c r="F85" s="15">
        <v>620</v>
      </c>
      <c r="G85" s="15">
        <v>0</v>
      </c>
    </row>
    <row r="86" spans="5:7" x14ac:dyDescent="0.3">
      <c r="E86" s="15" t="s">
        <v>19</v>
      </c>
      <c r="F86" s="15">
        <v>0</v>
      </c>
      <c r="G86" s="15">
        <v>0</v>
      </c>
    </row>
    <row r="87" spans="5:7" x14ac:dyDescent="0.3">
      <c r="E87" s="15" t="s">
        <v>20</v>
      </c>
      <c r="F87" s="15">
        <v>0</v>
      </c>
      <c r="G87" s="15">
        <v>2050</v>
      </c>
    </row>
    <row r="88" spans="5:7" x14ac:dyDescent="0.3">
      <c r="E88" s="15" t="s">
        <v>60</v>
      </c>
      <c r="F88" s="15">
        <f>SUM(F74:F87)</f>
        <v>1780</v>
      </c>
      <c r="G88" s="15">
        <f>SUM(G74:G87)</f>
        <v>2820</v>
      </c>
    </row>
  </sheetData>
  <mergeCells count="4">
    <mergeCell ref="E20:E22"/>
    <mergeCell ref="F20:G20"/>
    <mergeCell ref="E1:E3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0EBC-4BE6-4AE2-BFFA-FD2CDAC5FBC6}">
  <dimension ref="A1:AG82"/>
  <sheetViews>
    <sheetView workbookViewId="0">
      <selection activeCell="K19" sqref="K19"/>
    </sheetView>
  </sheetViews>
  <sheetFormatPr defaultRowHeight="14.4" x14ac:dyDescent="0.3"/>
  <cols>
    <col min="6" max="6" width="51.88671875" customWidth="1"/>
    <col min="7" max="7" width="16.33203125" customWidth="1"/>
    <col min="12" max="12" width="12.109375" customWidth="1"/>
  </cols>
  <sheetData>
    <row r="1" spans="1:33" x14ac:dyDescent="0.3">
      <c r="E1" s="5" t="s">
        <v>33</v>
      </c>
      <c r="F1" s="5"/>
      <c r="G1" s="5" t="s">
        <v>34</v>
      </c>
      <c r="M1" t="s">
        <v>107</v>
      </c>
      <c r="N1" t="s">
        <v>108</v>
      </c>
      <c r="O1" t="s">
        <v>6</v>
      </c>
    </row>
    <row r="2" spans="1:33" x14ac:dyDescent="0.3">
      <c r="A2" s="5"/>
      <c r="B2" t="s">
        <v>52</v>
      </c>
      <c r="C2" s="17">
        <v>0.84438518636459858</v>
      </c>
      <c r="E2" s="5"/>
      <c r="F2" s="5"/>
      <c r="G2" s="5" t="s">
        <v>35</v>
      </c>
      <c r="K2" s="58" t="s">
        <v>76</v>
      </c>
      <c r="L2" t="s">
        <v>74</v>
      </c>
      <c r="M2">
        <f>G4*C$2+G20*C$3+G37*C$4+G50*C$5+G68*C$6</f>
        <v>2530.3368852459075</v>
      </c>
      <c r="N2">
        <f>M2*2</f>
        <v>5060.673770491815</v>
      </c>
      <c r="O2" s="48">
        <f>N2/N$8</f>
        <v>0.31869224097483517</v>
      </c>
      <c r="P2" t="s">
        <v>147</v>
      </c>
    </row>
    <row r="3" spans="1:33" x14ac:dyDescent="0.3">
      <c r="A3" s="13"/>
      <c r="B3" t="s">
        <v>53</v>
      </c>
      <c r="C3" s="17">
        <v>0.91767985937275853</v>
      </c>
      <c r="E3" s="5"/>
      <c r="F3" s="5"/>
      <c r="G3" s="5" t="s">
        <v>36</v>
      </c>
      <c r="K3" s="58"/>
      <c r="L3" t="s">
        <v>75</v>
      </c>
      <c r="M3">
        <f>G6*C$2+G22*C$3+G39*C$4+G52*C$5+G70*C$6</f>
        <v>34.612686676027984</v>
      </c>
      <c r="N3">
        <f t="shared" ref="N3:N8" si="0">M3*2</f>
        <v>69.225373352055968</v>
      </c>
      <c r="O3" s="48">
        <f t="shared" ref="O3:O8" si="1">N3/N$8</f>
        <v>4.3594174148361134E-3</v>
      </c>
    </row>
    <row r="4" spans="1:33" x14ac:dyDescent="0.3">
      <c r="A4" s="16"/>
      <c r="B4" t="s">
        <v>57</v>
      </c>
      <c r="C4" s="17">
        <v>0.31466078796389074</v>
      </c>
      <c r="E4" s="5" t="s">
        <v>37</v>
      </c>
      <c r="F4" s="5"/>
      <c r="G4" s="5">
        <v>90</v>
      </c>
      <c r="K4" s="58" t="s">
        <v>82</v>
      </c>
      <c r="L4" t="s">
        <v>105</v>
      </c>
      <c r="M4">
        <f>G8*C$2+G24*C$3+G41*C$4+G54*C$5+G72*C$6</f>
        <v>231.88681850527792</v>
      </c>
      <c r="N4">
        <f t="shared" si="0"/>
        <v>463.77363701055583</v>
      </c>
      <c r="O4" s="48">
        <f t="shared" si="1"/>
        <v>2.9205806654788564E-2</v>
      </c>
    </row>
    <row r="5" spans="1:33" ht="14.4" customHeight="1" x14ac:dyDescent="0.3">
      <c r="A5" s="11"/>
      <c r="B5" t="s">
        <v>58</v>
      </c>
      <c r="C5" s="17">
        <v>0.91858919746223733</v>
      </c>
      <c r="E5" s="5" t="s">
        <v>38</v>
      </c>
      <c r="F5" s="5"/>
      <c r="G5" s="5">
        <v>0</v>
      </c>
      <c r="K5" s="58"/>
      <c r="L5" t="s">
        <v>77</v>
      </c>
      <c r="M5">
        <f>G9*C$2+G25*C$3+G42*C$4+G55*C$5+G73*C$6</f>
        <v>830.37078479604008</v>
      </c>
      <c r="N5">
        <f t="shared" si="0"/>
        <v>1660.7415695920802</v>
      </c>
      <c r="O5" s="48">
        <f t="shared" si="1"/>
        <v>0.10458398950342322</v>
      </c>
    </row>
    <row r="6" spans="1:33" x14ac:dyDescent="0.3">
      <c r="A6" s="15"/>
      <c r="B6" t="s">
        <v>59</v>
      </c>
      <c r="C6" s="17">
        <v>0.79502703329130908</v>
      </c>
      <c r="E6" s="5" t="s">
        <v>39</v>
      </c>
      <c r="F6" s="5"/>
      <c r="G6" s="5">
        <v>0</v>
      </c>
      <c r="K6" s="58"/>
      <c r="L6" t="s">
        <v>79</v>
      </c>
      <c r="M6">
        <f>G10*C$2+G26*C$3+G43*C$4+G56*C$5+G74*C$6</f>
        <v>1782.437814739947</v>
      </c>
      <c r="N6">
        <f t="shared" si="0"/>
        <v>3564.8756294798941</v>
      </c>
      <c r="O6" s="48">
        <f t="shared" si="1"/>
        <v>0.22449544362649429</v>
      </c>
    </row>
    <row r="7" spans="1:33" x14ac:dyDescent="0.3">
      <c r="E7" s="5" t="s">
        <v>40</v>
      </c>
      <c r="F7" s="5"/>
      <c r="G7" s="5">
        <v>90</v>
      </c>
      <c r="K7" s="58"/>
      <c r="L7" t="s">
        <v>80</v>
      </c>
      <c r="M7">
        <f>G11*C$2+G27*C$3+G44*C$4+G57*C$5+G75*C$6</f>
        <v>2530.1055276708639</v>
      </c>
      <c r="N7">
        <f t="shared" si="0"/>
        <v>5060.2110553417278</v>
      </c>
      <c r="O7" s="48">
        <f t="shared" si="1"/>
        <v>0.31866310182562263</v>
      </c>
    </row>
    <row r="8" spans="1:33" x14ac:dyDescent="0.3">
      <c r="E8" s="5" t="s">
        <v>106</v>
      </c>
      <c r="F8" s="5"/>
      <c r="G8" s="5">
        <v>0</v>
      </c>
      <c r="K8" s="57" t="s">
        <v>60</v>
      </c>
      <c r="L8" s="57"/>
      <c r="M8">
        <f>SUM(M2:M7)</f>
        <v>7939.7505176340646</v>
      </c>
      <c r="N8">
        <f t="shared" si="0"/>
        <v>15879.501035268129</v>
      </c>
      <c r="O8" s="39">
        <f t="shared" si="1"/>
        <v>1</v>
      </c>
    </row>
    <row r="9" spans="1:33" x14ac:dyDescent="0.3">
      <c r="E9" s="5" t="s">
        <v>78</v>
      </c>
      <c r="F9" s="5"/>
      <c r="G9" s="5">
        <v>20</v>
      </c>
      <c r="L9" t="s">
        <v>83</v>
      </c>
      <c r="N9" s="40">
        <f>N8/forestarea!E2</f>
        <v>7.2686081289294446E-3</v>
      </c>
      <c r="O9" t="s">
        <v>109</v>
      </c>
    </row>
    <row r="10" spans="1:33" x14ac:dyDescent="0.3">
      <c r="E10" s="5" t="s">
        <v>43</v>
      </c>
      <c r="F10" s="5"/>
      <c r="G10" s="5">
        <v>330</v>
      </c>
    </row>
    <row r="11" spans="1:33" x14ac:dyDescent="0.3">
      <c r="E11" s="5" t="s">
        <v>44</v>
      </c>
      <c r="F11" s="5"/>
      <c r="G11" s="5">
        <v>350</v>
      </c>
      <c r="L11" t="s">
        <v>102</v>
      </c>
    </row>
    <row r="12" spans="1:33" x14ac:dyDescent="0.3">
      <c r="E12" s="5" t="s">
        <v>81</v>
      </c>
      <c r="F12" s="5"/>
      <c r="G12" s="5">
        <v>80</v>
      </c>
    </row>
    <row r="13" spans="1:33" ht="18" x14ac:dyDescent="0.35">
      <c r="E13" s="5" t="s">
        <v>46</v>
      </c>
      <c r="F13" s="5"/>
      <c r="G13" s="5">
        <v>780</v>
      </c>
      <c r="L13" s="41" t="s">
        <v>110</v>
      </c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</row>
    <row r="14" spans="1:33" x14ac:dyDescent="0.3">
      <c r="E14" s="5" t="s">
        <v>47</v>
      </c>
      <c r="F14" s="5"/>
      <c r="G14" s="5">
        <v>870</v>
      </c>
    </row>
    <row r="15" spans="1:33" x14ac:dyDescent="0.3">
      <c r="E15" s="5" t="s">
        <v>48</v>
      </c>
      <c r="F15" s="5"/>
      <c r="G15" s="23">
        <v>0.1</v>
      </c>
    </row>
    <row r="16" spans="1:33" x14ac:dyDescent="0.3">
      <c r="E16" s="5" t="s">
        <v>49</v>
      </c>
      <c r="F16" s="5"/>
      <c r="G16" s="23">
        <v>0.9</v>
      </c>
    </row>
    <row r="17" spans="5:7" x14ac:dyDescent="0.3">
      <c r="E17" s="5" t="s">
        <v>50</v>
      </c>
      <c r="F17" s="5"/>
      <c r="G17" s="5">
        <v>0</v>
      </c>
    </row>
    <row r="18" spans="5:7" x14ac:dyDescent="0.3">
      <c r="E18" s="5"/>
    </row>
    <row r="20" spans="5:7" x14ac:dyDescent="0.3">
      <c r="E20" s="13" t="s">
        <v>37</v>
      </c>
      <c r="F20" s="13"/>
      <c r="G20" s="13">
        <v>780</v>
      </c>
    </row>
    <row r="21" spans="5:7" x14ac:dyDescent="0.3">
      <c r="E21" s="13" t="s">
        <v>38</v>
      </c>
      <c r="F21" s="13"/>
      <c r="G21" s="13">
        <v>0</v>
      </c>
    </row>
    <row r="22" spans="5:7" x14ac:dyDescent="0.3">
      <c r="E22" s="13" t="s">
        <v>39</v>
      </c>
      <c r="F22" s="13"/>
      <c r="G22" s="13">
        <v>0</v>
      </c>
    </row>
    <row r="23" spans="5:7" x14ac:dyDescent="0.3">
      <c r="E23" s="13" t="s">
        <v>40</v>
      </c>
      <c r="F23" s="13"/>
      <c r="G23" s="13">
        <v>780</v>
      </c>
    </row>
    <row r="24" spans="5:7" x14ac:dyDescent="0.3">
      <c r="E24" s="13" t="s">
        <v>41</v>
      </c>
      <c r="F24" s="13"/>
      <c r="G24" s="13">
        <v>50</v>
      </c>
    </row>
    <row r="25" spans="5:7" x14ac:dyDescent="0.3">
      <c r="E25" s="13" t="s">
        <v>42</v>
      </c>
      <c r="F25" s="13"/>
      <c r="G25" s="13">
        <v>60</v>
      </c>
    </row>
    <row r="26" spans="5:7" x14ac:dyDescent="0.3">
      <c r="E26" s="13" t="s">
        <v>43</v>
      </c>
      <c r="F26" s="13"/>
      <c r="G26" s="13">
        <v>560</v>
      </c>
    </row>
    <row r="27" spans="5:7" x14ac:dyDescent="0.3">
      <c r="E27" s="13" t="s">
        <v>44</v>
      </c>
      <c r="F27" s="13"/>
      <c r="G27" s="13">
        <v>460</v>
      </c>
    </row>
    <row r="28" spans="5:7" x14ac:dyDescent="0.3">
      <c r="E28" s="13" t="s">
        <v>45</v>
      </c>
      <c r="F28" s="13"/>
      <c r="G28" s="13">
        <v>130</v>
      </c>
    </row>
    <row r="29" spans="5:7" x14ac:dyDescent="0.3">
      <c r="E29" s="13" t="s">
        <v>46</v>
      </c>
      <c r="F29" s="13"/>
      <c r="G29" s="13">
        <v>1260</v>
      </c>
    </row>
    <row r="30" spans="5:7" x14ac:dyDescent="0.3">
      <c r="E30" s="13" t="s">
        <v>47</v>
      </c>
      <c r="F30" s="13"/>
      <c r="G30" s="13">
        <v>2040</v>
      </c>
    </row>
    <row r="31" spans="5:7" x14ac:dyDescent="0.3">
      <c r="E31" s="13" t="s">
        <v>48</v>
      </c>
      <c r="F31" s="13"/>
      <c r="G31" s="24">
        <v>0.38</v>
      </c>
    </row>
    <row r="32" spans="5:7" x14ac:dyDescent="0.3">
      <c r="E32" s="13" t="s">
        <v>49</v>
      </c>
      <c r="F32" s="13"/>
      <c r="G32" s="24">
        <v>0.62</v>
      </c>
    </row>
    <row r="33" spans="5:7" x14ac:dyDescent="0.3">
      <c r="E33" s="13" t="s">
        <v>50</v>
      </c>
      <c r="F33" s="13"/>
      <c r="G33" s="13">
        <v>120</v>
      </c>
    </row>
    <row r="34" spans="5:7" x14ac:dyDescent="0.3">
      <c r="E34" s="13" t="s">
        <v>51</v>
      </c>
      <c r="F34" s="13"/>
      <c r="G34" s="13">
        <v>1140</v>
      </c>
    </row>
    <row r="37" spans="5:7" x14ac:dyDescent="0.3">
      <c r="E37" s="16" t="s">
        <v>37</v>
      </c>
      <c r="F37" s="16"/>
      <c r="G37" s="16">
        <v>180</v>
      </c>
    </row>
    <row r="38" spans="5:7" x14ac:dyDescent="0.3">
      <c r="E38" s="16" t="s">
        <v>38</v>
      </c>
      <c r="F38" s="16"/>
      <c r="G38" s="16">
        <v>0</v>
      </c>
    </row>
    <row r="39" spans="5:7" x14ac:dyDescent="0.3">
      <c r="E39" s="16" t="s">
        <v>39</v>
      </c>
      <c r="F39" s="16"/>
      <c r="G39" s="16">
        <v>110</v>
      </c>
    </row>
    <row r="40" spans="5:7" x14ac:dyDescent="0.3">
      <c r="E40" s="16" t="s">
        <v>67</v>
      </c>
      <c r="F40" s="16"/>
      <c r="G40" s="16">
        <v>290</v>
      </c>
    </row>
    <row r="41" spans="5:7" x14ac:dyDescent="0.3">
      <c r="E41" s="16" t="s">
        <v>41</v>
      </c>
      <c r="F41" s="16"/>
      <c r="G41" s="16">
        <v>10</v>
      </c>
    </row>
    <row r="42" spans="5:7" x14ac:dyDescent="0.3">
      <c r="E42" s="16" t="s">
        <v>68</v>
      </c>
      <c r="F42" s="16"/>
      <c r="G42" s="16">
        <v>10</v>
      </c>
    </row>
    <row r="43" spans="5:7" x14ac:dyDescent="0.3">
      <c r="E43" s="16" t="s">
        <v>69</v>
      </c>
      <c r="F43" s="16"/>
      <c r="G43" s="16">
        <v>510</v>
      </c>
    </row>
    <row r="44" spans="5:7" x14ac:dyDescent="0.3">
      <c r="E44" s="16" t="s">
        <v>70</v>
      </c>
      <c r="F44" s="16"/>
      <c r="G44" s="16">
        <v>950</v>
      </c>
    </row>
    <row r="45" spans="5:7" x14ac:dyDescent="0.3">
      <c r="E45" s="16" t="s">
        <v>71</v>
      </c>
      <c r="F45" s="16"/>
      <c r="G45" s="16">
        <v>630</v>
      </c>
    </row>
    <row r="46" spans="5:7" x14ac:dyDescent="0.3">
      <c r="E46" s="16" t="s">
        <v>72</v>
      </c>
      <c r="F46" s="16"/>
      <c r="G46" s="16">
        <v>2110</v>
      </c>
    </row>
    <row r="47" spans="5:7" x14ac:dyDescent="0.3">
      <c r="E47" s="16" t="s">
        <v>73</v>
      </c>
      <c r="F47" s="16"/>
      <c r="G47" s="16">
        <v>2400</v>
      </c>
    </row>
    <row r="50" spans="5:7" x14ac:dyDescent="0.3">
      <c r="E50" s="11" t="s">
        <v>37</v>
      </c>
      <c r="F50" s="11"/>
      <c r="G50" s="11">
        <v>100</v>
      </c>
    </row>
    <row r="51" spans="5:7" x14ac:dyDescent="0.3">
      <c r="E51" s="11" t="s">
        <v>38</v>
      </c>
      <c r="F51" s="11"/>
      <c r="G51" s="11">
        <v>0</v>
      </c>
    </row>
    <row r="52" spans="5:7" x14ac:dyDescent="0.3">
      <c r="E52" s="11" t="s">
        <v>39</v>
      </c>
      <c r="F52" s="11"/>
      <c r="G52" s="11">
        <v>0</v>
      </c>
    </row>
    <row r="53" spans="5:7" x14ac:dyDescent="0.3">
      <c r="E53" s="11" t="s">
        <v>99</v>
      </c>
      <c r="F53" s="11"/>
      <c r="G53" s="11">
        <v>100</v>
      </c>
    </row>
    <row r="54" spans="5:7" x14ac:dyDescent="0.3">
      <c r="E54" s="11" t="s">
        <v>41</v>
      </c>
      <c r="F54" s="11"/>
      <c r="G54" s="11">
        <v>0</v>
      </c>
    </row>
    <row r="55" spans="5:7" x14ac:dyDescent="0.3">
      <c r="E55" s="11" t="s">
        <v>68</v>
      </c>
      <c r="F55" s="11"/>
      <c r="G55" s="11">
        <v>0</v>
      </c>
    </row>
    <row r="56" spans="5:7" x14ac:dyDescent="0.3">
      <c r="E56" s="11" t="s">
        <v>69</v>
      </c>
      <c r="F56" s="11"/>
      <c r="G56" s="11">
        <v>600</v>
      </c>
    </row>
    <row r="57" spans="5:7" x14ac:dyDescent="0.3">
      <c r="E57" s="11" t="s">
        <v>100</v>
      </c>
      <c r="F57" s="11"/>
      <c r="G57" s="11">
        <v>410</v>
      </c>
    </row>
    <row r="58" spans="5:7" x14ac:dyDescent="0.3">
      <c r="E58" s="11" t="s">
        <v>101</v>
      </c>
      <c r="F58" s="11"/>
      <c r="G58" s="11">
        <v>240</v>
      </c>
    </row>
    <row r="59" spans="5:7" x14ac:dyDescent="0.3">
      <c r="E59" s="11" t="s">
        <v>72</v>
      </c>
      <c r="F59" s="11"/>
      <c r="G59" s="11">
        <v>1250</v>
      </c>
    </row>
    <row r="60" spans="5:7" x14ac:dyDescent="0.3">
      <c r="E60" s="11" t="s">
        <v>73</v>
      </c>
      <c r="F60" s="11"/>
      <c r="G60" s="11">
        <v>1350</v>
      </c>
    </row>
    <row r="61" spans="5:7" x14ac:dyDescent="0.3">
      <c r="E61" s="11" t="s">
        <v>48</v>
      </c>
      <c r="F61" s="11"/>
      <c r="G61" s="11">
        <v>7.0000000000000007E-2</v>
      </c>
    </row>
    <row r="62" spans="5:7" x14ac:dyDescent="0.3">
      <c r="E62" s="11" t="s">
        <v>49</v>
      </c>
      <c r="F62" s="11"/>
      <c r="G62" s="11">
        <v>0.93</v>
      </c>
    </row>
    <row r="63" spans="5:7" x14ac:dyDescent="0.3">
      <c r="E63" s="11" t="s">
        <v>50</v>
      </c>
      <c r="F63" s="11"/>
      <c r="G63" s="11">
        <v>220</v>
      </c>
    </row>
    <row r="64" spans="5:7" x14ac:dyDescent="0.3">
      <c r="E64" s="11" t="s">
        <v>51</v>
      </c>
      <c r="F64" s="11"/>
      <c r="G64" s="11">
        <v>1030</v>
      </c>
    </row>
    <row r="65" spans="5:7" x14ac:dyDescent="0.3">
      <c r="E65" s="11"/>
      <c r="F65" s="11"/>
      <c r="G65" s="11"/>
    </row>
    <row r="68" spans="5:7" x14ac:dyDescent="0.3">
      <c r="E68" s="15" t="s">
        <v>37</v>
      </c>
      <c r="F68" s="15"/>
      <c r="G68" s="15">
        <v>2000</v>
      </c>
    </row>
    <row r="69" spans="5:7" x14ac:dyDescent="0.3">
      <c r="E69" s="15" t="s">
        <v>38</v>
      </c>
      <c r="F69" s="15"/>
      <c r="G69" s="15">
        <v>0</v>
      </c>
    </row>
    <row r="70" spans="5:7" x14ac:dyDescent="0.3">
      <c r="E70" s="15" t="s">
        <v>39</v>
      </c>
      <c r="F70" s="15"/>
      <c r="G70" s="15">
        <v>0</v>
      </c>
    </row>
    <row r="71" spans="5:7" x14ac:dyDescent="0.3">
      <c r="E71" s="15" t="s">
        <v>99</v>
      </c>
      <c r="F71" s="15"/>
      <c r="G71" s="15">
        <v>2000</v>
      </c>
    </row>
    <row r="72" spans="5:7" x14ac:dyDescent="0.3">
      <c r="E72" s="15" t="s">
        <v>41</v>
      </c>
      <c r="F72" s="15"/>
      <c r="G72" s="15">
        <v>230</v>
      </c>
    </row>
    <row r="73" spans="5:7" x14ac:dyDescent="0.3">
      <c r="E73" s="15" t="s">
        <v>68</v>
      </c>
      <c r="F73" s="15"/>
      <c r="G73" s="15">
        <v>950</v>
      </c>
    </row>
    <row r="74" spans="5:7" x14ac:dyDescent="0.3">
      <c r="E74" s="15" t="s">
        <v>69</v>
      </c>
      <c r="F74" s="15"/>
      <c r="G74" s="15">
        <v>350</v>
      </c>
    </row>
    <row r="75" spans="5:7" x14ac:dyDescent="0.3">
      <c r="E75" s="15" t="s">
        <v>100</v>
      </c>
      <c r="F75" s="15"/>
      <c r="G75" s="15">
        <v>1430</v>
      </c>
    </row>
    <row r="76" spans="5:7" x14ac:dyDescent="0.3">
      <c r="E76" s="15" t="s">
        <v>45</v>
      </c>
      <c r="F76" s="15"/>
      <c r="G76" s="15">
        <v>230</v>
      </c>
    </row>
    <row r="77" spans="5:7" x14ac:dyDescent="0.3">
      <c r="E77" s="15" t="s">
        <v>72</v>
      </c>
      <c r="F77" s="15"/>
      <c r="G77" s="15">
        <v>3190</v>
      </c>
    </row>
    <row r="78" spans="5:7" x14ac:dyDescent="0.3">
      <c r="E78" s="15" t="s">
        <v>73</v>
      </c>
      <c r="F78" s="15"/>
      <c r="G78" s="15">
        <v>5190</v>
      </c>
    </row>
    <row r="79" spans="5:7" x14ac:dyDescent="0.3">
      <c r="E79" s="15" t="s">
        <v>48</v>
      </c>
      <c r="F79" s="15"/>
      <c r="G79" s="15" t="s">
        <v>103</v>
      </c>
    </row>
    <row r="80" spans="5:7" x14ac:dyDescent="0.3">
      <c r="E80" s="15" t="s">
        <v>49</v>
      </c>
      <c r="F80" s="15"/>
      <c r="G80" s="15" t="s">
        <v>104</v>
      </c>
    </row>
    <row r="81" spans="5:7" x14ac:dyDescent="0.3">
      <c r="E81" s="15" t="s">
        <v>50</v>
      </c>
      <c r="F81" s="15"/>
      <c r="G81" s="15">
        <v>500</v>
      </c>
    </row>
    <row r="82" spans="5:7" x14ac:dyDescent="0.3">
      <c r="E82" s="15" t="s">
        <v>51</v>
      </c>
      <c r="F82" s="15"/>
      <c r="G82" s="15">
        <v>2700</v>
      </c>
    </row>
  </sheetData>
  <mergeCells count="3">
    <mergeCell ref="K8:L8"/>
    <mergeCell ref="K4:K7"/>
    <mergeCell ref="K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CB78-0290-4D49-ADA7-6C0E5BAE7F26}">
  <dimension ref="A1:AF50"/>
  <sheetViews>
    <sheetView tabSelected="1" workbookViewId="0">
      <selection activeCell="S2" sqref="S2"/>
    </sheetView>
  </sheetViews>
  <sheetFormatPr defaultRowHeight="14.4" x14ac:dyDescent="0.3"/>
  <cols>
    <col min="1" max="1" width="20.6640625" customWidth="1"/>
    <col min="2" max="2" width="12.33203125" bestFit="1" customWidth="1"/>
    <col min="3" max="3" width="9.5546875" bestFit="1" customWidth="1"/>
    <col min="4" max="4" width="9.109375" bestFit="1" customWidth="1"/>
    <col min="5" max="5" width="9.5546875" bestFit="1" customWidth="1"/>
    <col min="6" max="6" width="9.6640625" bestFit="1" customWidth="1"/>
    <col min="7" max="7" width="9.5546875" bestFit="1" customWidth="1"/>
    <col min="8" max="8" width="32.88671875" customWidth="1"/>
    <col min="9" max="9" width="9.6640625" bestFit="1" customWidth="1"/>
    <col min="10" max="10" width="9.5546875" bestFit="1" customWidth="1"/>
    <col min="11" max="11" width="9.6640625" bestFit="1" customWidth="1"/>
    <col min="12" max="12" width="10.5546875" bestFit="1" customWidth="1"/>
    <col min="13" max="13" width="21.6640625" customWidth="1"/>
    <col min="14" max="14" width="12" bestFit="1" customWidth="1"/>
    <col min="18" max="18" width="14.44140625" customWidth="1"/>
  </cols>
  <sheetData>
    <row r="1" spans="1:19" x14ac:dyDescent="0.3">
      <c r="A1" t="s">
        <v>21</v>
      </c>
      <c r="B1" t="s">
        <v>22</v>
      </c>
    </row>
    <row r="2" spans="1:19" x14ac:dyDescent="0.3">
      <c r="A2" t="s">
        <v>32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4</v>
      </c>
      <c r="S2" t="s">
        <v>146</v>
      </c>
    </row>
    <row r="3" spans="1:19" x14ac:dyDescent="0.3">
      <c r="A3" t="s">
        <v>52</v>
      </c>
      <c r="B3">
        <v>9100</v>
      </c>
      <c r="C3">
        <v>1300</v>
      </c>
      <c r="D3">
        <v>3100</v>
      </c>
      <c r="E3">
        <v>1300</v>
      </c>
      <c r="F3">
        <v>8300</v>
      </c>
      <c r="G3">
        <v>2600</v>
      </c>
      <c r="H3">
        <v>9900</v>
      </c>
      <c r="I3">
        <v>35400</v>
      </c>
      <c r="J3">
        <v>12700</v>
      </c>
      <c r="K3">
        <v>83700</v>
      </c>
      <c r="R3" t="s">
        <v>52</v>
      </c>
      <c r="S3" s="17">
        <v>0.84438518636459858</v>
      </c>
    </row>
    <row r="4" spans="1:19" x14ac:dyDescent="0.3">
      <c r="A4" t="s">
        <v>53</v>
      </c>
      <c r="B4">
        <v>87100</v>
      </c>
      <c r="C4">
        <v>4000</v>
      </c>
      <c r="D4">
        <v>900</v>
      </c>
      <c r="E4">
        <v>400</v>
      </c>
      <c r="F4">
        <v>8300</v>
      </c>
      <c r="G4">
        <v>36600</v>
      </c>
      <c r="H4">
        <v>44400</v>
      </c>
      <c r="I4">
        <v>42900</v>
      </c>
      <c r="J4">
        <v>3100</v>
      </c>
      <c r="K4">
        <v>227700</v>
      </c>
      <c r="R4" t="s">
        <v>53</v>
      </c>
      <c r="S4" s="17">
        <v>0.91767985937275853</v>
      </c>
    </row>
    <row r="5" spans="1:19" x14ac:dyDescent="0.3">
      <c r="A5" t="s">
        <v>57</v>
      </c>
      <c r="B5">
        <v>24700</v>
      </c>
      <c r="C5">
        <v>6400</v>
      </c>
      <c r="D5">
        <v>12400</v>
      </c>
      <c r="E5">
        <v>3700</v>
      </c>
      <c r="F5">
        <v>18400</v>
      </c>
      <c r="G5">
        <v>7400</v>
      </c>
      <c r="H5">
        <v>22700</v>
      </c>
      <c r="I5">
        <v>66500</v>
      </c>
      <c r="J5">
        <v>31800</v>
      </c>
      <c r="K5">
        <v>194000</v>
      </c>
      <c r="R5" t="s">
        <v>57</v>
      </c>
      <c r="S5" s="17">
        <v>0.31466078796389074</v>
      </c>
    </row>
    <row r="6" spans="1:19" x14ac:dyDescent="0.3">
      <c r="A6" t="s">
        <v>58</v>
      </c>
      <c r="B6">
        <v>10500</v>
      </c>
      <c r="C6">
        <v>4900</v>
      </c>
      <c r="D6">
        <v>13400</v>
      </c>
      <c r="E6">
        <v>2600</v>
      </c>
      <c r="F6">
        <v>12600</v>
      </c>
      <c r="G6">
        <v>4000</v>
      </c>
      <c r="H6">
        <v>8200</v>
      </c>
      <c r="I6">
        <v>34100</v>
      </c>
      <c r="J6">
        <v>15800</v>
      </c>
      <c r="K6">
        <v>106100</v>
      </c>
      <c r="R6" t="s">
        <v>58</v>
      </c>
      <c r="S6" s="17">
        <v>0.91858919746223733</v>
      </c>
    </row>
    <row r="7" spans="1:19" x14ac:dyDescent="0.3">
      <c r="A7" t="s">
        <v>59</v>
      </c>
      <c r="B7">
        <v>109900</v>
      </c>
      <c r="C7">
        <v>20800</v>
      </c>
      <c r="D7">
        <v>3500</v>
      </c>
      <c r="E7">
        <v>41500</v>
      </c>
      <c r="F7">
        <v>85900</v>
      </c>
      <c r="G7">
        <v>51100</v>
      </c>
      <c r="H7">
        <v>54700</v>
      </c>
      <c r="I7">
        <v>139600</v>
      </c>
      <c r="J7">
        <v>65300</v>
      </c>
      <c r="K7">
        <v>572300</v>
      </c>
      <c r="R7" t="s">
        <v>59</v>
      </c>
      <c r="S7" s="17">
        <v>0.79502703329130908</v>
      </c>
    </row>
    <row r="9" spans="1:19" x14ac:dyDescent="0.3">
      <c r="A9" t="s">
        <v>111</v>
      </c>
    </row>
    <row r="15" spans="1:19" x14ac:dyDescent="0.3">
      <c r="B15" t="s">
        <v>23</v>
      </c>
      <c r="C15" t="s">
        <v>24</v>
      </c>
      <c r="D15" t="s">
        <v>25</v>
      </c>
      <c r="E15" t="s">
        <v>112</v>
      </c>
      <c r="F15" t="s">
        <v>27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</row>
    <row r="16" spans="1:19" x14ac:dyDescent="0.3">
      <c r="A16" t="s">
        <v>118</v>
      </c>
      <c r="B16" s="18">
        <f t="shared" ref="B16:J16" si="0">B3*$S$3</f>
        <v>7683.9051959178469</v>
      </c>
      <c r="C16" s="18">
        <f t="shared" si="0"/>
        <v>1097.7007422739782</v>
      </c>
      <c r="D16" s="18">
        <f t="shared" si="0"/>
        <v>2617.5940777302558</v>
      </c>
      <c r="E16" s="18">
        <f t="shared" si="0"/>
        <v>1097.7007422739782</v>
      </c>
      <c r="F16" s="18">
        <f t="shared" si="0"/>
        <v>7008.3970468261687</v>
      </c>
      <c r="G16" s="18">
        <f t="shared" si="0"/>
        <v>2195.4014845479564</v>
      </c>
      <c r="H16" s="18">
        <f t="shared" si="0"/>
        <v>8359.4133450095251</v>
      </c>
      <c r="I16" s="18">
        <f t="shared" si="0"/>
        <v>29891.23559730679</v>
      </c>
      <c r="J16" s="18">
        <f t="shared" si="0"/>
        <v>10723.691866830402</v>
      </c>
      <c r="K16" s="18">
        <f>SUM(B16:J16)</f>
        <v>70675.040098716898</v>
      </c>
    </row>
    <row r="17" spans="1:14" x14ac:dyDescent="0.3">
      <c r="A17" t="s">
        <v>119</v>
      </c>
      <c r="B17" s="18">
        <f t="shared" ref="B17:J17" si="1">B4*$S$4</f>
        <v>79929.915751367269</v>
      </c>
      <c r="C17" s="18">
        <f t="shared" si="1"/>
        <v>3670.7194374910341</v>
      </c>
      <c r="D17" s="18">
        <f t="shared" si="1"/>
        <v>825.91187343548268</v>
      </c>
      <c r="E17" s="18">
        <f t="shared" si="1"/>
        <v>367.07194374910341</v>
      </c>
      <c r="F17" s="18">
        <f t="shared" si="1"/>
        <v>7616.742832793896</v>
      </c>
      <c r="G17" s="18">
        <f t="shared" si="1"/>
        <v>33587.082853042964</v>
      </c>
      <c r="H17" s="18">
        <f t="shared" si="1"/>
        <v>40744.985756150476</v>
      </c>
      <c r="I17" s="18">
        <f t="shared" si="1"/>
        <v>39368.465967091339</v>
      </c>
      <c r="J17" s="18">
        <f t="shared" si="1"/>
        <v>2844.8075640555517</v>
      </c>
      <c r="K17" s="18">
        <f t="shared" ref="K17:K20" si="2">SUM(B17:J17)</f>
        <v>208955.70397917711</v>
      </c>
    </row>
    <row r="18" spans="1:14" x14ac:dyDescent="0.3">
      <c r="A18" t="s">
        <v>120</v>
      </c>
      <c r="B18" s="18">
        <f t="shared" ref="B18:J18" si="3">B5*$S$5</f>
        <v>7772.1214627081017</v>
      </c>
      <c r="C18" s="18">
        <f t="shared" si="3"/>
        <v>2013.8290429689007</v>
      </c>
      <c r="D18" s="18">
        <f t="shared" si="3"/>
        <v>3901.7937707522451</v>
      </c>
      <c r="E18" s="18">
        <f t="shared" si="3"/>
        <v>1164.2449154663957</v>
      </c>
      <c r="F18" s="18">
        <f t="shared" si="3"/>
        <v>5789.7584985355898</v>
      </c>
      <c r="G18" s="18">
        <f t="shared" si="3"/>
        <v>2328.4898309327914</v>
      </c>
      <c r="H18" s="18">
        <f t="shared" si="3"/>
        <v>7142.7998867803199</v>
      </c>
      <c r="I18" s="18">
        <f t="shared" si="3"/>
        <v>20924.942399598734</v>
      </c>
      <c r="J18" s="18">
        <f t="shared" si="3"/>
        <v>10006.213057251725</v>
      </c>
      <c r="K18" s="18">
        <f t="shared" si="2"/>
        <v>61044.192864994802</v>
      </c>
    </row>
    <row r="19" spans="1:14" x14ac:dyDescent="0.3">
      <c r="A19" t="s">
        <v>121</v>
      </c>
      <c r="B19" s="18">
        <f t="shared" ref="B19:J19" si="4">B6*$S$6</f>
        <v>9645.1865733534923</v>
      </c>
      <c r="C19" s="18">
        <f t="shared" si="4"/>
        <v>4501.087067564963</v>
      </c>
      <c r="D19" s="18">
        <f t="shared" si="4"/>
        <v>12309.09524599398</v>
      </c>
      <c r="E19" s="18">
        <f t="shared" si="4"/>
        <v>2388.331913401817</v>
      </c>
      <c r="F19" s="18">
        <f t="shared" si="4"/>
        <v>11574.223888024191</v>
      </c>
      <c r="G19" s="18">
        <f t="shared" si="4"/>
        <v>3674.3567898489491</v>
      </c>
      <c r="H19" s="18">
        <f t="shared" si="4"/>
        <v>7532.4314191903459</v>
      </c>
      <c r="I19" s="18">
        <f t="shared" si="4"/>
        <v>31323.891633462292</v>
      </c>
      <c r="J19" s="18">
        <f t="shared" si="4"/>
        <v>14513.70931990335</v>
      </c>
      <c r="K19" s="18">
        <f t="shared" si="2"/>
        <v>97462.313850743391</v>
      </c>
    </row>
    <row r="20" spans="1:14" x14ac:dyDescent="0.3">
      <c r="A20" t="s">
        <v>122</v>
      </c>
      <c r="B20" s="18">
        <f t="shared" ref="B20:J20" si="5">B7*$S$7</f>
        <v>87373.470958714868</v>
      </c>
      <c r="C20" s="18">
        <f t="shared" si="5"/>
        <v>16536.562292459228</v>
      </c>
      <c r="D20" s="18">
        <f t="shared" si="5"/>
        <v>2782.5946165195819</v>
      </c>
      <c r="E20" s="18">
        <f t="shared" si="5"/>
        <v>32993.62188158933</v>
      </c>
      <c r="F20" s="18">
        <f t="shared" si="5"/>
        <v>68292.822159723451</v>
      </c>
      <c r="G20" s="18">
        <f t="shared" si="5"/>
        <v>40625.881401185892</v>
      </c>
      <c r="H20" s="18">
        <f t="shared" si="5"/>
        <v>43487.978721034604</v>
      </c>
      <c r="I20" s="18">
        <f t="shared" si="5"/>
        <v>110985.77384746674</v>
      </c>
      <c r="J20" s="18">
        <f t="shared" si="5"/>
        <v>51915.26527392248</v>
      </c>
      <c r="K20" s="18">
        <f t="shared" si="2"/>
        <v>454993.97115261614</v>
      </c>
    </row>
    <row r="21" spans="1:14" x14ac:dyDescent="0.3">
      <c r="A21" t="s">
        <v>123</v>
      </c>
      <c r="B21" s="18">
        <f>SUM(B16:B20)</f>
        <v>192404.59994206158</v>
      </c>
      <c r="C21" s="18">
        <f t="shared" ref="C21:J21" si="6">SUM(C16:C20)</f>
        <v>27819.898582758105</v>
      </c>
      <c r="D21" s="18">
        <f t="shared" si="6"/>
        <v>22436.989584431543</v>
      </c>
      <c r="E21" s="18">
        <f t="shared" si="6"/>
        <v>38010.971396480621</v>
      </c>
      <c r="F21" s="18">
        <f t="shared" si="6"/>
        <v>100281.94442590329</v>
      </c>
      <c r="G21" s="18">
        <f t="shared" si="6"/>
        <v>82411.212359558558</v>
      </c>
      <c r="H21" s="18">
        <f t="shared" si="6"/>
        <v>107267.60912816526</v>
      </c>
      <c r="I21" s="18">
        <f t="shared" si="6"/>
        <v>232494.30944492589</v>
      </c>
      <c r="J21" s="18">
        <f t="shared" si="6"/>
        <v>90003.687081963508</v>
      </c>
      <c r="K21" s="18">
        <f>SUM(K16:K20)</f>
        <v>893131.22194624832</v>
      </c>
    </row>
    <row r="22" spans="1:14" x14ac:dyDescent="0.3">
      <c r="A22" t="s">
        <v>6</v>
      </c>
      <c r="B22" s="17">
        <f>B21/$K$21</f>
        <v>0.21542702260792887</v>
      </c>
      <c r="C22" s="17">
        <f t="shared" ref="C22:K22" si="7">C21/$K$21</f>
        <v>3.1148724732895299E-2</v>
      </c>
      <c r="D22" s="17">
        <f t="shared" si="7"/>
        <v>2.5121716756848388E-2</v>
      </c>
      <c r="E22" s="17">
        <f t="shared" si="7"/>
        <v>4.2559223619626468E-2</v>
      </c>
      <c r="F22" s="17">
        <f t="shared" si="7"/>
        <v>0.11228131092245995</v>
      </c>
      <c r="G22" s="17">
        <f t="shared" si="7"/>
        <v>9.2272233166335718E-2</v>
      </c>
      <c r="H22" s="17">
        <f t="shared" si="7"/>
        <v>0.12010285442089381</v>
      </c>
      <c r="I22" s="17">
        <f t="shared" si="7"/>
        <v>0.26031371844586371</v>
      </c>
      <c r="J22" s="17">
        <f t="shared" si="7"/>
        <v>0.10077319532714783</v>
      </c>
      <c r="K22" s="17">
        <f t="shared" si="7"/>
        <v>1</v>
      </c>
    </row>
    <row r="23" spans="1:14" x14ac:dyDescent="0.3">
      <c r="B23" s="39"/>
      <c r="C23" s="39"/>
      <c r="D23" s="39"/>
      <c r="E23" s="39"/>
      <c r="F23" s="39"/>
      <c r="G23" s="39"/>
      <c r="H23" s="39"/>
      <c r="I23" s="39"/>
      <c r="J23" s="39"/>
      <c r="K23" s="39"/>
    </row>
    <row r="24" spans="1:14" x14ac:dyDescent="0.3">
      <c r="A24" s="42" t="s">
        <v>131</v>
      </c>
      <c r="B24" s="42" t="s">
        <v>127</v>
      </c>
      <c r="C24" s="42" t="s">
        <v>128</v>
      </c>
      <c r="D24" s="42" t="s">
        <v>129</v>
      </c>
      <c r="E24" s="42" t="s">
        <v>130</v>
      </c>
    </row>
    <row r="25" spans="1:14" x14ac:dyDescent="0.3">
      <c r="A25" s="42"/>
      <c r="B25" s="42">
        <v>0.4</v>
      </c>
      <c r="C25" s="42">
        <v>0.45</v>
      </c>
      <c r="D25" s="42">
        <v>0.05</v>
      </c>
      <c r="E25" s="42">
        <v>0.1</v>
      </c>
      <c r="F25" s="42"/>
    </row>
    <row r="26" spans="1:14" x14ac:dyDescent="0.3">
      <c r="A26" s="42"/>
      <c r="B26" s="42"/>
      <c r="C26" s="42"/>
      <c r="D26" s="42"/>
      <c r="E26" s="42"/>
    </row>
    <row r="27" spans="1:14" x14ac:dyDescent="0.3">
      <c r="B27" t="s">
        <v>127</v>
      </c>
      <c r="C27" t="s">
        <v>128</v>
      </c>
      <c r="D27" t="s">
        <v>129</v>
      </c>
      <c r="E27" t="s">
        <v>130</v>
      </c>
      <c r="F27" t="s">
        <v>24</v>
      </c>
      <c r="G27" t="s">
        <v>25</v>
      </c>
      <c r="H27" t="s">
        <v>112</v>
      </c>
      <c r="I27" t="s">
        <v>27</v>
      </c>
      <c r="J27" t="s">
        <v>113</v>
      </c>
      <c r="K27" t="s">
        <v>114</v>
      </c>
      <c r="L27" t="s">
        <v>115</v>
      </c>
      <c r="M27" t="s">
        <v>116</v>
      </c>
      <c r="N27" t="s">
        <v>60</v>
      </c>
    </row>
    <row r="28" spans="1:14" x14ac:dyDescent="0.3">
      <c r="B28">
        <f>$B21*B25</f>
        <v>76961.839976824631</v>
      </c>
      <c r="C28">
        <f>$B21*C25</f>
        <v>86582.069973927719</v>
      </c>
      <c r="D28">
        <f>$B21*D25</f>
        <v>9620.2299971030789</v>
      </c>
      <c r="E28">
        <f>$B21*E25</f>
        <v>19240.459994206158</v>
      </c>
      <c r="F28">
        <f>C21</f>
        <v>27819.898582758105</v>
      </c>
      <c r="G28">
        <f t="shared" ref="G28:M28" si="8">D21</f>
        <v>22436.989584431543</v>
      </c>
      <c r="H28">
        <f t="shared" si="8"/>
        <v>38010.971396480621</v>
      </c>
      <c r="I28">
        <f t="shared" si="8"/>
        <v>100281.94442590329</v>
      </c>
      <c r="J28">
        <f t="shared" si="8"/>
        <v>82411.212359558558</v>
      </c>
      <c r="K28">
        <f t="shared" si="8"/>
        <v>107267.60912816526</v>
      </c>
      <c r="L28">
        <f t="shared" si="8"/>
        <v>232494.30944492589</v>
      </c>
      <c r="M28">
        <f t="shared" si="8"/>
        <v>90003.687081963508</v>
      </c>
      <c r="N28">
        <f>SUM(B28:M28)</f>
        <v>893131.22194624832</v>
      </c>
    </row>
    <row r="29" spans="1:14" x14ac:dyDescent="0.3">
      <c r="A29" t="s">
        <v>124</v>
      </c>
      <c r="B29">
        <v>335</v>
      </c>
      <c r="C29">
        <v>406</v>
      </c>
      <c r="D29">
        <v>421</v>
      </c>
      <c r="E29">
        <v>485</v>
      </c>
      <c r="F29">
        <v>299</v>
      </c>
      <c r="G29">
        <v>384</v>
      </c>
      <c r="H29">
        <v>354</v>
      </c>
      <c r="I29">
        <v>374</v>
      </c>
      <c r="J29">
        <v>506</v>
      </c>
      <c r="K29">
        <v>559</v>
      </c>
      <c r="L29">
        <v>597</v>
      </c>
      <c r="M29">
        <v>499.85714285714283</v>
      </c>
    </row>
    <row r="30" spans="1:14" x14ac:dyDescent="0.3">
      <c r="A30" t="s">
        <v>125</v>
      </c>
      <c r="B30">
        <f>B29*B28</f>
        <v>25782216.392236251</v>
      </c>
      <c r="C30">
        <f t="shared" ref="C30:L30" si="9">C29*C28</f>
        <v>35152320.409414656</v>
      </c>
      <c r="D30">
        <f t="shared" si="9"/>
        <v>4050116.8287803964</v>
      </c>
      <c r="E30">
        <f t="shared" si="9"/>
        <v>9331623.0971899871</v>
      </c>
      <c r="F30">
        <f t="shared" si="9"/>
        <v>8318149.6762446733</v>
      </c>
      <c r="G30">
        <f t="shared" si="9"/>
        <v>8615804.0004217122</v>
      </c>
      <c r="H30">
        <f t="shared" si="9"/>
        <v>13455883.874354141</v>
      </c>
      <c r="I30">
        <f t="shared" si="9"/>
        <v>37505447.215287827</v>
      </c>
      <c r="J30">
        <f t="shared" si="9"/>
        <v>41700073.453936629</v>
      </c>
      <c r="K30">
        <f t="shared" si="9"/>
        <v>59962593.502644382</v>
      </c>
      <c r="L30" s="43">
        <f t="shared" si="9"/>
        <v>138799102.73862076</v>
      </c>
      <c r="M30">
        <f>M29*M28</f>
        <v>44988985.871398613</v>
      </c>
      <c r="N30">
        <f>SUM(B30:M30)</f>
        <v>427662317.06053007</v>
      </c>
    </row>
    <row r="31" spans="1:14" x14ac:dyDescent="0.3">
      <c r="B31" s="39">
        <f>B30/$N30</f>
        <v>6.0286388030271816E-2</v>
      </c>
      <c r="C31" s="39">
        <f t="shared" ref="C31:K31" si="10">C30/$N30</f>
        <v>8.2196440993512407E-2</v>
      </c>
      <c r="D31" s="39">
        <f t="shared" si="10"/>
        <v>9.4703617017703121E-3</v>
      </c>
      <c r="E31" s="39">
        <f t="shared" si="10"/>
        <v>2.1820073279613311E-2</v>
      </c>
      <c r="F31" s="39">
        <f t="shared" si="10"/>
        <v>1.945027500533171E-2</v>
      </c>
      <c r="G31" s="39">
        <f t="shared" si="10"/>
        <v>2.0146278165542129E-2</v>
      </c>
      <c r="H31" s="39">
        <f t="shared" si="10"/>
        <v>3.1463805291148984E-2</v>
      </c>
      <c r="I31" s="39">
        <f t="shared" si="10"/>
        <v>8.769874201934752E-2</v>
      </c>
      <c r="J31" s="39">
        <f t="shared" si="10"/>
        <v>9.7507009129435468E-2</v>
      </c>
      <c r="K31" s="39">
        <f t="shared" si="10"/>
        <v>0.14021014036211532</v>
      </c>
      <c r="L31" s="39">
        <f>L30/$N30</f>
        <v>0.32455303448906753</v>
      </c>
      <c r="M31" s="39">
        <f>M30/$N30</f>
        <v>0.10519745153284339</v>
      </c>
      <c r="N31" s="39">
        <f>N30/$N30</f>
        <v>1</v>
      </c>
    </row>
    <row r="33" spans="1:32" x14ac:dyDescent="0.3">
      <c r="M33" t="s">
        <v>133</v>
      </c>
      <c r="N33" s="45">
        <f>forestarea!P8</f>
        <v>819394.66070283833</v>
      </c>
      <c r="O33" t="s">
        <v>132</v>
      </c>
    </row>
    <row r="34" spans="1:32" x14ac:dyDescent="0.3">
      <c r="N34" s="34">
        <f>N33/1000000</f>
        <v>0.81939466070283828</v>
      </c>
      <c r="O34" t="s">
        <v>141</v>
      </c>
    </row>
    <row r="38" spans="1:32" x14ac:dyDescent="0.3">
      <c r="B38" t="s">
        <v>127</v>
      </c>
      <c r="C38" t="s">
        <v>128</v>
      </c>
      <c r="D38" t="s">
        <v>129</v>
      </c>
      <c r="E38" t="s">
        <v>130</v>
      </c>
      <c r="F38" t="s">
        <v>24</v>
      </c>
      <c r="G38" t="s">
        <v>25</v>
      </c>
      <c r="H38" t="s">
        <v>112</v>
      </c>
      <c r="I38" t="s">
        <v>27</v>
      </c>
      <c r="J38" t="s">
        <v>113</v>
      </c>
      <c r="K38" t="s">
        <v>114</v>
      </c>
      <c r="L38" t="s">
        <v>115</v>
      </c>
      <c r="M38" t="s">
        <v>116</v>
      </c>
      <c r="R38" t="s">
        <v>138</v>
      </c>
      <c r="S38" t="s">
        <v>139</v>
      </c>
    </row>
    <row r="39" spans="1:32" x14ac:dyDescent="0.3">
      <c r="A39" t="s">
        <v>132</v>
      </c>
      <c r="B39">
        <v>25782.216392236252</v>
      </c>
      <c r="C39">
        <v>35152.320409414657</v>
      </c>
      <c r="D39">
        <v>4050.1168287803962</v>
      </c>
      <c r="E39">
        <v>9331.6230971899877</v>
      </c>
      <c r="F39">
        <v>8318.1496762446732</v>
      </c>
      <c r="G39">
        <v>8615.8040004217128</v>
      </c>
      <c r="H39">
        <v>13455.88387435414</v>
      </c>
      <c r="I39">
        <v>37505.44721528783</v>
      </c>
      <c r="J39">
        <v>41700.073453936631</v>
      </c>
      <c r="K39">
        <v>59962.593502644384</v>
      </c>
      <c r="L39">
        <v>138799.10273862077</v>
      </c>
      <c r="M39">
        <v>44988.98587139861</v>
      </c>
      <c r="R39" t="s">
        <v>127</v>
      </c>
      <c r="S39" s="18">
        <v>42541.489595220075</v>
      </c>
      <c r="U39">
        <v>42541.489595220075</v>
      </c>
      <c r="V39">
        <v>58002.463798856035</v>
      </c>
      <c r="W39">
        <v>6682.8235520849448</v>
      </c>
      <c r="X39">
        <v>15397.479443046073</v>
      </c>
      <c r="Y39">
        <v>13725.215571846846</v>
      </c>
      <c r="Z39">
        <v>14216.354818461921</v>
      </c>
      <c r="AA39">
        <v>22202.642904188098</v>
      </c>
      <c r="AB39">
        <v>61885.199014686106</v>
      </c>
      <c r="AC39">
        <v>68806.467759488442</v>
      </c>
      <c r="AD39">
        <v>98940.215565148377</v>
      </c>
      <c r="AE39">
        <v>229023.00155850814</v>
      </c>
      <c r="AF39">
        <v>74233.279452418821</v>
      </c>
    </row>
    <row r="40" spans="1:32" x14ac:dyDescent="0.3">
      <c r="B40">
        <f>B39*forestarea!$P7/forestarea!$P5</f>
        <v>23616.128072827982</v>
      </c>
      <c r="C40">
        <f>C39*forestarea!$P7/forestarea!$P5</f>
        <v>32199.004469445317</v>
      </c>
      <c r="D40">
        <f>D39*forestarea!$P7/forestarea!$P5</f>
        <v>3709.8469845748427</v>
      </c>
      <c r="E40">
        <f>E39*forestarea!$P7/forestarea!$P5</f>
        <v>8547.6284442698288</v>
      </c>
      <c r="F40">
        <f>F39*forestarea!$P7/forestarea!$P5</f>
        <v>7619.3018123260008</v>
      </c>
      <c r="G40">
        <f>G39*forestarea!$P7/forestarea!$P5</f>
        <v>7891.948761457681</v>
      </c>
      <c r="H40">
        <f>H39*forestarea!$P7/forestarea!$P5</f>
        <v>12325.390186607048</v>
      </c>
      <c r="I40">
        <f>I39*forestarea!$P7/forestarea!$P5</f>
        <v>34354.43374572118</v>
      </c>
      <c r="J40">
        <f>J39*forestarea!$P7/forestarea!$P5</f>
        <v>38196.649207825707</v>
      </c>
      <c r="K40">
        <f>K39*forestarea!$P7/forestarea!$P5</f>
        <v>54924.846886468433</v>
      </c>
      <c r="L40">
        <f>L39*forestarea!$P7/forestarea!$P5</f>
        <v>127137.92083662534</v>
      </c>
      <c r="M40">
        <f>M39*forestarea!$P7/forestarea!$P5</f>
        <v>41209.244234158868</v>
      </c>
      <c r="R40" t="s">
        <v>128</v>
      </c>
      <c r="S40" s="18">
        <v>58002.463798856035</v>
      </c>
    </row>
    <row r="41" spans="1:32" x14ac:dyDescent="0.3">
      <c r="A41" t="s">
        <v>137</v>
      </c>
      <c r="B41" s="46">
        <f>SUM(B39:B40)</f>
        <v>49398.344465064234</v>
      </c>
      <c r="C41" s="46">
        <f t="shared" ref="C41:M41" si="11">SUM(C39:C40)</f>
        <v>67351.324878859974</v>
      </c>
      <c r="D41" s="46">
        <f t="shared" si="11"/>
        <v>7759.9638133552389</v>
      </c>
      <c r="E41" s="46">
        <f t="shared" si="11"/>
        <v>17879.251541459817</v>
      </c>
      <c r="F41" s="46">
        <f t="shared" si="11"/>
        <v>15937.451488570674</v>
      </c>
      <c r="G41" s="46">
        <f t="shared" si="11"/>
        <v>16507.752761879394</v>
      </c>
      <c r="H41" s="46">
        <f t="shared" si="11"/>
        <v>25781.274060961186</v>
      </c>
      <c r="I41" s="46">
        <f t="shared" si="11"/>
        <v>71859.88096100901</v>
      </c>
      <c r="J41" s="46">
        <f t="shared" si="11"/>
        <v>79896.722661762338</v>
      </c>
      <c r="K41" s="46">
        <f t="shared" si="11"/>
        <v>114887.44038911282</v>
      </c>
      <c r="L41" s="46">
        <f t="shared" si="11"/>
        <v>265937.0235752461</v>
      </c>
      <c r="M41" s="46">
        <f t="shared" si="11"/>
        <v>86198.230105557479</v>
      </c>
      <c r="R41" t="s">
        <v>129</v>
      </c>
      <c r="S41" s="18">
        <v>6682.8235520849448</v>
      </c>
    </row>
    <row r="42" spans="1:32" x14ac:dyDescent="0.3">
      <c r="R42" t="s">
        <v>130</v>
      </c>
      <c r="S42" s="18">
        <v>15397.479443046073</v>
      </c>
    </row>
    <row r="43" spans="1:32" x14ac:dyDescent="0.3">
      <c r="R43" t="s">
        <v>24</v>
      </c>
      <c r="S43" s="18">
        <v>13725.215571846846</v>
      </c>
    </row>
    <row r="44" spans="1:32" x14ac:dyDescent="0.3">
      <c r="R44" t="s">
        <v>25</v>
      </c>
      <c r="S44" s="18">
        <v>14216.354818461921</v>
      </c>
    </row>
    <row r="45" spans="1:32" x14ac:dyDescent="0.3">
      <c r="R45" t="s">
        <v>112</v>
      </c>
      <c r="S45" s="18">
        <v>22202.642904188098</v>
      </c>
    </row>
    <row r="46" spans="1:32" x14ac:dyDescent="0.3">
      <c r="R46" t="s">
        <v>27</v>
      </c>
      <c r="S46" s="18">
        <v>61885.199014686106</v>
      </c>
    </row>
    <row r="47" spans="1:32" x14ac:dyDescent="0.3">
      <c r="R47" t="s">
        <v>113</v>
      </c>
      <c r="S47" s="18">
        <v>68806.467759488442</v>
      </c>
    </row>
    <row r="48" spans="1:32" x14ac:dyDescent="0.3">
      <c r="R48" t="s">
        <v>114</v>
      </c>
      <c r="S48" s="18">
        <v>98940.215565148377</v>
      </c>
    </row>
    <row r="49" spans="18:19" x14ac:dyDescent="0.3">
      <c r="R49" t="s">
        <v>115</v>
      </c>
      <c r="S49" s="18">
        <v>229023.00155850814</v>
      </c>
    </row>
    <row r="50" spans="18:19" x14ac:dyDescent="0.3">
      <c r="R50" t="s">
        <v>116</v>
      </c>
      <c r="S50" s="18">
        <v>74233.279452418821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119DD0-3CC9-4A93-84ED-75EE204D00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forestarea</vt:lpstr>
      <vt:lpstr>Harvested per forest type</vt:lpstr>
      <vt:lpstr>treatments groups</vt:lpstr>
      <vt:lpstr>AAC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14183</dc:creator>
  <cp:lastModifiedBy>Ameray</cp:lastModifiedBy>
  <dcterms:created xsi:type="dcterms:W3CDTF">2015-06-05T18:17:20Z</dcterms:created>
  <dcterms:modified xsi:type="dcterms:W3CDTF">2025-05-22T16:09:07Z</dcterms:modified>
</cp:coreProperties>
</file>