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harts/chart4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charts/chart4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charts/chart4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.xml" ContentType="application/vnd.openxmlformats-officedocument.spreadsheetml.pivotTab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5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5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5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6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6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6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6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6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6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7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7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7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7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7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7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AESTRÍA EN ANALÍTICA DE DATOS\MODELOS PREDICTIVOS\Proyecto final\"/>
    </mc:Choice>
  </mc:AlternateContent>
  <xr:revisionPtr revIDLastSave="0" documentId="13_ncr:1_{F6CD94ED-C816-41EE-AB42-B3A04A6826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MEN" sheetId="15" r:id="rId1"/>
    <sheet name="AD SÁBADOS" sheetId="19" r:id="rId2"/>
    <sheet name="REGRESIÓN SÁBADOS" sheetId="18" r:id="rId3"/>
    <sheet name="AD LABORABLE" sheetId="17" r:id="rId4"/>
    <sheet name="REGRESIÓN LABORABLE" sheetId="16" r:id="rId5"/>
    <sheet name="SUAVIZACIÓN SÁBADOS" sheetId="28" r:id="rId6"/>
    <sheet name="SUAVIZACIÓN LABORABLE" sheetId="27" r:id="rId7"/>
    <sheet name="AD HOLT SÁBADOS" sheetId="26" r:id="rId8"/>
    <sheet name="M. HOLT SÁBADOS" sheetId="25" r:id="rId9"/>
    <sheet name="AD HOLT LABORABLE" sheetId="24" r:id="rId10"/>
    <sheet name="M. HOLT LABORABLE" sheetId="23" r:id="rId11"/>
    <sheet name="AD WINTER SÁBADOS" sheetId="20" r:id="rId12"/>
    <sheet name="M. WINTER SÁBADOS" sheetId="14" r:id="rId13"/>
    <sheet name="AD WINTER LABORABLE" sheetId="22" r:id="rId14"/>
    <sheet name="M. WINTER LABORABLE" sheetId="21" r:id="rId15"/>
    <sheet name="LABORABLE" sheetId="12" r:id="rId16"/>
    <sheet name="SÁBADOS" sheetId="13" r:id="rId17"/>
    <sheet name="DATOS DE DEMANDA L2 2022-2024" sheetId="10" r:id="rId18"/>
    <sheet name="DATOS DE DEMANDA L2 Total" sheetId="8" r:id="rId19"/>
    <sheet name="DATOS DE DEMANDA L2" sheetId="7" r:id="rId20"/>
    <sheet name="FUENTE" sheetId="11" r:id="rId21"/>
  </sheets>
  <definedNames>
    <definedName name="solver_adj" localSheetId="10" hidden="1">'M. HOLT LABORABLE'!$P$4:$P$5</definedName>
    <definedName name="solver_adj" localSheetId="8" hidden="1">'M. HOLT SÁBADOS'!$P$4:$P$5</definedName>
    <definedName name="solver_adj" localSheetId="14" hidden="1">'M. WINTER LABORABLE'!$S$4:$S$6</definedName>
    <definedName name="solver_adj" localSheetId="12" hidden="1">'M. WINTER SÁBADOS'!$S$4:$S$6</definedName>
    <definedName name="solver_adj" localSheetId="6" hidden="1">'SUAVIZACIÓN LABORABLE'!$O$4</definedName>
    <definedName name="solver_adj" localSheetId="5" hidden="1">'SUAVIZACIÓN SÁBADOS'!$O$4</definedName>
    <definedName name="solver_cvg" localSheetId="10" hidden="1">0.0001</definedName>
    <definedName name="solver_cvg" localSheetId="8" hidden="1">0.0001</definedName>
    <definedName name="solver_cvg" localSheetId="14" hidden="1">0.0001</definedName>
    <definedName name="solver_cvg" localSheetId="12" hidden="1">0.0001</definedName>
    <definedName name="solver_cvg" localSheetId="6" hidden="1">0.0001</definedName>
    <definedName name="solver_cvg" localSheetId="5" hidden="1">0.0001</definedName>
    <definedName name="solver_drv" localSheetId="10" hidden="1">1</definedName>
    <definedName name="solver_drv" localSheetId="8" hidden="1">1</definedName>
    <definedName name="solver_drv" localSheetId="14" hidden="1">1</definedName>
    <definedName name="solver_drv" localSheetId="12" hidden="1">1</definedName>
    <definedName name="solver_drv" localSheetId="6" hidden="1">1</definedName>
    <definedName name="solver_drv" localSheetId="5" hidden="1">1</definedName>
    <definedName name="solver_eng" localSheetId="10" hidden="1">3</definedName>
    <definedName name="solver_eng" localSheetId="8" hidden="1">3</definedName>
    <definedName name="solver_eng" localSheetId="14" hidden="1">3</definedName>
    <definedName name="solver_eng" localSheetId="12" hidden="1">3</definedName>
    <definedName name="solver_eng" localSheetId="6" hidden="1">3</definedName>
    <definedName name="solver_eng" localSheetId="5" hidden="1">3</definedName>
    <definedName name="solver_est" localSheetId="10" hidden="1">1</definedName>
    <definedName name="solver_est" localSheetId="8" hidden="1">1</definedName>
    <definedName name="solver_est" localSheetId="14" hidden="1">1</definedName>
    <definedName name="solver_est" localSheetId="12" hidden="1">1</definedName>
    <definedName name="solver_est" localSheetId="6" hidden="1">1</definedName>
    <definedName name="solver_est" localSheetId="5" hidden="1">1</definedName>
    <definedName name="solver_itr" localSheetId="10" hidden="1">2147483647</definedName>
    <definedName name="solver_itr" localSheetId="8" hidden="1">2147483647</definedName>
    <definedName name="solver_itr" localSheetId="14" hidden="1">2147483647</definedName>
    <definedName name="solver_itr" localSheetId="12" hidden="1">2147483647</definedName>
    <definedName name="solver_itr" localSheetId="6" hidden="1">2147483647</definedName>
    <definedName name="solver_itr" localSheetId="5" hidden="1">2147483647</definedName>
    <definedName name="solver_lhs1" localSheetId="10" hidden="1">'M. HOLT LABORABLE'!$P$4</definedName>
    <definedName name="solver_lhs1" localSheetId="8" hidden="1">'M. HOLT SÁBADOS'!$P$4</definedName>
    <definedName name="solver_lhs1" localSheetId="14" hidden="1">'M. WINTER LABORABLE'!$S$4</definedName>
    <definedName name="solver_lhs1" localSheetId="12" hidden="1">'M. WINTER SÁBADOS'!$S$4</definedName>
    <definedName name="solver_lhs1" localSheetId="6" hidden="1">'SUAVIZACIÓN LABORABLE'!$O$4</definedName>
    <definedName name="solver_lhs1" localSheetId="5" hidden="1">'SUAVIZACIÓN SÁBADOS'!$O$4</definedName>
    <definedName name="solver_lhs2" localSheetId="10" hidden="1">'M. HOLT LABORABLE'!$P$5</definedName>
    <definedName name="solver_lhs2" localSheetId="8" hidden="1">'M. HOLT SÁBADOS'!$P$5</definedName>
    <definedName name="solver_lhs2" localSheetId="14" hidden="1">'M. WINTER LABORABLE'!$S$5</definedName>
    <definedName name="solver_lhs2" localSheetId="12" hidden="1">'M. WINTER SÁBADOS'!$S$5</definedName>
    <definedName name="solver_lhs3" localSheetId="14" hidden="1">'M. WINTER LABORABLE'!$S$6</definedName>
    <definedName name="solver_lhs3" localSheetId="12" hidden="1">'M. WINTER SÁBADOS'!$S$6</definedName>
    <definedName name="solver_mip" localSheetId="10" hidden="1">2147483647</definedName>
    <definedName name="solver_mip" localSheetId="8" hidden="1">2147483647</definedName>
    <definedName name="solver_mip" localSheetId="14" hidden="1">2147483647</definedName>
    <definedName name="solver_mip" localSheetId="12" hidden="1">2147483647</definedName>
    <definedName name="solver_mip" localSheetId="6" hidden="1">2147483647</definedName>
    <definedName name="solver_mip" localSheetId="5" hidden="1">2147483647</definedName>
    <definedName name="solver_mni" localSheetId="10" hidden="1">30</definedName>
    <definedName name="solver_mni" localSheetId="8" hidden="1">30</definedName>
    <definedName name="solver_mni" localSheetId="14" hidden="1">30</definedName>
    <definedName name="solver_mni" localSheetId="12" hidden="1">30</definedName>
    <definedName name="solver_mni" localSheetId="6" hidden="1">30</definedName>
    <definedName name="solver_mni" localSheetId="5" hidden="1">30</definedName>
    <definedName name="solver_mrt" localSheetId="10" hidden="1">0.075</definedName>
    <definedName name="solver_mrt" localSheetId="8" hidden="1">0.075</definedName>
    <definedName name="solver_mrt" localSheetId="14" hidden="1">0.075</definedName>
    <definedName name="solver_mrt" localSheetId="12" hidden="1">0.075</definedName>
    <definedName name="solver_mrt" localSheetId="6" hidden="1">0.075</definedName>
    <definedName name="solver_mrt" localSheetId="5" hidden="1">0.075</definedName>
    <definedName name="solver_msl" localSheetId="10" hidden="1">2</definedName>
    <definedName name="solver_msl" localSheetId="8" hidden="1">2</definedName>
    <definedName name="solver_msl" localSheetId="14" hidden="1">2</definedName>
    <definedName name="solver_msl" localSheetId="12" hidden="1">2</definedName>
    <definedName name="solver_msl" localSheetId="6" hidden="1">2</definedName>
    <definedName name="solver_msl" localSheetId="5" hidden="1">2</definedName>
    <definedName name="solver_neg" localSheetId="10" hidden="1">1</definedName>
    <definedName name="solver_neg" localSheetId="8" hidden="1">1</definedName>
    <definedName name="solver_neg" localSheetId="14" hidden="1">1</definedName>
    <definedName name="solver_neg" localSheetId="12" hidden="1">1</definedName>
    <definedName name="solver_neg" localSheetId="6" hidden="1">1</definedName>
    <definedName name="solver_neg" localSheetId="5" hidden="1">1</definedName>
    <definedName name="solver_nod" localSheetId="10" hidden="1">2147483647</definedName>
    <definedName name="solver_nod" localSheetId="8" hidden="1">2147483647</definedName>
    <definedName name="solver_nod" localSheetId="14" hidden="1">2147483647</definedName>
    <definedName name="solver_nod" localSheetId="12" hidden="1">2147483647</definedName>
    <definedName name="solver_nod" localSheetId="6" hidden="1">2147483647</definedName>
    <definedName name="solver_nod" localSheetId="5" hidden="1">2147483647</definedName>
    <definedName name="solver_num" localSheetId="10" hidden="1">2</definedName>
    <definedName name="solver_num" localSheetId="8" hidden="1">2</definedName>
    <definedName name="solver_num" localSheetId="14" hidden="1">3</definedName>
    <definedName name="solver_num" localSheetId="12" hidden="1">3</definedName>
    <definedName name="solver_num" localSheetId="6" hidden="1">1</definedName>
    <definedName name="solver_num" localSheetId="5" hidden="1">1</definedName>
    <definedName name="solver_nwt" localSheetId="10" hidden="1">1</definedName>
    <definedName name="solver_nwt" localSheetId="8" hidden="1">1</definedName>
    <definedName name="solver_nwt" localSheetId="14" hidden="1">1</definedName>
    <definedName name="solver_nwt" localSheetId="12" hidden="1">1</definedName>
    <definedName name="solver_nwt" localSheetId="6" hidden="1">1</definedName>
    <definedName name="solver_nwt" localSheetId="5" hidden="1">1</definedName>
    <definedName name="solver_opt" localSheetId="10" hidden="1">'M. HOLT LABORABLE'!$J$31</definedName>
    <definedName name="solver_opt" localSheetId="8" hidden="1">'M. HOLT SÁBADOS'!$I$31</definedName>
    <definedName name="solver_opt" localSheetId="14" hidden="1">'M. WINTER LABORABLE'!$L$27</definedName>
    <definedName name="solver_opt" localSheetId="12" hidden="1">'M. WINTER SÁBADOS'!$L$27</definedName>
    <definedName name="solver_opt" localSheetId="6" hidden="1">'SUAVIZACIÓN LABORABLE'!$H$31</definedName>
    <definedName name="solver_opt" localSheetId="5" hidden="1">'SUAVIZACIÓN SÁBADOS'!$H$31</definedName>
    <definedName name="solver_pre" localSheetId="10" hidden="1">0.000001</definedName>
    <definedName name="solver_pre" localSheetId="8" hidden="1">0.000001</definedName>
    <definedName name="solver_pre" localSheetId="14" hidden="1">0.000001</definedName>
    <definedName name="solver_pre" localSheetId="12" hidden="1">0.000001</definedName>
    <definedName name="solver_pre" localSheetId="6" hidden="1">0.000001</definedName>
    <definedName name="solver_pre" localSheetId="5" hidden="1">0.000001</definedName>
    <definedName name="solver_rbv" localSheetId="10" hidden="1">1</definedName>
    <definedName name="solver_rbv" localSheetId="8" hidden="1">1</definedName>
    <definedName name="solver_rbv" localSheetId="14" hidden="1">1</definedName>
    <definedName name="solver_rbv" localSheetId="12" hidden="1">1</definedName>
    <definedName name="solver_rbv" localSheetId="6" hidden="1">1</definedName>
    <definedName name="solver_rbv" localSheetId="5" hidden="1">1</definedName>
    <definedName name="solver_rel1" localSheetId="10" hidden="1">1</definedName>
    <definedName name="solver_rel1" localSheetId="8" hidden="1">1</definedName>
    <definedName name="solver_rel1" localSheetId="14" hidden="1">1</definedName>
    <definedName name="solver_rel1" localSheetId="12" hidden="1">1</definedName>
    <definedName name="solver_rel1" localSheetId="6" hidden="1">1</definedName>
    <definedName name="solver_rel1" localSheetId="5" hidden="1">1</definedName>
    <definedName name="solver_rel2" localSheetId="10" hidden="1">1</definedName>
    <definedName name="solver_rel2" localSheetId="8" hidden="1">1</definedName>
    <definedName name="solver_rel2" localSheetId="14" hidden="1">1</definedName>
    <definedName name="solver_rel2" localSheetId="12" hidden="1">1</definedName>
    <definedName name="solver_rel3" localSheetId="14" hidden="1">1</definedName>
    <definedName name="solver_rel3" localSheetId="12" hidden="1">1</definedName>
    <definedName name="solver_rhs1" localSheetId="10" hidden="1">1</definedName>
    <definedName name="solver_rhs1" localSheetId="8" hidden="1">1</definedName>
    <definedName name="solver_rhs1" localSheetId="14" hidden="1">1</definedName>
    <definedName name="solver_rhs1" localSheetId="12" hidden="1">1</definedName>
    <definedName name="solver_rhs1" localSheetId="6" hidden="1">1</definedName>
    <definedName name="solver_rhs1" localSheetId="5" hidden="1">1</definedName>
    <definedName name="solver_rhs2" localSheetId="10" hidden="1">1</definedName>
    <definedName name="solver_rhs2" localSheetId="8" hidden="1">1</definedName>
    <definedName name="solver_rhs2" localSheetId="14" hidden="1">1</definedName>
    <definedName name="solver_rhs2" localSheetId="12" hidden="1">1</definedName>
    <definedName name="solver_rhs3" localSheetId="14" hidden="1">1</definedName>
    <definedName name="solver_rhs3" localSheetId="12" hidden="1">1</definedName>
    <definedName name="solver_rlx" localSheetId="10" hidden="1">2</definedName>
    <definedName name="solver_rlx" localSheetId="8" hidden="1">2</definedName>
    <definedName name="solver_rlx" localSheetId="14" hidden="1">2</definedName>
    <definedName name="solver_rlx" localSheetId="12" hidden="1">2</definedName>
    <definedName name="solver_rlx" localSheetId="6" hidden="1">2</definedName>
    <definedName name="solver_rlx" localSheetId="5" hidden="1">2</definedName>
    <definedName name="solver_rsd" localSheetId="10" hidden="1">0</definedName>
    <definedName name="solver_rsd" localSheetId="8" hidden="1">0</definedName>
    <definedName name="solver_rsd" localSheetId="14" hidden="1">0</definedName>
    <definedName name="solver_rsd" localSheetId="12" hidden="1">0</definedName>
    <definedName name="solver_rsd" localSheetId="6" hidden="1">0</definedName>
    <definedName name="solver_rsd" localSheetId="5" hidden="1">0</definedName>
    <definedName name="solver_scl" localSheetId="10" hidden="1">1</definedName>
    <definedName name="solver_scl" localSheetId="8" hidden="1">1</definedName>
    <definedName name="solver_scl" localSheetId="14" hidden="1">1</definedName>
    <definedName name="solver_scl" localSheetId="12" hidden="1">1</definedName>
    <definedName name="solver_scl" localSheetId="6" hidden="1">1</definedName>
    <definedName name="solver_scl" localSheetId="5" hidden="1">1</definedName>
    <definedName name="solver_sho" localSheetId="10" hidden="1">2</definedName>
    <definedName name="solver_sho" localSheetId="8" hidden="1">2</definedName>
    <definedName name="solver_sho" localSheetId="14" hidden="1">2</definedName>
    <definedName name="solver_sho" localSheetId="12" hidden="1">2</definedName>
    <definedName name="solver_sho" localSheetId="6" hidden="1">2</definedName>
    <definedName name="solver_sho" localSheetId="5" hidden="1">2</definedName>
    <definedName name="solver_ssz" localSheetId="10" hidden="1">100</definedName>
    <definedName name="solver_ssz" localSheetId="8" hidden="1">100</definedName>
    <definedName name="solver_ssz" localSheetId="14" hidden="1">100</definedName>
    <definedName name="solver_ssz" localSheetId="12" hidden="1">100</definedName>
    <definedName name="solver_ssz" localSheetId="6" hidden="1">100</definedName>
    <definedName name="solver_ssz" localSheetId="5" hidden="1">100</definedName>
    <definedName name="solver_tim" localSheetId="10" hidden="1">2147483647</definedName>
    <definedName name="solver_tim" localSheetId="8" hidden="1">2147483647</definedName>
    <definedName name="solver_tim" localSheetId="14" hidden="1">2147483647</definedName>
    <definedName name="solver_tim" localSheetId="12" hidden="1">2147483647</definedName>
    <definedName name="solver_tim" localSheetId="6" hidden="1">2147483647</definedName>
    <definedName name="solver_tim" localSheetId="5" hidden="1">2147483647</definedName>
    <definedName name="solver_tol" localSheetId="10" hidden="1">0.01</definedName>
    <definedName name="solver_tol" localSheetId="8" hidden="1">0.01</definedName>
    <definedName name="solver_tol" localSheetId="14" hidden="1">0.01</definedName>
    <definedName name="solver_tol" localSheetId="12" hidden="1">0.01</definedName>
    <definedName name="solver_tol" localSheetId="6" hidden="1">0.01</definedName>
    <definedName name="solver_tol" localSheetId="5" hidden="1">0.01</definedName>
    <definedName name="solver_typ" localSheetId="10" hidden="1">2</definedName>
    <definedName name="solver_typ" localSheetId="8" hidden="1">2</definedName>
    <definedName name="solver_typ" localSheetId="14" hidden="1">2</definedName>
    <definedName name="solver_typ" localSheetId="12" hidden="1">1</definedName>
    <definedName name="solver_typ" localSheetId="6" hidden="1">1</definedName>
    <definedName name="solver_typ" localSheetId="5" hidden="1">1</definedName>
    <definedName name="solver_val" localSheetId="10" hidden="1">0</definedName>
    <definedName name="solver_val" localSheetId="8" hidden="1">0</definedName>
    <definedName name="solver_val" localSheetId="14" hidden="1">0</definedName>
    <definedName name="solver_val" localSheetId="12" hidden="1">0</definedName>
    <definedName name="solver_val" localSheetId="6" hidden="1">0</definedName>
    <definedName name="solver_val" localSheetId="5" hidden="1">0</definedName>
    <definedName name="solver_ver" localSheetId="10" hidden="1">3</definedName>
    <definedName name="solver_ver" localSheetId="8" hidden="1">3</definedName>
    <definedName name="solver_ver" localSheetId="14" hidden="1">3</definedName>
    <definedName name="solver_ver" localSheetId="12" hidden="1">3</definedName>
    <definedName name="solver_ver" localSheetId="6" hidden="1">3</definedName>
    <definedName name="solver_ver" localSheetId="5" hidden="1">3</definedName>
  </definedNames>
  <calcPr calcId="191029"/>
  <pivotCaches>
    <pivotCache cacheId="0" r:id="rId22"/>
    <pivotCache cacheId="1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5" l="1"/>
  <c r="E16" i="15"/>
  <c r="D16" i="15"/>
  <c r="C16" i="15"/>
  <c r="B16" i="15"/>
  <c r="D4" i="28"/>
  <c r="D3" i="28"/>
  <c r="E4" i="28" s="1"/>
  <c r="F4" i="28" s="1"/>
  <c r="F7" i="15"/>
  <c r="E7" i="15"/>
  <c r="D7" i="15"/>
  <c r="C7" i="15"/>
  <c r="B7" i="15"/>
  <c r="H4" i="27"/>
  <c r="F4" i="27"/>
  <c r="D4" i="27"/>
  <c r="D5" i="27" s="1"/>
  <c r="E4" i="27"/>
  <c r="D3" i="27"/>
  <c r="H4" i="28" l="1"/>
  <c r="G4" i="28"/>
  <c r="E5" i="27"/>
  <c r="F5" i="27" s="1"/>
  <c r="G5" i="27" s="1"/>
  <c r="J5" i="27" s="1"/>
  <c r="D6" i="27"/>
  <c r="E6" i="27"/>
  <c r="F6" i="27" s="1"/>
  <c r="G4" i="27"/>
  <c r="E5" i="28" l="1"/>
  <c r="F5" i="28" s="1"/>
  <c r="D5" i="28"/>
  <c r="J4" i="28"/>
  <c r="I4" i="28"/>
  <c r="L4" i="28" s="1"/>
  <c r="H5" i="27"/>
  <c r="G6" i="27"/>
  <c r="J6" i="27" s="1"/>
  <c r="D7" i="27"/>
  <c r="E7" i="27"/>
  <c r="F7" i="27" s="1"/>
  <c r="H6" i="27"/>
  <c r="I5" i="27"/>
  <c r="L5" i="27" s="1"/>
  <c r="J4" i="27"/>
  <c r="I4" i="27"/>
  <c r="L4" i="27" s="1"/>
  <c r="G5" i="28" l="1"/>
  <c r="H5" i="28"/>
  <c r="K4" i="28"/>
  <c r="E6" i="28"/>
  <c r="F6" i="28" s="1"/>
  <c r="G6" i="28" s="1"/>
  <c r="J6" i="28" s="1"/>
  <c r="D6" i="28"/>
  <c r="I6" i="27"/>
  <c r="L6" i="27" s="1"/>
  <c r="G7" i="27"/>
  <c r="H7" i="27"/>
  <c r="D8" i="27"/>
  <c r="E8" i="27"/>
  <c r="F8" i="27" s="1"/>
  <c r="K6" i="27"/>
  <c r="K4" i="27"/>
  <c r="K5" i="27"/>
  <c r="H6" i="28" l="1"/>
  <c r="E7" i="28"/>
  <c r="F7" i="28" s="1"/>
  <c r="D7" i="28"/>
  <c r="J5" i="28"/>
  <c r="I5" i="28"/>
  <c r="L5" i="28" s="1"/>
  <c r="I6" i="28"/>
  <c r="L6" i="28" s="1"/>
  <c r="G8" i="27"/>
  <c r="J8" i="27" s="1"/>
  <c r="H8" i="27"/>
  <c r="D9" i="27"/>
  <c r="E9" i="27"/>
  <c r="F9" i="27" s="1"/>
  <c r="H9" i="27" s="1"/>
  <c r="J7" i="27"/>
  <c r="I7" i="27"/>
  <c r="L7" i="27" s="1"/>
  <c r="K6" i="28" l="1"/>
  <c r="K5" i="28"/>
  <c r="D8" i="28"/>
  <c r="E8" i="28"/>
  <c r="F8" i="28" s="1"/>
  <c r="G7" i="28"/>
  <c r="H7" i="28"/>
  <c r="I8" i="27"/>
  <c r="L8" i="27" s="1"/>
  <c r="K7" i="27"/>
  <c r="K8" i="27"/>
  <c r="G9" i="27"/>
  <c r="D10" i="27"/>
  <c r="E10" i="27"/>
  <c r="F10" i="27" s="1"/>
  <c r="D9" i="28" l="1"/>
  <c r="E9" i="28"/>
  <c r="F9" i="28" s="1"/>
  <c r="H9" i="28" s="1"/>
  <c r="J7" i="28"/>
  <c r="I7" i="28"/>
  <c r="L7" i="28" s="1"/>
  <c r="G8" i="28"/>
  <c r="J8" i="28" s="1"/>
  <c r="H8" i="28"/>
  <c r="G10" i="27"/>
  <c r="I10" i="27" s="1"/>
  <c r="L10" i="27" s="1"/>
  <c r="H10" i="27"/>
  <c r="D11" i="27"/>
  <c r="E11" i="27"/>
  <c r="F11" i="27" s="1"/>
  <c r="I9" i="27"/>
  <c r="L9" i="27" s="1"/>
  <c r="J9" i="27"/>
  <c r="G9" i="28" l="1"/>
  <c r="K7" i="28"/>
  <c r="K8" i="28"/>
  <c r="E10" i="28"/>
  <c r="F10" i="28" s="1"/>
  <c r="H10" i="28" s="1"/>
  <c r="D10" i="28"/>
  <c r="I8" i="28"/>
  <c r="L8" i="28" s="1"/>
  <c r="K9" i="27"/>
  <c r="G11" i="27"/>
  <c r="H11" i="27"/>
  <c r="D12" i="27"/>
  <c r="E12" i="27"/>
  <c r="F12" i="27" s="1"/>
  <c r="J10" i="27"/>
  <c r="K10" i="27" s="1"/>
  <c r="E11" i="28" l="1"/>
  <c r="F11" i="28" s="1"/>
  <c r="H11" i="28" s="1"/>
  <c r="D11" i="28"/>
  <c r="G10" i="28"/>
  <c r="I10" i="28" s="1"/>
  <c r="L10" i="28" s="1"/>
  <c r="J9" i="28"/>
  <c r="I9" i="28"/>
  <c r="L9" i="28" s="1"/>
  <c r="G12" i="27"/>
  <c r="I12" i="27" s="1"/>
  <c r="L12" i="27" s="1"/>
  <c r="H12" i="27"/>
  <c r="D13" i="27"/>
  <c r="E13" i="27"/>
  <c r="F13" i="27" s="1"/>
  <c r="J11" i="27"/>
  <c r="K11" i="27" s="1"/>
  <c r="I11" i="27"/>
  <c r="L11" i="27" s="1"/>
  <c r="J10" i="28" l="1"/>
  <c r="K10" i="28" s="1"/>
  <c r="K9" i="28"/>
  <c r="G11" i="28"/>
  <c r="I11" i="28" s="1"/>
  <c r="L11" i="28" s="1"/>
  <c r="E12" i="28"/>
  <c r="F12" i="28" s="1"/>
  <c r="D12" i="28"/>
  <c r="D14" i="27"/>
  <c r="E14" i="27"/>
  <c r="F14" i="27" s="1"/>
  <c r="G13" i="27"/>
  <c r="H13" i="27"/>
  <c r="J12" i="27"/>
  <c r="E13" i="28" l="1"/>
  <c r="F13" i="28" s="1"/>
  <c r="D13" i="28"/>
  <c r="G12" i="28"/>
  <c r="H12" i="28"/>
  <c r="J11" i="28"/>
  <c r="J13" i="27"/>
  <c r="I13" i="27"/>
  <c r="L13" i="27" s="1"/>
  <c r="G14" i="27"/>
  <c r="I14" i="27" s="1"/>
  <c r="L14" i="27" s="1"/>
  <c r="H14" i="27"/>
  <c r="K12" i="27"/>
  <c r="D15" i="27"/>
  <c r="E15" i="27"/>
  <c r="F15" i="27" s="1"/>
  <c r="K11" i="28" l="1"/>
  <c r="J12" i="28"/>
  <c r="K12" i="28" s="1"/>
  <c r="I12" i="28"/>
  <c r="L12" i="28" s="1"/>
  <c r="E14" i="28"/>
  <c r="F14" i="28" s="1"/>
  <c r="D14" i="28"/>
  <c r="G13" i="28"/>
  <c r="H13" i="28"/>
  <c r="G15" i="27"/>
  <c r="H15" i="27"/>
  <c r="D16" i="27"/>
  <c r="E16" i="27"/>
  <c r="F16" i="27" s="1"/>
  <c r="J14" i="27"/>
  <c r="K14" i="27" s="1"/>
  <c r="K13" i="27"/>
  <c r="G14" i="28" l="1"/>
  <c r="H14" i="28"/>
  <c r="E15" i="28"/>
  <c r="F15" i="28" s="1"/>
  <c r="D15" i="28"/>
  <c r="J13" i="28"/>
  <c r="K13" i="28" s="1"/>
  <c r="I13" i="28"/>
  <c r="L13" i="28" s="1"/>
  <c r="G16" i="27"/>
  <c r="H16" i="27"/>
  <c r="D17" i="27"/>
  <c r="E17" i="27"/>
  <c r="F17" i="27" s="1"/>
  <c r="J15" i="27"/>
  <c r="I15" i="27"/>
  <c r="L15" i="27" s="1"/>
  <c r="D16" i="28" l="1"/>
  <c r="E16" i="28"/>
  <c r="F16" i="28" s="1"/>
  <c r="G15" i="28"/>
  <c r="H15" i="28"/>
  <c r="J14" i="28"/>
  <c r="K14" i="28" s="1"/>
  <c r="I14" i="28"/>
  <c r="L14" i="28" s="1"/>
  <c r="K15" i="27"/>
  <c r="G17" i="27"/>
  <c r="H17" i="27"/>
  <c r="D18" i="27"/>
  <c r="E18" i="27"/>
  <c r="F18" i="27" s="1"/>
  <c r="J16" i="27"/>
  <c r="K16" i="27" s="1"/>
  <c r="I16" i="27"/>
  <c r="L16" i="27" s="1"/>
  <c r="G16" i="28" l="1"/>
  <c r="H16" i="28"/>
  <c r="J15" i="28"/>
  <c r="K15" i="28" s="1"/>
  <c r="I15" i="28"/>
  <c r="L15" i="28" s="1"/>
  <c r="D17" i="28"/>
  <c r="E17" i="28"/>
  <c r="F17" i="28" s="1"/>
  <c r="D19" i="27"/>
  <c r="E19" i="27"/>
  <c r="F19" i="27" s="1"/>
  <c r="G18" i="27"/>
  <c r="H18" i="27"/>
  <c r="J17" i="27"/>
  <c r="K17" i="27" s="1"/>
  <c r="I17" i="27"/>
  <c r="L17" i="27" s="1"/>
  <c r="E18" i="28" l="1"/>
  <c r="F18" i="28" s="1"/>
  <c r="D18" i="28"/>
  <c r="G17" i="28"/>
  <c r="H17" i="28"/>
  <c r="J16" i="28"/>
  <c r="K16" i="28" s="1"/>
  <c r="I16" i="28"/>
  <c r="L16" i="28" s="1"/>
  <c r="J18" i="27"/>
  <c r="K18" i="27" s="1"/>
  <c r="I18" i="27"/>
  <c r="L18" i="27" s="1"/>
  <c r="G19" i="27"/>
  <c r="H19" i="27"/>
  <c r="D20" i="27"/>
  <c r="E20" i="27"/>
  <c r="F20" i="27" s="1"/>
  <c r="J17" i="28" l="1"/>
  <c r="K17" i="28" s="1"/>
  <c r="I17" i="28"/>
  <c r="L17" i="28" s="1"/>
  <c r="E19" i="28"/>
  <c r="F19" i="28" s="1"/>
  <c r="D19" i="28"/>
  <c r="G18" i="28"/>
  <c r="H18" i="28"/>
  <c r="G20" i="27"/>
  <c r="H20" i="27"/>
  <c r="D21" i="27"/>
  <c r="E21" i="27"/>
  <c r="F21" i="27" s="1"/>
  <c r="J19" i="27"/>
  <c r="K19" i="27" s="1"/>
  <c r="I19" i="27"/>
  <c r="L19" i="27" s="1"/>
  <c r="J18" i="28" l="1"/>
  <c r="K18" i="28" s="1"/>
  <c r="I18" i="28"/>
  <c r="L18" i="28" s="1"/>
  <c r="E20" i="28"/>
  <c r="F20" i="28" s="1"/>
  <c r="D20" i="28"/>
  <c r="G19" i="28"/>
  <c r="H19" i="28"/>
  <c r="J20" i="27"/>
  <c r="K20" i="27" s="1"/>
  <c r="I20" i="27"/>
  <c r="L20" i="27" s="1"/>
  <c r="D22" i="27"/>
  <c r="E22" i="27"/>
  <c r="F22" i="27" s="1"/>
  <c r="G21" i="27"/>
  <c r="H21" i="27"/>
  <c r="J19" i="28" l="1"/>
  <c r="K19" i="28" s="1"/>
  <c r="I19" i="28"/>
  <c r="L19" i="28" s="1"/>
  <c r="E21" i="28"/>
  <c r="F21" i="28" s="1"/>
  <c r="D21" i="28"/>
  <c r="G20" i="28"/>
  <c r="H20" i="28"/>
  <c r="G22" i="27"/>
  <c r="H22" i="27"/>
  <c r="J21" i="27"/>
  <c r="K21" i="27" s="1"/>
  <c r="I21" i="27"/>
  <c r="L21" i="27" s="1"/>
  <c r="D23" i="27"/>
  <c r="E23" i="27"/>
  <c r="F23" i="27" s="1"/>
  <c r="J20" i="28" l="1"/>
  <c r="K20" i="28" s="1"/>
  <c r="I20" i="28"/>
  <c r="L20" i="28" s="1"/>
  <c r="E22" i="28"/>
  <c r="F22" i="28" s="1"/>
  <c r="D22" i="28"/>
  <c r="G21" i="28"/>
  <c r="H21" i="28"/>
  <c r="D24" i="27"/>
  <c r="E24" i="27"/>
  <c r="F24" i="27" s="1"/>
  <c r="J22" i="27"/>
  <c r="K22" i="27" s="1"/>
  <c r="I22" i="27"/>
  <c r="L22" i="27" s="1"/>
  <c r="G23" i="27"/>
  <c r="H23" i="27"/>
  <c r="F39" i="25"/>
  <c r="F34" i="25"/>
  <c r="F33" i="25"/>
  <c r="E17" i="15"/>
  <c r="D17" i="15"/>
  <c r="C17" i="15"/>
  <c r="B17" i="15"/>
  <c r="F17" i="15" s="1"/>
  <c r="D4" i="25"/>
  <c r="D3" i="25"/>
  <c r="E3" i="25"/>
  <c r="F34" i="23"/>
  <c r="F35" i="23"/>
  <c r="F36" i="23"/>
  <c r="F37" i="23"/>
  <c r="F38" i="23"/>
  <c r="F39" i="23"/>
  <c r="F33" i="23"/>
  <c r="F32" i="23"/>
  <c r="E8" i="15"/>
  <c r="D8" i="15"/>
  <c r="C8" i="15"/>
  <c r="B8" i="15"/>
  <c r="F8" i="15" s="1"/>
  <c r="L4" i="23"/>
  <c r="M4" i="23"/>
  <c r="K4" i="23"/>
  <c r="J4" i="23"/>
  <c r="I4" i="23"/>
  <c r="G4" i="23"/>
  <c r="F4" i="23"/>
  <c r="D4" i="23"/>
  <c r="E3" i="23"/>
  <c r="D3" i="23"/>
  <c r="J21" i="28" l="1"/>
  <c r="K21" i="28" s="1"/>
  <c r="I21" i="28"/>
  <c r="L21" i="28" s="1"/>
  <c r="G22" i="28"/>
  <c r="H22" i="28"/>
  <c r="E23" i="28"/>
  <c r="F23" i="28" s="1"/>
  <c r="D23" i="28"/>
  <c r="J23" i="27"/>
  <c r="K23" i="27" s="1"/>
  <c r="I23" i="27"/>
  <c r="L23" i="27" s="1"/>
  <c r="D25" i="27"/>
  <c r="E25" i="27"/>
  <c r="F25" i="27" s="1"/>
  <c r="G24" i="27"/>
  <c r="H24" i="27"/>
  <c r="E4" i="23"/>
  <c r="F5" i="23" s="1"/>
  <c r="D24" i="28" l="1"/>
  <c r="E24" i="28"/>
  <c r="F24" i="28" s="1"/>
  <c r="G23" i="28"/>
  <c r="H23" i="28"/>
  <c r="J22" i="28"/>
  <c r="K22" i="28" s="1"/>
  <c r="I22" i="28"/>
  <c r="L22" i="28" s="1"/>
  <c r="D26" i="27"/>
  <c r="E26" i="27"/>
  <c r="F26" i="27" s="1"/>
  <c r="J24" i="27"/>
  <c r="K24" i="27" s="1"/>
  <c r="I24" i="27"/>
  <c r="L24" i="27" s="1"/>
  <c r="G25" i="27"/>
  <c r="H25" i="27"/>
  <c r="D5" i="23"/>
  <c r="G24" i="28" l="1"/>
  <c r="H24" i="28"/>
  <c r="J23" i="28"/>
  <c r="K23" i="28" s="1"/>
  <c r="I23" i="28"/>
  <c r="L23" i="28" s="1"/>
  <c r="E25" i="28"/>
  <c r="F25" i="28" s="1"/>
  <c r="D25" i="28"/>
  <c r="J25" i="27"/>
  <c r="K25" i="27" s="1"/>
  <c r="I25" i="27"/>
  <c r="L25" i="27" s="1"/>
  <c r="G26" i="27"/>
  <c r="H26" i="27"/>
  <c r="D27" i="27"/>
  <c r="E27" i="27"/>
  <c r="F27" i="27" s="1"/>
  <c r="E5" i="23"/>
  <c r="D6" i="23" s="1"/>
  <c r="E26" i="28" l="1"/>
  <c r="F26" i="28" s="1"/>
  <c r="D26" i="28"/>
  <c r="J24" i="28"/>
  <c r="K24" i="28" s="1"/>
  <c r="I24" i="28"/>
  <c r="L24" i="28" s="1"/>
  <c r="G25" i="28"/>
  <c r="H25" i="28"/>
  <c r="D28" i="27"/>
  <c r="E28" i="27"/>
  <c r="F28" i="27" s="1"/>
  <c r="G27" i="27"/>
  <c r="H27" i="27"/>
  <c r="J26" i="27"/>
  <c r="K26" i="27" s="1"/>
  <c r="I26" i="27"/>
  <c r="L26" i="27" s="1"/>
  <c r="E6" i="23"/>
  <c r="D7" i="23" s="1"/>
  <c r="F6" i="23"/>
  <c r="G6" i="23" s="1"/>
  <c r="H6" i="23" s="1"/>
  <c r="K6" i="23" s="1"/>
  <c r="G5" i="23"/>
  <c r="H5" i="23" s="1"/>
  <c r="K5" i="23" s="1"/>
  <c r="G26" i="28" l="1"/>
  <c r="H26" i="28"/>
  <c r="J25" i="28"/>
  <c r="K25" i="28" s="1"/>
  <c r="I25" i="28"/>
  <c r="L25" i="28" s="1"/>
  <c r="E27" i="28"/>
  <c r="F27" i="28" s="1"/>
  <c r="D27" i="28"/>
  <c r="J27" i="27"/>
  <c r="K27" i="27" s="1"/>
  <c r="I27" i="27"/>
  <c r="L27" i="27" s="1"/>
  <c r="G28" i="27"/>
  <c r="H28" i="27"/>
  <c r="D29" i="27"/>
  <c r="E29" i="27"/>
  <c r="F29" i="27" s="1"/>
  <c r="E7" i="23"/>
  <c r="F8" i="23" s="1"/>
  <c r="G8" i="23" s="1"/>
  <c r="F7" i="23"/>
  <c r="G7" i="23" s="1"/>
  <c r="H7" i="23" s="1"/>
  <c r="K7" i="23" s="1"/>
  <c r="I5" i="23"/>
  <c r="I6" i="23"/>
  <c r="H4" i="23"/>
  <c r="E28" i="28" l="1"/>
  <c r="F28" i="28" s="1"/>
  <c r="D28" i="28"/>
  <c r="G27" i="28"/>
  <c r="H27" i="28"/>
  <c r="J26" i="28"/>
  <c r="K26" i="28" s="1"/>
  <c r="I26" i="28"/>
  <c r="L26" i="28" s="1"/>
  <c r="G29" i="27"/>
  <c r="H29" i="27"/>
  <c r="D30" i="27"/>
  <c r="E31" i="27" s="1"/>
  <c r="E30" i="27"/>
  <c r="F30" i="27" s="1"/>
  <c r="J28" i="27"/>
  <c r="K28" i="27" s="1"/>
  <c r="I28" i="27"/>
  <c r="L28" i="27" s="1"/>
  <c r="I7" i="23"/>
  <c r="H8" i="23"/>
  <c r="K8" i="23" s="1"/>
  <c r="L8" i="23" s="1"/>
  <c r="I8" i="23"/>
  <c r="D8" i="23"/>
  <c r="E8" i="23" s="1"/>
  <c r="D9" i="23" s="1"/>
  <c r="J6" i="23"/>
  <c r="M6" i="23" s="1"/>
  <c r="J5" i="23"/>
  <c r="M5" i="23" s="1"/>
  <c r="J7" i="23"/>
  <c r="M7" i="23" s="1"/>
  <c r="J27" i="28" l="1"/>
  <c r="K27" i="28" s="1"/>
  <c r="I27" i="28"/>
  <c r="L27" i="28" s="1"/>
  <c r="E29" i="28"/>
  <c r="F29" i="28" s="1"/>
  <c r="D29" i="28"/>
  <c r="G28" i="28"/>
  <c r="H28" i="28"/>
  <c r="G30" i="27"/>
  <c r="H30" i="27"/>
  <c r="D31" i="27"/>
  <c r="E32" i="27" s="1"/>
  <c r="F31" i="27"/>
  <c r="J29" i="27"/>
  <c r="K29" i="27" s="1"/>
  <c r="I29" i="27"/>
  <c r="L29" i="27" s="1"/>
  <c r="J8" i="23"/>
  <c r="M8" i="23" s="1"/>
  <c r="E9" i="23"/>
  <c r="D10" i="23" s="1"/>
  <c r="F9" i="23"/>
  <c r="G9" i="23" s="1"/>
  <c r="L5" i="23"/>
  <c r="L7" i="23"/>
  <c r="L6" i="23"/>
  <c r="J28" i="28" l="1"/>
  <c r="K28" i="28" s="1"/>
  <c r="I28" i="28"/>
  <c r="L28" i="28" s="1"/>
  <c r="E30" i="28"/>
  <c r="F30" i="28" s="1"/>
  <c r="D30" i="28"/>
  <c r="G29" i="28"/>
  <c r="H29" i="28"/>
  <c r="G31" i="27"/>
  <c r="H31" i="27"/>
  <c r="J30" i="27"/>
  <c r="K30" i="27" s="1"/>
  <c r="I30" i="27"/>
  <c r="L30" i="27" s="1"/>
  <c r="H9" i="23"/>
  <c r="I9" i="23"/>
  <c r="E10" i="23"/>
  <c r="D11" i="23" s="1"/>
  <c r="F10" i="23"/>
  <c r="G10" i="23" s="1"/>
  <c r="H10" i="23" s="1"/>
  <c r="K10" i="23" s="1"/>
  <c r="J29" i="28" l="1"/>
  <c r="K29" i="28" s="1"/>
  <c r="I29" i="28"/>
  <c r="L29" i="28" s="1"/>
  <c r="E31" i="28"/>
  <c r="F31" i="28" s="1"/>
  <c r="D31" i="28"/>
  <c r="E32" i="28" s="1"/>
  <c r="G30" i="28"/>
  <c r="H30" i="28"/>
  <c r="J31" i="27"/>
  <c r="K31" i="27" s="1"/>
  <c r="I31" i="27"/>
  <c r="L31" i="27" s="1"/>
  <c r="I10" i="23"/>
  <c r="E11" i="23"/>
  <c r="F12" i="23" s="1"/>
  <c r="G12" i="23" s="1"/>
  <c r="F11" i="23"/>
  <c r="G11" i="23" s="1"/>
  <c r="I11" i="23" s="1"/>
  <c r="K9" i="23"/>
  <c r="J9" i="23"/>
  <c r="M9" i="23" s="1"/>
  <c r="J10" i="23"/>
  <c r="M10" i="23" s="1"/>
  <c r="J30" i="28" l="1"/>
  <c r="K30" i="28" s="1"/>
  <c r="I30" i="28"/>
  <c r="L30" i="28" s="1"/>
  <c r="G31" i="28"/>
  <c r="H31" i="28"/>
  <c r="D12" i="23"/>
  <c r="E12" i="23" s="1"/>
  <c r="F13" i="23" s="1"/>
  <c r="G13" i="23" s="1"/>
  <c r="H12" i="23"/>
  <c r="K12" i="23" s="1"/>
  <c r="L9" i="23"/>
  <c r="L10" i="23"/>
  <c r="H11" i="23"/>
  <c r="I12" i="23"/>
  <c r="J31" i="28" l="1"/>
  <c r="K31" i="28" s="1"/>
  <c r="I31" i="28"/>
  <c r="L31" i="28" s="1"/>
  <c r="H13" i="23"/>
  <c r="K13" i="23" s="1"/>
  <c r="I13" i="23"/>
  <c r="D13" i="23"/>
  <c r="K11" i="23"/>
  <c r="J12" i="23"/>
  <c r="M12" i="23" s="1"/>
  <c r="J11" i="23"/>
  <c r="M11" i="23" s="1"/>
  <c r="L13" i="23" l="1"/>
  <c r="L12" i="23"/>
  <c r="L11" i="23"/>
  <c r="J13" i="23"/>
  <c r="M13" i="23" s="1"/>
  <c r="E13" i="23"/>
  <c r="D14" i="23" s="1"/>
  <c r="F14" i="23" l="1"/>
  <c r="G14" i="23" s="1"/>
  <c r="H14" i="23" s="1"/>
  <c r="E14" i="23"/>
  <c r="D15" i="23" s="1"/>
  <c r="I14" i="23" l="1"/>
  <c r="K14" i="23"/>
  <c r="J14" i="23"/>
  <c r="M14" i="23" s="1"/>
  <c r="E15" i="23"/>
  <c r="F16" i="23" s="1"/>
  <c r="G16" i="23" s="1"/>
  <c r="H16" i="23" s="1"/>
  <c r="K16" i="23" s="1"/>
  <c r="F15" i="23"/>
  <c r="G15" i="23" s="1"/>
  <c r="D16" i="23" l="1"/>
  <c r="E16" i="23" s="1"/>
  <c r="D17" i="23" s="1"/>
  <c r="H15" i="23"/>
  <c r="I16" i="23"/>
  <c r="I15" i="23"/>
  <c r="L14" i="23"/>
  <c r="F17" i="23" l="1"/>
  <c r="G17" i="23" s="1"/>
  <c r="H17" i="23" s="1"/>
  <c r="K17" i="23" s="1"/>
  <c r="E17" i="23"/>
  <c r="D18" i="23" s="1"/>
  <c r="K15" i="23"/>
  <c r="J16" i="23"/>
  <c r="M16" i="23" s="1"/>
  <c r="J15" i="23"/>
  <c r="M15" i="23" s="1"/>
  <c r="I17" i="23" l="1"/>
  <c r="J17" i="23"/>
  <c r="M17" i="23" s="1"/>
  <c r="L17" i="23"/>
  <c r="L16" i="23"/>
  <c r="L15" i="23"/>
  <c r="E18" i="23"/>
  <c r="F19" i="23" s="1"/>
  <c r="G19" i="23" s="1"/>
  <c r="F18" i="23"/>
  <c r="G18" i="23" s="1"/>
  <c r="D19" i="23" l="1"/>
  <c r="E19" i="23" s="1"/>
  <c r="D20" i="23" s="1"/>
  <c r="H19" i="23"/>
  <c r="I19" i="23"/>
  <c r="H18" i="23"/>
  <c r="I18" i="23"/>
  <c r="E20" i="23" l="1"/>
  <c r="D21" i="23" s="1"/>
  <c r="K19" i="23"/>
  <c r="J19" i="23"/>
  <c r="M19" i="23" s="1"/>
  <c r="F20" i="23"/>
  <c r="G20" i="23" s="1"/>
  <c r="K18" i="23"/>
  <c r="J18" i="23"/>
  <c r="M18" i="23" s="1"/>
  <c r="F21" i="23" l="1"/>
  <c r="G21" i="23" s="1"/>
  <c r="H21" i="23" s="1"/>
  <c r="H20" i="23"/>
  <c r="I20" i="23"/>
  <c r="E21" i="23"/>
  <c r="F22" i="23" s="1"/>
  <c r="G22" i="23" s="1"/>
  <c r="L18" i="23"/>
  <c r="L19" i="23"/>
  <c r="I21" i="23" l="1"/>
  <c r="H22" i="23"/>
  <c r="I22" i="23"/>
  <c r="K21" i="23"/>
  <c r="J21" i="23"/>
  <c r="M21" i="23" s="1"/>
  <c r="D22" i="23"/>
  <c r="K20" i="23"/>
  <c r="L20" i="23" s="1"/>
  <c r="J20" i="23"/>
  <c r="M20" i="23" s="1"/>
  <c r="E22" i="23" l="1"/>
  <c r="D23" i="23" s="1"/>
  <c r="L21" i="23"/>
  <c r="K22" i="23"/>
  <c r="L22" i="23" s="1"/>
  <c r="J22" i="23"/>
  <c r="M22" i="23" s="1"/>
  <c r="F4" i="21"/>
  <c r="G4" i="21" s="1"/>
  <c r="I4" i="21" s="1"/>
  <c r="E4" i="21"/>
  <c r="F4" i="14"/>
  <c r="E15" i="15"/>
  <c r="D15" i="15"/>
  <c r="C15" i="15"/>
  <c r="B15" i="15"/>
  <c r="F15" i="15" s="1"/>
  <c r="E6" i="15"/>
  <c r="D6" i="15"/>
  <c r="C6" i="15"/>
  <c r="B6" i="15"/>
  <c r="F6" i="15" s="1"/>
  <c r="G3" i="21"/>
  <c r="F3" i="21"/>
  <c r="E28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4" i="21"/>
  <c r="F23" i="23" l="1"/>
  <c r="G23" i="23" s="1"/>
  <c r="H23" i="23" s="1"/>
  <c r="E23" i="23"/>
  <c r="D24" i="23" s="1"/>
  <c r="G4" i="14"/>
  <c r="F5" i="14" s="1"/>
  <c r="G5" i="14" s="1"/>
  <c r="F5" i="21"/>
  <c r="C25" i="21"/>
  <c r="C10" i="21"/>
  <c r="C24" i="21"/>
  <c r="C23" i="21"/>
  <c r="C22" i="21"/>
  <c r="C21" i="21"/>
  <c r="C20" i="21"/>
  <c r="C19" i="21"/>
  <c r="C18" i="21"/>
  <c r="C17" i="21"/>
  <c r="C16" i="21"/>
  <c r="C15" i="21"/>
  <c r="E38" i="21"/>
  <c r="H14" i="21" s="1"/>
  <c r="H38" i="21" s="1"/>
  <c r="C14" i="21"/>
  <c r="C13" i="21"/>
  <c r="C12" i="21"/>
  <c r="C11" i="21"/>
  <c r="E34" i="21"/>
  <c r="H10" i="21" s="1"/>
  <c r="H34" i="21" s="1"/>
  <c r="E33" i="21"/>
  <c r="H9" i="21" s="1"/>
  <c r="H33" i="21" s="1"/>
  <c r="E31" i="21"/>
  <c r="H7" i="21" s="1"/>
  <c r="H31" i="21" s="1"/>
  <c r="E29" i="21"/>
  <c r="H5" i="21" s="1"/>
  <c r="H29" i="21" s="1"/>
  <c r="C25" i="14"/>
  <c r="G3" i="14"/>
  <c r="F3" i="14"/>
  <c r="D5" i="14"/>
  <c r="E5" i="14" s="1"/>
  <c r="D6" i="14"/>
  <c r="E6" i="14" s="1"/>
  <c r="D7" i="14"/>
  <c r="E7" i="14" s="1"/>
  <c r="D8" i="14"/>
  <c r="E8" i="14" s="1"/>
  <c r="D9" i="14"/>
  <c r="E9" i="14" s="1"/>
  <c r="E33" i="14" s="1"/>
  <c r="H9" i="14" s="1"/>
  <c r="H33" i="14" s="1"/>
  <c r="D10" i="14"/>
  <c r="E10" i="14" s="1"/>
  <c r="E34" i="14" s="1"/>
  <c r="H10" i="14" s="1"/>
  <c r="H34" i="14" s="1"/>
  <c r="D11" i="14"/>
  <c r="E11" i="14" s="1"/>
  <c r="E35" i="14" s="1"/>
  <c r="H11" i="14" s="1"/>
  <c r="H35" i="14" s="1"/>
  <c r="D12" i="14"/>
  <c r="E12" i="14" s="1"/>
  <c r="E36" i="14" s="1"/>
  <c r="H12" i="14" s="1"/>
  <c r="H36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E19" i="14" s="1"/>
  <c r="D20" i="14"/>
  <c r="E20" i="14" s="1"/>
  <c r="D21" i="14"/>
  <c r="E21" i="14" s="1"/>
  <c r="D22" i="14"/>
  <c r="E22" i="14" s="1"/>
  <c r="D23" i="14"/>
  <c r="E23" i="14" s="1"/>
  <c r="D24" i="14"/>
  <c r="E24" i="14" s="1"/>
  <c r="D25" i="14"/>
  <c r="E25" i="14" s="1"/>
  <c r="D26" i="14"/>
  <c r="E26" i="14" s="1"/>
  <c r="D27" i="14"/>
  <c r="E27" i="14" s="1"/>
  <c r="D4" i="14"/>
  <c r="E4" i="14" s="1"/>
  <c r="E28" i="14" s="1"/>
  <c r="H4" i="14" s="1"/>
  <c r="H28" i="14" s="1"/>
  <c r="I23" i="23" l="1"/>
  <c r="E24" i="23"/>
  <c r="D25" i="23" s="1"/>
  <c r="K23" i="23"/>
  <c r="L23" i="23" s="1"/>
  <c r="J23" i="23"/>
  <c r="M23" i="23" s="1"/>
  <c r="F24" i="23"/>
  <c r="G24" i="23" s="1"/>
  <c r="F6" i="14"/>
  <c r="G6" i="14" s="1"/>
  <c r="F7" i="14" s="1"/>
  <c r="G5" i="21"/>
  <c r="I5" i="21" s="1"/>
  <c r="E31" i="14"/>
  <c r="H7" i="14" s="1"/>
  <c r="H31" i="14" s="1"/>
  <c r="E30" i="14"/>
  <c r="H6" i="14" s="1"/>
  <c r="H30" i="14" s="1"/>
  <c r="E32" i="14"/>
  <c r="H8" i="14" s="1"/>
  <c r="H32" i="14" s="1"/>
  <c r="E39" i="14"/>
  <c r="H15" i="14" s="1"/>
  <c r="H39" i="14" s="1"/>
  <c r="E38" i="14"/>
  <c r="H14" i="14" s="1"/>
  <c r="H38" i="14" s="1"/>
  <c r="E37" i="14"/>
  <c r="H13" i="14" s="1"/>
  <c r="H37" i="14" s="1"/>
  <c r="E29" i="14"/>
  <c r="H5" i="14" s="1"/>
  <c r="H29" i="14" s="1"/>
  <c r="E37" i="21"/>
  <c r="H13" i="21" s="1"/>
  <c r="H37" i="21" s="1"/>
  <c r="E39" i="21"/>
  <c r="H15" i="21" s="1"/>
  <c r="H39" i="21" s="1"/>
  <c r="E36" i="21"/>
  <c r="H12" i="21" s="1"/>
  <c r="H36" i="21" s="1"/>
  <c r="E30" i="21"/>
  <c r="H6" i="21" s="1"/>
  <c r="H30" i="21" s="1"/>
  <c r="E32" i="21"/>
  <c r="H8" i="21" s="1"/>
  <c r="H32" i="21" s="1"/>
  <c r="E35" i="21"/>
  <c r="H11" i="21" s="1"/>
  <c r="H35" i="21" s="1"/>
  <c r="H4" i="21"/>
  <c r="H28" i="21" s="1"/>
  <c r="H24" i="23" l="1"/>
  <c r="I24" i="23"/>
  <c r="E25" i="23"/>
  <c r="D26" i="23" s="1"/>
  <c r="F25" i="23"/>
  <c r="G25" i="23" s="1"/>
  <c r="G7" i="14"/>
  <c r="F8" i="14" s="1"/>
  <c r="I4" i="14"/>
  <c r="J4" i="14" s="1"/>
  <c r="L4" i="14" s="1"/>
  <c r="H16" i="14"/>
  <c r="H17" i="14"/>
  <c r="H25" i="23" l="1"/>
  <c r="I25" i="23"/>
  <c r="F26" i="23"/>
  <c r="G26" i="23" s="1"/>
  <c r="E26" i="23"/>
  <c r="F27" i="23" s="1"/>
  <c r="G27" i="23" s="1"/>
  <c r="K24" i="23"/>
  <c r="L24" i="23" s="1"/>
  <c r="J24" i="23"/>
  <c r="M24" i="23" s="1"/>
  <c r="G8" i="14"/>
  <c r="F9" i="14" s="1"/>
  <c r="K4" i="14"/>
  <c r="N4" i="14" s="1"/>
  <c r="O4" i="14" s="1"/>
  <c r="J4" i="21"/>
  <c r="H16" i="21"/>
  <c r="H18" i="14"/>
  <c r="I6" i="14"/>
  <c r="J6" i="14" s="1"/>
  <c r="K6" i="14" s="1"/>
  <c r="N6" i="14" s="1"/>
  <c r="I5" i="14"/>
  <c r="J5" i="14" s="1"/>
  <c r="C24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" i="18"/>
  <c r="D27" i="23" l="1"/>
  <c r="E27" i="23" s="1"/>
  <c r="F28" i="23" s="1"/>
  <c r="G28" i="23" s="1"/>
  <c r="H27" i="23"/>
  <c r="I27" i="23"/>
  <c r="H26" i="23"/>
  <c r="I26" i="23"/>
  <c r="K25" i="23"/>
  <c r="L25" i="23" s="1"/>
  <c r="J25" i="23"/>
  <c r="M25" i="23" s="1"/>
  <c r="L4" i="21"/>
  <c r="G9" i="14"/>
  <c r="F10" i="14" s="1"/>
  <c r="M4" i="14"/>
  <c r="P4" i="14" s="1"/>
  <c r="L6" i="14"/>
  <c r="L5" i="14"/>
  <c r="K4" i="21"/>
  <c r="K5" i="14"/>
  <c r="G32" i="18"/>
  <c r="F32" i="18"/>
  <c r="E32" i="18"/>
  <c r="D32" i="18"/>
  <c r="C32" i="18"/>
  <c r="G31" i="18"/>
  <c r="F31" i="18"/>
  <c r="E31" i="18"/>
  <c r="D31" i="18"/>
  <c r="C31" i="18"/>
  <c r="G30" i="18"/>
  <c r="J30" i="18" s="1"/>
  <c r="K30" i="18" s="1"/>
  <c r="N30" i="18" s="1"/>
  <c r="F30" i="18"/>
  <c r="E30" i="18"/>
  <c r="D30" i="18"/>
  <c r="C30" i="18"/>
  <c r="G29" i="18"/>
  <c r="F29" i="18"/>
  <c r="E29" i="18"/>
  <c r="D29" i="18"/>
  <c r="C29" i="18"/>
  <c r="J29" i="18" s="1"/>
  <c r="K29" i="18" s="1"/>
  <c r="N29" i="18" s="1"/>
  <c r="G28" i="18"/>
  <c r="F28" i="18"/>
  <c r="J28" i="18" s="1"/>
  <c r="K28" i="18" s="1"/>
  <c r="N28" i="18" s="1"/>
  <c r="E28" i="18"/>
  <c r="D28" i="18"/>
  <c r="C28" i="18"/>
  <c r="G27" i="18"/>
  <c r="F27" i="18"/>
  <c r="E27" i="18"/>
  <c r="J27" i="18" s="1"/>
  <c r="K27" i="18" s="1"/>
  <c r="N27" i="18" s="1"/>
  <c r="D27" i="18"/>
  <c r="C27" i="18"/>
  <c r="J26" i="18"/>
  <c r="K26" i="18" s="1"/>
  <c r="N26" i="18" s="1"/>
  <c r="G26" i="18"/>
  <c r="F26" i="18"/>
  <c r="E26" i="18"/>
  <c r="D26" i="18"/>
  <c r="C26" i="18"/>
  <c r="G25" i="18"/>
  <c r="J25" i="18" s="1"/>
  <c r="K25" i="18" s="1"/>
  <c r="N25" i="18" s="1"/>
  <c r="F25" i="18"/>
  <c r="E25" i="18"/>
  <c r="D25" i="18"/>
  <c r="C25" i="18"/>
  <c r="G24" i="18"/>
  <c r="J24" i="18" s="1"/>
  <c r="K24" i="18" s="1"/>
  <c r="N24" i="18" s="1"/>
  <c r="F24" i="18"/>
  <c r="E24" i="18"/>
  <c r="D24" i="18"/>
  <c r="C24" i="18"/>
  <c r="G23" i="18"/>
  <c r="J23" i="18" s="1"/>
  <c r="K23" i="18" s="1"/>
  <c r="N23" i="18" s="1"/>
  <c r="F23" i="18"/>
  <c r="E23" i="18"/>
  <c r="D23" i="18"/>
  <c r="C23" i="18"/>
  <c r="G22" i="18"/>
  <c r="J22" i="18" s="1"/>
  <c r="K22" i="18" s="1"/>
  <c r="N22" i="18" s="1"/>
  <c r="F22" i="18"/>
  <c r="E22" i="18"/>
  <c r="D22" i="18"/>
  <c r="C22" i="18"/>
  <c r="J21" i="18"/>
  <c r="K21" i="18" s="1"/>
  <c r="N21" i="18" s="1"/>
  <c r="G21" i="18"/>
  <c r="F21" i="18"/>
  <c r="E21" i="18"/>
  <c r="D21" i="18"/>
  <c r="C21" i="18"/>
  <c r="G20" i="18"/>
  <c r="F20" i="18"/>
  <c r="J20" i="18" s="1"/>
  <c r="K20" i="18" s="1"/>
  <c r="N20" i="18" s="1"/>
  <c r="E20" i="18"/>
  <c r="D20" i="18"/>
  <c r="C20" i="18"/>
  <c r="G19" i="18"/>
  <c r="F19" i="18"/>
  <c r="E19" i="18"/>
  <c r="J19" i="18" s="1"/>
  <c r="K19" i="18" s="1"/>
  <c r="N19" i="18" s="1"/>
  <c r="D19" i="18"/>
  <c r="C19" i="18"/>
  <c r="J18" i="18"/>
  <c r="K18" i="18" s="1"/>
  <c r="N18" i="18" s="1"/>
  <c r="G18" i="18"/>
  <c r="F18" i="18"/>
  <c r="E18" i="18"/>
  <c r="D18" i="18"/>
  <c r="C18" i="18"/>
  <c r="G17" i="18"/>
  <c r="J17" i="18" s="1"/>
  <c r="K17" i="18" s="1"/>
  <c r="N17" i="18" s="1"/>
  <c r="F17" i="18"/>
  <c r="E17" i="18"/>
  <c r="D17" i="18"/>
  <c r="C17" i="18"/>
  <c r="G16" i="18"/>
  <c r="J16" i="18" s="1"/>
  <c r="K16" i="18" s="1"/>
  <c r="N16" i="18" s="1"/>
  <c r="F16" i="18"/>
  <c r="E16" i="18"/>
  <c r="D16" i="18"/>
  <c r="C16" i="18"/>
  <c r="G15" i="18"/>
  <c r="J15" i="18" s="1"/>
  <c r="K15" i="18" s="1"/>
  <c r="N15" i="18" s="1"/>
  <c r="F15" i="18"/>
  <c r="E15" i="18"/>
  <c r="D15" i="18"/>
  <c r="C15" i="18"/>
  <c r="G14" i="18"/>
  <c r="J14" i="18" s="1"/>
  <c r="K14" i="18" s="1"/>
  <c r="N14" i="18" s="1"/>
  <c r="F14" i="18"/>
  <c r="E14" i="18"/>
  <c r="D14" i="18"/>
  <c r="C14" i="18"/>
  <c r="J13" i="18"/>
  <c r="K13" i="18" s="1"/>
  <c r="N13" i="18" s="1"/>
  <c r="G13" i="18"/>
  <c r="F13" i="18"/>
  <c r="E13" i="18"/>
  <c r="D13" i="18"/>
  <c r="C13" i="18"/>
  <c r="G12" i="18"/>
  <c r="F12" i="18"/>
  <c r="J12" i="18" s="1"/>
  <c r="K12" i="18" s="1"/>
  <c r="N12" i="18" s="1"/>
  <c r="E12" i="18"/>
  <c r="D12" i="18"/>
  <c r="C12" i="18"/>
  <c r="G11" i="18"/>
  <c r="F11" i="18"/>
  <c r="E11" i="18"/>
  <c r="D11" i="18"/>
  <c r="C11" i="18"/>
  <c r="J11" i="18" s="1"/>
  <c r="K11" i="18" s="1"/>
  <c r="N11" i="18" s="1"/>
  <c r="J10" i="18"/>
  <c r="K10" i="18" s="1"/>
  <c r="N10" i="18" s="1"/>
  <c r="G10" i="18"/>
  <c r="F10" i="18"/>
  <c r="E10" i="18"/>
  <c r="D10" i="18"/>
  <c r="C10" i="18"/>
  <c r="G9" i="18"/>
  <c r="J9" i="18" s="1"/>
  <c r="K9" i="18" s="1"/>
  <c r="N9" i="18" s="1"/>
  <c r="F9" i="18"/>
  <c r="E9" i="18"/>
  <c r="D9" i="18"/>
  <c r="C9" i="18"/>
  <c r="G8" i="18"/>
  <c r="J8" i="18" s="1"/>
  <c r="K8" i="18" s="1"/>
  <c r="N8" i="18" s="1"/>
  <c r="F8" i="18"/>
  <c r="E8" i="18"/>
  <c r="D8" i="18"/>
  <c r="C8" i="18"/>
  <c r="G7" i="18"/>
  <c r="J7" i="18" s="1"/>
  <c r="K7" i="18" s="1"/>
  <c r="N7" i="18" s="1"/>
  <c r="F7" i="18"/>
  <c r="E7" i="18"/>
  <c r="D7" i="18"/>
  <c r="C7" i="18"/>
  <c r="G6" i="18"/>
  <c r="J6" i="18" s="1"/>
  <c r="K6" i="18" s="1"/>
  <c r="N6" i="18" s="1"/>
  <c r="F6" i="18"/>
  <c r="E6" i="18"/>
  <c r="D6" i="18"/>
  <c r="C6" i="18"/>
  <c r="J5" i="18"/>
  <c r="K5" i="18" s="1"/>
  <c r="N5" i="18" s="1"/>
  <c r="G5" i="18"/>
  <c r="F5" i="18"/>
  <c r="E5" i="18"/>
  <c r="D5" i="18"/>
  <c r="C5" i="18"/>
  <c r="G4" i="18"/>
  <c r="F4" i="18"/>
  <c r="J4" i="18" s="1"/>
  <c r="K4" i="18" s="1"/>
  <c r="N4" i="18" s="1"/>
  <c r="E4" i="18"/>
  <c r="D4" i="18"/>
  <c r="C4" i="18"/>
  <c r="G3" i="18"/>
  <c r="F3" i="18"/>
  <c r="E3" i="18"/>
  <c r="D3" i="18"/>
  <c r="C3" i="18"/>
  <c r="J3" i="18" s="1"/>
  <c r="C31" i="16"/>
  <c r="D31" i="16"/>
  <c r="I31" i="16" s="1"/>
  <c r="E31" i="16"/>
  <c r="F31" i="16"/>
  <c r="G31" i="16"/>
  <c r="C32" i="16"/>
  <c r="D32" i="16"/>
  <c r="E32" i="16"/>
  <c r="F32" i="16"/>
  <c r="G32" i="16"/>
  <c r="I32" i="16" s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" i="16"/>
  <c r="L30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" i="16"/>
  <c r="J4" i="16"/>
  <c r="K4" i="16" s="1"/>
  <c r="J5" i="16"/>
  <c r="K5" i="16" s="1"/>
  <c r="J6" i="16"/>
  <c r="K6" i="16" s="1"/>
  <c r="J7" i="16"/>
  <c r="K7" i="16"/>
  <c r="J8" i="16"/>
  <c r="K8" i="16" s="1"/>
  <c r="J9" i="16"/>
  <c r="K9" i="16" s="1"/>
  <c r="J10" i="16"/>
  <c r="K10" i="16" s="1"/>
  <c r="J11" i="16"/>
  <c r="K11" i="16"/>
  <c r="J12" i="16"/>
  <c r="K12" i="16" s="1"/>
  <c r="J13" i="16"/>
  <c r="K13" i="16" s="1"/>
  <c r="J14" i="16"/>
  <c r="K14" i="16" s="1"/>
  <c r="J15" i="16"/>
  <c r="K15" i="16"/>
  <c r="J16" i="16"/>
  <c r="K16" i="16" s="1"/>
  <c r="J17" i="16"/>
  <c r="K17" i="16" s="1"/>
  <c r="J18" i="16"/>
  <c r="K18" i="16" s="1"/>
  <c r="J19" i="16"/>
  <c r="K19" i="16"/>
  <c r="J20" i="16"/>
  <c r="K20" i="16" s="1"/>
  <c r="J21" i="16"/>
  <c r="K21" i="16" s="1"/>
  <c r="J22" i="16"/>
  <c r="K22" i="16" s="1"/>
  <c r="J23" i="16"/>
  <c r="K23" i="16"/>
  <c r="J24" i="16"/>
  <c r="K24" i="16" s="1"/>
  <c r="J25" i="16"/>
  <c r="K25" i="16" s="1"/>
  <c r="J26" i="16"/>
  <c r="K26" i="16" s="1"/>
  <c r="J27" i="16"/>
  <c r="K27" i="16"/>
  <c r="J28" i="16"/>
  <c r="K28" i="16" s="1"/>
  <c r="J29" i="16"/>
  <c r="K29" i="16" s="1"/>
  <c r="J30" i="16"/>
  <c r="K30" i="16" s="1"/>
  <c r="K3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" i="16"/>
  <c r="H28" i="23" l="1"/>
  <c r="I28" i="23"/>
  <c r="K26" i="23"/>
  <c r="L26" i="23" s="1"/>
  <c r="J26" i="23"/>
  <c r="M26" i="23" s="1"/>
  <c r="D28" i="23"/>
  <c r="K27" i="23"/>
  <c r="J27" i="23"/>
  <c r="M27" i="23" s="1"/>
  <c r="G10" i="14"/>
  <c r="F11" i="14" s="1"/>
  <c r="N4" i="21"/>
  <c r="M4" i="21"/>
  <c r="P4" i="21" s="1"/>
  <c r="H17" i="21"/>
  <c r="N5" i="14"/>
  <c r="M6" i="14"/>
  <c r="P6" i="14" s="1"/>
  <c r="M5" i="14"/>
  <c r="P5" i="14" s="1"/>
  <c r="H19" i="14"/>
  <c r="L30" i="18"/>
  <c r="L22" i="18"/>
  <c r="L14" i="18"/>
  <c r="L6" i="18"/>
  <c r="K3" i="18"/>
  <c r="L25" i="18"/>
  <c r="L17" i="18"/>
  <c r="L9" i="18"/>
  <c r="L28" i="18"/>
  <c r="L20" i="18"/>
  <c r="L12" i="18"/>
  <c r="L4" i="18"/>
  <c r="L23" i="18"/>
  <c r="L15" i="18"/>
  <c r="L7" i="18"/>
  <c r="L26" i="18"/>
  <c r="L18" i="18"/>
  <c r="L10" i="18"/>
  <c r="L3" i="18"/>
  <c r="L29" i="18"/>
  <c r="L21" i="18"/>
  <c r="L13" i="18"/>
  <c r="L5" i="18"/>
  <c r="L19" i="18"/>
  <c r="L11" i="18"/>
  <c r="L24" i="18"/>
  <c r="L16" i="18"/>
  <c r="L8" i="18"/>
  <c r="L27" i="18"/>
  <c r="L27" i="23" l="1"/>
  <c r="E28" i="23"/>
  <c r="F29" i="23" s="1"/>
  <c r="G29" i="23" s="1"/>
  <c r="K28" i="23"/>
  <c r="L28" i="23" s="1"/>
  <c r="J28" i="23"/>
  <c r="M28" i="23" s="1"/>
  <c r="J5" i="21"/>
  <c r="K5" i="21" s="1"/>
  <c r="F6" i="21"/>
  <c r="G11" i="14"/>
  <c r="F12" i="14" s="1"/>
  <c r="O4" i="21"/>
  <c r="O5" i="14"/>
  <c r="O6" i="14"/>
  <c r="H20" i="14"/>
  <c r="I7" i="14"/>
  <c r="J7" i="14" s="1"/>
  <c r="M25" i="18"/>
  <c r="P25" i="18" s="1"/>
  <c r="M17" i="18"/>
  <c r="P17" i="18" s="1"/>
  <c r="M9" i="18"/>
  <c r="P9" i="18" s="1"/>
  <c r="M28" i="18"/>
  <c r="P28" i="18" s="1"/>
  <c r="M20" i="18"/>
  <c r="P20" i="18" s="1"/>
  <c r="M12" i="18"/>
  <c r="P12" i="18" s="1"/>
  <c r="M4" i="18"/>
  <c r="P4" i="18" s="1"/>
  <c r="M23" i="18"/>
  <c r="P23" i="18" s="1"/>
  <c r="M15" i="18"/>
  <c r="P15" i="18" s="1"/>
  <c r="M7" i="18"/>
  <c r="P7" i="18" s="1"/>
  <c r="M6" i="18"/>
  <c r="P6" i="18" s="1"/>
  <c r="M26" i="18"/>
  <c r="P26" i="18" s="1"/>
  <c r="M18" i="18"/>
  <c r="P18" i="18" s="1"/>
  <c r="M10" i="18"/>
  <c r="P10" i="18" s="1"/>
  <c r="M22" i="18"/>
  <c r="P22" i="18" s="1"/>
  <c r="M29" i="18"/>
  <c r="P29" i="18" s="1"/>
  <c r="M21" i="18"/>
  <c r="P21" i="18" s="1"/>
  <c r="M13" i="18"/>
  <c r="P13" i="18" s="1"/>
  <c r="M5" i="18"/>
  <c r="P5" i="18" s="1"/>
  <c r="M30" i="18"/>
  <c r="P30" i="18" s="1"/>
  <c r="M24" i="18"/>
  <c r="P24" i="18" s="1"/>
  <c r="M16" i="18"/>
  <c r="P16" i="18" s="1"/>
  <c r="M8" i="18"/>
  <c r="P8" i="18" s="1"/>
  <c r="N3" i="18"/>
  <c r="M14" i="18"/>
  <c r="P14" i="18" s="1"/>
  <c r="M27" i="18"/>
  <c r="P27" i="18" s="1"/>
  <c r="M19" i="18"/>
  <c r="P19" i="18" s="1"/>
  <c r="M11" i="18"/>
  <c r="P11" i="18" s="1"/>
  <c r="M3" i="18"/>
  <c r="P3" i="18" s="1"/>
  <c r="H29" i="23" l="1"/>
  <c r="I29" i="23"/>
  <c r="D29" i="23"/>
  <c r="G6" i="21"/>
  <c r="F7" i="21" s="1"/>
  <c r="L5" i="21"/>
  <c r="G12" i="14"/>
  <c r="F13" i="14" s="1"/>
  <c r="L7" i="14"/>
  <c r="H18" i="21"/>
  <c r="N5" i="21"/>
  <c r="M5" i="21"/>
  <c r="P5" i="21" s="1"/>
  <c r="K7" i="14"/>
  <c r="I8" i="14"/>
  <c r="J8" i="14" s="1"/>
  <c r="K8" i="14" s="1"/>
  <c r="N8" i="14" s="1"/>
  <c r="H21" i="14"/>
  <c r="O23" i="18"/>
  <c r="O15" i="18"/>
  <c r="O7" i="18"/>
  <c r="O4" i="18"/>
  <c r="O26" i="18"/>
  <c r="O18" i="18"/>
  <c r="O10" i="18"/>
  <c r="O28" i="18"/>
  <c r="O29" i="18"/>
  <c r="O21" i="18"/>
  <c r="O13" i="18"/>
  <c r="O5" i="18"/>
  <c r="O24" i="18"/>
  <c r="O16" i="18"/>
  <c r="O8" i="18"/>
  <c r="O20" i="18"/>
  <c r="O27" i="18"/>
  <c r="O19" i="18"/>
  <c r="O11" i="18"/>
  <c r="O3" i="18"/>
  <c r="O12" i="18"/>
  <c r="O30" i="18"/>
  <c r="O22" i="18"/>
  <c r="O14" i="18"/>
  <c r="O6" i="18"/>
  <c r="O25" i="18"/>
  <c r="O17" i="18"/>
  <c r="O9" i="18"/>
  <c r="C4" i="16"/>
  <c r="D4" i="16"/>
  <c r="E4" i="16"/>
  <c r="F4" i="16"/>
  <c r="G4" i="16"/>
  <c r="C5" i="16"/>
  <c r="D5" i="16"/>
  <c r="E5" i="16"/>
  <c r="F5" i="16"/>
  <c r="G5" i="16"/>
  <c r="C6" i="16"/>
  <c r="D6" i="16"/>
  <c r="E6" i="16"/>
  <c r="F6" i="16"/>
  <c r="G6" i="16"/>
  <c r="C7" i="16"/>
  <c r="D7" i="16"/>
  <c r="E7" i="16"/>
  <c r="F7" i="16"/>
  <c r="G7" i="16"/>
  <c r="C8" i="16"/>
  <c r="D8" i="16"/>
  <c r="E8" i="16"/>
  <c r="F8" i="16"/>
  <c r="G8" i="16"/>
  <c r="C9" i="16"/>
  <c r="D9" i="16"/>
  <c r="E9" i="16"/>
  <c r="F9" i="16"/>
  <c r="G9" i="16"/>
  <c r="C10" i="16"/>
  <c r="D10" i="16"/>
  <c r="E10" i="16"/>
  <c r="F10" i="16"/>
  <c r="G10" i="16"/>
  <c r="C11" i="16"/>
  <c r="D11" i="16"/>
  <c r="E11" i="16"/>
  <c r="F11" i="16"/>
  <c r="G11" i="16"/>
  <c r="C12" i="16"/>
  <c r="D12" i="16"/>
  <c r="E12" i="16"/>
  <c r="F12" i="16"/>
  <c r="G12" i="16"/>
  <c r="C13" i="16"/>
  <c r="D13" i="16"/>
  <c r="E13" i="16"/>
  <c r="F13" i="16"/>
  <c r="G13" i="16"/>
  <c r="C14" i="16"/>
  <c r="D14" i="16"/>
  <c r="E14" i="16"/>
  <c r="F14" i="16"/>
  <c r="G14" i="16"/>
  <c r="C15" i="16"/>
  <c r="D15" i="16"/>
  <c r="E15" i="16"/>
  <c r="F15" i="16"/>
  <c r="G15" i="16"/>
  <c r="C16" i="16"/>
  <c r="D16" i="16"/>
  <c r="E16" i="16"/>
  <c r="F16" i="16"/>
  <c r="G16" i="16"/>
  <c r="C17" i="16"/>
  <c r="D17" i="16"/>
  <c r="E17" i="16"/>
  <c r="F17" i="16"/>
  <c r="G17" i="16"/>
  <c r="C18" i="16"/>
  <c r="D18" i="16"/>
  <c r="E18" i="16"/>
  <c r="F18" i="16"/>
  <c r="G18" i="16"/>
  <c r="C19" i="16"/>
  <c r="D19" i="16"/>
  <c r="E19" i="16"/>
  <c r="F19" i="16"/>
  <c r="G19" i="16"/>
  <c r="C20" i="16"/>
  <c r="D20" i="16"/>
  <c r="E20" i="16"/>
  <c r="F20" i="16"/>
  <c r="G20" i="16"/>
  <c r="C21" i="16"/>
  <c r="D21" i="16"/>
  <c r="E21" i="16"/>
  <c r="F21" i="16"/>
  <c r="G21" i="16"/>
  <c r="C22" i="16"/>
  <c r="D22" i="16"/>
  <c r="E22" i="16"/>
  <c r="F22" i="16"/>
  <c r="G22" i="16"/>
  <c r="C23" i="16"/>
  <c r="D23" i="16"/>
  <c r="E23" i="16"/>
  <c r="F23" i="16"/>
  <c r="G23" i="16"/>
  <c r="C24" i="16"/>
  <c r="D24" i="16"/>
  <c r="E24" i="16"/>
  <c r="F24" i="16"/>
  <c r="G24" i="16"/>
  <c r="C25" i="16"/>
  <c r="D25" i="16"/>
  <c r="E25" i="16"/>
  <c r="F25" i="16"/>
  <c r="G25" i="16"/>
  <c r="C26" i="16"/>
  <c r="D26" i="16"/>
  <c r="E26" i="16"/>
  <c r="F26" i="16"/>
  <c r="G26" i="16"/>
  <c r="C27" i="16"/>
  <c r="D27" i="16"/>
  <c r="E27" i="16"/>
  <c r="F27" i="16"/>
  <c r="G27" i="16"/>
  <c r="C28" i="16"/>
  <c r="D28" i="16"/>
  <c r="E28" i="16"/>
  <c r="F28" i="16"/>
  <c r="G28" i="16"/>
  <c r="C29" i="16"/>
  <c r="D29" i="16"/>
  <c r="E29" i="16"/>
  <c r="F29" i="16"/>
  <c r="G29" i="16"/>
  <c r="C30" i="16"/>
  <c r="D30" i="16"/>
  <c r="E30" i="16"/>
  <c r="F30" i="16"/>
  <c r="G30" i="16"/>
  <c r="G3" i="16"/>
  <c r="F3" i="16"/>
  <c r="E3" i="16"/>
  <c r="D3" i="16"/>
  <c r="C3" i="16"/>
  <c r="E29" i="23" l="1"/>
  <c r="F30" i="23" s="1"/>
  <c r="G30" i="23" s="1"/>
  <c r="K29" i="23"/>
  <c r="L29" i="23" s="1"/>
  <c r="J29" i="23"/>
  <c r="M29" i="23" s="1"/>
  <c r="I6" i="21"/>
  <c r="J6" i="21" s="1"/>
  <c r="G7" i="21"/>
  <c r="I7" i="21" s="1"/>
  <c r="J7" i="21" s="1"/>
  <c r="G13" i="14"/>
  <c r="F14" i="14" s="1"/>
  <c r="L8" i="14"/>
  <c r="H19" i="21"/>
  <c r="O5" i="21"/>
  <c r="H22" i="14"/>
  <c r="I9" i="14"/>
  <c r="J9" i="14" s="1"/>
  <c r="L9" i="14" s="1"/>
  <c r="N7" i="14"/>
  <c r="M8" i="14"/>
  <c r="P8" i="14" s="1"/>
  <c r="M7" i="14"/>
  <c r="P7" i="14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" i="8"/>
  <c r="D30" i="23" l="1"/>
  <c r="E30" i="23" s="1"/>
  <c r="D31" i="23" s="1"/>
  <c r="E31" i="23" s="1"/>
  <c r="H30" i="23"/>
  <c r="I30" i="23"/>
  <c r="F8" i="21"/>
  <c r="K6" i="21"/>
  <c r="N6" i="21" s="1"/>
  <c r="O6" i="21" s="1"/>
  <c r="G14" i="14"/>
  <c r="F15" i="14" s="1"/>
  <c r="L6" i="21"/>
  <c r="K7" i="21"/>
  <c r="L7" i="21"/>
  <c r="K9" i="14"/>
  <c r="H23" i="14"/>
  <c r="I10" i="14"/>
  <c r="J10" i="14" s="1"/>
  <c r="L10" i="14" s="1"/>
  <c r="O8" i="14"/>
  <c r="O7" i="14"/>
  <c r="F31" i="23" l="1"/>
  <c r="G31" i="23" s="1"/>
  <c r="K30" i="23"/>
  <c r="L30" i="23" s="1"/>
  <c r="J30" i="23"/>
  <c r="M30" i="23" s="1"/>
  <c r="G8" i="21"/>
  <c r="I8" i="21" s="1"/>
  <c r="J8" i="21" s="1"/>
  <c r="M6" i="21"/>
  <c r="P6" i="21" s="1"/>
  <c r="G15" i="14"/>
  <c r="F16" i="14" s="1"/>
  <c r="N7" i="21"/>
  <c r="O7" i="21" s="1"/>
  <c r="M7" i="21"/>
  <c r="P7" i="21" s="1"/>
  <c r="H20" i="21"/>
  <c r="H24" i="14"/>
  <c r="I11" i="14"/>
  <c r="J11" i="14" s="1"/>
  <c r="L11" i="14" s="1"/>
  <c r="N9" i="14"/>
  <c r="M9" i="14"/>
  <c r="P9" i="14" s="1"/>
  <c r="K10" i="14"/>
  <c r="N10" i="14" s="1"/>
  <c r="H31" i="23" l="1"/>
  <c r="I31" i="23"/>
  <c r="F9" i="21"/>
  <c r="K8" i="21"/>
  <c r="N8" i="21" s="1"/>
  <c r="O8" i="21" s="1"/>
  <c r="G16" i="14"/>
  <c r="F17" i="14" s="1"/>
  <c r="K11" i="14"/>
  <c r="N11" i="14" s="1"/>
  <c r="O11" i="14" s="1"/>
  <c r="L8" i="21"/>
  <c r="I12" i="14"/>
  <c r="J12" i="14" s="1"/>
  <c r="L12" i="14" s="1"/>
  <c r="H25" i="14"/>
  <c r="I13" i="14"/>
  <c r="J13" i="14" s="1"/>
  <c r="M10" i="14"/>
  <c r="P10" i="14" s="1"/>
  <c r="O10" i="14"/>
  <c r="O9" i="14"/>
  <c r="K31" i="23" l="1"/>
  <c r="L31" i="23" s="1"/>
  <c r="J31" i="23"/>
  <c r="M31" i="23" s="1"/>
  <c r="G9" i="21"/>
  <c r="F10" i="21" s="1"/>
  <c r="H22" i="21" s="1"/>
  <c r="M8" i="21"/>
  <c r="P8" i="21" s="1"/>
  <c r="G17" i="14"/>
  <c r="F18" i="14" s="1"/>
  <c r="L13" i="14"/>
  <c r="M11" i="14"/>
  <c r="P11" i="14" s="1"/>
  <c r="K12" i="14"/>
  <c r="N12" i="14" s="1"/>
  <c r="O12" i="14" s="1"/>
  <c r="H21" i="21"/>
  <c r="K13" i="14"/>
  <c r="I9" i="21" l="1"/>
  <c r="J9" i="21" s="1"/>
  <c r="K9" i="21" s="1"/>
  <c r="N9" i="21" s="1"/>
  <c r="O9" i="21" s="1"/>
  <c r="G10" i="21"/>
  <c r="I10" i="21" s="1"/>
  <c r="G18" i="14"/>
  <c r="F19" i="14" s="1"/>
  <c r="M12" i="14"/>
  <c r="P12" i="14" s="1"/>
  <c r="H26" i="14"/>
  <c r="N13" i="14"/>
  <c r="M13" i="14"/>
  <c r="P13" i="14" s="1"/>
  <c r="M9" i="21" l="1"/>
  <c r="P9" i="21" s="1"/>
  <c r="L9" i="21"/>
  <c r="J10" i="21"/>
  <c r="K10" i="21" s="1"/>
  <c r="M10" i="21" s="1"/>
  <c r="P10" i="21" s="1"/>
  <c r="F11" i="21"/>
  <c r="H23" i="21" s="1"/>
  <c r="G19" i="14"/>
  <c r="F20" i="14" s="1"/>
  <c r="I14" i="14"/>
  <c r="J14" i="14" s="1"/>
  <c r="H27" i="14"/>
  <c r="I15" i="14"/>
  <c r="J15" i="14" s="1"/>
  <c r="O13" i="14"/>
  <c r="L10" i="21" l="1"/>
  <c r="N10" i="21"/>
  <c r="O10" i="21" s="1"/>
  <c r="G11" i="21"/>
  <c r="I11" i="21" s="1"/>
  <c r="J11" i="21" s="1"/>
  <c r="K11" i="21" s="1"/>
  <c r="N11" i="21" s="1"/>
  <c r="G20" i="14"/>
  <c r="F21" i="14" s="1"/>
  <c r="L15" i="14"/>
  <c r="K14" i="14"/>
  <c r="N14" i="14" s="1"/>
  <c r="L14" i="14"/>
  <c r="K15" i="14"/>
  <c r="O11" i="21" l="1"/>
  <c r="F12" i="21"/>
  <c r="G21" i="14"/>
  <c r="F22" i="14" s="1"/>
  <c r="M14" i="14"/>
  <c r="P14" i="14" s="1"/>
  <c r="M11" i="21"/>
  <c r="P11" i="21" s="1"/>
  <c r="L11" i="21"/>
  <c r="N15" i="14"/>
  <c r="O15" i="14" s="1"/>
  <c r="M15" i="14"/>
  <c r="P15" i="14" s="1"/>
  <c r="O14" i="14"/>
  <c r="G12" i="21" l="1"/>
  <c r="I12" i="21" s="1"/>
  <c r="J12" i="21" s="1"/>
  <c r="K12" i="21" s="1"/>
  <c r="G22" i="14"/>
  <c r="F23" i="14" s="1"/>
  <c r="I16" i="14"/>
  <c r="J16" i="14" s="1"/>
  <c r="L16" i="14" s="1"/>
  <c r="H24" i="21"/>
  <c r="F13" i="21" l="1"/>
  <c r="H25" i="21" s="1"/>
  <c r="N12" i="21"/>
  <c r="O12" i="21" s="1"/>
  <c r="M12" i="21"/>
  <c r="P12" i="21" s="1"/>
  <c r="L12" i="21"/>
  <c r="G23" i="14"/>
  <c r="F24" i="14" s="1"/>
  <c r="K16" i="14"/>
  <c r="N16" i="14" s="1"/>
  <c r="O16" i="14" s="1"/>
  <c r="G13" i="21" l="1"/>
  <c r="F14" i="21" s="1"/>
  <c r="G24" i="14"/>
  <c r="F25" i="14" s="1"/>
  <c r="M16" i="14"/>
  <c r="P16" i="14" s="1"/>
  <c r="I17" i="14"/>
  <c r="J17" i="14" s="1"/>
  <c r="H26" i="21" l="1"/>
  <c r="G14" i="21"/>
  <c r="I14" i="21" s="1"/>
  <c r="J14" i="21" s="1"/>
  <c r="K14" i="21" s="1"/>
  <c r="N14" i="21" s="1"/>
  <c r="I13" i="21"/>
  <c r="J13" i="21" s="1"/>
  <c r="G25" i="14"/>
  <c r="F26" i="14" s="1"/>
  <c r="K17" i="14"/>
  <c r="N17" i="14" s="1"/>
  <c r="O17" i="14" s="1"/>
  <c r="L17" i="14"/>
  <c r="I18" i="14"/>
  <c r="J18" i="14" s="1"/>
  <c r="L18" i="14" s="1"/>
  <c r="I19" i="14"/>
  <c r="J19" i="14" s="1"/>
  <c r="F15" i="21" l="1"/>
  <c r="H27" i="21" s="1"/>
  <c r="L13" i="21"/>
  <c r="K13" i="21"/>
  <c r="L14" i="21"/>
  <c r="G26" i="14"/>
  <c r="F27" i="14" s="1"/>
  <c r="G27" i="14" s="1"/>
  <c r="L19" i="14"/>
  <c r="M17" i="14"/>
  <c r="P17" i="14" s="1"/>
  <c r="K18" i="14"/>
  <c r="N18" i="14" s="1"/>
  <c r="O18" i="14" s="1"/>
  <c r="K19" i="14"/>
  <c r="G15" i="21" l="1"/>
  <c r="I15" i="21" s="1"/>
  <c r="J15" i="21" s="1"/>
  <c r="K15" i="21" s="1"/>
  <c r="N15" i="21" s="1"/>
  <c r="N13" i="21"/>
  <c r="M13" i="21"/>
  <c r="P13" i="21" s="1"/>
  <c r="M14" i="21"/>
  <c r="P14" i="21" s="1"/>
  <c r="I20" i="14"/>
  <c r="J20" i="14" s="1"/>
  <c r="L20" i="14" s="1"/>
  <c r="M18" i="14"/>
  <c r="P18" i="14" s="1"/>
  <c r="N19" i="14"/>
  <c r="O19" i="14" s="1"/>
  <c r="M19" i="14"/>
  <c r="P19" i="14" s="1"/>
  <c r="M15" i="21" l="1"/>
  <c r="P15" i="21" s="1"/>
  <c r="F16" i="21"/>
  <c r="G16" i="21" s="1"/>
  <c r="I16" i="21" s="1"/>
  <c r="J16" i="21" s="1"/>
  <c r="K16" i="21" s="1"/>
  <c r="L15" i="21"/>
  <c r="O13" i="21"/>
  <c r="O15" i="21"/>
  <c r="O14" i="21"/>
  <c r="K20" i="14"/>
  <c r="M20" i="14" s="1"/>
  <c r="P20" i="14" s="1"/>
  <c r="I21" i="14"/>
  <c r="J21" i="14" s="1"/>
  <c r="L21" i="14" s="1"/>
  <c r="M16" i="21" l="1"/>
  <c r="P16" i="21" s="1"/>
  <c r="N16" i="21"/>
  <c r="O16" i="21" s="1"/>
  <c r="L16" i="21"/>
  <c r="F17" i="21"/>
  <c r="G17" i="21" s="1"/>
  <c r="I17" i="21" s="1"/>
  <c r="J17" i="21" s="1"/>
  <c r="K17" i="21" s="1"/>
  <c r="N20" i="14"/>
  <c r="O20" i="14" s="1"/>
  <c r="K21" i="14"/>
  <c r="L17" i="21" l="1"/>
  <c r="F18" i="21"/>
  <c r="G18" i="21" s="1"/>
  <c r="I18" i="21" s="1"/>
  <c r="J18" i="21" s="1"/>
  <c r="N17" i="21"/>
  <c r="O17" i="21" s="1"/>
  <c r="M17" i="21"/>
  <c r="P17" i="21" s="1"/>
  <c r="I23" i="14"/>
  <c r="J23" i="14" s="1"/>
  <c r="N21" i="14"/>
  <c r="O21" i="14" s="1"/>
  <c r="M21" i="14"/>
  <c r="P21" i="14" s="1"/>
  <c r="I22" i="14"/>
  <c r="J22" i="14" s="1"/>
  <c r="L22" i="14" s="1"/>
  <c r="F19" i="21" l="1"/>
  <c r="G19" i="21" s="1"/>
  <c r="I19" i="21" s="1"/>
  <c r="L23" i="14"/>
  <c r="K18" i="21"/>
  <c r="L18" i="21"/>
  <c r="K23" i="14"/>
  <c r="K22" i="14"/>
  <c r="F20" i="21" l="1"/>
  <c r="G20" i="21" s="1"/>
  <c r="I20" i="21" s="1"/>
  <c r="J19" i="21"/>
  <c r="N18" i="21"/>
  <c r="O18" i="21" s="1"/>
  <c r="M18" i="21"/>
  <c r="P18" i="21" s="1"/>
  <c r="N22" i="14"/>
  <c r="O22" i="14" s="1"/>
  <c r="M22" i="14"/>
  <c r="P22" i="14" s="1"/>
  <c r="N23" i="14"/>
  <c r="M23" i="14"/>
  <c r="P23" i="14" s="1"/>
  <c r="I24" i="14" l="1"/>
  <c r="J24" i="14" s="1"/>
  <c r="L24" i="14" s="1"/>
  <c r="I25" i="14"/>
  <c r="J25" i="14" s="1"/>
  <c r="K19" i="21"/>
  <c r="L19" i="21"/>
  <c r="O23" i="14"/>
  <c r="K24" i="14" l="1"/>
  <c r="M24" i="14" s="1"/>
  <c r="P24" i="14" s="1"/>
  <c r="L25" i="14"/>
  <c r="N19" i="21"/>
  <c r="O19" i="21" s="1"/>
  <c r="M19" i="21"/>
  <c r="P19" i="21" s="1"/>
  <c r="K25" i="14"/>
  <c r="J20" i="21" l="1"/>
  <c r="K20" i="21" s="1"/>
  <c r="N20" i="21" s="1"/>
  <c r="O20" i="21" s="1"/>
  <c r="F21" i="21"/>
  <c r="N24" i="14"/>
  <c r="O24" i="14" s="1"/>
  <c r="I26" i="14"/>
  <c r="J26" i="14" s="1"/>
  <c r="L26" i="14" s="1"/>
  <c r="N25" i="14"/>
  <c r="M25" i="14"/>
  <c r="P25" i="14" s="1"/>
  <c r="L20" i="21" l="1"/>
  <c r="G21" i="21"/>
  <c r="O25" i="14"/>
  <c r="M20" i="21"/>
  <c r="P20" i="21" s="1"/>
  <c r="K26" i="14"/>
  <c r="I21" i="21" l="1"/>
  <c r="J21" i="21" s="1"/>
  <c r="F22" i="21"/>
  <c r="I32" i="14"/>
  <c r="N26" i="14"/>
  <c r="O26" i="14" s="1"/>
  <c r="M26" i="14"/>
  <c r="P26" i="14" s="1"/>
  <c r="K21" i="21" l="1"/>
  <c r="N21" i="21" s="1"/>
  <c r="O21" i="21" s="1"/>
  <c r="L21" i="21"/>
  <c r="G22" i="21"/>
  <c r="I22" i="21" s="1"/>
  <c r="J22" i="21" s="1"/>
  <c r="I38" i="14"/>
  <c r="I29" i="14"/>
  <c r="I36" i="14"/>
  <c r="I35" i="14"/>
  <c r="I33" i="14"/>
  <c r="I31" i="14"/>
  <c r="I39" i="14"/>
  <c r="I34" i="14"/>
  <c r="I30" i="14"/>
  <c r="I28" i="14"/>
  <c r="I37" i="14"/>
  <c r="I27" i="14"/>
  <c r="J27" i="14" s="1"/>
  <c r="L27" i="14" s="1"/>
  <c r="M21" i="21" l="1"/>
  <c r="P21" i="21" s="1"/>
  <c r="F23" i="21"/>
  <c r="G23" i="21" s="1"/>
  <c r="I23" i="21" s="1"/>
  <c r="J23" i="21" s="1"/>
  <c r="L22" i="21"/>
  <c r="K22" i="21"/>
  <c r="K27" i="14"/>
  <c r="K23" i="21" l="1"/>
  <c r="L23" i="21"/>
  <c r="F24" i="21"/>
  <c r="G24" i="21" s="1"/>
  <c r="N22" i="21"/>
  <c r="O22" i="21" s="1"/>
  <c r="M22" i="21"/>
  <c r="P22" i="21" s="1"/>
  <c r="N27" i="14"/>
  <c r="O27" i="14" s="1"/>
  <c r="C18" i="15" s="1"/>
  <c r="M27" i="14"/>
  <c r="F25" i="21" l="1"/>
  <c r="G25" i="21" s="1"/>
  <c r="F26" i="21" s="1"/>
  <c r="I24" i="21"/>
  <c r="J24" i="21" s="1"/>
  <c r="K24" i="21" s="1"/>
  <c r="N24" i="21" s="1"/>
  <c r="N23" i="21"/>
  <c r="O23" i="21" s="1"/>
  <c r="M23" i="21"/>
  <c r="P23" i="21" s="1"/>
  <c r="B18" i="15"/>
  <c r="F18" i="15" s="1"/>
  <c r="P27" i="14"/>
  <c r="L24" i="21" l="1"/>
  <c r="M24" i="21"/>
  <c r="P24" i="21" s="1"/>
  <c r="O24" i="21"/>
  <c r="G26" i="21"/>
  <c r="I26" i="21" s="1"/>
  <c r="J26" i="21" s="1"/>
  <c r="K26" i="21" s="1"/>
  <c r="I25" i="21"/>
  <c r="J25" i="21" s="1"/>
  <c r="D18" i="15"/>
  <c r="E18" i="15"/>
  <c r="F27" i="21" l="1"/>
  <c r="G27" i="21" s="1"/>
  <c r="I28" i="21" s="1"/>
  <c r="L26" i="21"/>
  <c r="K25" i="21"/>
  <c r="M26" i="21" s="1"/>
  <c r="P26" i="21" s="1"/>
  <c r="L25" i="21"/>
  <c r="N26" i="21"/>
  <c r="I31" i="21" l="1"/>
  <c r="M25" i="21"/>
  <c r="P25" i="21" s="1"/>
  <c r="N25" i="21"/>
  <c r="O25" i="21" s="1"/>
  <c r="I38" i="21"/>
  <c r="I37" i="21"/>
  <c r="I32" i="21"/>
  <c r="I36" i="21"/>
  <c r="I33" i="21"/>
  <c r="I27" i="21"/>
  <c r="J27" i="21" s="1"/>
  <c r="L27" i="21" s="1"/>
  <c r="I30" i="21"/>
  <c r="I34" i="21"/>
  <c r="I29" i="21"/>
  <c r="I39" i="21"/>
  <c r="I35" i="21"/>
  <c r="O26" i="21" l="1"/>
  <c r="K27" i="21"/>
  <c r="N27" i="21" l="1"/>
  <c r="O27" i="21" s="1"/>
  <c r="C9" i="15" s="1"/>
  <c r="M27" i="21"/>
  <c r="P27" i="21" l="1"/>
  <c r="B9" i="15"/>
  <c r="F9" i="15" s="1"/>
  <c r="D9" i="15" l="1"/>
  <c r="E9" i="15"/>
  <c r="F4" i="25" l="1"/>
  <c r="G4" i="25" s="1"/>
  <c r="E4" i="25"/>
  <c r="F5" i="25" l="1"/>
  <c r="G5" i="25" s="1"/>
  <c r="H5" i="25" s="1"/>
  <c r="K5" i="25" s="1"/>
  <c r="D5" i="25"/>
  <c r="H4" i="25"/>
  <c r="I4" i="25"/>
  <c r="I5" i="25" l="1"/>
  <c r="K4" i="25"/>
  <c r="J4" i="25"/>
  <c r="M4" i="25" s="1"/>
  <c r="J5" i="25"/>
  <c r="M5" i="25" s="1"/>
  <c r="E5" i="25"/>
  <c r="D6" i="25" s="1"/>
  <c r="E6" i="25" l="1"/>
  <c r="F7" i="25" s="1"/>
  <c r="G7" i="25" s="1"/>
  <c r="H7" i="25" s="1"/>
  <c r="K7" i="25" s="1"/>
  <c r="F6" i="25"/>
  <c r="G6" i="25" s="1"/>
  <c r="L5" i="25"/>
  <c r="L4" i="25"/>
  <c r="D7" i="25" l="1"/>
  <c r="H6" i="25"/>
  <c r="I6" i="25"/>
  <c r="I7" i="25"/>
  <c r="K6" i="25" l="1"/>
  <c r="J6" i="25"/>
  <c r="M6" i="25" s="1"/>
  <c r="J7" i="25"/>
  <c r="M7" i="25" s="1"/>
  <c r="E7" i="25"/>
  <c r="F8" i="25" s="1"/>
  <c r="G8" i="25" s="1"/>
  <c r="D8" i="25" l="1"/>
  <c r="E8" i="25" s="1"/>
  <c r="F9" i="25" s="1"/>
  <c r="G9" i="25" s="1"/>
  <c r="H9" i="25" s="1"/>
  <c r="K9" i="25" s="1"/>
  <c r="H8" i="25"/>
  <c r="I8" i="25"/>
  <c r="L7" i="25"/>
  <c r="L6" i="25"/>
  <c r="D9" i="25" l="1"/>
  <c r="E9" i="25" s="1"/>
  <c r="F10" i="25" s="1"/>
  <c r="G10" i="25" s="1"/>
  <c r="I9" i="25"/>
  <c r="K8" i="25"/>
  <c r="J8" i="25"/>
  <c r="M8" i="25" s="1"/>
  <c r="J9" i="25"/>
  <c r="M9" i="25" s="1"/>
  <c r="D10" i="25" l="1"/>
  <c r="E10" i="25" s="1"/>
  <c r="F11" i="25" s="1"/>
  <c r="G11" i="25" s="1"/>
  <c r="H10" i="25"/>
  <c r="I10" i="25"/>
  <c r="L8" i="25"/>
  <c r="L9" i="25"/>
  <c r="D11" i="25" l="1"/>
  <c r="E11" i="25" s="1"/>
  <c r="D12" i="25" s="1"/>
  <c r="H11" i="25"/>
  <c r="K11" i="25" s="1"/>
  <c r="I11" i="25"/>
  <c r="K10" i="25"/>
  <c r="J10" i="25"/>
  <c r="M10" i="25" s="1"/>
  <c r="J11" i="25"/>
  <c r="M11" i="25" s="1"/>
  <c r="F12" i="25" l="1"/>
  <c r="G12" i="25" s="1"/>
  <c r="H12" i="25" s="1"/>
  <c r="K12" i="25" s="1"/>
  <c r="L12" i="25" s="1"/>
  <c r="E12" i="25"/>
  <c r="D13" i="25" s="1"/>
  <c r="L11" i="25"/>
  <c r="L10" i="25"/>
  <c r="J12" i="25" l="1"/>
  <c r="M12" i="25" s="1"/>
  <c r="I12" i="25"/>
  <c r="E13" i="25"/>
  <c r="F14" i="25" s="1"/>
  <c r="G14" i="25" s="1"/>
  <c r="F13" i="25"/>
  <c r="G13" i="25" s="1"/>
  <c r="D14" i="25" l="1"/>
  <c r="E14" i="25" s="1"/>
  <c r="F15" i="25" s="1"/>
  <c r="G15" i="25" s="1"/>
  <c r="H14" i="25"/>
  <c r="I14" i="25"/>
  <c r="H13" i="25"/>
  <c r="I13" i="25"/>
  <c r="D15" i="25" l="1"/>
  <c r="E15" i="25" s="1"/>
  <c r="F16" i="25" s="1"/>
  <c r="G16" i="25" s="1"/>
  <c r="H15" i="25"/>
  <c r="I15" i="25"/>
  <c r="K13" i="25"/>
  <c r="J13" i="25"/>
  <c r="M13" i="25" s="1"/>
  <c r="K14" i="25"/>
  <c r="J14" i="25"/>
  <c r="M14" i="25" s="1"/>
  <c r="H16" i="25" l="1"/>
  <c r="I16" i="25"/>
  <c r="D16" i="25"/>
  <c r="L13" i="25"/>
  <c r="L14" i="25"/>
  <c r="K15" i="25"/>
  <c r="L15" i="25" s="1"/>
  <c r="J15" i="25"/>
  <c r="M15" i="25" s="1"/>
  <c r="E16" i="25" l="1"/>
  <c r="D17" i="25" s="1"/>
  <c r="K16" i="25"/>
  <c r="L16" i="25" s="1"/>
  <c r="J16" i="25"/>
  <c r="M16" i="25" s="1"/>
  <c r="F17" i="25" l="1"/>
  <c r="G17" i="25" s="1"/>
  <c r="H17" i="25" s="1"/>
  <c r="E17" i="25"/>
  <c r="F18" i="25" s="1"/>
  <c r="G18" i="25" s="1"/>
  <c r="I17" i="25" l="1"/>
  <c r="D18" i="25"/>
  <c r="E18" i="25" s="1"/>
  <c r="F19" i="25" s="1"/>
  <c r="G19" i="25" s="1"/>
  <c r="H18" i="25"/>
  <c r="I18" i="25"/>
  <c r="K17" i="25"/>
  <c r="L17" i="25" s="1"/>
  <c r="J17" i="25"/>
  <c r="M17" i="25" s="1"/>
  <c r="D19" i="25" l="1"/>
  <c r="E19" i="25" s="1"/>
  <c r="F20" i="25" s="1"/>
  <c r="G20" i="25" s="1"/>
  <c r="H19" i="25"/>
  <c r="I19" i="25"/>
  <c r="K18" i="25"/>
  <c r="L18" i="25" s="1"/>
  <c r="J18" i="25"/>
  <c r="M18" i="25" s="1"/>
  <c r="D20" i="25" l="1"/>
  <c r="E20" i="25" s="1"/>
  <c r="F21" i="25" s="1"/>
  <c r="G21" i="25" s="1"/>
  <c r="H20" i="25"/>
  <c r="I20" i="25"/>
  <c r="K19" i="25"/>
  <c r="L19" i="25" s="1"/>
  <c r="J19" i="25"/>
  <c r="M19" i="25" s="1"/>
  <c r="H21" i="25" l="1"/>
  <c r="I21" i="25"/>
  <c r="D21" i="25"/>
  <c r="K20" i="25"/>
  <c r="L20" i="25" s="1"/>
  <c r="J20" i="25"/>
  <c r="M20" i="25" s="1"/>
  <c r="E21" i="25" l="1"/>
  <c r="F22" i="25" s="1"/>
  <c r="G22" i="25" s="1"/>
  <c r="K21" i="25"/>
  <c r="L21" i="25" s="1"/>
  <c r="J21" i="25"/>
  <c r="M21" i="25" s="1"/>
  <c r="H22" i="25" l="1"/>
  <c r="I22" i="25"/>
  <c r="D22" i="25"/>
  <c r="E22" i="25" l="1"/>
  <c r="F23" i="25" s="1"/>
  <c r="G23" i="25" s="1"/>
  <c r="K22" i="25"/>
  <c r="L22" i="25" s="1"/>
  <c r="J22" i="25"/>
  <c r="M22" i="25" s="1"/>
  <c r="H23" i="25" l="1"/>
  <c r="I23" i="25"/>
  <c r="D23" i="25"/>
  <c r="E23" i="25" l="1"/>
  <c r="D24" i="25" s="1"/>
  <c r="K23" i="25"/>
  <c r="L23" i="25" s="1"/>
  <c r="J23" i="25"/>
  <c r="M23" i="25" s="1"/>
  <c r="E24" i="25" l="1"/>
  <c r="F25" i="25" s="1"/>
  <c r="G25" i="25" s="1"/>
  <c r="F24" i="25"/>
  <c r="G24" i="25" s="1"/>
  <c r="D25" i="25" l="1"/>
  <c r="E25" i="25" s="1"/>
  <c r="F26" i="25" s="1"/>
  <c r="G26" i="25" s="1"/>
  <c r="H25" i="25"/>
  <c r="I25" i="25"/>
  <c r="H24" i="25"/>
  <c r="I24" i="25"/>
  <c r="D26" i="25" l="1"/>
  <c r="E26" i="25" s="1"/>
  <c r="F27" i="25" s="1"/>
  <c r="G27" i="25" s="1"/>
  <c r="H26" i="25"/>
  <c r="I26" i="25"/>
  <c r="K24" i="25"/>
  <c r="L24" i="25" s="1"/>
  <c r="J24" i="25"/>
  <c r="M24" i="25" s="1"/>
  <c r="K25" i="25"/>
  <c r="J25" i="25"/>
  <c r="M25" i="25" s="1"/>
  <c r="D27" i="25" l="1"/>
  <c r="E27" i="25" s="1"/>
  <c r="F28" i="25" s="1"/>
  <c r="G28" i="25" s="1"/>
  <c r="H27" i="25"/>
  <c r="I27" i="25"/>
  <c r="L25" i="25"/>
  <c r="K26" i="25"/>
  <c r="L26" i="25" s="1"/>
  <c r="J26" i="25"/>
  <c r="M26" i="25" s="1"/>
  <c r="H28" i="25" l="1"/>
  <c r="I28" i="25"/>
  <c r="D28" i="25"/>
  <c r="K27" i="25"/>
  <c r="L27" i="25" s="1"/>
  <c r="J27" i="25"/>
  <c r="M27" i="25" s="1"/>
  <c r="E28" i="25" l="1"/>
  <c r="F29" i="25" s="1"/>
  <c r="G29" i="25" s="1"/>
  <c r="K28" i="25"/>
  <c r="L28" i="25" s="1"/>
  <c r="J28" i="25"/>
  <c r="M28" i="25" s="1"/>
  <c r="D29" i="25" l="1"/>
  <c r="E29" i="25" s="1"/>
  <c r="F30" i="25" s="1"/>
  <c r="G30" i="25" s="1"/>
  <c r="H29" i="25"/>
  <c r="I29" i="25"/>
  <c r="D30" i="25" l="1"/>
  <c r="H30" i="25"/>
  <c r="I30" i="25"/>
  <c r="E30" i="25"/>
  <c r="F31" i="25" s="1"/>
  <c r="G31" i="25" s="1"/>
  <c r="K29" i="25"/>
  <c r="L29" i="25" s="1"/>
  <c r="J29" i="25"/>
  <c r="M29" i="25" s="1"/>
  <c r="H31" i="25" l="1"/>
  <c r="I31" i="25"/>
  <c r="D31" i="25"/>
  <c r="K30" i="25"/>
  <c r="L30" i="25" s="1"/>
  <c r="J30" i="25"/>
  <c r="M30" i="25" s="1"/>
  <c r="E31" i="25" l="1"/>
  <c r="F36" i="25" s="1"/>
  <c r="K31" i="25"/>
  <c r="L31" i="25" s="1"/>
  <c r="J31" i="25"/>
  <c r="M31" i="25" s="1"/>
  <c r="F38" i="25" l="1"/>
  <c r="F32" i="25"/>
  <c r="F35" i="25"/>
  <c r="F3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America</author>
  </authors>
  <commentList>
    <comment ref="B5" authorId="0" shapeId="0" xr:uid="{96115AAB-C6C8-4876-9D07-BB51B79546CC}">
      <text>
        <r>
          <rPr>
            <b/>
            <sz val="9"/>
            <color indexed="81"/>
            <rFont val="Tahoma"/>
            <family val="2"/>
          </rPr>
          <t>America:</t>
        </r>
        <r>
          <rPr>
            <sz val="9"/>
            <color indexed="81"/>
            <rFont val="Tahoma"/>
            <family val="2"/>
          </rPr>
          <t xml:space="preserve">
Desviación media absoluta (MAD, Mean Absolute Deviation) como el promedio de 
la desviación absoluta en todos los periodos</t>
        </r>
      </text>
    </comment>
    <comment ref="C5" authorId="0" shapeId="0" xr:uid="{3753325A-8E71-4F3B-B0F0-A506164BFEC2}">
      <text>
        <r>
          <rPr>
            <b/>
            <sz val="9"/>
            <color indexed="81"/>
            <rFont val="Tahoma"/>
            <family val="2"/>
          </rPr>
          <t>America:</t>
        </r>
        <r>
          <rPr>
            <sz val="9"/>
            <color indexed="81"/>
            <rFont val="Tahoma"/>
            <family val="2"/>
          </rPr>
          <t xml:space="preserve">
El error porcentual medio absoluto (MAPE, Mean Absolute Percentage Error) es el error absoluto 
promedio como un porcentaje de la demanda</t>
        </r>
      </text>
    </comment>
    <comment ref="D5" authorId="0" shapeId="0" xr:uid="{DD2C8DE0-3FA8-4C7F-9421-726E86A09AAC}">
      <text>
        <r>
          <rPr>
            <b/>
            <sz val="9"/>
            <color indexed="81"/>
            <rFont val="Tahoma"/>
            <family val="2"/>
          </rPr>
          <t>America:</t>
        </r>
        <r>
          <rPr>
            <sz val="9"/>
            <color indexed="81"/>
            <rFont val="Tahoma"/>
            <family val="2"/>
          </rPr>
          <t xml:space="preserve">
-6
La señal de rastreo (TS, Tracking Signal) es el cociente del sesgo y desviación media absoluta (MAD) 
y está dada por </t>
        </r>
      </text>
    </comment>
    <comment ref="E5" authorId="0" shapeId="0" xr:uid="{3287D560-52F1-4B01-8E05-091FDB5F2A94}">
      <text>
        <r>
          <rPr>
            <b/>
            <sz val="9"/>
            <color indexed="81"/>
            <rFont val="Tahoma"/>
            <family val="2"/>
          </rPr>
          <t>America:</t>
        </r>
        <r>
          <rPr>
            <sz val="9"/>
            <color indexed="81"/>
            <rFont val="Tahoma"/>
            <family val="2"/>
          </rPr>
          <t xml:space="preserve">
+6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America</author>
  </authors>
  <commentList>
    <comment ref="O2" authorId="0" shapeId="0" xr:uid="{9866EA31-31FA-4A1F-B041-4445713E8B2E}">
      <text>
        <r>
          <rPr>
            <b/>
            <sz val="9"/>
            <color indexed="81"/>
            <rFont val="Tahoma"/>
            <family val="2"/>
          </rPr>
          <t>America:</t>
        </r>
        <r>
          <rPr>
            <sz val="9"/>
            <color indexed="81"/>
            <rFont val="Tahoma"/>
            <family val="2"/>
          </rPr>
          <t xml:space="preserve">
El error porcentual medio absoluto (MAPE, Mean Absolute Percentage Error) es el error absoluto 
promedio como un porcentaje de la demanda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America</author>
  </authors>
  <commentList>
    <comment ref="O2" authorId="0" shapeId="0" xr:uid="{676177B9-61CA-4A2B-94FA-DC34355C2D4A}">
      <text>
        <r>
          <rPr>
            <b/>
            <sz val="9"/>
            <color indexed="81"/>
            <rFont val="Tahoma"/>
            <family val="2"/>
          </rPr>
          <t>America:</t>
        </r>
        <r>
          <rPr>
            <sz val="9"/>
            <color indexed="81"/>
            <rFont val="Tahoma"/>
            <family val="2"/>
          </rPr>
          <t xml:space="preserve">
El error porcentual medio absoluto (MAPE, Mean Absolute Percentage Error) es el error absoluto 
promedio como un porcentaje de la demanda</t>
        </r>
      </text>
    </comment>
  </commentList>
</comments>
</file>

<file path=xl/sharedStrings.xml><?xml version="1.0" encoding="utf-8"?>
<sst xmlns="http://schemas.openxmlformats.org/spreadsheetml/2006/main" count="408" uniqueCount="102">
  <si>
    <t>Mes</t>
  </si>
  <si>
    <t>METRO DE PANAMÁ S.A. - LÍNEA 2</t>
  </si>
  <si>
    <t xml:space="preserve">DATOS DE DEMANDA DE USUARIOS  </t>
  </si>
  <si>
    <t>TIPO DE DEMANDA</t>
  </si>
  <si>
    <t>Laborable</t>
  </si>
  <si>
    <t>Sábados</t>
  </si>
  <si>
    <t>Feriados</t>
  </si>
  <si>
    <t>DEL 2019 AL 2024</t>
  </si>
  <si>
    <t>Total</t>
  </si>
  <si>
    <t>Demanda
descentralizada</t>
  </si>
  <si>
    <t>% Error</t>
  </si>
  <si>
    <r>
      <t xml:space="preserve">Periodo
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</si>
  <si>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Demanda
</t>
    </r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</si>
  <si>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Demanda
descentralizada </t>
    </r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</si>
  <si>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Factor estacional
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</si>
  <si>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Nivel
</t>
    </r>
    <r>
      <rPr>
        <b/>
        <i/>
        <sz val="11"/>
        <color theme="1"/>
        <rFont val="Calibri"/>
        <family val="2"/>
        <scheme val="minor"/>
      </rPr>
      <t>L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</si>
  <si>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Tendencia
</t>
    </r>
    <r>
      <rPr>
        <b/>
        <i/>
        <sz val="11"/>
        <color theme="1"/>
        <rFont val="Calibri"/>
        <family val="2"/>
        <scheme val="minor"/>
      </rPr>
      <t>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</si>
  <si>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Error
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</si>
  <si>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Error absoluto
</t>
    </r>
    <r>
      <rPr>
        <b/>
        <i/>
        <sz val="11"/>
        <color theme="1"/>
        <rFont val="Calibri"/>
        <family val="2"/>
        <scheme val="minor"/>
      </rPr>
      <t>A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</si>
  <si>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Error cuadrático medio </t>
    </r>
    <r>
      <rPr>
        <b/>
        <i/>
        <sz val="11"/>
        <color theme="1"/>
        <rFont val="Calibri"/>
        <family val="2"/>
        <scheme val="minor"/>
      </rPr>
      <t>MSE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</si>
  <si>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MAD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</si>
  <si>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MAPE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</si>
  <si>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</si>
  <si>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Metro de Panamá, S.A. – Demanda de Usuarios en Líneas 1 y 2, años 2018 a 2024</t>
  </si>
  <si>
    <t>Metro de Panamá, S.A. – Demanda de Usuarios en Líneas 1 y 2, años 2018 a 2024 - Conjunto de datos - Datos Abiertos de Panamá</t>
  </si>
  <si>
    <t>Etiquetas de fila</t>
  </si>
  <si>
    <t>Total general</t>
  </si>
  <si>
    <t>Años (Mes)</t>
  </si>
  <si>
    <t>(Todas)</t>
  </si>
  <si>
    <t>Trimestres (Mes)</t>
  </si>
  <si>
    <t>Meses (Mes)</t>
  </si>
  <si>
    <t>Suma de Laborable</t>
  </si>
  <si>
    <t>Suma de Sábados</t>
  </si>
  <si>
    <t>Año</t>
  </si>
  <si>
    <t>Periodo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</si>
  <si>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</si>
  <si>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</si>
  <si>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</si>
  <si>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</si>
  <si>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</si>
  <si>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Demanda
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</si>
  <si>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Pronóstico
F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</si>
  <si>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Error
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</si>
  <si>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Error
absoluto A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</si>
  <si>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Error cuadrático MSE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</si>
  <si>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Desviación media absoluta MAD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</si>
  <si>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</si>
  <si>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</si>
  <si>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</si>
  <si>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</si>
  <si>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</si>
  <si>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</si>
  <si>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</si>
  <si>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</si>
  <si>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</si>
  <si>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</si>
  <si>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</si>
  <si>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</si>
  <si>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</si>
  <si>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</si>
  <si>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</si>
  <si>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</si>
  <si>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</si>
  <si>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</si>
  <si>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</si>
  <si>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</si>
  <si>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</si>
  <si>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</si>
  <si>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</si>
  <si>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</si>
  <si>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</si>
  <si>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</si>
  <si>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Variable X 4</t>
  </si>
  <si>
    <t>Variable X 5</t>
  </si>
  <si>
    <t>Variable X 6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</si>
  <si>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</si>
  <si>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</si>
  <si>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</si>
  <si>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</si>
  <si>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</si>
  <si>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</si>
  <si>
    <t>Y</t>
  </si>
  <si>
    <t>Método</t>
  </si>
  <si>
    <t>MAD</t>
  </si>
  <si>
    <t>Rango TS Inferior</t>
  </si>
  <si>
    <t>Rango TS Superior</t>
  </si>
  <si>
    <t>Desv. Est.</t>
  </si>
  <si>
    <t>ESTIMACIONES DE ERROR DE LOS PRONÓSTICOS</t>
  </si>
  <si>
    <t>DEMANDA DE DÍAS LABORABLES</t>
  </si>
  <si>
    <t>Regresión polinómica grado 6</t>
  </si>
  <si>
    <t>Modelo Winter</t>
  </si>
  <si>
    <t>DEMANDA DE DÍAS SÁBADOS</t>
  </si>
  <si>
    <r>
      <t xml:space="preserve">Pronóstico
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</si>
  <si>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Alfa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</si>
  <si>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Beta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</si>
  <si>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Gama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=</t>
    </r>
  </si>
  <si>
    <t>MAPE (%)</t>
  </si>
  <si>
    <t>Periodo
t</t>
  </si>
  <si>
    <r>
      <t>Nivel
L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</si>
  <si>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Tendencia
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</si>
  <si>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Modelo Holt</t>
  </si>
  <si>
    <t>Suavización exponencial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</si>
</sst>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4FCD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7" fontId="0" fillId="6" borderId="0" xfId="0" applyNumberFormat="1" applyFill="1"/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17" fontId="0" fillId="3" borderId="0" xfId="0" applyNumberFormat="1" applyFill="1"/>
    <xf numFmtId="3" fontId="0" fillId="3" borderId="0" xfId="0" applyNumberForma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7" borderId="0" xfId="0" applyFill="1"/>
    <xf numFmtId="0" fontId="9" fillId="0" borderId="0" xfId="1"/>
    <xf numFmtId="0" fontId="0" fillId="0" borderId="0" xfId="0" pivotButton="1"/>
    <xf numFmtId="17" fontId="0" fillId="0" borderId="0" xfId="0" applyNumberFormat="1" applyAlignment="1">
      <alignment horizontal="left"/>
    </xf>
    <xf numFmtId="1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Continuous"/>
    </xf>
    <xf numFmtId="0" fontId="10" fillId="7" borderId="3" xfId="0" applyFont="1" applyFill="1" applyBorder="1" applyAlignment="1">
      <alignment horizontal="center"/>
    </xf>
    <xf numFmtId="0" fontId="0" fillId="7" borderId="2" xfId="0" applyFill="1" applyBorder="1"/>
    <xf numFmtId="2" fontId="0" fillId="0" borderId="1" xfId="0" applyNumberFormat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3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4" fontId="0" fillId="0" borderId="1" xfId="0" applyNumberFormat="1" applyBorder="1"/>
    <xf numFmtId="2" fontId="0" fillId="7" borderId="1" xfId="0" applyNumberFormat="1" applyFill="1" applyBorder="1"/>
    <xf numFmtId="0" fontId="0" fillId="9" borderId="4" xfId="0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164" fontId="0" fillId="9" borderId="1" xfId="0" applyNumberFormat="1" applyFill="1" applyBorder="1"/>
    <xf numFmtId="2" fontId="0" fillId="10" borderId="1" xfId="0" applyNumberFormat="1" applyFill="1" applyBorder="1"/>
    <xf numFmtId="164" fontId="0" fillId="0" borderId="0" xfId="0" applyNumberFormat="1"/>
    <xf numFmtId="2" fontId="0" fillId="11" borderId="1" xfId="0" applyNumberFormat="1" applyFill="1" applyBorder="1"/>
    <xf numFmtId="4" fontId="0" fillId="11" borderId="1" xfId="0" applyNumberFormat="1" applyFill="1" applyBorder="1"/>
    <xf numFmtId="2" fontId="0" fillId="9" borderId="1" xfId="0" applyNumberFormat="1" applyFill="1" applyBorder="1"/>
    <xf numFmtId="4" fontId="0" fillId="9" borderId="1" xfId="0" applyNumberFormat="1" applyFill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" fontId="0" fillId="10" borderId="1" xfId="0" applyNumberFormat="1" applyFill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4" fillId="5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/>
    <xf numFmtId="2" fontId="0" fillId="12" borderId="1" xfId="0" applyNumberFormat="1" applyFill="1" applyBorder="1"/>
    <xf numFmtId="4" fontId="0" fillId="12" borderId="1" xfId="0" applyNumberFormat="1" applyFill="1" applyBorder="1"/>
    <xf numFmtId="0" fontId="6" fillId="5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D4F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SÁBADOS'!$B$3:$B$30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SÁBADOS'!$C$30:$C$57</c:f>
              <c:numCache>
                <c:formatCode>General</c:formatCode>
                <c:ptCount val="28"/>
                <c:pt idx="0">
                  <c:v>-2370.9401499384985</c:v>
                </c:pt>
                <c:pt idx="1">
                  <c:v>717.27801582557731</c:v>
                </c:pt>
                <c:pt idx="2">
                  <c:v>8052.6364739823621</c:v>
                </c:pt>
                <c:pt idx="3">
                  <c:v>-3929.4916006907442</c:v>
                </c:pt>
                <c:pt idx="4">
                  <c:v>-860.76793335884577</c:v>
                </c:pt>
                <c:pt idx="5">
                  <c:v>-4151.7663766862242</c:v>
                </c:pt>
                <c:pt idx="6">
                  <c:v>-1939.1708384123922</c:v>
                </c:pt>
                <c:pt idx="7">
                  <c:v>1584.5060910519678</c:v>
                </c:pt>
                <c:pt idx="8">
                  <c:v>-736.11618899011228</c:v>
                </c:pt>
                <c:pt idx="9">
                  <c:v>6604.7536828424782</c:v>
                </c:pt>
                <c:pt idx="10">
                  <c:v>-7715.0016976446495</c:v>
                </c:pt>
                <c:pt idx="11">
                  <c:v>15256.39007210308</c:v>
                </c:pt>
                <c:pt idx="12">
                  <c:v>-3383.7309263035859</c:v>
                </c:pt>
                <c:pt idx="13">
                  <c:v>-17543.899759912398</c:v>
                </c:pt>
                <c:pt idx="14">
                  <c:v>11858.909827838681</c:v>
                </c:pt>
                <c:pt idx="15">
                  <c:v>803.60118936741492</c:v>
                </c:pt>
                <c:pt idx="16">
                  <c:v>-1506.1001548238564</c:v>
                </c:pt>
                <c:pt idx="17">
                  <c:v>-521.32214394013863</c:v>
                </c:pt>
                <c:pt idx="18">
                  <c:v>-481.79250470995612</c:v>
                </c:pt>
                <c:pt idx="19">
                  <c:v>-528.5057792076841</c:v>
                </c:pt>
                <c:pt idx="20">
                  <c:v>-1629.4610527111799</c:v>
                </c:pt>
                <c:pt idx="21">
                  <c:v>3208.4296184298582</c:v>
                </c:pt>
                <c:pt idx="22">
                  <c:v>-15041.437921099365</c:v>
                </c:pt>
                <c:pt idx="23">
                  <c:v>26247.490246517758</c:v>
                </c:pt>
                <c:pt idx="24">
                  <c:v>-3799.3444157037884</c:v>
                </c:pt>
                <c:pt idx="25">
                  <c:v>-12731.220794163339</c:v>
                </c:pt>
                <c:pt idx="26">
                  <c:v>2819.8332806821854</c:v>
                </c:pt>
                <c:pt idx="27">
                  <c:v>1716.2417396642268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E5-4F71-907C-D959EAA3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6336"/>
        <c:axId val="721493096"/>
      </c:scatterChart>
      <c:valAx>
        <c:axId val="72149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493096"/>
        <c:crosses val="autoZero"/>
        <c:crossBetween val="midCat"/>
      </c:valAx>
      <c:valAx>
        <c:axId val="721493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496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4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SÁBADOS'!$E$3:$E$30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  <c:pt idx="18">
                  <c:v>130321</c:v>
                </c:pt>
                <c:pt idx="19">
                  <c:v>160000</c:v>
                </c:pt>
                <c:pt idx="20">
                  <c:v>194481</c:v>
                </c:pt>
                <c:pt idx="21">
                  <c:v>234256</c:v>
                </c:pt>
                <c:pt idx="22">
                  <c:v>279841</c:v>
                </c:pt>
                <c:pt idx="23">
                  <c:v>331776</c:v>
                </c:pt>
                <c:pt idx="24">
                  <c:v>390625</c:v>
                </c:pt>
                <c:pt idx="25">
                  <c:v>456976</c:v>
                </c:pt>
                <c:pt idx="26">
                  <c:v>531441</c:v>
                </c:pt>
                <c:pt idx="27">
                  <c:v>614656</c:v>
                </c:pt>
              </c:numCache>
            </c:numRef>
          </c:xVal>
          <c:yVal>
            <c:numRef>
              <c:f>'REGRESIÓN SÁBADOS'!$H$3:$H$30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EB-4A9F-A78E-B0B36313DC11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SÁBADOS'!$E$3:$E$30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  <c:pt idx="18">
                  <c:v>130321</c:v>
                </c:pt>
                <c:pt idx="19">
                  <c:v>160000</c:v>
                </c:pt>
                <c:pt idx="20">
                  <c:v>194481</c:v>
                </c:pt>
                <c:pt idx="21">
                  <c:v>234256</c:v>
                </c:pt>
                <c:pt idx="22">
                  <c:v>279841</c:v>
                </c:pt>
                <c:pt idx="23">
                  <c:v>331776</c:v>
                </c:pt>
                <c:pt idx="24">
                  <c:v>390625</c:v>
                </c:pt>
                <c:pt idx="25">
                  <c:v>456976</c:v>
                </c:pt>
                <c:pt idx="26">
                  <c:v>531441</c:v>
                </c:pt>
                <c:pt idx="27">
                  <c:v>614656</c:v>
                </c:pt>
              </c:numCache>
            </c:numRef>
          </c:xVal>
          <c:yVal>
            <c:numRef>
              <c:f>'AD SÁBADOS'!$B$30:$B$57</c:f>
              <c:numCache>
                <c:formatCode>General</c:formatCode>
                <c:ptCount val="28"/>
                <c:pt idx="0">
                  <c:v>68722.340149938493</c:v>
                </c:pt>
                <c:pt idx="1">
                  <c:v>80038.321984174429</c:v>
                </c:pt>
                <c:pt idx="2">
                  <c:v>90762.363526017638</c:v>
                </c:pt>
                <c:pt idx="3">
                  <c:v>99684.691600690741</c:v>
                </c:pt>
                <c:pt idx="4">
                  <c:v>106238.76793335885</c:v>
                </c:pt>
                <c:pt idx="5">
                  <c:v>110345.76637668622</c:v>
                </c:pt>
                <c:pt idx="6">
                  <c:v>112275.17083841239</c:v>
                </c:pt>
                <c:pt idx="7">
                  <c:v>112521.49390894803</c:v>
                </c:pt>
                <c:pt idx="8">
                  <c:v>111697.11618899011</c:v>
                </c:pt>
                <c:pt idx="9">
                  <c:v>110441.24631715752</c:v>
                </c:pt>
                <c:pt idx="10">
                  <c:v>109345.00169764465</c:v>
                </c:pt>
                <c:pt idx="11">
                  <c:v>108892.60992789692</c:v>
                </c:pt>
                <c:pt idx="12">
                  <c:v>109418.73092630359</c:v>
                </c:pt>
                <c:pt idx="13">
                  <c:v>111081.8997599124</c:v>
                </c:pt>
                <c:pt idx="14">
                  <c:v>113854.09017216132</c:v>
                </c:pt>
                <c:pt idx="15">
                  <c:v>117526.39881063259</c:v>
                </c:pt>
                <c:pt idx="16">
                  <c:v>121730.85015482386</c:v>
                </c:pt>
                <c:pt idx="17">
                  <c:v>125978.32214394014</c:v>
                </c:pt>
                <c:pt idx="18">
                  <c:v>129712.59250470996</c:v>
                </c:pt>
                <c:pt idx="19">
                  <c:v>132380.50577920768</c:v>
                </c:pt>
                <c:pt idx="20">
                  <c:v>133518.26105271117</c:v>
                </c:pt>
                <c:pt idx="21">
                  <c:v>132853.82038157014</c:v>
                </c:pt>
                <c:pt idx="22">
                  <c:v>130425.43792109936</c:v>
                </c:pt>
                <c:pt idx="23">
                  <c:v>126716.30975348223</c:v>
                </c:pt>
                <c:pt idx="24">
                  <c:v>122805.34441570379</c:v>
                </c:pt>
                <c:pt idx="25">
                  <c:v>120534.05412749667</c:v>
                </c:pt>
                <c:pt idx="26">
                  <c:v>122689.56671931781</c:v>
                </c:pt>
                <c:pt idx="27">
                  <c:v>133203.75826033577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EB-4A9F-A78E-B0B36313D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17216"/>
        <c:axId val="721517576"/>
      </c:scatterChart>
      <c:valAx>
        <c:axId val="7215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17576"/>
        <c:crosses val="autoZero"/>
        <c:crossBetween val="midCat"/>
      </c:valAx>
      <c:valAx>
        <c:axId val="72151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1517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5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SÁBADOS'!$F$3:$F$30</c:f>
              <c:numCache>
                <c:formatCode>General</c:formatCode>
                <c:ptCount val="28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  <c:pt idx="10">
                  <c:v>161051</c:v>
                </c:pt>
                <c:pt idx="11">
                  <c:v>248832</c:v>
                </c:pt>
                <c:pt idx="12">
                  <c:v>371293</c:v>
                </c:pt>
                <c:pt idx="13">
                  <c:v>537824</c:v>
                </c:pt>
                <c:pt idx="14">
                  <c:v>759375</c:v>
                </c:pt>
                <c:pt idx="15">
                  <c:v>1048576</c:v>
                </c:pt>
                <c:pt idx="16">
                  <c:v>1419857</c:v>
                </c:pt>
                <c:pt idx="17">
                  <c:v>1889568</c:v>
                </c:pt>
                <c:pt idx="18">
                  <c:v>2476099</c:v>
                </c:pt>
                <c:pt idx="19">
                  <c:v>3200000</c:v>
                </c:pt>
                <c:pt idx="20">
                  <c:v>4084101</c:v>
                </c:pt>
                <c:pt idx="21">
                  <c:v>5153632</c:v>
                </c:pt>
                <c:pt idx="22">
                  <c:v>6436343</c:v>
                </c:pt>
                <c:pt idx="23">
                  <c:v>7962624</c:v>
                </c:pt>
                <c:pt idx="24">
                  <c:v>9765625</c:v>
                </c:pt>
                <c:pt idx="25">
                  <c:v>11881376</c:v>
                </c:pt>
                <c:pt idx="26">
                  <c:v>14348907</c:v>
                </c:pt>
                <c:pt idx="27">
                  <c:v>17210368</c:v>
                </c:pt>
              </c:numCache>
            </c:numRef>
          </c:xVal>
          <c:yVal>
            <c:numRef>
              <c:f>'REGRESIÓN SÁBADOS'!$H$3:$H$30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3-40A4-AB2A-97650C2EC6FD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SÁBADOS'!$F$3:$F$30</c:f>
              <c:numCache>
                <c:formatCode>General</c:formatCode>
                <c:ptCount val="28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  <c:pt idx="10">
                  <c:v>161051</c:v>
                </c:pt>
                <c:pt idx="11">
                  <c:v>248832</c:v>
                </c:pt>
                <c:pt idx="12">
                  <c:v>371293</c:v>
                </c:pt>
                <c:pt idx="13">
                  <c:v>537824</c:v>
                </c:pt>
                <c:pt idx="14">
                  <c:v>759375</c:v>
                </c:pt>
                <c:pt idx="15">
                  <c:v>1048576</c:v>
                </c:pt>
                <c:pt idx="16">
                  <c:v>1419857</c:v>
                </c:pt>
                <c:pt idx="17">
                  <c:v>1889568</c:v>
                </c:pt>
                <c:pt idx="18">
                  <c:v>2476099</c:v>
                </c:pt>
                <c:pt idx="19">
                  <c:v>3200000</c:v>
                </c:pt>
                <c:pt idx="20">
                  <c:v>4084101</c:v>
                </c:pt>
                <c:pt idx="21">
                  <c:v>5153632</c:v>
                </c:pt>
                <c:pt idx="22">
                  <c:v>6436343</c:v>
                </c:pt>
                <c:pt idx="23">
                  <c:v>7962624</c:v>
                </c:pt>
                <c:pt idx="24">
                  <c:v>9765625</c:v>
                </c:pt>
                <c:pt idx="25">
                  <c:v>11881376</c:v>
                </c:pt>
                <c:pt idx="26">
                  <c:v>14348907</c:v>
                </c:pt>
                <c:pt idx="27">
                  <c:v>17210368</c:v>
                </c:pt>
              </c:numCache>
            </c:numRef>
          </c:xVal>
          <c:yVal>
            <c:numRef>
              <c:f>'AD SÁBADOS'!$B$30:$B$57</c:f>
              <c:numCache>
                <c:formatCode>General</c:formatCode>
                <c:ptCount val="28"/>
                <c:pt idx="0">
                  <c:v>68722.340149938493</c:v>
                </c:pt>
                <c:pt idx="1">
                  <c:v>80038.321984174429</c:v>
                </c:pt>
                <c:pt idx="2">
                  <c:v>90762.363526017638</c:v>
                </c:pt>
                <c:pt idx="3">
                  <c:v>99684.691600690741</c:v>
                </c:pt>
                <c:pt idx="4">
                  <c:v>106238.76793335885</c:v>
                </c:pt>
                <c:pt idx="5">
                  <c:v>110345.76637668622</c:v>
                </c:pt>
                <c:pt idx="6">
                  <c:v>112275.17083841239</c:v>
                </c:pt>
                <c:pt idx="7">
                  <c:v>112521.49390894803</c:v>
                </c:pt>
                <c:pt idx="8">
                  <c:v>111697.11618899011</c:v>
                </c:pt>
                <c:pt idx="9">
                  <c:v>110441.24631715752</c:v>
                </c:pt>
                <c:pt idx="10">
                  <c:v>109345.00169764465</c:v>
                </c:pt>
                <c:pt idx="11">
                  <c:v>108892.60992789692</c:v>
                </c:pt>
                <c:pt idx="12">
                  <c:v>109418.73092630359</c:v>
                </c:pt>
                <c:pt idx="13">
                  <c:v>111081.8997599124</c:v>
                </c:pt>
                <c:pt idx="14">
                  <c:v>113854.09017216132</c:v>
                </c:pt>
                <c:pt idx="15">
                  <c:v>117526.39881063259</c:v>
                </c:pt>
                <c:pt idx="16">
                  <c:v>121730.85015482386</c:v>
                </c:pt>
                <c:pt idx="17">
                  <c:v>125978.32214394014</c:v>
                </c:pt>
                <c:pt idx="18">
                  <c:v>129712.59250470996</c:v>
                </c:pt>
                <c:pt idx="19">
                  <c:v>132380.50577920768</c:v>
                </c:pt>
                <c:pt idx="20">
                  <c:v>133518.26105271117</c:v>
                </c:pt>
                <c:pt idx="21">
                  <c:v>132853.82038157014</c:v>
                </c:pt>
                <c:pt idx="22">
                  <c:v>130425.43792109936</c:v>
                </c:pt>
                <c:pt idx="23">
                  <c:v>126716.30975348223</c:v>
                </c:pt>
                <c:pt idx="24">
                  <c:v>122805.34441570379</c:v>
                </c:pt>
                <c:pt idx="25">
                  <c:v>120534.05412749667</c:v>
                </c:pt>
                <c:pt idx="26">
                  <c:v>122689.56671931781</c:v>
                </c:pt>
                <c:pt idx="27">
                  <c:v>133203.75826033577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D3-40A4-AB2A-97650C2E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21896"/>
        <c:axId val="721522976"/>
      </c:scatterChart>
      <c:valAx>
        <c:axId val="72152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22976"/>
        <c:crosses val="autoZero"/>
        <c:crossBetween val="midCat"/>
      </c:valAx>
      <c:valAx>
        <c:axId val="7215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1521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6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SÁBADOS'!$G$3:$G$30</c:f>
              <c:numCache>
                <c:formatCode>General</c:formatCode>
                <c:ptCount val="28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</c:numCache>
            </c:numRef>
          </c:xVal>
          <c:yVal>
            <c:numRef>
              <c:f>'REGRESIÓN SÁBADOS'!$H$3:$H$30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3F-4A6B-B3E0-BC2295DF27AF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SÁBADOS'!$G$3:$G$30</c:f>
              <c:numCache>
                <c:formatCode>General</c:formatCode>
                <c:ptCount val="28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</c:numCache>
            </c:numRef>
          </c:xVal>
          <c:yVal>
            <c:numRef>
              <c:f>'AD SÁBADOS'!$B$30:$B$57</c:f>
              <c:numCache>
                <c:formatCode>General</c:formatCode>
                <c:ptCount val="28"/>
                <c:pt idx="0">
                  <c:v>68722.340149938493</c:v>
                </c:pt>
                <c:pt idx="1">
                  <c:v>80038.321984174429</c:v>
                </c:pt>
                <c:pt idx="2">
                  <c:v>90762.363526017638</c:v>
                </c:pt>
                <c:pt idx="3">
                  <c:v>99684.691600690741</c:v>
                </c:pt>
                <c:pt idx="4">
                  <c:v>106238.76793335885</c:v>
                </c:pt>
                <c:pt idx="5">
                  <c:v>110345.76637668622</c:v>
                </c:pt>
                <c:pt idx="6">
                  <c:v>112275.17083841239</c:v>
                </c:pt>
                <c:pt idx="7">
                  <c:v>112521.49390894803</c:v>
                </c:pt>
                <c:pt idx="8">
                  <c:v>111697.11618899011</c:v>
                </c:pt>
                <c:pt idx="9">
                  <c:v>110441.24631715752</c:v>
                </c:pt>
                <c:pt idx="10">
                  <c:v>109345.00169764465</c:v>
                </c:pt>
                <c:pt idx="11">
                  <c:v>108892.60992789692</c:v>
                </c:pt>
                <c:pt idx="12">
                  <c:v>109418.73092630359</c:v>
                </c:pt>
                <c:pt idx="13">
                  <c:v>111081.8997599124</c:v>
                </c:pt>
                <c:pt idx="14">
                  <c:v>113854.09017216132</c:v>
                </c:pt>
                <c:pt idx="15">
                  <c:v>117526.39881063259</c:v>
                </c:pt>
                <c:pt idx="16">
                  <c:v>121730.85015482386</c:v>
                </c:pt>
                <c:pt idx="17">
                  <c:v>125978.32214394014</c:v>
                </c:pt>
                <c:pt idx="18">
                  <c:v>129712.59250470996</c:v>
                </c:pt>
                <c:pt idx="19">
                  <c:v>132380.50577920768</c:v>
                </c:pt>
                <c:pt idx="20">
                  <c:v>133518.26105271117</c:v>
                </c:pt>
                <c:pt idx="21">
                  <c:v>132853.82038157014</c:v>
                </c:pt>
                <c:pt idx="22">
                  <c:v>130425.43792109936</c:v>
                </c:pt>
                <c:pt idx="23">
                  <c:v>126716.30975348223</c:v>
                </c:pt>
                <c:pt idx="24">
                  <c:v>122805.34441570379</c:v>
                </c:pt>
                <c:pt idx="25">
                  <c:v>120534.05412749667</c:v>
                </c:pt>
                <c:pt idx="26">
                  <c:v>122689.56671931781</c:v>
                </c:pt>
                <c:pt idx="27">
                  <c:v>133203.75826033577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F-4A6B-B3E0-BC2295DF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40472"/>
        <c:axId val="721507136"/>
      </c:scatterChart>
      <c:valAx>
        <c:axId val="6186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07136"/>
        <c:crosses val="autoZero"/>
        <c:crossBetween val="midCat"/>
      </c:valAx>
      <c:valAx>
        <c:axId val="72150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18640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'AD SÁBADOS'!$F$30:$F$57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'AD SÁBADOS'!$G$30:$G$57</c:f>
              <c:numCache>
                <c:formatCode>General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93538</c:v>
                </c:pt>
                <c:pt idx="3">
                  <c:v>95755.199999999997</c:v>
                </c:pt>
                <c:pt idx="4">
                  <c:v>98815</c:v>
                </c:pt>
                <c:pt idx="5">
                  <c:v>101630</c:v>
                </c:pt>
                <c:pt idx="6">
                  <c:v>105378</c:v>
                </c:pt>
                <c:pt idx="7">
                  <c:v>106035</c:v>
                </c:pt>
                <c:pt idx="8">
                  <c:v>106194</c:v>
                </c:pt>
                <c:pt idx="9">
                  <c:v>107802.83333333333</c:v>
                </c:pt>
                <c:pt idx="10">
                  <c:v>110336</c:v>
                </c:pt>
                <c:pt idx="11">
                  <c:v>110961</c:v>
                </c:pt>
                <c:pt idx="12">
                  <c:v>114106</c:v>
                </c:pt>
                <c:pt idx="13">
                  <c:v>115384</c:v>
                </c:pt>
                <c:pt idx="14">
                  <c:v>117046</c:v>
                </c:pt>
                <c:pt idx="15">
                  <c:v>118330</c:v>
                </c:pt>
                <c:pt idx="16">
                  <c:v>119006</c:v>
                </c:pt>
                <c:pt idx="17">
                  <c:v>120224.75</c:v>
                </c:pt>
                <c:pt idx="18">
                  <c:v>124149</c:v>
                </c:pt>
                <c:pt idx="19">
                  <c:v>125457</c:v>
                </c:pt>
                <c:pt idx="20">
                  <c:v>125509.4</c:v>
                </c:pt>
                <c:pt idx="21">
                  <c:v>125713</c:v>
                </c:pt>
                <c:pt idx="22">
                  <c:v>129230.8</c:v>
                </c:pt>
                <c:pt idx="23">
                  <c:v>131852</c:v>
                </c:pt>
                <c:pt idx="24">
                  <c:v>131888.79999999999</c:v>
                </c:pt>
                <c:pt idx="25">
                  <c:v>134920</c:v>
                </c:pt>
                <c:pt idx="26">
                  <c:v>136062.25</c:v>
                </c:pt>
                <c:pt idx="27">
                  <c:v>152963.79999999999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E-49BF-9E6A-34B2086D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21896"/>
        <c:axId val="620056664"/>
      </c:scatterChart>
      <c:valAx>
        <c:axId val="72152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056664"/>
        <c:crosses val="autoZero"/>
        <c:crossBetween val="midCat"/>
      </c:valAx>
      <c:valAx>
        <c:axId val="62005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21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LABORABLE'!$B$3:$B$30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LABORABLE'!$C$30:$C$57</c:f>
              <c:numCache>
                <c:formatCode>General</c:formatCode>
                <c:ptCount val="28"/>
                <c:pt idx="0">
                  <c:v>69.168930511441431</c:v>
                </c:pt>
                <c:pt idx="1">
                  <c:v>-3829.1710406419297</c:v>
                </c:pt>
                <c:pt idx="2">
                  <c:v>4211.506472259367</c:v>
                </c:pt>
                <c:pt idx="3">
                  <c:v>4352.6231476401881</c:v>
                </c:pt>
                <c:pt idx="4">
                  <c:v>552.8874024154793</c:v>
                </c:pt>
                <c:pt idx="5">
                  <c:v>-2625.6941421342199</c:v>
                </c:pt>
                <c:pt idx="6">
                  <c:v>-7871.1408772262512</c:v>
                </c:pt>
                <c:pt idx="7">
                  <c:v>-1499.4844219669467</c:v>
                </c:pt>
                <c:pt idx="8">
                  <c:v>161.12263641308527</c:v>
                </c:pt>
                <c:pt idx="9">
                  <c:v>3907.9254774799629</c:v>
                </c:pt>
                <c:pt idx="10">
                  <c:v>3849.4632576736913</c:v>
                </c:pt>
                <c:pt idx="11">
                  <c:v>14319.84279554151</c:v>
                </c:pt>
                <c:pt idx="12">
                  <c:v>-13497.610267873039</c:v>
                </c:pt>
                <c:pt idx="13">
                  <c:v>-10641.322833483457</c:v>
                </c:pt>
                <c:pt idx="14">
                  <c:v>4861.9317665394919</c:v>
                </c:pt>
                <c:pt idx="15">
                  <c:v>6642.8173546278267</c:v>
                </c:pt>
                <c:pt idx="16">
                  <c:v>3405.2777870105347</c:v>
                </c:pt>
                <c:pt idx="17">
                  <c:v>-1569.3336010243511</c:v>
                </c:pt>
                <c:pt idx="18">
                  <c:v>-6710.4721829379559</c:v>
                </c:pt>
                <c:pt idx="19">
                  <c:v>-4986.1648315144703</c:v>
                </c:pt>
                <c:pt idx="20">
                  <c:v>360.78441939991899</c:v>
                </c:pt>
                <c:pt idx="21">
                  <c:v>5005.2215995723091</c:v>
                </c:pt>
                <c:pt idx="22">
                  <c:v>-1582.7263794606843</c:v>
                </c:pt>
                <c:pt idx="23">
                  <c:v>16280.662485224457</c:v>
                </c:pt>
                <c:pt idx="24">
                  <c:v>-11706.862767555751</c:v>
                </c:pt>
                <c:pt idx="25">
                  <c:v>-4368.6250128104584</c:v>
                </c:pt>
                <c:pt idx="26">
                  <c:v>1445.0283893438173</c:v>
                </c:pt>
                <c:pt idx="27">
                  <c:v>1462.344436975196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E-4B8F-B693-5160C550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7248"/>
        <c:axId val="855699048"/>
      </c:scatterChart>
      <c:valAx>
        <c:axId val="8556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699048"/>
        <c:crosses val="autoZero"/>
        <c:crossBetween val="midCat"/>
      </c:valAx>
      <c:valAx>
        <c:axId val="85569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69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2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LABORABLE'!$C$3:$C$30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</c:numCache>
            </c:numRef>
          </c:xVal>
          <c:yVal>
            <c:numRef>
              <c:f>'AD LABORABLE'!$C$30:$C$57</c:f>
              <c:numCache>
                <c:formatCode>General</c:formatCode>
                <c:ptCount val="28"/>
                <c:pt idx="0">
                  <c:v>69.168930511441431</c:v>
                </c:pt>
                <c:pt idx="1">
                  <c:v>-3829.1710406419297</c:v>
                </c:pt>
                <c:pt idx="2">
                  <c:v>4211.506472259367</c:v>
                </c:pt>
                <c:pt idx="3">
                  <c:v>4352.6231476401881</c:v>
                </c:pt>
                <c:pt idx="4">
                  <c:v>552.8874024154793</c:v>
                </c:pt>
                <c:pt idx="5">
                  <c:v>-2625.6941421342199</c:v>
                </c:pt>
                <c:pt idx="6">
                  <c:v>-7871.1408772262512</c:v>
                </c:pt>
                <c:pt idx="7">
                  <c:v>-1499.4844219669467</c:v>
                </c:pt>
                <c:pt idx="8">
                  <c:v>161.12263641308527</c:v>
                </c:pt>
                <c:pt idx="9">
                  <c:v>3907.9254774799629</c:v>
                </c:pt>
                <c:pt idx="10">
                  <c:v>3849.4632576736913</c:v>
                </c:pt>
                <c:pt idx="11">
                  <c:v>14319.84279554151</c:v>
                </c:pt>
                <c:pt idx="12">
                  <c:v>-13497.610267873039</c:v>
                </c:pt>
                <c:pt idx="13">
                  <c:v>-10641.322833483457</c:v>
                </c:pt>
                <c:pt idx="14">
                  <c:v>4861.9317665394919</c:v>
                </c:pt>
                <c:pt idx="15">
                  <c:v>6642.8173546278267</c:v>
                </c:pt>
                <c:pt idx="16">
                  <c:v>3405.2777870105347</c:v>
                </c:pt>
                <c:pt idx="17">
                  <c:v>-1569.3336010243511</c:v>
                </c:pt>
                <c:pt idx="18">
                  <c:v>-6710.4721829379559</c:v>
                </c:pt>
                <c:pt idx="19">
                  <c:v>-4986.1648315144703</c:v>
                </c:pt>
                <c:pt idx="20">
                  <c:v>360.78441939991899</c:v>
                </c:pt>
                <c:pt idx="21">
                  <c:v>5005.2215995723091</c:v>
                </c:pt>
                <c:pt idx="22">
                  <c:v>-1582.7263794606843</c:v>
                </c:pt>
                <c:pt idx="23">
                  <c:v>16280.662485224457</c:v>
                </c:pt>
                <c:pt idx="24">
                  <c:v>-11706.862767555751</c:v>
                </c:pt>
                <c:pt idx="25">
                  <c:v>-4368.6250128104584</c:v>
                </c:pt>
                <c:pt idx="26">
                  <c:v>1445.0283893438173</c:v>
                </c:pt>
                <c:pt idx="27">
                  <c:v>1462.344436975196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99-4D24-9402-B2CA8640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7248"/>
        <c:axId val="855698328"/>
      </c:scatterChart>
      <c:valAx>
        <c:axId val="8556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698328"/>
        <c:crosses val="autoZero"/>
        <c:crossBetween val="midCat"/>
      </c:valAx>
      <c:valAx>
        <c:axId val="85569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69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3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LABORABLE'!$D$3:$D$30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</c:numCache>
            </c:numRef>
          </c:xVal>
          <c:yVal>
            <c:numRef>
              <c:f>'AD LABORABLE'!$C$30:$C$57</c:f>
              <c:numCache>
                <c:formatCode>General</c:formatCode>
                <c:ptCount val="28"/>
                <c:pt idx="0">
                  <c:v>69.168930511441431</c:v>
                </c:pt>
                <c:pt idx="1">
                  <c:v>-3829.1710406419297</c:v>
                </c:pt>
                <c:pt idx="2">
                  <c:v>4211.506472259367</c:v>
                </c:pt>
                <c:pt idx="3">
                  <c:v>4352.6231476401881</c:v>
                </c:pt>
                <c:pt idx="4">
                  <c:v>552.8874024154793</c:v>
                </c:pt>
                <c:pt idx="5">
                  <c:v>-2625.6941421342199</c:v>
                </c:pt>
                <c:pt idx="6">
                  <c:v>-7871.1408772262512</c:v>
                </c:pt>
                <c:pt idx="7">
                  <c:v>-1499.4844219669467</c:v>
                </c:pt>
                <c:pt idx="8">
                  <c:v>161.12263641308527</c:v>
                </c:pt>
                <c:pt idx="9">
                  <c:v>3907.9254774799629</c:v>
                </c:pt>
                <c:pt idx="10">
                  <c:v>3849.4632576736913</c:v>
                </c:pt>
                <c:pt idx="11">
                  <c:v>14319.84279554151</c:v>
                </c:pt>
                <c:pt idx="12">
                  <c:v>-13497.610267873039</c:v>
                </c:pt>
                <c:pt idx="13">
                  <c:v>-10641.322833483457</c:v>
                </c:pt>
                <c:pt idx="14">
                  <c:v>4861.9317665394919</c:v>
                </c:pt>
                <c:pt idx="15">
                  <c:v>6642.8173546278267</c:v>
                </c:pt>
                <c:pt idx="16">
                  <c:v>3405.2777870105347</c:v>
                </c:pt>
                <c:pt idx="17">
                  <c:v>-1569.3336010243511</c:v>
                </c:pt>
                <c:pt idx="18">
                  <c:v>-6710.4721829379559</c:v>
                </c:pt>
                <c:pt idx="19">
                  <c:v>-4986.1648315144703</c:v>
                </c:pt>
                <c:pt idx="20">
                  <c:v>360.78441939991899</c:v>
                </c:pt>
                <c:pt idx="21">
                  <c:v>5005.2215995723091</c:v>
                </c:pt>
                <c:pt idx="22">
                  <c:v>-1582.7263794606843</c:v>
                </c:pt>
                <c:pt idx="23">
                  <c:v>16280.662485224457</c:v>
                </c:pt>
                <c:pt idx="24">
                  <c:v>-11706.862767555751</c:v>
                </c:pt>
                <c:pt idx="25">
                  <c:v>-4368.6250128104584</c:v>
                </c:pt>
                <c:pt idx="26">
                  <c:v>1445.0283893438173</c:v>
                </c:pt>
                <c:pt idx="27">
                  <c:v>1462.344436975196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B-4106-A50C-1E5A99DF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32256"/>
        <c:axId val="869336576"/>
      </c:scatterChart>
      <c:valAx>
        <c:axId val="8693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6576"/>
        <c:crosses val="autoZero"/>
        <c:crossBetween val="midCat"/>
      </c:valAx>
      <c:valAx>
        <c:axId val="86933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4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LABORABLE'!$E$3:$E$30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  <c:pt idx="18">
                  <c:v>130321</c:v>
                </c:pt>
                <c:pt idx="19">
                  <c:v>160000</c:v>
                </c:pt>
                <c:pt idx="20">
                  <c:v>194481</c:v>
                </c:pt>
                <c:pt idx="21">
                  <c:v>234256</c:v>
                </c:pt>
                <c:pt idx="22">
                  <c:v>279841</c:v>
                </c:pt>
                <c:pt idx="23">
                  <c:v>331776</c:v>
                </c:pt>
                <c:pt idx="24">
                  <c:v>390625</c:v>
                </c:pt>
                <c:pt idx="25">
                  <c:v>456976</c:v>
                </c:pt>
                <c:pt idx="26">
                  <c:v>531441</c:v>
                </c:pt>
                <c:pt idx="27">
                  <c:v>614656</c:v>
                </c:pt>
              </c:numCache>
            </c:numRef>
          </c:xVal>
          <c:yVal>
            <c:numRef>
              <c:f>'AD LABORABLE'!$C$30:$C$57</c:f>
              <c:numCache>
                <c:formatCode>General</c:formatCode>
                <c:ptCount val="28"/>
                <c:pt idx="0">
                  <c:v>69.168930511441431</c:v>
                </c:pt>
                <c:pt idx="1">
                  <c:v>-3829.1710406419297</c:v>
                </c:pt>
                <c:pt idx="2">
                  <c:v>4211.506472259367</c:v>
                </c:pt>
                <c:pt idx="3">
                  <c:v>4352.6231476401881</c:v>
                </c:pt>
                <c:pt idx="4">
                  <c:v>552.8874024154793</c:v>
                </c:pt>
                <c:pt idx="5">
                  <c:v>-2625.6941421342199</c:v>
                </c:pt>
                <c:pt idx="6">
                  <c:v>-7871.1408772262512</c:v>
                </c:pt>
                <c:pt idx="7">
                  <c:v>-1499.4844219669467</c:v>
                </c:pt>
                <c:pt idx="8">
                  <c:v>161.12263641308527</c:v>
                </c:pt>
                <c:pt idx="9">
                  <c:v>3907.9254774799629</c:v>
                </c:pt>
                <c:pt idx="10">
                  <c:v>3849.4632576736913</c:v>
                </c:pt>
                <c:pt idx="11">
                  <c:v>14319.84279554151</c:v>
                </c:pt>
                <c:pt idx="12">
                  <c:v>-13497.610267873039</c:v>
                </c:pt>
                <c:pt idx="13">
                  <c:v>-10641.322833483457</c:v>
                </c:pt>
                <c:pt idx="14">
                  <c:v>4861.9317665394919</c:v>
                </c:pt>
                <c:pt idx="15">
                  <c:v>6642.8173546278267</c:v>
                </c:pt>
                <c:pt idx="16">
                  <c:v>3405.2777870105347</c:v>
                </c:pt>
                <c:pt idx="17">
                  <c:v>-1569.3336010243511</c:v>
                </c:pt>
                <c:pt idx="18">
                  <c:v>-6710.4721829379559</c:v>
                </c:pt>
                <c:pt idx="19">
                  <c:v>-4986.1648315144703</c:v>
                </c:pt>
                <c:pt idx="20">
                  <c:v>360.78441939991899</c:v>
                </c:pt>
                <c:pt idx="21">
                  <c:v>5005.2215995723091</c:v>
                </c:pt>
                <c:pt idx="22">
                  <c:v>-1582.7263794606843</c:v>
                </c:pt>
                <c:pt idx="23">
                  <c:v>16280.662485224457</c:v>
                </c:pt>
                <c:pt idx="24">
                  <c:v>-11706.862767555751</c:v>
                </c:pt>
                <c:pt idx="25">
                  <c:v>-4368.6250128104584</c:v>
                </c:pt>
                <c:pt idx="26">
                  <c:v>1445.0283893438173</c:v>
                </c:pt>
                <c:pt idx="27">
                  <c:v>1462.344436975196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B-4C73-BDFA-EECAD3BC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34056"/>
        <c:axId val="869340176"/>
      </c:scatterChart>
      <c:valAx>
        <c:axId val="86933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40176"/>
        <c:crosses val="autoZero"/>
        <c:crossBetween val="midCat"/>
      </c:valAx>
      <c:valAx>
        <c:axId val="86934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4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5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LABORABLE'!$F$3:$F$30</c:f>
              <c:numCache>
                <c:formatCode>General</c:formatCode>
                <c:ptCount val="28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  <c:pt idx="10">
                  <c:v>161051</c:v>
                </c:pt>
                <c:pt idx="11">
                  <c:v>248832</c:v>
                </c:pt>
                <c:pt idx="12">
                  <c:v>371293</c:v>
                </c:pt>
                <c:pt idx="13">
                  <c:v>537824</c:v>
                </c:pt>
                <c:pt idx="14">
                  <c:v>759375</c:v>
                </c:pt>
                <c:pt idx="15">
                  <c:v>1048576</c:v>
                </c:pt>
                <c:pt idx="16">
                  <c:v>1419857</c:v>
                </c:pt>
                <c:pt idx="17">
                  <c:v>1889568</c:v>
                </c:pt>
                <c:pt idx="18">
                  <c:v>2476099</c:v>
                </c:pt>
                <c:pt idx="19">
                  <c:v>3200000</c:v>
                </c:pt>
                <c:pt idx="20">
                  <c:v>4084101</c:v>
                </c:pt>
                <c:pt idx="21">
                  <c:v>5153632</c:v>
                </c:pt>
                <c:pt idx="22">
                  <c:v>6436343</c:v>
                </c:pt>
                <c:pt idx="23">
                  <c:v>7962624</c:v>
                </c:pt>
                <c:pt idx="24">
                  <c:v>9765625</c:v>
                </c:pt>
                <c:pt idx="25">
                  <c:v>11881376</c:v>
                </c:pt>
                <c:pt idx="26">
                  <c:v>14348907</c:v>
                </c:pt>
                <c:pt idx="27">
                  <c:v>17210368</c:v>
                </c:pt>
              </c:numCache>
            </c:numRef>
          </c:xVal>
          <c:yVal>
            <c:numRef>
              <c:f>'AD LABORABLE'!$C$30:$C$57</c:f>
              <c:numCache>
                <c:formatCode>General</c:formatCode>
                <c:ptCount val="28"/>
                <c:pt idx="0">
                  <c:v>69.168930511441431</c:v>
                </c:pt>
                <c:pt idx="1">
                  <c:v>-3829.1710406419297</c:v>
                </c:pt>
                <c:pt idx="2">
                  <c:v>4211.506472259367</c:v>
                </c:pt>
                <c:pt idx="3">
                  <c:v>4352.6231476401881</c:v>
                </c:pt>
                <c:pt idx="4">
                  <c:v>552.8874024154793</c:v>
                </c:pt>
                <c:pt idx="5">
                  <c:v>-2625.6941421342199</c:v>
                </c:pt>
                <c:pt idx="6">
                  <c:v>-7871.1408772262512</c:v>
                </c:pt>
                <c:pt idx="7">
                  <c:v>-1499.4844219669467</c:v>
                </c:pt>
                <c:pt idx="8">
                  <c:v>161.12263641308527</c:v>
                </c:pt>
                <c:pt idx="9">
                  <c:v>3907.9254774799629</c:v>
                </c:pt>
                <c:pt idx="10">
                  <c:v>3849.4632576736913</c:v>
                </c:pt>
                <c:pt idx="11">
                  <c:v>14319.84279554151</c:v>
                </c:pt>
                <c:pt idx="12">
                  <c:v>-13497.610267873039</c:v>
                </c:pt>
                <c:pt idx="13">
                  <c:v>-10641.322833483457</c:v>
                </c:pt>
                <c:pt idx="14">
                  <c:v>4861.9317665394919</c:v>
                </c:pt>
                <c:pt idx="15">
                  <c:v>6642.8173546278267</c:v>
                </c:pt>
                <c:pt idx="16">
                  <c:v>3405.2777870105347</c:v>
                </c:pt>
                <c:pt idx="17">
                  <c:v>-1569.3336010243511</c:v>
                </c:pt>
                <c:pt idx="18">
                  <c:v>-6710.4721829379559</c:v>
                </c:pt>
                <c:pt idx="19">
                  <c:v>-4986.1648315144703</c:v>
                </c:pt>
                <c:pt idx="20">
                  <c:v>360.78441939991899</c:v>
                </c:pt>
                <c:pt idx="21">
                  <c:v>5005.2215995723091</c:v>
                </c:pt>
                <c:pt idx="22">
                  <c:v>-1582.7263794606843</c:v>
                </c:pt>
                <c:pt idx="23">
                  <c:v>16280.662485224457</c:v>
                </c:pt>
                <c:pt idx="24">
                  <c:v>-11706.862767555751</c:v>
                </c:pt>
                <c:pt idx="25">
                  <c:v>-4368.6250128104584</c:v>
                </c:pt>
                <c:pt idx="26">
                  <c:v>1445.0283893438173</c:v>
                </c:pt>
                <c:pt idx="27">
                  <c:v>1462.344436975196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4-447A-97BC-87902A2D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32616"/>
        <c:axId val="869338736"/>
      </c:scatterChart>
      <c:valAx>
        <c:axId val="86933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8736"/>
        <c:crosses val="autoZero"/>
        <c:crossBetween val="midCat"/>
      </c:valAx>
      <c:valAx>
        <c:axId val="86933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2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6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LABORABLE'!$G$3:$G$30</c:f>
              <c:numCache>
                <c:formatCode>General</c:formatCode>
                <c:ptCount val="28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</c:numCache>
            </c:numRef>
          </c:xVal>
          <c:yVal>
            <c:numRef>
              <c:f>'AD LABORABLE'!$C$30:$C$57</c:f>
              <c:numCache>
                <c:formatCode>General</c:formatCode>
                <c:ptCount val="28"/>
                <c:pt idx="0">
                  <c:v>69.168930511441431</c:v>
                </c:pt>
                <c:pt idx="1">
                  <c:v>-3829.1710406419297</c:v>
                </c:pt>
                <c:pt idx="2">
                  <c:v>4211.506472259367</c:v>
                </c:pt>
                <c:pt idx="3">
                  <c:v>4352.6231476401881</c:v>
                </c:pt>
                <c:pt idx="4">
                  <c:v>552.8874024154793</c:v>
                </c:pt>
                <c:pt idx="5">
                  <c:v>-2625.6941421342199</c:v>
                </c:pt>
                <c:pt idx="6">
                  <c:v>-7871.1408772262512</c:v>
                </c:pt>
                <c:pt idx="7">
                  <c:v>-1499.4844219669467</c:v>
                </c:pt>
                <c:pt idx="8">
                  <c:v>161.12263641308527</c:v>
                </c:pt>
                <c:pt idx="9">
                  <c:v>3907.9254774799629</c:v>
                </c:pt>
                <c:pt idx="10">
                  <c:v>3849.4632576736913</c:v>
                </c:pt>
                <c:pt idx="11">
                  <c:v>14319.84279554151</c:v>
                </c:pt>
                <c:pt idx="12">
                  <c:v>-13497.610267873039</c:v>
                </c:pt>
                <c:pt idx="13">
                  <c:v>-10641.322833483457</c:v>
                </c:pt>
                <c:pt idx="14">
                  <c:v>4861.9317665394919</c:v>
                </c:pt>
                <c:pt idx="15">
                  <c:v>6642.8173546278267</c:v>
                </c:pt>
                <c:pt idx="16">
                  <c:v>3405.2777870105347</c:v>
                </c:pt>
                <c:pt idx="17">
                  <c:v>-1569.3336010243511</c:v>
                </c:pt>
                <c:pt idx="18">
                  <c:v>-6710.4721829379559</c:v>
                </c:pt>
                <c:pt idx="19">
                  <c:v>-4986.1648315144703</c:v>
                </c:pt>
                <c:pt idx="20">
                  <c:v>360.78441939991899</c:v>
                </c:pt>
                <c:pt idx="21">
                  <c:v>5005.2215995723091</c:v>
                </c:pt>
                <c:pt idx="22">
                  <c:v>-1582.7263794606843</c:v>
                </c:pt>
                <c:pt idx="23">
                  <c:v>16280.662485224457</c:v>
                </c:pt>
                <c:pt idx="24">
                  <c:v>-11706.862767555751</c:v>
                </c:pt>
                <c:pt idx="25">
                  <c:v>-4368.6250128104584</c:v>
                </c:pt>
                <c:pt idx="26">
                  <c:v>1445.0283893438173</c:v>
                </c:pt>
                <c:pt idx="27">
                  <c:v>1462.344436975196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E-4D82-9946-BDCC3116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32256"/>
        <c:axId val="869340536"/>
      </c:scatterChart>
      <c:valAx>
        <c:axId val="8693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40536"/>
        <c:crosses val="autoZero"/>
        <c:crossBetween val="midCat"/>
      </c:valAx>
      <c:valAx>
        <c:axId val="86934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2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SÁBADOS'!$C$3:$C$30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</c:numCache>
            </c:numRef>
          </c:xVal>
          <c:yVal>
            <c:numRef>
              <c:f>'AD SÁBADOS'!$C$30:$C$57</c:f>
              <c:numCache>
                <c:formatCode>General</c:formatCode>
                <c:ptCount val="28"/>
                <c:pt idx="0">
                  <c:v>-2370.9401499384985</c:v>
                </c:pt>
                <c:pt idx="1">
                  <c:v>717.27801582557731</c:v>
                </c:pt>
                <c:pt idx="2">
                  <c:v>8052.6364739823621</c:v>
                </c:pt>
                <c:pt idx="3">
                  <c:v>-3929.4916006907442</c:v>
                </c:pt>
                <c:pt idx="4">
                  <c:v>-860.76793335884577</c:v>
                </c:pt>
                <c:pt idx="5">
                  <c:v>-4151.7663766862242</c:v>
                </c:pt>
                <c:pt idx="6">
                  <c:v>-1939.1708384123922</c:v>
                </c:pt>
                <c:pt idx="7">
                  <c:v>1584.5060910519678</c:v>
                </c:pt>
                <c:pt idx="8">
                  <c:v>-736.11618899011228</c:v>
                </c:pt>
                <c:pt idx="9">
                  <c:v>6604.7536828424782</c:v>
                </c:pt>
                <c:pt idx="10">
                  <c:v>-7715.0016976446495</c:v>
                </c:pt>
                <c:pt idx="11">
                  <c:v>15256.39007210308</c:v>
                </c:pt>
                <c:pt idx="12">
                  <c:v>-3383.7309263035859</c:v>
                </c:pt>
                <c:pt idx="13">
                  <c:v>-17543.899759912398</c:v>
                </c:pt>
                <c:pt idx="14">
                  <c:v>11858.909827838681</c:v>
                </c:pt>
                <c:pt idx="15">
                  <c:v>803.60118936741492</c:v>
                </c:pt>
                <c:pt idx="16">
                  <c:v>-1506.1001548238564</c:v>
                </c:pt>
                <c:pt idx="17">
                  <c:v>-521.32214394013863</c:v>
                </c:pt>
                <c:pt idx="18">
                  <c:v>-481.79250470995612</c:v>
                </c:pt>
                <c:pt idx="19">
                  <c:v>-528.5057792076841</c:v>
                </c:pt>
                <c:pt idx="20">
                  <c:v>-1629.4610527111799</c:v>
                </c:pt>
                <c:pt idx="21">
                  <c:v>3208.4296184298582</c:v>
                </c:pt>
                <c:pt idx="22">
                  <c:v>-15041.437921099365</c:v>
                </c:pt>
                <c:pt idx="23">
                  <c:v>26247.490246517758</c:v>
                </c:pt>
                <c:pt idx="24">
                  <c:v>-3799.3444157037884</c:v>
                </c:pt>
                <c:pt idx="25">
                  <c:v>-12731.220794163339</c:v>
                </c:pt>
                <c:pt idx="26">
                  <c:v>2819.8332806821854</c:v>
                </c:pt>
                <c:pt idx="27">
                  <c:v>1716.2417396642268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2-4C44-9748-3B9D7743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7416"/>
        <c:axId val="721497776"/>
      </c:scatterChart>
      <c:valAx>
        <c:axId val="72149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497776"/>
        <c:crosses val="autoZero"/>
        <c:crossBetween val="midCat"/>
      </c:valAx>
      <c:valAx>
        <c:axId val="72149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497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LABORABLE'!$B$3:$B$30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'REGRESIÓN LABORABLE'!$H$3:$H$30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F1-4EFE-B485-41D28FB48F5D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LABORABLE'!$B$3:$B$30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LABORABLE'!$B$30:$B$57</c:f>
              <c:numCache>
                <c:formatCode>General</c:formatCode>
                <c:ptCount val="28"/>
                <c:pt idx="0">
                  <c:v>92112.381069488561</c:v>
                </c:pt>
                <c:pt idx="1">
                  <c:v>105610.38156695772</c:v>
                </c:pt>
                <c:pt idx="2">
                  <c:v>117399.49352774063</c:v>
                </c:pt>
                <c:pt idx="3">
                  <c:v>126922.62685235981</c:v>
                </c:pt>
                <c:pt idx="4">
                  <c:v>134030.11259758452</c:v>
                </c:pt>
                <c:pt idx="5">
                  <c:v>138872.69414213422</c:v>
                </c:pt>
                <c:pt idx="6">
                  <c:v>141806.14087722625</c:v>
                </c:pt>
                <c:pt idx="7">
                  <c:v>143307.48442196695</c:v>
                </c:pt>
                <c:pt idx="8">
                  <c:v>143902.87736358691</c:v>
                </c:pt>
                <c:pt idx="9">
                  <c:v>144107.07452252004</c:v>
                </c:pt>
                <c:pt idx="10">
                  <c:v>144374.53674232631</c:v>
                </c:pt>
                <c:pt idx="11">
                  <c:v>145062.15720445849</c:v>
                </c:pt>
                <c:pt idx="12">
                  <c:v>146403.61026787304</c:v>
                </c:pt>
                <c:pt idx="13">
                  <c:v>148495.32283348346</c:v>
                </c:pt>
                <c:pt idx="14">
                  <c:v>151294.06823346051</c:v>
                </c:pt>
                <c:pt idx="15">
                  <c:v>154626.18264537217</c:v>
                </c:pt>
                <c:pt idx="16">
                  <c:v>158208.40403117129</c:v>
                </c:pt>
                <c:pt idx="17">
                  <c:v>161680.33360102435</c:v>
                </c:pt>
                <c:pt idx="18">
                  <c:v>164648.51980198559</c:v>
                </c:pt>
                <c:pt idx="19">
                  <c:v>166742.16483151447</c:v>
                </c:pt>
                <c:pt idx="20">
                  <c:v>167680.45367583819</c:v>
                </c:pt>
                <c:pt idx="21">
                  <c:v>167351.50567315496</c:v>
                </c:pt>
                <c:pt idx="22">
                  <c:v>165902.94860168267</c:v>
                </c:pt>
                <c:pt idx="23">
                  <c:v>163844.11529255332</c:v>
                </c:pt>
                <c:pt idx="24">
                  <c:v>162159.86276755575</c:v>
                </c:pt>
                <c:pt idx="25">
                  <c:v>162436.01390169933</c:v>
                </c:pt>
                <c:pt idx="26">
                  <c:v>166996.42161065619</c:v>
                </c:pt>
                <c:pt idx="27">
                  <c:v>179051.6555630248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F1-4EFE-B485-41D28FB4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33336"/>
        <c:axId val="869335136"/>
      </c:scatterChart>
      <c:valAx>
        <c:axId val="86933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35136"/>
        <c:crosses val="autoZero"/>
        <c:crossBetween val="midCat"/>
      </c:valAx>
      <c:valAx>
        <c:axId val="86933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69333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2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LABORABLE'!$C$3:$C$30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</c:numCache>
            </c:numRef>
          </c:xVal>
          <c:yVal>
            <c:numRef>
              <c:f>'REGRESIÓN LABORABLE'!$H$3:$H$30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4-466A-B5B6-E379AAE599CC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LABORABLE'!$C$3:$C$30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</c:numCache>
            </c:numRef>
          </c:xVal>
          <c:yVal>
            <c:numRef>
              <c:f>'AD LABORABLE'!$B$30:$B$57</c:f>
              <c:numCache>
                <c:formatCode>General</c:formatCode>
                <c:ptCount val="28"/>
                <c:pt idx="0">
                  <c:v>92112.381069488561</c:v>
                </c:pt>
                <c:pt idx="1">
                  <c:v>105610.38156695772</c:v>
                </c:pt>
                <c:pt idx="2">
                  <c:v>117399.49352774063</c:v>
                </c:pt>
                <c:pt idx="3">
                  <c:v>126922.62685235981</c:v>
                </c:pt>
                <c:pt idx="4">
                  <c:v>134030.11259758452</c:v>
                </c:pt>
                <c:pt idx="5">
                  <c:v>138872.69414213422</c:v>
                </c:pt>
                <c:pt idx="6">
                  <c:v>141806.14087722625</c:v>
                </c:pt>
                <c:pt idx="7">
                  <c:v>143307.48442196695</c:v>
                </c:pt>
                <c:pt idx="8">
                  <c:v>143902.87736358691</c:v>
                </c:pt>
                <c:pt idx="9">
                  <c:v>144107.07452252004</c:v>
                </c:pt>
                <c:pt idx="10">
                  <c:v>144374.53674232631</c:v>
                </c:pt>
                <c:pt idx="11">
                  <c:v>145062.15720445849</c:v>
                </c:pt>
                <c:pt idx="12">
                  <c:v>146403.61026787304</c:v>
                </c:pt>
                <c:pt idx="13">
                  <c:v>148495.32283348346</c:v>
                </c:pt>
                <c:pt idx="14">
                  <c:v>151294.06823346051</c:v>
                </c:pt>
                <c:pt idx="15">
                  <c:v>154626.18264537217</c:v>
                </c:pt>
                <c:pt idx="16">
                  <c:v>158208.40403117129</c:v>
                </c:pt>
                <c:pt idx="17">
                  <c:v>161680.33360102435</c:v>
                </c:pt>
                <c:pt idx="18">
                  <c:v>164648.51980198559</c:v>
                </c:pt>
                <c:pt idx="19">
                  <c:v>166742.16483151447</c:v>
                </c:pt>
                <c:pt idx="20">
                  <c:v>167680.45367583819</c:v>
                </c:pt>
                <c:pt idx="21">
                  <c:v>167351.50567315496</c:v>
                </c:pt>
                <c:pt idx="22">
                  <c:v>165902.94860168267</c:v>
                </c:pt>
                <c:pt idx="23">
                  <c:v>163844.11529255332</c:v>
                </c:pt>
                <c:pt idx="24">
                  <c:v>162159.86276755575</c:v>
                </c:pt>
                <c:pt idx="25">
                  <c:v>162436.01390169933</c:v>
                </c:pt>
                <c:pt idx="26">
                  <c:v>166996.42161065619</c:v>
                </c:pt>
                <c:pt idx="27">
                  <c:v>179051.6555630248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E4-466A-B5B6-E379AAE5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45216"/>
        <c:axId val="869342336"/>
      </c:scatterChart>
      <c:valAx>
        <c:axId val="8693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42336"/>
        <c:crosses val="autoZero"/>
        <c:crossBetween val="midCat"/>
      </c:valAx>
      <c:valAx>
        <c:axId val="86934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69345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3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LABORABLE'!$D$3:$D$30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</c:numCache>
            </c:numRef>
          </c:xVal>
          <c:yVal>
            <c:numRef>
              <c:f>'REGRESIÓN LABORABLE'!$H$3:$H$30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7-4876-B74D-1DDD95839129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LABORABLE'!$D$3:$D$30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</c:numCache>
            </c:numRef>
          </c:xVal>
          <c:yVal>
            <c:numRef>
              <c:f>'AD LABORABLE'!$B$30:$B$57</c:f>
              <c:numCache>
                <c:formatCode>General</c:formatCode>
                <c:ptCount val="28"/>
                <c:pt idx="0">
                  <c:v>92112.381069488561</c:v>
                </c:pt>
                <c:pt idx="1">
                  <c:v>105610.38156695772</c:v>
                </c:pt>
                <c:pt idx="2">
                  <c:v>117399.49352774063</c:v>
                </c:pt>
                <c:pt idx="3">
                  <c:v>126922.62685235981</c:v>
                </c:pt>
                <c:pt idx="4">
                  <c:v>134030.11259758452</c:v>
                </c:pt>
                <c:pt idx="5">
                  <c:v>138872.69414213422</c:v>
                </c:pt>
                <c:pt idx="6">
                  <c:v>141806.14087722625</c:v>
                </c:pt>
                <c:pt idx="7">
                  <c:v>143307.48442196695</c:v>
                </c:pt>
                <c:pt idx="8">
                  <c:v>143902.87736358691</c:v>
                </c:pt>
                <c:pt idx="9">
                  <c:v>144107.07452252004</c:v>
                </c:pt>
                <c:pt idx="10">
                  <c:v>144374.53674232631</c:v>
                </c:pt>
                <c:pt idx="11">
                  <c:v>145062.15720445849</c:v>
                </c:pt>
                <c:pt idx="12">
                  <c:v>146403.61026787304</c:v>
                </c:pt>
                <c:pt idx="13">
                  <c:v>148495.32283348346</c:v>
                </c:pt>
                <c:pt idx="14">
                  <c:v>151294.06823346051</c:v>
                </c:pt>
                <c:pt idx="15">
                  <c:v>154626.18264537217</c:v>
                </c:pt>
                <c:pt idx="16">
                  <c:v>158208.40403117129</c:v>
                </c:pt>
                <c:pt idx="17">
                  <c:v>161680.33360102435</c:v>
                </c:pt>
                <c:pt idx="18">
                  <c:v>164648.51980198559</c:v>
                </c:pt>
                <c:pt idx="19">
                  <c:v>166742.16483151447</c:v>
                </c:pt>
                <c:pt idx="20">
                  <c:v>167680.45367583819</c:v>
                </c:pt>
                <c:pt idx="21">
                  <c:v>167351.50567315496</c:v>
                </c:pt>
                <c:pt idx="22">
                  <c:v>165902.94860168267</c:v>
                </c:pt>
                <c:pt idx="23">
                  <c:v>163844.11529255332</c:v>
                </c:pt>
                <c:pt idx="24">
                  <c:v>162159.86276755575</c:v>
                </c:pt>
                <c:pt idx="25">
                  <c:v>162436.01390169933</c:v>
                </c:pt>
                <c:pt idx="26">
                  <c:v>166996.42161065619</c:v>
                </c:pt>
                <c:pt idx="27">
                  <c:v>179051.6555630248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7-4876-B74D-1DDD9583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44496"/>
        <c:axId val="869344856"/>
      </c:scatterChart>
      <c:valAx>
        <c:axId val="86934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344856"/>
        <c:crosses val="autoZero"/>
        <c:crossBetween val="midCat"/>
      </c:valAx>
      <c:valAx>
        <c:axId val="86934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69344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4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LABORABLE'!$E$3:$E$30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  <c:pt idx="18">
                  <c:v>130321</c:v>
                </c:pt>
                <c:pt idx="19">
                  <c:v>160000</c:v>
                </c:pt>
                <c:pt idx="20">
                  <c:v>194481</c:v>
                </c:pt>
                <c:pt idx="21">
                  <c:v>234256</c:v>
                </c:pt>
                <c:pt idx="22">
                  <c:v>279841</c:v>
                </c:pt>
                <c:pt idx="23">
                  <c:v>331776</c:v>
                </c:pt>
                <c:pt idx="24">
                  <c:v>390625</c:v>
                </c:pt>
                <c:pt idx="25">
                  <c:v>456976</c:v>
                </c:pt>
                <c:pt idx="26">
                  <c:v>531441</c:v>
                </c:pt>
                <c:pt idx="27">
                  <c:v>614656</c:v>
                </c:pt>
              </c:numCache>
            </c:numRef>
          </c:xVal>
          <c:yVal>
            <c:numRef>
              <c:f>'REGRESIÓN LABORABLE'!$H$3:$H$30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9-434C-8595-CFD430B655C4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LABORABLE'!$E$3:$E$30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  <c:pt idx="18">
                  <c:v>130321</c:v>
                </c:pt>
                <c:pt idx="19">
                  <c:v>160000</c:v>
                </c:pt>
                <c:pt idx="20">
                  <c:v>194481</c:v>
                </c:pt>
                <c:pt idx="21">
                  <c:v>234256</c:v>
                </c:pt>
                <c:pt idx="22">
                  <c:v>279841</c:v>
                </c:pt>
                <c:pt idx="23">
                  <c:v>331776</c:v>
                </c:pt>
                <c:pt idx="24">
                  <c:v>390625</c:v>
                </c:pt>
                <c:pt idx="25">
                  <c:v>456976</c:v>
                </c:pt>
                <c:pt idx="26">
                  <c:v>531441</c:v>
                </c:pt>
                <c:pt idx="27">
                  <c:v>614656</c:v>
                </c:pt>
              </c:numCache>
            </c:numRef>
          </c:xVal>
          <c:yVal>
            <c:numRef>
              <c:f>'AD LABORABLE'!$B$30:$B$57</c:f>
              <c:numCache>
                <c:formatCode>General</c:formatCode>
                <c:ptCount val="28"/>
                <c:pt idx="0">
                  <c:v>92112.381069488561</c:v>
                </c:pt>
                <c:pt idx="1">
                  <c:v>105610.38156695772</c:v>
                </c:pt>
                <c:pt idx="2">
                  <c:v>117399.49352774063</c:v>
                </c:pt>
                <c:pt idx="3">
                  <c:v>126922.62685235981</c:v>
                </c:pt>
                <c:pt idx="4">
                  <c:v>134030.11259758452</c:v>
                </c:pt>
                <c:pt idx="5">
                  <c:v>138872.69414213422</c:v>
                </c:pt>
                <c:pt idx="6">
                  <c:v>141806.14087722625</c:v>
                </c:pt>
                <c:pt idx="7">
                  <c:v>143307.48442196695</c:v>
                </c:pt>
                <c:pt idx="8">
                  <c:v>143902.87736358691</c:v>
                </c:pt>
                <c:pt idx="9">
                  <c:v>144107.07452252004</c:v>
                </c:pt>
                <c:pt idx="10">
                  <c:v>144374.53674232631</c:v>
                </c:pt>
                <c:pt idx="11">
                  <c:v>145062.15720445849</c:v>
                </c:pt>
                <c:pt idx="12">
                  <c:v>146403.61026787304</c:v>
                </c:pt>
                <c:pt idx="13">
                  <c:v>148495.32283348346</c:v>
                </c:pt>
                <c:pt idx="14">
                  <c:v>151294.06823346051</c:v>
                </c:pt>
                <c:pt idx="15">
                  <c:v>154626.18264537217</c:v>
                </c:pt>
                <c:pt idx="16">
                  <c:v>158208.40403117129</c:v>
                </c:pt>
                <c:pt idx="17">
                  <c:v>161680.33360102435</c:v>
                </c:pt>
                <c:pt idx="18">
                  <c:v>164648.51980198559</c:v>
                </c:pt>
                <c:pt idx="19">
                  <c:v>166742.16483151447</c:v>
                </c:pt>
                <c:pt idx="20">
                  <c:v>167680.45367583819</c:v>
                </c:pt>
                <c:pt idx="21">
                  <c:v>167351.50567315496</c:v>
                </c:pt>
                <c:pt idx="22">
                  <c:v>165902.94860168267</c:v>
                </c:pt>
                <c:pt idx="23">
                  <c:v>163844.11529255332</c:v>
                </c:pt>
                <c:pt idx="24">
                  <c:v>162159.86276755575</c:v>
                </c:pt>
                <c:pt idx="25">
                  <c:v>162436.01390169933</c:v>
                </c:pt>
                <c:pt idx="26">
                  <c:v>166996.42161065619</c:v>
                </c:pt>
                <c:pt idx="27">
                  <c:v>179051.6555630248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D9-434C-8595-CFD430B6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62512"/>
        <c:axId val="1006458552"/>
      </c:scatterChart>
      <c:valAx>
        <c:axId val="10064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58552"/>
        <c:crosses val="autoZero"/>
        <c:crossBetween val="midCat"/>
      </c:valAx>
      <c:valAx>
        <c:axId val="100645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06462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5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LABORABLE'!$F$3:$F$30</c:f>
              <c:numCache>
                <c:formatCode>General</c:formatCode>
                <c:ptCount val="28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  <c:pt idx="10">
                  <c:v>161051</c:v>
                </c:pt>
                <c:pt idx="11">
                  <c:v>248832</c:v>
                </c:pt>
                <c:pt idx="12">
                  <c:v>371293</c:v>
                </c:pt>
                <c:pt idx="13">
                  <c:v>537824</c:v>
                </c:pt>
                <c:pt idx="14">
                  <c:v>759375</c:v>
                </c:pt>
                <c:pt idx="15">
                  <c:v>1048576</c:v>
                </c:pt>
                <c:pt idx="16">
                  <c:v>1419857</c:v>
                </c:pt>
                <c:pt idx="17">
                  <c:v>1889568</c:v>
                </c:pt>
                <c:pt idx="18">
                  <c:v>2476099</c:v>
                </c:pt>
                <c:pt idx="19">
                  <c:v>3200000</c:v>
                </c:pt>
                <c:pt idx="20">
                  <c:v>4084101</c:v>
                </c:pt>
                <c:pt idx="21">
                  <c:v>5153632</c:v>
                </c:pt>
                <c:pt idx="22">
                  <c:v>6436343</c:v>
                </c:pt>
                <c:pt idx="23">
                  <c:v>7962624</c:v>
                </c:pt>
                <c:pt idx="24">
                  <c:v>9765625</c:v>
                </c:pt>
                <c:pt idx="25">
                  <c:v>11881376</c:v>
                </c:pt>
                <c:pt idx="26">
                  <c:v>14348907</c:v>
                </c:pt>
                <c:pt idx="27">
                  <c:v>17210368</c:v>
                </c:pt>
              </c:numCache>
            </c:numRef>
          </c:xVal>
          <c:yVal>
            <c:numRef>
              <c:f>'REGRESIÓN LABORABLE'!$H$3:$H$30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4-4398-8C1D-9853EA2834ED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LABORABLE'!$F$3:$F$30</c:f>
              <c:numCache>
                <c:formatCode>General</c:formatCode>
                <c:ptCount val="28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  <c:pt idx="10">
                  <c:v>161051</c:v>
                </c:pt>
                <c:pt idx="11">
                  <c:v>248832</c:v>
                </c:pt>
                <c:pt idx="12">
                  <c:v>371293</c:v>
                </c:pt>
                <c:pt idx="13">
                  <c:v>537824</c:v>
                </c:pt>
                <c:pt idx="14">
                  <c:v>759375</c:v>
                </c:pt>
                <c:pt idx="15">
                  <c:v>1048576</c:v>
                </c:pt>
                <c:pt idx="16">
                  <c:v>1419857</c:v>
                </c:pt>
                <c:pt idx="17">
                  <c:v>1889568</c:v>
                </c:pt>
                <c:pt idx="18">
                  <c:v>2476099</c:v>
                </c:pt>
                <c:pt idx="19">
                  <c:v>3200000</c:v>
                </c:pt>
                <c:pt idx="20">
                  <c:v>4084101</c:v>
                </c:pt>
                <c:pt idx="21">
                  <c:v>5153632</c:v>
                </c:pt>
                <c:pt idx="22">
                  <c:v>6436343</c:v>
                </c:pt>
                <c:pt idx="23">
                  <c:v>7962624</c:v>
                </c:pt>
                <c:pt idx="24">
                  <c:v>9765625</c:v>
                </c:pt>
                <c:pt idx="25">
                  <c:v>11881376</c:v>
                </c:pt>
                <c:pt idx="26">
                  <c:v>14348907</c:v>
                </c:pt>
                <c:pt idx="27">
                  <c:v>17210368</c:v>
                </c:pt>
              </c:numCache>
            </c:numRef>
          </c:xVal>
          <c:yVal>
            <c:numRef>
              <c:f>'AD LABORABLE'!$B$30:$B$57</c:f>
              <c:numCache>
                <c:formatCode>General</c:formatCode>
                <c:ptCount val="28"/>
                <c:pt idx="0">
                  <c:v>92112.381069488561</c:v>
                </c:pt>
                <c:pt idx="1">
                  <c:v>105610.38156695772</c:v>
                </c:pt>
                <c:pt idx="2">
                  <c:v>117399.49352774063</c:v>
                </c:pt>
                <c:pt idx="3">
                  <c:v>126922.62685235981</c:v>
                </c:pt>
                <c:pt idx="4">
                  <c:v>134030.11259758452</c:v>
                </c:pt>
                <c:pt idx="5">
                  <c:v>138872.69414213422</c:v>
                </c:pt>
                <c:pt idx="6">
                  <c:v>141806.14087722625</c:v>
                </c:pt>
                <c:pt idx="7">
                  <c:v>143307.48442196695</c:v>
                </c:pt>
                <c:pt idx="8">
                  <c:v>143902.87736358691</c:v>
                </c:pt>
                <c:pt idx="9">
                  <c:v>144107.07452252004</c:v>
                </c:pt>
                <c:pt idx="10">
                  <c:v>144374.53674232631</c:v>
                </c:pt>
                <c:pt idx="11">
                  <c:v>145062.15720445849</c:v>
                </c:pt>
                <c:pt idx="12">
                  <c:v>146403.61026787304</c:v>
                </c:pt>
                <c:pt idx="13">
                  <c:v>148495.32283348346</c:v>
                </c:pt>
                <c:pt idx="14">
                  <c:v>151294.06823346051</c:v>
                </c:pt>
                <c:pt idx="15">
                  <c:v>154626.18264537217</c:v>
                </c:pt>
                <c:pt idx="16">
                  <c:v>158208.40403117129</c:v>
                </c:pt>
                <c:pt idx="17">
                  <c:v>161680.33360102435</c:v>
                </c:pt>
                <c:pt idx="18">
                  <c:v>164648.51980198559</c:v>
                </c:pt>
                <c:pt idx="19">
                  <c:v>166742.16483151447</c:v>
                </c:pt>
                <c:pt idx="20">
                  <c:v>167680.45367583819</c:v>
                </c:pt>
                <c:pt idx="21">
                  <c:v>167351.50567315496</c:v>
                </c:pt>
                <c:pt idx="22">
                  <c:v>165902.94860168267</c:v>
                </c:pt>
                <c:pt idx="23">
                  <c:v>163844.11529255332</c:v>
                </c:pt>
                <c:pt idx="24">
                  <c:v>162159.86276755575</c:v>
                </c:pt>
                <c:pt idx="25">
                  <c:v>162436.01390169933</c:v>
                </c:pt>
                <c:pt idx="26">
                  <c:v>166996.42161065619</c:v>
                </c:pt>
                <c:pt idx="27">
                  <c:v>179051.6555630248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A4-4398-8C1D-9853EA28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32"/>
        <c:axId val="1006462872"/>
      </c:scatterChart>
      <c:valAx>
        <c:axId val="10064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62872"/>
        <c:crosses val="autoZero"/>
        <c:crossBetween val="midCat"/>
      </c:valAx>
      <c:valAx>
        <c:axId val="1006462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06456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6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LABORABLE'!$G$3:$G$30</c:f>
              <c:numCache>
                <c:formatCode>General</c:formatCode>
                <c:ptCount val="28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</c:numCache>
            </c:numRef>
          </c:xVal>
          <c:yVal>
            <c:numRef>
              <c:f>'REGRESIÓN LABORABLE'!$H$3:$H$30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B-4717-BCCB-0060108D8CD6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LABORABLE'!$G$3:$G$30</c:f>
              <c:numCache>
                <c:formatCode>General</c:formatCode>
                <c:ptCount val="28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</c:numCache>
            </c:numRef>
          </c:xVal>
          <c:yVal>
            <c:numRef>
              <c:f>'AD LABORABLE'!$B$30:$B$57</c:f>
              <c:numCache>
                <c:formatCode>General</c:formatCode>
                <c:ptCount val="28"/>
                <c:pt idx="0">
                  <c:v>92112.381069488561</c:v>
                </c:pt>
                <c:pt idx="1">
                  <c:v>105610.38156695772</c:v>
                </c:pt>
                <c:pt idx="2">
                  <c:v>117399.49352774063</c:v>
                </c:pt>
                <c:pt idx="3">
                  <c:v>126922.62685235981</c:v>
                </c:pt>
                <c:pt idx="4">
                  <c:v>134030.11259758452</c:v>
                </c:pt>
                <c:pt idx="5">
                  <c:v>138872.69414213422</c:v>
                </c:pt>
                <c:pt idx="6">
                  <c:v>141806.14087722625</c:v>
                </c:pt>
                <c:pt idx="7">
                  <c:v>143307.48442196695</c:v>
                </c:pt>
                <c:pt idx="8">
                  <c:v>143902.87736358691</c:v>
                </c:pt>
                <c:pt idx="9">
                  <c:v>144107.07452252004</c:v>
                </c:pt>
                <c:pt idx="10">
                  <c:v>144374.53674232631</c:v>
                </c:pt>
                <c:pt idx="11">
                  <c:v>145062.15720445849</c:v>
                </c:pt>
                <c:pt idx="12">
                  <c:v>146403.61026787304</c:v>
                </c:pt>
                <c:pt idx="13">
                  <c:v>148495.32283348346</c:v>
                </c:pt>
                <c:pt idx="14">
                  <c:v>151294.06823346051</c:v>
                </c:pt>
                <c:pt idx="15">
                  <c:v>154626.18264537217</c:v>
                </c:pt>
                <c:pt idx="16">
                  <c:v>158208.40403117129</c:v>
                </c:pt>
                <c:pt idx="17">
                  <c:v>161680.33360102435</c:v>
                </c:pt>
                <c:pt idx="18">
                  <c:v>164648.51980198559</c:v>
                </c:pt>
                <c:pt idx="19">
                  <c:v>166742.16483151447</c:v>
                </c:pt>
                <c:pt idx="20">
                  <c:v>167680.45367583819</c:v>
                </c:pt>
                <c:pt idx="21">
                  <c:v>167351.50567315496</c:v>
                </c:pt>
                <c:pt idx="22">
                  <c:v>165902.94860168267</c:v>
                </c:pt>
                <c:pt idx="23">
                  <c:v>163844.11529255332</c:v>
                </c:pt>
                <c:pt idx="24">
                  <c:v>162159.86276755575</c:v>
                </c:pt>
                <c:pt idx="25">
                  <c:v>162436.01390169933</c:v>
                </c:pt>
                <c:pt idx="26">
                  <c:v>166996.42161065619</c:v>
                </c:pt>
                <c:pt idx="27">
                  <c:v>179051.6555630248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EB-4717-BCCB-0060108D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61792"/>
        <c:axId val="1006456032"/>
      </c:scatterChart>
      <c:valAx>
        <c:axId val="10064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56032"/>
        <c:crosses val="autoZero"/>
        <c:crossBetween val="midCat"/>
      </c:valAx>
      <c:valAx>
        <c:axId val="10064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06461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'AD LABORABLE'!$F$30:$F$57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'AD LABORABLE'!$G$30:$G$57</c:f>
              <c:numCache>
                <c:formatCode>General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132906</c:v>
                </c:pt>
                <c:pt idx="5">
                  <c:v>133935</c:v>
                </c:pt>
                <c:pt idx="6">
                  <c:v>134583</c:v>
                </c:pt>
                <c:pt idx="7">
                  <c:v>136247</c:v>
                </c:pt>
                <c:pt idx="8">
                  <c:v>137854</c:v>
                </c:pt>
                <c:pt idx="9">
                  <c:v>141808</c:v>
                </c:pt>
                <c:pt idx="10">
                  <c:v>144064</c:v>
                </c:pt>
                <c:pt idx="11">
                  <c:v>148015</c:v>
                </c:pt>
                <c:pt idx="12">
                  <c:v>148224</c:v>
                </c:pt>
                <c:pt idx="13">
                  <c:v>150453</c:v>
                </c:pt>
                <c:pt idx="14">
                  <c:v>156156</c:v>
                </c:pt>
                <c:pt idx="15">
                  <c:v>157938.04761904763</c:v>
                </c:pt>
                <c:pt idx="16">
                  <c:v>158067.38888888888</c:v>
                </c:pt>
                <c:pt idx="17">
                  <c:v>159382</c:v>
                </c:pt>
                <c:pt idx="18">
                  <c:v>160111</c:v>
                </c:pt>
                <c:pt idx="19">
                  <c:v>161269</c:v>
                </c:pt>
                <c:pt idx="20">
                  <c:v>161613.68181818182</c:v>
                </c:pt>
                <c:pt idx="21">
                  <c:v>161756</c:v>
                </c:pt>
                <c:pt idx="22">
                  <c:v>164320.22222222199</c:v>
                </c:pt>
                <c:pt idx="23">
                  <c:v>168041.23809523811</c:v>
                </c:pt>
                <c:pt idx="24">
                  <c:v>168441.45</c:v>
                </c:pt>
                <c:pt idx="25">
                  <c:v>172356.72727272726</c:v>
                </c:pt>
                <c:pt idx="26">
                  <c:v>180124.77777777778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8-463A-8CDA-1178B2DF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63592"/>
        <c:axId val="1006456392"/>
      </c:scatterChart>
      <c:valAx>
        <c:axId val="100646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56392"/>
        <c:crosses val="autoZero"/>
        <c:crossBetween val="midCat"/>
      </c:valAx>
      <c:valAx>
        <c:axId val="100645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463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Demanda sábados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'SUAVIZACIÓN SÁBADOS'!$B$4:$B$31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'SUAVIZACIÓN SÁBADOS'!$C$4:$C$31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269-B923-86DDE4E97C25}"/>
            </c:ext>
          </c:extLst>
        </c:ser>
        <c:ser>
          <c:idx val="1"/>
          <c:order val="1"/>
          <c:tx>
            <c:v>Pronóstico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'SUAVIZACIÓN SÁBADOS'!$B$4:$B$32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'SUAVIZACIÓN SÁBADOS'!$E$4:$E$32</c:f>
              <c:numCache>
                <c:formatCode>0</c:formatCode>
                <c:ptCount val="29"/>
                <c:pt idx="0">
                  <c:v>114478.38690476189</c:v>
                </c:pt>
                <c:pt idx="1">
                  <c:v>109665.68821428571</c:v>
                </c:pt>
                <c:pt idx="2">
                  <c:v>106774.67939285714</c:v>
                </c:pt>
                <c:pt idx="3">
                  <c:v>105978.71145357144</c:v>
                </c:pt>
                <c:pt idx="4">
                  <c:v>104956.36030821429</c:v>
                </c:pt>
                <c:pt idx="5">
                  <c:v>104998.52427739288</c:v>
                </c:pt>
                <c:pt idx="6">
                  <c:v>105118.07184965358</c:v>
                </c:pt>
                <c:pt idx="7">
                  <c:v>105639.86466468824</c:v>
                </c:pt>
                <c:pt idx="8">
                  <c:v>106486.47819821943</c:v>
                </c:pt>
                <c:pt idx="9">
                  <c:v>106933.93037839749</c:v>
                </c:pt>
                <c:pt idx="10">
                  <c:v>107945.13734055775</c:v>
                </c:pt>
                <c:pt idx="11">
                  <c:v>107313.62360650198</c:v>
                </c:pt>
                <c:pt idx="12">
                  <c:v>108997.16124585178</c:v>
                </c:pt>
                <c:pt idx="13">
                  <c:v>108700.9451212666</c:v>
                </c:pt>
                <c:pt idx="14">
                  <c:v>107184.65060913995</c:v>
                </c:pt>
                <c:pt idx="15">
                  <c:v>109037.48554822596</c:v>
                </c:pt>
                <c:pt idx="16">
                  <c:v>109966.73699340336</c:v>
                </c:pt>
                <c:pt idx="17">
                  <c:v>110992.53829406304</c:v>
                </c:pt>
                <c:pt idx="18">
                  <c:v>112438.98446465674</c:v>
                </c:pt>
                <c:pt idx="19">
                  <c:v>114118.16601819107</c:v>
                </c:pt>
                <c:pt idx="20">
                  <c:v>115891.54941637196</c:v>
                </c:pt>
                <c:pt idx="21">
                  <c:v>117491.27447473476</c:v>
                </c:pt>
                <c:pt idx="22">
                  <c:v>119348.3720272613</c:v>
                </c:pt>
                <c:pt idx="23">
                  <c:v>118951.93482453519</c:v>
                </c:pt>
                <c:pt idx="24">
                  <c:v>122353.12134208168</c:v>
                </c:pt>
                <c:pt idx="25">
                  <c:v>122018.40920787351</c:v>
                </c:pt>
                <c:pt idx="26">
                  <c:v>120596.8516204195</c:v>
                </c:pt>
                <c:pt idx="27">
                  <c:v>121088.10645837756</c:v>
                </c:pt>
                <c:pt idx="28">
                  <c:v>122471.2958125398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0-4269-B923-86DDE4E9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63688"/>
        <c:axId val="714167648"/>
      </c:scatterChart>
      <c:valAx>
        <c:axId val="71416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167648"/>
        <c:crosses val="autoZero"/>
        <c:crossBetween val="midCat"/>
      </c:valAx>
      <c:valAx>
        <c:axId val="714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16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Demanda laborable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'SUAVIZACIÓN LABORABLE'!$B$4:$B$31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'SUAVIZACIÓN LABORABLE'!$C$4:$C$31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B-46A7-8E50-2EB915D2E610}"/>
            </c:ext>
          </c:extLst>
        </c:ser>
        <c:ser>
          <c:idx val="1"/>
          <c:order val="1"/>
          <c:tx>
            <c:v>Prónostico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'SUAVIZACIÓN LABORABLE'!$B$4:$B$32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'SUAVIZACIÓN LABORABLE'!$E$4:$E$32</c:f>
              <c:numCache>
                <c:formatCode>0</c:formatCode>
                <c:ptCount val="29"/>
                <c:pt idx="0">
                  <c:v>148751.05515072856</c:v>
                </c:pt>
                <c:pt idx="1">
                  <c:v>148242.01587424678</c:v>
                </c:pt>
                <c:pt idx="2">
                  <c:v>147823.93947997649</c:v>
                </c:pt>
                <c:pt idx="3">
                  <c:v>147588.0630000286</c:v>
                </c:pt>
                <c:pt idx="4">
                  <c:v>147441.27256046596</c:v>
                </c:pt>
                <c:pt idx="5">
                  <c:v>147325.56771660096</c:v>
                </c:pt>
                <c:pt idx="6">
                  <c:v>147225.87750223745</c:v>
                </c:pt>
                <c:pt idx="7">
                  <c:v>147106.2798736296</c:v>
                </c:pt>
                <c:pt idx="8">
                  <c:v>147058.60343477293</c:v>
                </c:pt>
                <c:pt idx="9">
                  <c:v>147031.65657070323</c:v>
                </c:pt>
                <c:pt idx="10">
                  <c:v>147040.50516194417</c:v>
                </c:pt>
                <c:pt idx="11">
                  <c:v>147051.15481062818</c:v>
                </c:pt>
                <c:pt idx="12">
                  <c:v>147162.11361249292</c:v>
                </c:pt>
                <c:pt idx="13">
                  <c:v>147033.83033090137</c:v>
                </c:pt>
                <c:pt idx="14">
                  <c:v>146951.22585738834</c:v>
                </c:pt>
                <c:pt idx="15">
                  <c:v>147034.05478716682</c:v>
                </c:pt>
                <c:pt idx="16">
                  <c:v>147162.14758544374</c:v>
                </c:pt>
                <c:pt idx="17">
                  <c:v>147292.18935459628</c:v>
                </c:pt>
                <c:pt idx="18">
                  <c:v>147407.53910140609</c:v>
                </c:pt>
                <c:pt idx="19">
                  <c:v>147502.29761878258</c:v>
                </c:pt>
                <c:pt idx="20">
                  <c:v>147630.55920296983</c:v>
                </c:pt>
                <c:pt idx="21">
                  <c:v>147814.22418621724</c:v>
                </c:pt>
                <c:pt idx="22">
                  <c:v>148035.06928608014</c:v>
                </c:pt>
                <c:pt idx="23">
                  <c:v>148181.61082725006</c:v>
                </c:pt>
                <c:pt idx="24">
                  <c:v>148469.05061569627</c:v>
                </c:pt>
                <c:pt idx="25">
                  <c:v>148486.90313458382</c:v>
                </c:pt>
                <c:pt idx="26">
                  <c:v>148573.11289589817</c:v>
                </c:pt>
                <c:pt idx="27">
                  <c:v>148751.89763013652</c:v>
                </c:pt>
                <c:pt idx="28">
                  <c:v>149037.70811348467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B-46A7-8E50-2EB915D2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7664"/>
        <c:axId val="602038024"/>
      </c:scatterChart>
      <c:valAx>
        <c:axId val="6020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02038024"/>
        <c:crosses val="autoZero"/>
        <c:crossBetween val="midCat"/>
      </c:valAx>
      <c:valAx>
        <c:axId val="6020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0203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'M. HOLT SÁBADOS'!$B$4:$B$31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HOLT SÁBADOS'!$C$25:$C$52</c:f>
              <c:numCache>
                <c:formatCode>General</c:formatCode>
                <c:ptCount val="28"/>
                <c:pt idx="0">
                  <c:v>-26335.214244663381</c:v>
                </c:pt>
                <c:pt idx="1">
                  <c:v>-13545.219626892896</c:v>
                </c:pt>
                <c:pt idx="2">
                  <c:v>2899.9749908775848</c:v>
                </c:pt>
                <c:pt idx="3">
                  <c:v>-1774.0303913519456</c:v>
                </c:pt>
                <c:pt idx="4">
                  <c:v>6234.5642264185444</c:v>
                </c:pt>
                <c:pt idx="5">
                  <c:v>5436.358844189017</c:v>
                </c:pt>
                <c:pt idx="6">
                  <c:v>7964.1534619595041</c:v>
                </c:pt>
                <c:pt idx="7">
                  <c:v>10119.948079729977</c:v>
                </c:pt>
                <c:pt idx="8">
                  <c:v>5360.7426975004637</c:v>
                </c:pt>
                <c:pt idx="9">
                  <c:v>9831.5373152709362</c:v>
                </c:pt>
                <c:pt idx="10">
                  <c:v>-7198.6680669585767</c:v>
                </c:pt>
                <c:pt idx="11">
                  <c:v>13706.126550811896</c:v>
                </c:pt>
                <c:pt idx="12">
                  <c:v>-6022.078831417617</c:v>
                </c:pt>
                <c:pt idx="13">
                  <c:v>-20133.284213647144</c:v>
                </c:pt>
                <c:pt idx="14">
                  <c:v>10427.510404123343</c:v>
                </c:pt>
                <c:pt idx="15">
                  <c:v>1430.3050218938151</c:v>
                </c:pt>
                <c:pt idx="16">
                  <c:v>1710.8496396643022</c:v>
                </c:pt>
                <c:pt idx="17">
                  <c:v>5328.8942574347748</c:v>
                </c:pt>
                <c:pt idx="18">
                  <c:v>7488.4888752052648</c:v>
                </c:pt>
                <c:pt idx="19">
                  <c:v>8495.4834929757344</c:v>
                </c:pt>
                <c:pt idx="20">
                  <c:v>6918.0781107462099</c:v>
                </c:pt>
                <c:pt idx="21">
                  <c:v>9477.3227285167086</c:v>
                </c:pt>
                <c:pt idx="22">
                  <c:v>-12815.132653712819</c:v>
                </c:pt>
                <c:pt idx="23">
                  <c:v>23150.461964057642</c:v>
                </c:pt>
                <c:pt idx="24">
                  <c:v>-12421.543418171874</c:v>
                </c:pt>
                <c:pt idx="25">
                  <c:v>-25238.915467068044</c:v>
                </c:pt>
                <c:pt idx="26">
                  <c:v>-9146.5541826309054</c:v>
                </c:pt>
                <c:pt idx="27">
                  <c:v>-1350.1595648604271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6-4D47-9216-28F89367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70952"/>
        <c:axId val="763373472"/>
      </c:scatterChart>
      <c:valAx>
        <c:axId val="7633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73472"/>
        <c:crosses val="autoZero"/>
        <c:crossBetween val="midCat"/>
      </c:valAx>
      <c:valAx>
        <c:axId val="76337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70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3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SÁBADOS'!$D$3:$D$30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</c:numCache>
            </c:numRef>
          </c:xVal>
          <c:yVal>
            <c:numRef>
              <c:f>'AD SÁBADOS'!$C$30:$C$57</c:f>
              <c:numCache>
                <c:formatCode>General</c:formatCode>
                <c:ptCount val="28"/>
                <c:pt idx="0">
                  <c:v>-2370.9401499384985</c:v>
                </c:pt>
                <c:pt idx="1">
                  <c:v>717.27801582557731</c:v>
                </c:pt>
                <c:pt idx="2">
                  <c:v>8052.6364739823621</c:v>
                </c:pt>
                <c:pt idx="3">
                  <c:v>-3929.4916006907442</c:v>
                </c:pt>
                <c:pt idx="4">
                  <c:v>-860.76793335884577</c:v>
                </c:pt>
                <c:pt idx="5">
                  <c:v>-4151.7663766862242</c:v>
                </c:pt>
                <c:pt idx="6">
                  <c:v>-1939.1708384123922</c:v>
                </c:pt>
                <c:pt idx="7">
                  <c:v>1584.5060910519678</c:v>
                </c:pt>
                <c:pt idx="8">
                  <c:v>-736.11618899011228</c:v>
                </c:pt>
                <c:pt idx="9">
                  <c:v>6604.7536828424782</c:v>
                </c:pt>
                <c:pt idx="10">
                  <c:v>-7715.0016976446495</c:v>
                </c:pt>
                <c:pt idx="11">
                  <c:v>15256.39007210308</c:v>
                </c:pt>
                <c:pt idx="12">
                  <c:v>-3383.7309263035859</c:v>
                </c:pt>
                <c:pt idx="13">
                  <c:v>-17543.899759912398</c:v>
                </c:pt>
                <c:pt idx="14">
                  <c:v>11858.909827838681</c:v>
                </c:pt>
                <c:pt idx="15">
                  <c:v>803.60118936741492</c:v>
                </c:pt>
                <c:pt idx="16">
                  <c:v>-1506.1001548238564</c:v>
                </c:pt>
                <c:pt idx="17">
                  <c:v>-521.32214394013863</c:v>
                </c:pt>
                <c:pt idx="18">
                  <c:v>-481.79250470995612</c:v>
                </c:pt>
                <c:pt idx="19">
                  <c:v>-528.5057792076841</c:v>
                </c:pt>
                <c:pt idx="20">
                  <c:v>-1629.4610527111799</c:v>
                </c:pt>
                <c:pt idx="21">
                  <c:v>3208.4296184298582</c:v>
                </c:pt>
                <c:pt idx="22">
                  <c:v>-15041.437921099365</c:v>
                </c:pt>
                <c:pt idx="23">
                  <c:v>26247.490246517758</c:v>
                </c:pt>
                <c:pt idx="24">
                  <c:v>-3799.3444157037884</c:v>
                </c:pt>
                <c:pt idx="25">
                  <c:v>-12731.220794163339</c:v>
                </c:pt>
                <c:pt idx="26">
                  <c:v>2819.8332806821854</c:v>
                </c:pt>
                <c:pt idx="27">
                  <c:v>1716.2417396642268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0-4E8B-991E-BBE7DD6F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09296"/>
        <c:axId val="721511816"/>
      </c:scatterChart>
      <c:valAx>
        <c:axId val="72150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11816"/>
        <c:crosses val="autoZero"/>
        <c:crossBetween val="midCat"/>
      </c:valAx>
      <c:valAx>
        <c:axId val="721511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0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'M. HOLT SÁBADOS'!$B$4:$B$31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'M. HOLT SÁBADOS'!$C$4:$C$31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B-41D3-B06E-31D215801CCE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'M. HOLT SÁBADOS'!$B$4:$B$31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HOLT SÁBADOS'!$B$25:$B$52</c:f>
              <c:numCache>
                <c:formatCode>General</c:formatCode>
                <c:ptCount val="28"/>
                <c:pt idx="0">
                  <c:v>92686.614244663375</c:v>
                </c:pt>
                <c:pt idx="1">
                  <c:v>94300.819626892902</c:v>
                </c:pt>
                <c:pt idx="2">
                  <c:v>95915.025009122415</c:v>
                </c:pt>
                <c:pt idx="3">
                  <c:v>97529.230391351943</c:v>
                </c:pt>
                <c:pt idx="4">
                  <c:v>99143.435773581456</c:v>
                </c:pt>
                <c:pt idx="5">
                  <c:v>100757.64115581098</c:v>
                </c:pt>
                <c:pt idx="6">
                  <c:v>102371.8465380405</c:v>
                </c:pt>
                <c:pt idx="7">
                  <c:v>103986.05192027002</c:v>
                </c:pt>
                <c:pt idx="8">
                  <c:v>105600.25730249954</c:v>
                </c:pt>
                <c:pt idx="9">
                  <c:v>107214.46268472906</c:v>
                </c:pt>
                <c:pt idx="10">
                  <c:v>108828.66806695858</c:v>
                </c:pt>
                <c:pt idx="11">
                  <c:v>110442.8734491881</c:v>
                </c:pt>
                <c:pt idx="12">
                  <c:v>112057.07883141762</c:v>
                </c:pt>
                <c:pt idx="13">
                  <c:v>113671.28421364714</c:v>
                </c:pt>
                <c:pt idx="14">
                  <c:v>115285.48959587666</c:v>
                </c:pt>
                <c:pt idx="15">
                  <c:v>116899.69497810618</c:v>
                </c:pt>
                <c:pt idx="16">
                  <c:v>118513.9003603357</c:v>
                </c:pt>
                <c:pt idx="17">
                  <c:v>120128.10574256523</c:v>
                </c:pt>
                <c:pt idx="18">
                  <c:v>121742.31112479474</c:v>
                </c:pt>
                <c:pt idx="19">
                  <c:v>123356.51650702427</c:v>
                </c:pt>
                <c:pt idx="20">
                  <c:v>124970.72188925378</c:v>
                </c:pt>
                <c:pt idx="21">
                  <c:v>126584.92727148329</c:v>
                </c:pt>
                <c:pt idx="22">
                  <c:v>128199.13265371282</c:v>
                </c:pt>
                <c:pt idx="23">
                  <c:v>129813.33803594235</c:v>
                </c:pt>
                <c:pt idx="24">
                  <c:v>131427.54341817187</c:v>
                </c:pt>
                <c:pt idx="25">
                  <c:v>133041.74880040137</c:v>
                </c:pt>
                <c:pt idx="26">
                  <c:v>134655.9541826309</c:v>
                </c:pt>
                <c:pt idx="27">
                  <c:v>136270.15956486043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BB-41D3-B06E-31D21580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72032"/>
        <c:axId val="763372752"/>
      </c:scatterChart>
      <c:valAx>
        <c:axId val="7633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72752"/>
        <c:crosses val="autoZero"/>
        <c:crossBetween val="midCat"/>
      </c:valAx>
      <c:valAx>
        <c:axId val="76337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63372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'AD HOLT SÁBADOS'!$F$25:$F$52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'AD HOLT SÁBADOS'!$G$25:$G$52</c:f>
              <c:numCache>
                <c:formatCode>General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93538</c:v>
                </c:pt>
                <c:pt idx="3">
                  <c:v>95755.199999999997</c:v>
                </c:pt>
                <c:pt idx="4">
                  <c:v>98815</c:v>
                </c:pt>
                <c:pt idx="5">
                  <c:v>101630</c:v>
                </c:pt>
                <c:pt idx="6">
                  <c:v>105378</c:v>
                </c:pt>
                <c:pt idx="7">
                  <c:v>106035</c:v>
                </c:pt>
                <c:pt idx="8">
                  <c:v>106194</c:v>
                </c:pt>
                <c:pt idx="9">
                  <c:v>107802.83333333333</c:v>
                </c:pt>
                <c:pt idx="10">
                  <c:v>110336</c:v>
                </c:pt>
                <c:pt idx="11">
                  <c:v>110961</c:v>
                </c:pt>
                <c:pt idx="12">
                  <c:v>114106</c:v>
                </c:pt>
                <c:pt idx="13">
                  <c:v>115384</c:v>
                </c:pt>
                <c:pt idx="14">
                  <c:v>117046</c:v>
                </c:pt>
                <c:pt idx="15">
                  <c:v>118330</c:v>
                </c:pt>
                <c:pt idx="16">
                  <c:v>119006</c:v>
                </c:pt>
                <c:pt idx="17">
                  <c:v>120224.75</c:v>
                </c:pt>
                <c:pt idx="18">
                  <c:v>124149</c:v>
                </c:pt>
                <c:pt idx="19">
                  <c:v>125457</c:v>
                </c:pt>
                <c:pt idx="20">
                  <c:v>125509.4</c:v>
                </c:pt>
                <c:pt idx="21">
                  <c:v>125713</c:v>
                </c:pt>
                <c:pt idx="22">
                  <c:v>129230.8</c:v>
                </c:pt>
                <c:pt idx="23">
                  <c:v>131852</c:v>
                </c:pt>
                <c:pt idx="24">
                  <c:v>131888.79999999999</c:v>
                </c:pt>
                <c:pt idx="25">
                  <c:v>134920</c:v>
                </c:pt>
                <c:pt idx="26">
                  <c:v>136062.25</c:v>
                </c:pt>
                <c:pt idx="27">
                  <c:v>152963.79999999999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8-4F1E-B1C1-5A293AC6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13512"/>
        <c:axId val="1051017832"/>
      </c:scatterChart>
      <c:valAx>
        <c:axId val="105101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017832"/>
        <c:crosses val="autoZero"/>
        <c:crossBetween val="midCat"/>
      </c:valAx>
      <c:valAx>
        <c:axId val="105101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013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Gráfico de la demanda con Modelo de Holt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 HOLT SÁBADOS'!$B$4:$B$31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'M. HOLT SÁBADOS'!$C$4:$C$31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E-44E3-872E-3FF9BAAF1AE7}"/>
            </c:ext>
          </c:extLst>
        </c:ser>
        <c:ser>
          <c:idx val="1"/>
          <c:order val="1"/>
          <c:tx>
            <c:v>Pronóstico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'M. HOLT SÁBADOS'!$B$4:$B$39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'M. HOLT SÁBADOS'!$F$4:$F$39</c:f>
              <c:numCache>
                <c:formatCode>0</c:formatCode>
                <c:ptCount val="36"/>
                <c:pt idx="0">
                  <c:v>92686.614244663375</c:v>
                </c:pt>
                <c:pt idx="1">
                  <c:v>94300.819626892888</c:v>
                </c:pt>
                <c:pt idx="2">
                  <c:v>95915.025009122401</c:v>
                </c:pt>
                <c:pt idx="3">
                  <c:v>97529.230391351914</c:v>
                </c:pt>
                <c:pt idx="4">
                  <c:v>99143.435773581426</c:v>
                </c:pt>
                <c:pt idx="5">
                  <c:v>100757.64115581094</c:v>
                </c:pt>
                <c:pt idx="6">
                  <c:v>102371.84653804045</c:v>
                </c:pt>
                <c:pt idx="7">
                  <c:v>103986.05192026997</c:v>
                </c:pt>
                <c:pt idx="8">
                  <c:v>105600.25730249948</c:v>
                </c:pt>
                <c:pt idx="9">
                  <c:v>107214.46268472899</c:v>
                </c:pt>
                <c:pt idx="10">
                  <c:v>108828.6680669585</c:v>
                </c:pt>
                <c:pt idx="11">
                  <c:v>110442.87344918802</c:v>
                </c:pt>
                <c:pt idx="12">
                  <c:v>112057.07883141753</c:v>
                </c:pt>
                <c:pt idx="13">
                  <c:v>113671.28421364704</c:v>
                </c:pt>
                <c:pt idx="14">
                  <c:v>115285.48959587656</c:v>
                </c:pt>
                <c:pt idx="15">
                  <c:v>116899.69497810607</c:v>
                </c:pt>
                <c:pt idx="16">
                  <c:v>118513.90036033558</c:v>
                </c:pt>
                <c:pt idx="17">
                  <c:v>120128.10574256509</c:v>
                </c:pt>
                <c:pt idx="18">
                  <c:v>121742.31112479461</c:v>
                </c:pt>
                <c:pt idx="19">
                  <c:v>123356.51650702412</c:v>
                </c:pt>
                <c:pt idx="20">
                  <c:v>124970.72188925363</c:v>
                </c:pt>
                <c:pt idx="21">
                  <c:v>126584.92727148315</c:v>
                </c:pt>
                <c:pt idx="22">
                  <c:v>128199.13265371266</c:v>
                </c:pt>
                <c:pt idx="23">
                  <c:v>129813.33803594217</c:v>
                </c:pt>
                <c:pt idx="24">
                  <c:v>131427.5434181717</c:v>
                </c:pt>
                <c:pt idx="25">
                  <c:v>133041.74880040123</c:v>
                </c:pt>
                <c:pt idx="26">
                  <c:v>134655.95418263075</c:v>
                </c:pt>
                <c:pt idx="27">
                  <c:v>136270.15956486028</c:v>
                </c:pt>
                <c:pt idx="28">
                  <c:v>137884.36494708981</c:v>
                </c:pt>
                <c:pt idx="29">
                  <c:v>139498.57032931931</c:v>
                </c:pt>
                <c:pt idx="30">
                  <c:v>141112.77571154883</c:v>
                </c:pt>
                <c:pt idx="31">
                  <c:v>142726.98109377836</c:v>
                </c:pt>
                <c:pt idx="32">
                  <c:v>144341.18647600789</c:v>
                </c:pt>
                <c:pt idx="33">
                  <c:v>145955.39185823739</c:v>
                </c:pt>
                <c:pt idx="34">
                  <c:v>147569.59724046692</c:v>
                </c:pt>
                <c:pt idx="35">
                  <c:v>149183.80262269644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E-44E3-872E-3FF9BAAF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56640"/>
        <c:axId val="781158800"/>
      </c:scatterChart>
      <c:valAx>
        <c:axId val="7811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1158800"/>
        <c:crosses val="autoZero"/>
        <c:crossBetween val="midCat"/>
      </c:valAx>
      <c:valAx>
        <c:axId val="781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11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'M. HOLT LABORABLE'!$B$4:$B$31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HOLT LABORABLE'!$C$25:$C$52</c:f>
              <c:numCache>
                <c:formatCode>General</c:formatCode>
                <c:ptCount val="28"/>
                <c:pt idx="0">
                  <c:v>-26886.181645186269</c:v>
                </c:pt>
                <c:pt idx="1">
                  <c:v>-19485.285822984719</c:v>
                </c:pt>
                <c:pt idx="2">
                  <c:v>-1854.2610534147534</c:v>
                </c:pt>
                <c:pt idx="3">
                  <c:v>5611.2242424709984</c:v>
                </c:pt>
                <c:pt idx="4">
                  <c:v>6720.2095383567503</c:v>
                </c:pt>
                <c:pt idx="5">
                  <c:v>6185.4448342425167</c:v>
                </c:pt>
                <c:pt idx="6">
                  <c:v>1674.6801301282831</c:v>
                </c:pt>
                <c:pt idx="7">
                  <c:v>7348.9154260140203</c:v>
                </c:pt>
                <c:pt idx="8">
                  <c:v>7406.1507218997867</c:v>
                </c:pt>
                <c:pt idx="9">
                  <c:v>9158.386017785524</c:v>
                </c:pt>
                <c:pt idx="10">
                  <c:v>7168.6213136712904</c:v>
                </c:pt>
                <c:pt idx="11">
                  <c:v>16127.856609557057</c:v>
                </c:pt>
                <c:pt idx="12">
                  <c:v>-12546.908094557177</c:v>
                </c:pt>
                <c:pt idx="13">
                  <c:v>-9797.6727986714395</c:v>
                </c:pt>
                <c:pt idx="14">
                  <c:v>6305.5624972143269</c:v>
                </c:pt>
                <c:pt idx="15">
                  <c:v>9219.7977931000642</c:v>
                </c:pt>
                <c:pt idx="16">
                  <c:v>7365.714907167654</c:v>
                </c:pt>
                <c:pt idx="17">
                  <c:v>3664.2683848715969</c:v>
                </c:pt>
                <c:pt idx="18">
                  <c:v>-707.44870019500377</c:v>
                </c:pt>
                <c:pt idx="19">
                  <c:v>911.73897664310061</c:v>
                </c:pt>
                <c:pt idx="20">
                  <c:v>4998.2123677669733</c:v>
                </c:pt>
                <c:pt idx="21">
                  <c:v>7114.9368411418691</c:v>
                </c:pt>
                <c:pt idx="22">
                  <c:v>-3120.3329134776432</c:v>
                </c:pt>
                <c:pt idx="23">
                  <c:v>10485.457937963918</c:v>
                </c:pt>
                <c:pt idx="24">
                  <c:v>-21385.084543928097</c:v>
                </c:pt>
                <c:pt idx="25">
                  <c:v>-15969.460359153483</c:v>
                </c:pt>
                <c:pt idx="26">
                  <c:v>-7794.1639521565812</c:v>
                </c:pt>
                <c:pt idx="27">
                  <c:v>2079.6213437291444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1-40A3-9CAD-848D1F24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48096"/>
        <c:axId val="702526224"/>
      </c:scatterChart>
      <c:valAx>
        <c:axId val="7062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526224"/>
        <c:crosses val="autoZero"/>
        <c:crossBetween val="midCat"/>
      </c:valAx>
      <c:valAx>
        <c:axId val="70252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24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'M. HOLT LABORABLE'!$B$4:$B$31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'M. HOLT LABORABLE'!$C$4:$C$31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B-41B1-8F6D-D86BE2D3E153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'M. HOLT LABORABLE'!$B$4:$B$31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HOLT LABORABLE'!$B$25:$B$52</c:f>
              <c:numCache>
                <c:formatCode>General</c:formatCode>
                <c:ptCount val="28"/>
                <c:pt idx="0">
                  <c:v>119067.73164518627</c:v>
                </c:pt>
                <c:pt idx="1">
                  <c:v>121266.49634930051</c:v>
                </c:pt>
                <c:pt idx="2">
                  <c:v>123465.26105341475</c:v>
                </c:pt>
                <c:pt idx="3">
                  <c:v>125664.025757529</c:v>
                </c:pt>
                <c:pt idx="4">
                  <c:v>127862.79046164325</c:v>
                </c:pt>
                <c:pt idx="5">
                  <c:v>130061.55516575748</c:v>
                </c:pt>
                <c:pt idx="6">
                  <c:v>132260.31986987172</c:v>
                </c:pt>
                <c:pt idx="7">
                  <c:v>134459.08457398598</c:v>
                </c:pt>
                <c:pt idx="8">
                  <c:v>136657.84927810021</c:v>
                </c:pt>
                <c:pt idx="9">
                  <c:v>138856.61398221448</c:v>
                </c:pt>
                <c:pt idx="10">
                  <c:v>141055.37868632871</c:v>
                </c:pt>
                <c:pt idx="11">
                  <c:v>143254.14339044294</c:v>
                </c:pt>
                <c:pt idx="12">
                  <c:v>145452.90809455718</c:v>
                </c:pt>
                <c:pt idx="13">
                  <c:v>147651.67279867144</c:v>
                </c:pt>
                <c:pt idx="14">
                  <c:v>149850.43750278567</c:v>
                </c:pt>
                <c:pt idx="15">
                  <c:v>152049.20220689994</c:v>
                </c:pt>
                <c:pt idx="16">
                  <c:v>154247.96691101417</c:v>
                </c:pt>
                <c:pt idx="17">
                  <c:v>156446.7316151284</c:v>
                </c:pt>
                <c:pt idx="18">
                  <c:v>158645.49631924264</c:v>
                </c:pt>
                <c:pt idx="19">
                  <c:v>160844.2610233569</c:v>
                </c:pt>
                <c:pt idx="20">
                  <c:v>163043.02572747113</c:v>
                </c:pt>
                <c:pt idx="21">
                  <c:v>165241.7904315854</c:v>
                </c:pt>
                <c:pt idx="22">
                  <c:v>167440.55513569963</c:v>
                </c:pt>
                <c:pt idx="23">
                  <c:v>169639.31983981386</c:v>
                </c:pt>
                <c:pt idx="24">
                  <c:v>171838.0845439281</c:v>
                </c:pt>
                <c:pt idx="25">
                  <c:v>174036.84924804236</c:v>
                </c:pt>
                <c:pt idx="26">
                  <c:v>176235.61395215659</c:v>
                </c:pt>
                <c:pt idx="27">
                  <c:v>178434.37865627086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B-41B1-8F6D-D86BE2D3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75072"/>
        <c:axId val="665972912"/>
      </c:scatterChart>
      <c:valAx>
        <c:axId val="6659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972912"/>
        <c:crosses val="autoZero"/>
        <c:crossBetween val="midCat"/>
      </c:valAx>
      <c:valAx>
        <c:axId val="66597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6597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'AD HOLT LABORABLE'!$F$25:$F$52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'AD HOLT LABORABLE'!$G$25:$G$52</c:f>
              <c:numCache>
                <c:formatCode>General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132906</c:v>
                </c:pt>
                <c:pt idx="5">
                  <c:v>133935</c:v>
                </c:pt>
                <c:pt idx="6">
                  <c:v>134583</c:v>
                </c:pt>
                <c:pt idx="7">
                  <c:v>136247</c:v>
                </c:pt>
                <c:pt idx="8">
                  <c:v>137854</c:v>
                </c:pt>
                <c:pt idx="9">
                  <c:v>141808</c:v>
                </c:pt>
                <c:pt idx="10">
                  <c:v>144064</c:v>
                </c:pt>
                <c:pt idx="11">
                  <c:v>148015</c:v>
                </c:pt>
                <c:pt idx="12">
                  <c:v>148224</c:v>
                </c:pt>
                <c:pt idx="13">
                  <c:v>150453</c:v>
                </c:pt>
                <c:pt idx="14">
                  <c:v>156156</c:v>
                </c:pt>
                <c:pt idx="15">
                  <c:v>157938.04761904763</c:v>
                </c:pt>
                <c:pt idx="16">
                  <c:v>158067.38888888888</c:v>
                </c:pt>
                <c:pt idx="17">
                  <c:v>159382</c:v>
                </c:pt>
                <c:pt idx="18">
                  <c:v>160111</c:v>
                </c:pt>
                <c:pt idx="19">
                  <c:v>161269</c:v>
                </c:pt>
                <c:pt idx="20">
                  <c:v>161613.68181818182</c:v>
                </c:pt>
                <c:pt idx="21">
                  <c:v>161756</c:v>
                </c:pt>
                <c:pt idx="22">
                  <c:v>164320.22222222199</c:v>
                </c:pt>
                <c:pt idx="23">
                  <c:v>168041.23809523811</c:v>
                </c:pt>
                <c:pt idx="24">
                  <c:v>168441.45</c:v>
                </c:pt>
                <c:pt idx="25">
                  <c:v>172356.72727272726</c:v>
                </c:pt>
                <c:pt idx="26">
                  <c:v>180124.77777777778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BF7-876A-ACD4404E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73632"/>
        <c:axId val="665973992"/>
      </c:scatterChart>
      <c:valAx>
        <c:axId val="6659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973992"/>
        <c:crosses val="autoZero"/>
        <c:crossBetween val="midCat"/>
      </c:valAx>
      <c:valAx>
        <c:axId val="66597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973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Gráfico de la demanda con Modelo de Holt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 HOLT LABORABLE'!$B$4:$B$31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'M. HOLT LABORABLE'!$C$4:$C$31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D-4171-8AAA-6278C6BB324B}"/>
            </c:ext>
          </c:extLst>
        </c:ser>
        <c:ser>
          <c:idx val="1"/>
          <c:order val="1"/>
          <c:tx>
            <c:v>Pronóstico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'M. HOLT LABORABLE'!$B$4:$B$39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'M. HOLT LABORABLE'!$F$4:$F$39</c:f>
              <c:numCache>
                <c:formatCode>0</c:formatCode>
                <c:ptCount val="36"/>
                <c:pt idx="0">
                  <c:v>119067.73164518627</c:v>
                </c:pt>
                <c:pt idx="1">
                  <c:v>115889.26002026327</c:v>
                </c:pt>
                <c:pt idx="2">
                  <c:v>115266.41482558803</c:v>
                </c:pt>
                <c:pt idx="3">
                  <c:v>118734.09656458467</c:v>
                </c:pt>
                <c:pt idx="4">
                  <c:v>123441.091955782</c:v>
                </c:pt>
                <c:pt idx="5">
                  <c:v>127868.23826873986</c:v>
                </c:pt>
                <c:pt idx="6">
                  <c:v>131742.75531910613</c:v>
                </c:pt>
                <c:pt idx="7">
                  <c:v>134379.96895939915</c:v>
                </c:pt>
                <c:pt idx="8">
                  <c:v>138064.33987163357</c:v>
                </c:pt>
                <c:pt idx="9">
                  <c:v>141463.03660142107</c:v>
                </c:pt>
                <c:pt idx="10">
                  <c:v>144972.1939852511</c:v>
                </c:pt>
                <c:pt idx="11">
                  <c:v>147821.31989231514</c:v>
                </c:pt>
                <c:pt idx="12">
                  <c:v>152332.22061796635</c:v>
                </c:pt>
                <c:pt idx="13">
                  <c:v>150645.74119848732</c:v>
                </c:pt>
                <c:pt idx="14">
                  <c:v>150286.15766290409</c:v>
                </c:pt>
                <c:pt idx="15">
                  <c:v>153658.89083443751</c:v>
                </c:pt>
                <c:pt idx="16">
                  <c:v>157379.67737166426</c:v>
                </c:pt>
                <c:pt idx="17">
                  <c:v>160425.24296508203</c:v>
                </c:pt>
                <c:pt idx="18">
                  <c:v>162561.15907617987</c:v>
                </c:pt>
                <c:pt idx="19">
                  <c:v>163835.30148886767</c:v>
                </c:pt>
                <c:pt idx="20">
                  <c:v>165618.20589520838</c:v>
                </c:pt>
                <c:pt idx="21">
                  <c:v>168301.57703932855</c:v>
                </c:pt>
                <c:pt idx="22">
                  <c:v>171311.37179012253</c:v>
                </c:pt>
                <c:pt idx="23">
                  <c:v>172111.90658065665</c:v>
                </c:pt>
                <c:pt idx="24">
                  <c:v>175913.24552419511</c:v>
                </c:pt>
                <c:pt idx="25">
                  <c:v>173019.96112347033</c:v>
                </c:pt>
                <c:pt idx="26">
                  <c:v>172228.21138066828</c:v>
                </c:pt>
                <c:pt idx="27">
                  <c:v>173669.62380864887</c:v>
                </c:pt>
                <c:pt idx="28">
                  <c:v>177237.26375103334</c:v>
                </c:pt>
                <c:pt idx="29">
                  <c:v>179436.02845514761</c:v>
                </c:pt>
                <c:pt idx="30">
                  <c:v>181634.79315926184</c:v>
                </c:pt>
                <c:pt idx="31">
                  <c:v>183833.55786337607</c:v>
                </c:pt>
                <c:pt idx="32">
                  <c:v>186032.32256749034</c:v>
                </c:pt>
                <c:pt idx="33">
                  <c:v>188231.08727160457</c:v>
                </c:pt>
                <c:pt idx="34">
                  <c:v>190429.8519757188</c:v>
                </c:pt>
                <c:pt idx="35">
                  <c:v>192628.61667983307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D-4171-8AAA-6278C6BB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56640"/>
        <c:axId val="781158800"/>
      </c:scatterChart>
      <c:valAx>
        <c:axId val="7811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1158800"/>
        <c:crosses val="autoZero"/>
        <c:crossBetween val="midCat"/>
      </c:valAx>
      <c:valAx>
        <c:axId val="781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11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'M. WINTER SÁBADOS'!$A$10:$A$25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'AD WINTER SÁBADOS'!$C$25:$C$40</c:f>
              <c:numCache>
                <c:formatCode>General</c:formatCode>
                <c:ptCount val="16"/>
                <c:pt idx="0">
                  <c:v>-997.28968035132857</c:v>
                </c:pt>
                <c:pt idx="1">
                  <c:v>-349.44857945262629</c:v>
                </c:pt>
                <c:pt idx="2">
                  <c:v>-234.34081188727578</c:v>
                </c:pt>
                <c:pt idx="3">
                  <c:v>288.78362234476663</c:v>
                </c:pt>
                <c:pt idx="4">
                  <c:v>309.77263991010841</c:v>
                </c:pt>
                <c:pt idx="5">
                  <c:v>192.76999080881069</c:v>
                </c:pt>
                <c:pt idx="6">
                  <c:v>244.43609170749551</c:v>
                </c:pt>
                <c:pt idx="7">
                  <c:v>232.89385927286639</c:v>
                </c:pt>
                <c:pt idx="8">
                  <c:v>306.05996017155121</c:v>
                </c:pt>
                <c:pt idx="9">
                  <c:v>432.15314440357906</c:v>
                </c:pt>
                <c:pt idx="10">
                  <c:v>259.33799530228134</c:v>
                </c:pt>
                <c:pt idx="11">
                  <c:v>494.79576286762313</c:v>
                </c:pt>
                <c:pt idx="12">
                  <c:v>697.62853043299401</c:v>
                </c:pt>
                <c:pt idx="13">
                  <c:v>294.21268688725831</c:v>
                </c:pt>
                <c:pt idx="14">
                  <c:v>-658.14482332518674</c:v>
                </c:pt>
                <c:pt idx="15">
                  <c:v>-1513.6203890931793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6-4BF8-ACFF-763892EB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7368"/>
        <c:axId val="733563768"/>
      </c:scatterChart>
      <c:valAx>
        <c:axId val="7335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563768"/>
        <c:crosses val="autoZero"/>
        <c:crossBetween val="midCat"/>
      </c:valAx>
      <c:valAx>
        <c:axId val="73356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567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'M. WINTER SÁBADOS'!$A$10:$A$25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'M. WINTER SÁBADOS'!$C$10:$C$25</c:f>
              <c:numCache>
                <c:formatCode>0.00</c:formatCode>
                <c:ptCount val="16"/>
                <c:pt idx="0">
                  <c:v>104276.58333333333</c:v>
                </c:pt>
                <c:pt idx="1">
                  <c:v>106462.66666666667</c:v>
                </c:pt>
                <c:pt idx="2">
                  <c:v>108116.01666666666</c:v>
                </c:pt>
                <c:pt idx="3">
                  <c:v>110177.38333333335</c:v>
                </c:pt>
                <c:pt idx="4">
                  <c:v>111736.61458333333</c:v>
                </c:pt>
                <c:pt idx="5">
                  <c:v>113157.85416666667</c:v>
                </c:pt>
                <c:pt idx="6">
                  <c:v>114747.7625</c:v>
                </c:pt>
                <c:pt idx="7">
                  <c:v>116274.46250000001</c:v>
                </c:pt>
                <c:pt idx="8">
                  <c:v>117885.87083333333</c:v>
                </c:pt>
                <c:pt idx="9">
                  <c:v>119550.20625</c:v>
                </c:pt>
                <c:pt idx="10">
                  <c:v>120915.63333333335</c:v>
                </c:pt>
                <c:pt idx="11">
                  <c:v>122689.33333333333</c:v>
                </c:pt>
                <c:pt idx="12">
                  <c:v>124430.40833333334</c:v>
                </c:pt>
                <c:pt idx="13">
                  <c:v>125565.23472222225</c:v>
                </c:pt>
                <c:pt idx="14">
                  <c:v>126151.11944444444</c:v>
                </c:pt>
                <c:pt idx="15">
                  <c:v>126833.88611111109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33-4382-8138-5AF87D38155E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'M. WINTER SÁBADOS'!$A$10:$A$25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'AD WINTER SÁBADOS'!$B$25:$B$40</c:f>
              <c:numCache>
                <c:formatCode>General</c:formatCode>
                <c:ptCount val="16"/>
                <c:pt idx="0">
                  <c:v>105273.87301368466</c:v>
                </c:pt>
                <c:pt idx="1">
                  <c:v>106812.1152461193</c:v>
                </c:pt>
                <c:pt idx="2">
                  <c:v>108350.35747855394</c:v>
                </c:pt>
                <c:pt idx="3">
                  <c:v>109888.59971098858</c:v>
                </c:pt>
                <c:pt idx="4">
                  <c:v>111426.84194342322</c:v>
                </c:pt>
                <c:pt idx="5">
                  <c:v>112965.08417585786</c:v>
                </c:pt>
                <c:pt idx="6">
                  <c:v>114503.3264082925</c:v>
                </c:pt>
                <c:pt idx="7">
                  <c:v>116041.56864072714</c:v>
                </c:pt>
                <c:pt idx="8">
                  <c:v>117579.81087316178</c:v>
                </c:pt>
                <c:pt idx="9">
                  <c:v>119118.05310559642</c:v>
                </c:pt>
                <c:pt idx="10">
                  <c:v>120656.29533803106</c:v>
                </c:pt>
                <c:pt idx="11">
                  <c:v>122194.53757046571</c:v>
                </c:pt>
                <c:pt idx="12">
                  <c:v>123732.77980290035</c:v>
                </c:pt>
                <c:pt idx="13">
                  <c:v>125271.02203533499</c:v>
                </c:pt>
                <c:pt idx="14">
                  <c:v>126809.26426776963</c:v>
                </c:pt>
                <c:pt idx="15">
                  <c:v>128347.50650020427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33-4382-8138-5AF87D38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29328"/>
        <c:axId val="732028248"/>
      </c:scatterChart>
      <c:valAx>
        <c:axId val="73202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028248"/>
        <c:crosses val="autoZero"/>
        <c:crossBetween val="midCat"/>
      </c:valAx>
      <c:valAx>
        <c:axId val="73202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2029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'AD WINTER SÁBADOS'!$F$25:$F$40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'AD WINTER SÁBADOS'!$G$25:$G$40</c:f>
              <c:numCache>
                <c:formatCode>General</c:formatCode>
                <c:ptCount val="16"/>
                <c:pt idx="0">
                  <c:v>104276.58333333333</c:v>
                </c:pt>
                <c:pt idx="1">
                  <c:v>106462.66666666667</c:v>
                </c:pt>
                <c:pt idx="2">
                  <c:v>108116.01666666666</c:v>
                </c:pt>
                <c:pt idx="3">
                  <c:v>110177.38333333335</c:v>
                </c:pt>
                <c:pt idx="4">
                  <c:v>111736.61458333333</c:v>
                </c:pt>
                <c:pt idx="5">
                  <c:v>113157.85416666667</c:v>
                </c:pt>
                <c:pt idx="6">
                  <c:v>114747.7625</c:v>
                </c:pt>
                <c:pt idx="7">
                  <c:v>116274.46250000001</c:v>
                </c:pt>
                <c:pt idx="8">
                  <c:v>117885.87083333333</c:v>
                </c:pt>
                <c:pt idx="9">
                  <c:v>119550.20625</c:v>
                </c:pt>
                <c:pt idx="10">
                  <c:v>120915.63333333335</c:v>
                </c:pt>
                <c:pt idx="11">
                  <c:v>122689.33333333333</c:v>
                </c:pt>
                <c:pt idx="12">
                  <c:v>124430.40833333334</c:v>
                </c:pt>
                <c:pt idx="13">
                  <c:v>125565.23472222225</c:v>
                </c:pt>
                <c:pt idx="14">
                  <c:v>126151.11944444444</c:v>
                </c:pt>
                <c:pt idx="15">
                  <c:v>126833.88611111109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D-476C-9561-1A2977C1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26448"/>
        <c:axId val="367909608"/>
      </c:scatterChart>
      <c:valAx>
        <c:axId val="73202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909608"/>
        <c:crosses val="autoZero"/>
        <c:crossBetween val="midCat"/>
      </c:valAx>
      <c:valAx>
        <c:axId val="36790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02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4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SÁBADOS'!$E$3:$E$30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  <c:pt idx="18">
                  <c:v>130321</c:v>
                </c:pt>
                <c:pt idx="19">
                  <c:v>160000</c:v>
                </c:pt>
                <c:pt idx="20">
                  <c:v>194481</c:v>
                </c:pt>
                <c:pt idx="21">
                  <c:v>234256</c:v>
                </c:pt>
                <c:pt idx="22">
                  <c:v>279841</c:v>
                </c:pt>
                <c:pt idx="23">
                  <c:v>331776</c:v>
                </c:pt>
                <c:pt idx="24">
                  <c:v>390625</c:v>
                </c:pt>
                <c:pt idx="25">
                  <c:v>456976</c:v>
                </c:pt>
                <c:pt idx="26">
                  <c:v>531441</c:v>
                </c:pt>
                <c:pt idx="27">
                  <c:v>614656</c:v>
                </c:pt>
              </c:numCache>
            </c:numRef>
          </c:xVal>
          <c:yVal>
            <c:numRef>
              <c:f>'AD SÁBADOS'!$C$30:$C$57</c:f>
              <c:numCache>
                <c:formatCode>General</c:formatCode>
                <c:ptCount val="28"/>
                <c:pt idx="0">
                  <c:v>-2370.9401499384985</c:v>
                </c:pt>
                <c:pt idx="1">
                  <c:v>717.27801582557731</c:v>
                </c:pt>
                <c:pt idx="2">
                  <c:v>8052.6364739823621</c:v>
                </c:pt>
                <c:pt idx="3">
                  <c:v>-3929.4916006907442</c:v>
                </c:pt>
                <c:pt idx="4">
                  <c:v>-860.76793335884577</c:v>
                </c:pt>
                <c:pt idx="5">
                  <c:v>-4151.7663766862242</c:v>
                </c:pt>
                <c:pt idx="6">
                  <c:v>-1939.1708384123922</c:v>
                </c:pt>
                <c:pt idx="7">
                  <c:v>1584.5060910519678</c:v>
                </c:pt>
                <c:pt idx="8">
                  <c:v>-736.11618899011228</c:v>
                </c:pt>
                <c:pt idx="9">
                  <c:v>6604.7536828424782</c:v>
                </c:pt>
                <c:pt idx="10">
                  <c:v>-7715.0016976446495</c:v>
                </c:pt>
                <c:pt idx="11">
                  <c:v>15256.39007210308</c:v>
                </c:pt>
                <c:pt idx="12">
                  <c:v>-3383.7309263035859</c:v>
                </c:pt>
                <c:pt idx="13">
                  <c:v>-17543.899759912398</c:v>
                </c:pt>
                <c:pt idx="14">
                  <c:v>11858.909827838681</c:v>
                </c:pt>
                <c:pt idx="15">
                  <c:v>803.60118936741492</c:v>
                </c:pt>
                <c:pt idx="16">
                  <c:v>-1506.1001548238564</c:v>
                </c:pt>
                <c:pt idx="17">
                  <c:v>-521.32214394013863</c:v>
                </c:pt>
                <c:pt idx="18">
                  <c:v>-481.79250470995612</c:v>
                </c:pt>
                <c:pt idx="19">
                  <c:v>-528.5057792076841</c:v>
                </c:pt>
                <c:pt idx="20">
                  <c:v>-1629.4610527111799</c:v>
                </c:pt>
                <c:pt idx="21">
                  <c:v>3208.4296184298582</c:v>
                </c:pt>
                <c:pt idx="22">
                  <c:v>-15041.437921099365</c:v>
                </c:pt>
                <c:pt idx="23">
                  <c:v>26247.490246517758</c:v>
                </c:pt>
                <c:pt idx="24">
                  <c:v>-3799.3444157037884</c:v>
                </c:pt>
                <c:pt idx="25">
                  <c:v>-12731.220794163339</c:v>
                </c:pt>
                <c:pt idx="26">
                  <c:v>2819.8332806821854</c:v>
                </c:pt>
                <c:pt idx="27">
                  <c:v>1716.2417396642268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5-46D6-AEFA-A4F93B5F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13976"/>
        <c:axId val="721504976"/>
      </c:scatterChart>
      <c:valAx>
        <c:axId val="7215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04976"/>
        <c:crosses val="autoZero"/>
        <c:crossBetween val="midCat"/>
      </c:valAx>
      <c:valAx>
        <c:axId val="72150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13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Gráfico de 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 WINTER SÁBADOS'!$A$4:$A$31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'M. WINTER SÁBADOS'!$B$4:$B$31</c:f>
              <c:numCache>
                <c:formatCode>#,##0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E-42BE-9281-858334339168}"/>
            </c:ext>
          </c:extLst>
        </c:ser>
        <c:ser>
          <c:idx val="1"/>
          <c:order val="1"/>
          <c:tx>
            <c:v>Pronóstico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'M. WINTER SÁBADOS'!$A$4:$A$39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'M. WINTER SÁBADOS'!$I$4:$I$39</c:f>
              <c:numCache>
                <c:formatCode>0.00</c:formatCode>
                <c:ptCount val="36"/>
                <c:pt idx="0">
                  <c:v>87229.340551120986</c:v>
                </c:pt>
                <c:pt idx="1">
                  <c:v>92757.643857911462</c:v>
                </c:pt>
                <c:pt idx="2">
                  <c:v>117587.49652219286</c:v>
                </c:pt>
                <c:pt idx="3">
                  <c:v>111814.75666543057</c:v>
                </c:pt>
                <c:pt idx="4">
                  <c:v>115526.23413769505</c:v>
                </c:pt>
                <c:pt idx="5">
                  <c:v>115913.47328695032</c:v>
                </c:pt>
                <c:pt idx="6">
                  <c:v>116833.42865282572</c:v>
                </c:pt>
                <c:pt idx="7">
                  <c:v>116635.69336462505</c:v>
                </c:pt>
                <c:pt idx="8">
                  <c:v>113162.46212833203</c:v>
                </c:pt>
                <c:pt idx="9">
                  <c:v>115383.15561472652</c:v>
                </c:pt>
                <c:pt idx="10">
                  <c:v>100893.49912662093</c:v>
                </c:pt>
                <c:pt idx="11">
                  <c:v>125166.28073069001</c:v>
                </c:pt>
                <c:pt idx="12">
                  <c:v>92288.094760745415</c:v>
                </c:pt>
                <c:pt idx="13">
                  <c:v>99843.236731295154</c:v>
                </c:pt>
                <c:pt idx="14">
                  <c:v>125421.70509730994</c:v>
                </c:pt>
                <c:pt idx="15">
                  <c:v>119283.99029283122</c:v>
                </c:pt>
                <c:pt idx="16">
                  <c:v>125570.66580210262</c:v>
                </c:pt>
                <c:pt idx="17">
                  <c:v>127335.36811238834</c:v>
                </c:pt>
                <c:pt idx="18">
                  <c:v>129881.78200457046</c:v>
                </c:pt>
                <c:pt idx="19">
                  <c:v>131481.46341322779</c:v>
                </c:pt>
                <c:pt idx="20">
                  <c:v>128360.70573059688</c:v>
                </c:pt>
                <c:pt idx="21">
                  <c:v>132160.91972174955</c:v>
                </c:pt>
                <c:pt idx="22">
                  <c:v>117275.43326297532</c:v>
                </c:pt>
                <c:pt idx="23">
                  <c:v>144422.87323048359</c:v>
                </c:pt>
                <c:pt idx="24">
                  <c:v>103192.85482491415</c:v>
                </c:pt>
                <c:pt idx="25">
                  <c:v>104948.53638481432</c:v>
                </c:pt>
                <c:pt idx="26">
                  <c:v>133598.63409424352</c:v>
                </c:pt>
                <c:pt idx="27">
                  <c:v>126564.68487013286</c:v>
                </c:pt>
                <c:pt idx="28">
                  <c:v>132810.94112804925</c:v>
                </c:pt>
                <c:pt idx="29">
                  <c:v>135169.61039902407</c:v>
                </c:pt>
                <c:pt idx="30">
                  <c:v>138825.99461137372</c:v>
                </c:pt>
                <c:pt idx="31">
                  <c:v>141595.00094319842</c:v>
                </c:pt>
                <c:pt idx="32">
                  <c:v>138679.05558348354</c:v>
                </c:pt>
                <c:pt idx="33">
                  <c:v>143676.65776790658</c:v>
                </c:pt>
                <c:pt idx="34">
                  <c:v>122474.44177597856</c:v>
                </c:pt>
                <c:pt idx="35">
                  <c:v>154885.20856307258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C-45C4-A90F-117A509D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08488"/>
        <c:axId val="778909208"/>
      </c:scatterChart>
      <c:valAx>
        <c:axId val="77890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8909208"/>
        <c:crosses val="autoZero"/>
        <c:crossBetween val="midCat"/>
      </c:valAx>
      <c:valAx>
        <c:axId val="7789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890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'M. WINTER LABORABLE'!$A$10:$A$25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'AD WINTER LABORABLE'!$C$25:$C$40</c:f>
              <c:numCache>
                <c:formatCode>General</c:formatCode>
                <c:ptCount val="16"/>
                <c:pt idx="0">
                  <c:v>-2503.279150599963</c:v>
                </c:pt>
                <c:pt idx="1">
                  <c:v>-1253.4436698733189</c:v>
                </c:pt>
                <c:pt idx="2">
                  <c:v>-261.0852724800352</c:v>
                </c:pt>
                <c:pt idx="3">
                  <c:v>477.97981350973714</c:v>
                </c:pt>
                <c:pt idx="4">
                  <c:v>903.94830859039212</c:v>
                </c:pt>
                <c:pt idx="5">
                  <c:v>1074.5105536711053</c:v>
                </c:pt>
                <c:pt idx="6">
                  <c:v>1118.9213737878599</c:v>
                </c:pt>
                <c:pt idx="7">
                  <c:v>1000.1655272379285</c:v>
                </c:pt>
                <c:pt idx="8">
                  <c:v>880.33428386264131</c:v>
                </c:pt>
                <c:pt idx="9">
                  <c:v>943.57501018431503</c:v>
                </c:pt>
                <c:pt idx="10">
                  <c:v>678.44007513028919</c:v>
                </c:pt>
                <c:pt idx="11">
                  <c:v>263.34891112006153</c:v>
                </c:pt>
                <c:pt idx="12">
                  <c:v>-91.293178816093132</c:v>
                </c:pt>
                <c:pt idx="13">
                  <c:v>-467.99313912264188</c:v>
                </c:pt>
                <c:pt idx="14">
                  <c:v>-1063.924349429115</c:v>
                </c:pt>
                <c:pt idx="15">
                  <c:v>-1700.2050967726973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E-4CDB-8253-2B95F2D0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63048"/>
        <c:axId val="643963408"/>
      </c:scatterChart>
      <c:valAx>
        <c:axId val="6439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963408"/>
        <c:crosses val="autoZero"/>
        <c:crossBetween val="midCat"/>
      </c:valAx>
      <c:valAx>
        <c:axId val="64396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963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'M. WINTER LABORABLE'!$A$10:$A$25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'M. WINTER LABORABLE'!$C$10:$C$25</c:f>
              <c:numCache>
                <c:formatCode>0.00</c:formatCode>
                <c:ptCount val="16"/>
                <c:pt idx="0">
                  <c:v>134455.76962719296</c:v>
                </c:pt>
                <c:pt idx="1">
                  <c:v>137655.65460526317</c:v>
                </c:pt>
                <c:pt idx="2">
                  <c:v>140598.0625</c:v>
                </c:pt>
                <c:pt idx="3">
                  <c:v>143287.17708333334</c:v>
                </c:pt>
                <c:pt idx="4">
                  <c:v>145663.19507575757</c:v>
                </c:pt>
                <c:pt idx="5">
                  <c:v>147783.80681818182</c:v>
                </c:pt>
                <c:pt idx="6">
                  <c:v>149778.26713564215</c:v>
                </c:pt>
                <c:pt idx="7">
                  <c:v>151609.56078643579</c:v>
                </c:pt>
                <c:pt idx="8">
                  <c:v>153439.77904040404</c:v>
                </c:pt>
                <c:pt idx="9">
                  <c:v>155453.06926406929</c:v>
                </c:pt>
                <c:pt idx="10">
                  <c:v>157137.98382635883</c:v>
                </c:pt>
                <c:pt idx="11">
                  <c:v>158672.94215969215</c:v>
                </c:pt>
                <c:pt idx="12">
                  <c:v>160268.34956709956</c:v>
                </c:pt>
                <c:pt idx="13">
                  <c:v>161841.69910413658</c:v>
                </c:pt>
                <c:pt idx="14">
                  <c:v>163195.81739117365</c:v>
                </c:pt>
                <c:pt idx="15">
                  <c:v>164509.58614117364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3B-4D99-8BB3-406E4FEA73E2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'M. WINTER LABORABLE'!$A$10:$A$25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'AD WINTER LABORABLE'!$B$25:$B$40</c:f>
              <c:numCache>
                <c:formatCode>General</c:formatCode>
                <c:ptCount val="16"/>
                <c:pt idx="0">
                  <c:v>136959.04877779292</c:v>
                </c:pt>
                <c:pt idx="1">
                  <c:v>138909.09827513649</c:v>
                </c:pt>
                <c:pt idx="2">
                  <c:v>140859.14777248004</c:v>
                </c:pt>
                <c:pt idx="3">
                  <c:v>142809.19726982361</c:v>
                </c:pt>
                <c:pt idx="4">
                  <c:v>144759.24676716718</c:v>
                </c:pt>
                <c:pt idx="5">
                  <c:v>146709.29626451072</c:v>
                </c:pt>
                <c:pt idx="6">
                  <c:v>148659.34576185429</c:v>
                </c:pt>
                <c:pt idx="7">
                  <c:v>150609.39525919786</c:v>
                </c:pt>
                <c:pt idx="8">
                  <c:v>152559.4447565414</c:v>
                </c:pt>
                <c:pt idx="9">
                  <c:v>154509.49425388497</c:v>
                </c:pt>
                <c:pt idx="10">
                  <c:v>156459.54375122854</c:v>
                </c:pt>
                <c:pt idx="11">
                  <c:v>158409.59324857208</c:v>
                </c:pt>
                <c:pt idx="12">
                  <c:v>160359.64274591565</c:v>
                </c:pt>
                <c:pt idx="13">
                  <c:v>162309.69224325923</c:v>
                </c:pt>
                <c:pt idx="14">
                  <c:v>164259.74174060277</c:v>
                </c:pt>
                <c:pt idx="15">
                  <c:v>166209.79123794634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3B-4D99-8BB3-406E4FEA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7104"/>
        <c:axId val="637950984"/>
      </c:scatterChart>
      <c:valAx>
        <c:axId val="6379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50984"/>
        <c:crosses val="autoZero"/>
        <c:crossBetween val="midCat"/>
      </c:valAx>
      <c:valAx>
        <c:axId val="637950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7957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'AD WINTER LABORABLE'!$F$25:$F$40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'AD WINTER LABORABLE'!$G$25:$G$40</c:f>
              <c:numCache>
                <c:formatCode>General</c:formatCode>
                <c:ptCount val="16"/>
                <c:pt idx="0">
                  <c:v>134455.76962719296</c:v>
                </c:pt>
                <c:pt idx="1">
                  <c:v>137655.65460526317</c:v>
                </c:pt>
                <c:pt idx="2">
                  <c:v>140598.0625</c:v>
                </c:pt>
                <c:pt idx="3">
                  <c:v>143287.17708333334</c:v>
                </c:pt>
                <c:pt idx="4">
                  <c:v>145663.19507575757</c:v>
                </c:pt>
                <c:pt idx="5">
                  <c:v>147783.80681818182</c:v>
                </c:pt>
                <c:pt idx="6">
                  <c:v>149778.26713564215</c:v>
                </c:pt>
                <c:pt idx="7">
                  <c:v>151609.56078643579</c:v>
                </c:pt>
                <c:pt idx="8">
                  <c:v>153439.77904040404</c:v>
                </c:pt>
                <c:pt idx="9">
                  <c:v>155453.06926406929</c:v>
                </c:pt>
                <c:pt idx="10">
                  <c:v>157137.98382635883</c:v>
                </c:pt>
                <c:pt idx="11">
                  <c:v>158672.94215969215</c:v>
                </c:pt>
                <c:pt idx="12">
                  <c:v>160268.34956709956</c:v>
                </c:pt>
                <c:pt idx="13">
                  <c:v>161841.69910413658</c:v>
                </c:pt>
                <c:pt idx="14">
                  <c:v>163195.81739117365</c:v>
                </c:pt>
                <c:pt idx="15">
                  <c:v>164509.58614117364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655-A3BB-D425F832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0568"/>
        <c:axId val="650103368"/>
      </c:scatterChart>
      <c:valAx>
        <c:axId val="65011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103368"/>
        <c:crosses val="autoZero"/>
        <c:crossBetween val="midCat"/>
      </c:valAx>
      <c:valAx>
        <c:axId val="6501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110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Gráfico de 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 WINTER LABORABLE'!$A$4:$A$31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'M. WINTER LABORABLE'!$B$4:$B$31</c:f>
              <c:numCache>
                <c:formatCode>#,##0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4-458D-92D0-F0A3C6649D90}"/>
            </c:ext>
          </c:extLst>
        </c:ser>
        <c:ser>
          <c:idx val="1"/>
          <c:order val="1"/>
          <c:tx>
            <c:v>Pronóstico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'M. WINTER LABORABLE'!$A$4:$A$39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'M. WINTER LABORABLE'!$I$4:$I$39</c:f>
              <c:numCache>
                <c:formatCode>0.00</c:formatCode>
                <c:ptCount val="36"/>
                <c:pt idx="0">
                  <c:v>103672.60272733217</c:v>
                </c:pt>
                <c:pt idx="1">
                  <c:v>110780.80507455647</c:v>
                </c:pt>
                <c:pt idx="2">
                  <c:v>128823.42759368804</c:v>
                </c:pt>
                <c:pt idx="3">
                  <c:v>136053.90371243571</c:v>
                </c:pt>
                <c:pt idx="4">
                  <c:v>138005.94611153257</c:v>
                </c:pt>
                <c:pt idx="5">
                  <c:v>138322.49789757261</c:v>
                </c:pt>
                <c:pt idx="6">
                  <c:v>136326.71044070204</c:v>
                </c:pt>
                <c:pt idx="7">
                  <c:v>142088.6878233157</c:v>
                </c:pt>
                <c:pt idx="8">
                  <c:v>146077.64424813216</c:v>
                </c:pt>
                <c:pt idx="9">
                  <c:v>150074.50588430418</c:v>
                </c:pt>
                <c:pt idx="10">
                  <c:v>146790.09216921515</c:v>
                </c:pt>
                <c:pt idx="11">
                  <c:v>159455.93428377307</c:v>
                </c:pt>
                <c:pt idx="12">
                  <c:v>122743.61398927865</c:v>
                </c:pt>
                <c:pt idx="13">
                  <c:v>130851.72257798091</c:v>
                </c:pt>
                <c:pt idx="14">
                  <c:v>151816.10555934353</c:v>
                </c:pt>
                <c:pt idx="15">
                  <c:v>159981.20934458211</c:v>
                </c:pt>
                <c:pt idx="16">
                  <c:v>161925.98942238072</c:v>
                </c:pt>
                <c:pt idx="17">
                  <c:v>161956.04850151381</c:v>
                </c:pt>
                <c:pt idx="18">
                  <c:v>159292.27596265264</c:v>
                </c:pt>
                <c:pt idx="19">
                  <c:v>165693.54234499251</c:v>
                </c:pt>
                <c:pt idx="20">
                  <c:v>170013.8031666078</c:v>
                </c:pt>
                <c:pt idx="21">
                  <c:v>174334.32109882892</c:v>
                </c:pt>
                <c:pt idx="22">
                  <c:v>170203.57333813858</c:v>
                </c:pt>
                <c:pt idx="23">
                  <c:v>184556.0284275999</c:v>
                </c:pt>
                <c:pt idx="24">
                  <c:v>140225.37431272957</c:v>
                </c:pt>
                <c:pt idx="25">
                  <c:v>149250.06362278666</c:v>
                </c:pt>
                <c:pt idx="26">
                  <c:v>172892.72702786105</c:v>
                </c:pt>
                <c:pt idx="27">
                  <c:v>181914.57284071628</c:v>
                </c:pt>
                <c:pt idx="28">
                  <c:v>183852.69579065821</c:v>
                </c:pt>
                <c:pt idx="29">
                  <c:v>183620.13655512661</c:v>
                </c:pt>
                <c:pt idx="30">
                  <c:v>180344.04435777399</c:v>
                </c:pt>
                <c:pt idx="31">
                  <c:v>187331.32565652963</c:v>
                </c:pt>
                <c:pt idx="32">
                  <c:v>191955.28217521045</c:v>
                </c:pt>
                <c:pt idx="33">
                  <c:v>196572.48504547661</c:v>
                </c:pt>
                <c:pt idx="34">
                  <c:v>191665.93107631837</c:v>
                </c:pt>
                <c:pt idx="35">
                  <c:v>207564.4480594412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4-458D-92D0-F0A3C664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08488"/>
        <c:axId val="778909208"/>
      </c:scatterChart>
      <c:valAx>
        <c:axId val="77890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8909208"/>
        <c:crosses val="autoZero"/>
        <c:crossBetween val="midCat"/>
      </c:valAx>
      <c:valAx>
        <c:axId val="7789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890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laborable 2022 - 2024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5-46B3-8202-20732713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030888"/>
        <c:axId val="646031608"/>
      </c:lineChart>
      <c:catAx>
        <c:axId val="6460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46031608"/>
        <c:crosses val="autoZero"/>
        <c:auto val="1"/>
        <c:lblAlgn val="ctr"/>
        <c:lblOffset val="100"/>
        <c:noMultiLvlLbl val="0"/>
      </c:catAx>
      <c:valAx>
        <c:axId val="64603160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460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lineal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074735449735453E-4"/>
                  <c:y val="-5.78958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9-40CD-B95E-FB760EC7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96960"/>
        <c:axId val="706687960"/>
      </c:lineChart>
      <c:catAx>
        <c:axId val="7066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687960"/>
        <c:crosses val="autoZero"/>
        <c:auto val="1"/>
        <c:lblAlgn val="ctr"/>
        <c:lblOffset val="100"/>
        <c:noMultiLvlLbl val="0"/>
      </c:catAx>
      <c:valAx>
        <c:axId val="706687960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6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exponencial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4318783068783065E-5"/>
                  <c:y val="-3.8238168724279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D-42EB-90FC-80844A5B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04520"/>
        <c:axId val="706699480"/>
      </c:lineChart>
      <c:catAx>
        <c:axId val="7067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699480"/>
        <c:crosses val="autoZero"/>
        <c:auto val="1"/>
        <c:lblAlgn val="ctr"/>
        <c:lblOffset val="100"/>
        <c:noMultiLvlLbl val="0"/>
      </c:catAx>
      <c:valAx>
        <c:axId val="706699480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7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logarítmica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10515873015873E-4"/>
                  <c:y val="-9.80902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2-4265-99EC-18CD4B01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381816"/>
        <c:axId val="625382176"/>
      </c:lineChart>
      <c:catAx>
        <c:axId val="62538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25382176"/>
        <c:crosses val="autoZero"/>
        <c:auto val="1"/>
        <c:lblAlgn val="ctr"/>
        <c:lblOffset val="100"/>
        <c:noMultiLvlLbl val="0"/>
      </c:catAx>
      <c:valAx>
        <c:axId val="625382176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253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potencial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976851851851856E-4"/>
                  <c:y val="-8.7414351851851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5-47F6-8AD9-E254032F0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93768"/>
        <c:axId val="779690168"/>
      </c:lineChart>
      <c:catAx>
        <c:axId val="7796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9690168"/>
        <c:crosses val="autoZero"/>
        <c:auto val="1"/>
        <c:lblAlgn val="ctr"/>
        <c:lblOffset val="100"/>
        <c:noMultiLvlLbl val="0"/>
      </c:catAx>
      <c:valAx>
        <c:axId val="77969016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96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5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SÁBADOS'!$F$3:$F$30</c:f>
              <c:numCache>
                <c:formatCode>General</c:formatCode>
                <c:ptCount val="28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  <c:pt idx="7">
                  <c:v>32768</c:v>
                </c:pt>
                <c:pt idx="8">
                  <c:v>59049</c:v>
                </c:pt>
                <c:pt idx="9">
                  <c:v>100000</c:v>
                </c:pt>
                <c:pt idx="10">
                  <c:v>161051</c:v>
                </c:pt>
                <c:pt idx="11">
                  <c:v>248832</c:v>
                </c:pt>
                <c:pt idx="12">
                  <c:v>371293</c:v>
                </c:pt>
                <c:pt idx="13">
                  <c:v>537824</c:v>
                </c:pt>
                <c:pt idx="14">
                  <c:v>759375</c:v>
                </c:pt>
                <c:pt idx="15">
                  <c:v>1048576</c:v>
                </c:pt>
                <c:pt idx="16">
                  <c:v>1419857</c:v>
                </c:pt>
                <c:pt idx="17">
                  <c:v>1889568</c:v>
                </c:pt>
                <c:pt idx="18">
                  <c:v>2476099</c:v>
                </c:pt>
                <c:pt idx="19">
                  <c:v>3200000</c:v>
                </c:pt>
                <c:pt idx="20">
                  <c:v>4084101</c:v>
                </c:pt>
                <c:pt idx="21">
                  <c:v>5153632</c:v>
                </c:pt>
                <c:pt idx="22">
                  <c:v>6436343</c:v>
                </c:pt>
                <c:pt idx="23">
                  <c:v>7962624</c:v>
                </c:pt>
                <c:pt idx="24">
                  <c:v>9765625</c:v>
                </c:pt>
                <c:pt idx="25">
                  <c:v>11881376</c:v>
                </c:pt>
                <c:pt idx="26">
                  <c:v>14348907</c:v>
                </c:pt>
                <c:pt idx="27">
                  <c:v>17210368</c:v>
                </c:pt>
              </c:numCache>
            </c:numRef>
          </c:xVal>
          <c:yVal>
            <c:numRef>
              <c:f>'AD SÁBADOS'!$C$30:$C$57</c:f>
              <c:numCache>
                <c:formatCode>General</c:formatCode>
                <c:ptCount val="28"/>
                <c:pt idx="0">
                  <c:v>-2370.9401499384985</c:v>
                </c:pt>
                <c:pt idx="1">
                  <c:v>717.27801582557731</c:v>
                </c:pt>
                <c:pt idx="2">
                  <c:v>8052.6364739823621</c:v>
                </c:pt>
                <c:pt idx="3">
                  <c:v>-3929.4916006907442</c:v>
                </c:pt>
                <c:pt idx="4">
                  <c:v>-860.76793335884577</c:v>
                </c:pt>
                <c:pt idx="5">
                  <c:v>-4151.7663766862242</c:v>
                </c:pt>
                <c:pt idx="6">
                  <c:v>-1939.1708384123922</c:v>
                </c:pt>
                <c:pt idx="7">
                  <c:v>1584.5060910519678</c:v>
                </c:pt>
                <c:pt idx="8">
                  <c:v>-736.11618899011228</c:v>
                </c:pt>
                <c:pt idx="9">
                  <c:v>6604.7536828424782</c:v>
                </c:pt>
                <c:pt idx="10">
                  <c:v>-7715.0016976446495</c:v>
                </c:pt>
                <c:pt idx="11">
                  <c:v>15256.39007210308</c:v>
                </c:pt>
                <c:pt idx="12">
                  <c:v>-3383.7309263035859</c:v>
                </c:pt>
                <c:pt idx="13">
                  <c:v>-17543.899759912398</c:v>
                </c:pt>
                <c:pt idx="14">
                  <c:v>11858.909827838681</c:v>
                </c:pt>
                <c:pt idx="15">
                  <c:v>803.60118936741492</c:v>
                </c:pt>
                <c:pt idx="16">
                  <c:v>-1506.1001548238564</c:v>
                </c:pt>
                <c:pt idx="17">
                  <c:v>-521.32214394013863</c:v>
                </c:pt>
                <c:pt idx="18">
                  <c:v>-481.79250470995612</c:v>
                </c:pt>
                <c:pt idx="19">
                  <c:v>-528.5057792076841</c:v>
                </c:pt>
                <c:pt idx="20">
                  <c:v>-1629.4610527111799</c:v>
                </c:pt>
                <c:pt idx="21">
                  <c:v>3208.4296184298582</c:v>
                </c:pt>
                <c:pt idx="22">
                  <c:v>-15041.437921099365</c:v>
                </c:pt>
                <c:pt idx="23">
                  <c:v>26247.490246517758</c:v>
                </c:pt>
                <c:pt idx="24">
                  <c:v>-3799.3444157037884</c:v>
                </c:pt>
                <c:pt idx="25">
                  <c:v>-12731.220794163339</c:v>
                </c:pt>
                <c:pt idx="26">
                  <c:v>2819.8332806821854</c:v>
                </c:pt>
                <c:pt idx="27">
                  <c:v>1716.2417396642268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42-4147-9A69-10BED01B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04256"/>
        <c:axId val="721508936"/>
      </c:scatterChart>
      <c:valAx>
        <c:axId val="72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08936"/>
        <c:crosses val="autoZero"/>
        <c:crossBetween val="midCat"/>
      </c:valAx>
      <c:valAx>
        <c:axId val="721508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0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polinómica grado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4560185185185188E-4"/>
                  <c:y val="-0.11145473251028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E-48A0-BC32-E743279ED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85312"/>
        <c:axId val="718786752"/>
      </c:lineChart>
      <c:catAx>
        <c:axId val="7187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8786752"/>
        <c:crosses val="autoZero"/>
        <c:auto val="1"/>
        <c:lblAlgn val="ctr"/>
        <c:lblOffset val="100"/>
        <c:noMultiLvlLbl val="0"/>
      </c:catAx>
      <c:valAx>
        <c:axId val="718786752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87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0295965608465608E-3"/>
                  <c:y val="-7.8541666666666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F-41D3-83E8-DBE7623F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30080"/>
        <c:axId val="706721800"/>
      </c:lineChart>
      <c:catAx>
        <c:axId val="7067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721800"/>
        <c:crosses val="autoZero"/>
        <c:auto val="1"/>
        <c:lblAlgn val="ctr"/>
        <c:lblOffset val="100"/>
        <c:noMultiLvlLbl val="0"/>
      </c:catAx>
      <c:valAx>
        <c:axId val="706721800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7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polinómica grado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1078042328042328E-5"/>
                  <c:y val="-6.7244084362139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7-475A-846E-92FEB90C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63088"/>
        <c:axId val="777661648"/>
      </c:lineChart>
      <c:catAx>
        <c:axId val="7776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7661648"/>
        <c:crosses val="autoZero"/>
        <c:auto val="1"/>
        <c:lblAlgn val="ctr"/>
        <c:lblOffset val="100"/>
        <c:noMultiLvlLbl val="0"/>
      </c:catAx>
      <c:valAx>
        <c:axId val="77766164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76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0889550264550263E-4"/>
                  <c:y val="-3.9608796296296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F-472B-B0AE-F2C18518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62336"/>
        <c:axId val="778858736"/>
      </c:lineChart>
      <c:catAx>
        <c:axId val="7788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8858736"/>
        <c:crosses val="autoZero"/>
        <c:auto val="1"/>
        <c:lblAlgn val="ctr"/>
        <c:lblOffset val="100"/>
        <c:noMultiLvlLbl val="0"/>
      </c:catAx>
      <c:valAx>
        <c:axId val="778858736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788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[demanda-de-usuarios-2024-linea-2.xlsx]LABORABLE!TablaDinámica1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LABORABLE!$B$5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1504629629629632E-4"/>
                  <c:y val="-3.8706275720164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LABORABLE!$A$6:$A$34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LABORABLE!$B$6:$B$34</c:f>
              <c:numCache>
                <c:formatCode>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2-4058-B04D-74B98683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97632"/>
        <c:axId val="788497272"/>
      </c:lineChart>
      <c:catAx>
        <c:axId val="7884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8497272"/>
        <c:crosses val="autoZero"/>
        <c:auto val="1"/>
        <c:lblAlgn val="ctr"/>
        <c:lblOffset val="100"/>
        <c:noMultiLvlLbl val="0"/>
      </c:catAx>
      <c:valAx>
        <c:axId val="788497272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84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</a:t>
            </a:r>
            <a:r>
              <a:rPr lang="en-US" baseline="0"/>
              <a:t> sábados 2022 - 2024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3-424E-85BD-9512028F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47448"/>
        <c:axId val="651447808"/>
      </c:lineChart>
      <c:catAx>
        <c:axId val="6514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1447808"/>
        <c:crosses val="autoZero"/>
        <c:auto val="1"/>
        <c:lblAlgn val="ctr"/>
        <c:lblOffset val="100"/>
        <c:noMultiLvlLbl val="0"/>
      </c:catAx>
      <c:valAx>
        <c:axId val="651447808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14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19444444444443E-4"/>
                  <c:y val="0.21389891975308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6-4FA5-9E8F-B34C98C4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83080"/>
        <c:axId val="654287040"/>
      </c:lineChart>
      <c:catAx>
        <c:axId val="65428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4287040"/>
        <c:crosses val="autoZero"/>
        <c:auto val="1"/>
        <c:lblAlgn val="ctr"/>
        <c:lblOffset val="100"/>
        <c:noMultiLvlLbl val="0"/>
      </c:catAx>
      <c:valAx>
        <c:axId val="65428704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42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116071428571429E-3"/>
                  <c:y val="0.2292469135802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0-4137-ABDA-887BEDB1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57680"/>
        <c:axId val="714650120"/>
      </c:lineChart>
      <c:catAx>
        <c:axId val="7146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50120"/>
        <c:crosses val="autoZero"/>
        <c:auto val="1"/>
        <c:lblAlgn val="ctr"/>
        <c:lblOffset val="100"/>
        <c:noMultiLvlLbl val="0"/>
      </c:catAx>
      <c:valAx>
        <c:axId val="71465012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potencial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976851851851856E-4"/>
                  <c:y val="0.13842772633744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5-4194-BD4D-81718C6C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61640"/>
        <c:axId val="714666680"/>
      </c:lineChart>
      <c:catAx>
        <c:axId val="71466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66680"/>
        <c:crosses val="autoZero"/>
        <c:auto val="1"/>
        <c:lblAlgn val="ctr"/>
        <c:lblOffset val="100"/>
        <c:noMultiLvlLbl val="0"/>
      </c:catAx>
      <c:valAx>
        <c:axId val="7146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6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logarítmica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10515873015873E-4"/>
                  <c:y val="0.18092721193415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1D5-9EC9-AD5CA46E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72080"/>
        <c:axId val="714672440"/>
      </c:lineChart>
      <c:catAx>
        <c:axId val="7146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72440"/>
        <c:crosses val="autoZero"/>
        <c:auto val="1"/>
        <c:lblAlgn val="ctr"/>
        <c:lblOffset val="100"/>
        <c:noMultiLvlLbl val="0"/>
      </c:catAx>
      <c:valAx>
        <c:axId val="71467244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6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SÁBADOS'!$G$3:$G$30</c:f>
              <c:numCache>
                <c:formatCode>General</c:formatCode>
                <c:ptCount val="28"/>
                <c:pt idx="0">
                  <c:v>1</c:v>
                </c:pt>
                <c:pt idx="1">
                  <c:v>64</c:v>
                </c:pt>
                <c:pt idx="2">
                  <c:v>729</c:v>
                </c:pt>
                <c:pt idx="3">
                  <c:v>4096</c:v>
                </c:pt>
                <c:pt idx="4">
                  <c:v>15625</c:v>
                </c:pt>
                <c:pt idx="5">
                  <c:v>46656</c:v>
                </c:pt>
                <c:pt idx="6">
                  <c:v>117649</c:v>
                </c:pt>
                <c:pt idx="7">
                  <c:v>262144</c:v>
                </c:pt>
                <c:pt idx="8">
                  <c:v>531441</c:v>
                </c:pt>
                <c:pt idx="9">
                  <c:v>1000000</c:v>
                </c:pt>
                <c:pt idx="10">
                  <c:v>1771561</c:v>
                </c:pt>
                <c:pt idx="11">
                  <c:v>2985984</c:v>
                </c:pt>
                <c:pt idx="12">
                  <c:v>4826809</c:v>
                </c:pt>
                <c:pt idx="13">
                  <c:v>7529536</c:v>
                </c:pt>
                <c:pt idx="14">
                  <c:v>11390625</c:v>
                </c:pt>
                <c:pt idx="15">
                  <c:v>16777216</c:v>
                </c:pt>
                <c:pt idx="16">
                  <c:v>24137569</c:v>
                </c:pt>
                <c:pt idx="17">
                  <c:v>34012224</c:v>
                </c:pt>
                <c:pt idx="18">
                  <c:v>47045881</c:v>
                </c:pt>
                <c:pt idx="19">
                  <c:v>64000000</c:v>
                </c:pt>
                <c:pt idx="20">
                  <c:v>85766121</c:v>
                </c:pt>
                <c:pt idx="21">
                  <c:v>113379904</c:v>
                </c:pt>
                <c:pt idx="22">
                  <c:v>148035889</c:v>
                </c:pt>
                <c:pt idx="23">
                  <c:v>191102976</c:v>
                </c:pt>
                <c:pt idx="24">
                  <c:v>244140625</c:v>
                </c:pt>
                <c:pt idx="25">
                  <c:v>308915776</c:v>
                </c:pt>
                <c:pt idx="26">
                  <c:v>387420489</c:v>
                </c:pt>
                <c:pt idx="27">
                  <c:v>481890304</c:v>
                </c:pt>
              </c:numCache>
            </c:numRef>
          </c:xVal>
          <c:yVal>
            <c:numRef>
              <c:f>'AD SÁBADOS'!$C$30:$C$57</c:f>
              <c:numCache>
                <c:formatCode>General</c:formatCode>
                <c:ptCount val="28"/>
                <c:pt idx="0">
                  <c:v>-2370.9401499384985</c:v>
                </c:pt>
                <c:pt idx="1">
                  <c:v>717.27801582557731</c:v>
                </c:pt>
                <c:pt idx="2">
                  <c:v>8052.6364739823621</c:v>
                </c:pt>
                <c:pt idx="3">
                  <c:v>-3929.4916006907442</c:v>
                </c:pt>
                <c:pt idx="4">
                  <c:v>-860.76793335884577</c:v>
                </c:pt>
                <c:pt idx="5">
                  <c:v>-4151.7663766862242</c:v>
                </c:pt>
                <c:pt idx="6">
                  <c:v>-1939.1708384123922</c:v>
                </c:pt>
                <c:pt idx="7">
                  <c:v>1584.5060910519678</c:v>
                </c:pt>
                <c:pt idx="8">
                  <c:v>-736.11618899011228</c:v>
                </c:pt>
                <c:pt idx="9">
                  <c:v>6604.7536828424782</c:v>
                </c:pt>
                <c:pt idx="10">
                  <c:v>-7715.0016976446495</c:v>
                </c:pt>
                <c:pt idx="11">
                  <c:v>15256.39007210308</c:v>
                </c:pt>
                <c:pt idx="12">
                  <c:v>-3383.7309263035859</c:v>
                </c:pt>
                <c:pt idx="13">
                  <c:v>-17543.899759912398</c:v>
                </c:pt>
                <c:pt idx="14">
                  <c:v>11858.909827838681</c:v>
                </c:pt>
                <c:pt idx="15">
                  <c:v>803.60118936741492</c:v>
                </c:pt>
                <c:pt idx="16">
                  <c:v>-1506.1001548238564</c:v>
                </c:pt>
                <c:pt idx="17">
                  <c:v>-521.32214394013863</c:v>
                </c:pt>
                <c:pt idx="18">
                  <c:v>-481.79250470995612</c:v>
                </c:pt>
                <c:pt idx="19">
                  <c:v>-528.5057792076841</c:v>
                </c:pt>
                <c:pt idx="20">
                  <c:v>-1629.4610527111799</c:v>
                </c:pt>
                <c:pt idx="21">
                  <c:v>3208.4296184298582</c:v>
                </c:pt>
                <c:pt idx="22">
                  <c:v>-15041.437921099365</c:v>
                </c:pt>
                <c:pt idx="23">
                  <c:v>26247.490246517758</c:v>
                </c:pt>
                <c:pt idx="24">
                  <c:v>-3799.3444157037884</c:v>
                </c:pt>
                <c:pt idx="25">
                  <c:v>-12731.220794163339</c:v>
                </c:pt>
                <c:pt idx="26">
                  <c:v>2819.8332806821854</c:v>
                </c:pt>
                <c:pt idx="27">
                  <c:v>1716.2417396642268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3-45D5-8F3D-C33DB179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11456"/>
        <c:axId val="721512176"/>
      </c:scatterChart>
      <c:valAx>
        <c:axId val="7215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12176"/>
        <c:crosses val="autoZero"/>
        <c:crossBetween val="midCat"/>
      </c:valAx>
      <c:valAx>
        <c:axId val="72151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11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1660052910052912E-5"/>
                  <c:y val="0.15929166666666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C-46E8-B26C-71CF8D50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551840"/>
        <c:axId val="714547520"/>
      </c:lineChart>
      <c:catAx>
        <c:axId val="7145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547520"/>
        <c:crosses val="autoZero"/>
        <c:auto val="1"/>
        <c:lblAlgn val="ctr"/>
        <c:lblOffset val="100"/>
        <c:noMultiLvlLbl val="0"/>
      </c:catAx>
      <c:valAx>
        <c:axId val="71454752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5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4632936507936507E-4"/>
                  <c:y val="0.2307939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5-4EF8-90E3-86879857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549320"/>
        <c:axId val="714553640"/>
      </c:lineChart>
      <c:catAx>
        <c:axId val="7145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553640"/>
        <c:crosses val="autoZero"/>
        <c:auto val="1"/>
        <c:lblAlgn val="ctr"/>
        <c:lblOffset val="100"/>
        <c:noMultiLvlLbl val="0"/>
      </c:catAx>
      <c:valAx>
        <c:axId val="71455364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5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po</a:t>
            </a:r>
            <a:r>
              <a:rPr lang="en-US"/>
              <a:t>linómica grado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4090608465608465E-4"/>
                  <c:y val="0.18817541152263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C-4894-8A26-0384B797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35360"/>
        <c:axId val="714669200"/>
      </c:lineChart>
      <c:catAx>
        <c:axId val="7146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69200"/>
        <c:crosses val="autoZero"/>
        <c:auto val="1"/>
        <c:lblAlgn val="ctr"/>
        <c:lblOffset val="100"/>
        <c:noMultiLvlLbl val="0"/>
      </c:catAx>
      <c:valAx>
        <c:axId val="71466920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0889550264550263E-4"/>
                  <c:y val="0.25637448559670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D-4ED5-9C0A-BA3663DC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62720"/>
        <c:axId val="714667040"/>
      </c:lineChart>
      <c:catAx>
        <c:axId val="7146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67040"/>
        <c:crosses val="autoZero"/>
        <c:auto val="1"/>
        <c:lblAlgn val="ctr"/>
        <c:lblOffset val="100"/>
        <c:noMultiLvlLbl val="0"/>
      </c:catAx>
      <c:valAx>
        <c:axId val="71466704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[demanda-de-usuarios-2024-linea-2.xlsx]SÁBADOS!TablaDinámica1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SÁBADOS!$B$5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756944444444444E-4"/>
                  <c:y val="0.28179423868312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strRef>
              <c:f>SÁBADOS!$A$6:$A$34</c:f>
              <c:strCache>
                <c:ptCount val="28"/>
                <c:pt idx="0">
                  <c:v>ene-22</c:v>
                </c:pt>
                <c:pt idx="1">
                  <c:v>feb-22</c:v>
                </c:pt>
                <c:pt idx="2">
                  <c:v>mar-22</c:v>
                </c:pt>
                <c:pt idx="3">
                  <c:v>abr-22</c:v>
                </c:pt>
                <c:pt idx="4">
                  <c:v>may-22</c:v>
                </c:pt>
                <c:pt idx="5">
                  <c:v>jun-22</c:v>
                </c:pt>
                <c:pt idx="6">
                  <c:v>jul-22</c:v>
                </c:pt>
                <c:pt idx="7">
                  <c:v>ago-22</c:v>
                </c:pt>
                <c:pt idx="8">
                  <c:v>sep-22</c:v>
                </c:pt>
                <c:pt idx="9">
                  <c:v>oct-22</c:v>
                </c:pt>
                <c:pt idx="10">
                  <c:v>nov-22</c:v>
                </c:pt>
                <c:pt idx="11">
                  <c:v>dic-22</c:v>
                </c:pt>
                <c:pt idx="12">
                  <c:v>ene-23</c:v>
                </c:pt>
                <c:pt idx="13">
                  <c:v>feb-23</c:v>
                </c:pt>
                <c:pt idx="14">
                  <c:v>mar-23</c:v>
                </c:pt>
                <c:pt idx="15">
                  <c:v>abr-23</c:v>
                </c:pt>
                <c:pt idx="16">
                  <c:v>may-23</c:v>
                </c:pt>
                <c:pt idx="17">
                  <c:v>jun-23</c:v>
                </c:pt>
                <c:pt idx="18">
                  <c:v>jul-23</c:v>
                </c:pt>
                <c:pt idx="19">
                  <c:v>ago-23</c:v>
                </c:pt>
                <c:pt idx="20">
                  <c:v>sep-23</c:v>
                </c:pt>
                <c:pt idx="21">
                  <c:v>oct-23</c:v>
                </c:pt>
                <c:pt idx="22">
                  <c:v>nov-23</c:v>
                </c:pt>
                <c:pt idx="23">
                  <c:v>dic-23</c:v>
                </c:pt>
                <c:pt idx="24">
                  <c:v>ene-24</c:v>
                </c:pt>
                <c:pt idx="25">
                  <c:v>feb-24</c:v>
                </c:pt>
                <c:pt idx="26">
                  <c:v>mar-24</c:v>
                </c:pt>
                <c:pt idx="27">
                  <c:v>abr-24</c:v>
                </c:pt>
              </c:strCache>
            </c:strRef>
          </c:cat>
          <c:val>
            <c:numRef>
              <c:f>SÁBADOS!$B$6:$B$34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3-4FA8-A216-440ED82A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81280"/>
        <c:axId val="714654440"/>
      </c:lineChart>
      <c:catAx>
        <c:axId val="6542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4654440"/>
        <c:crosses val="autoZero"/>
        <c:auto val="1"/>
        <c:lblAlgn val="ctr"/>
        <c:lblOffset val="100"/>
        <c:noMultiLvlLbl val="0"/>
      </c:catAx>
      <c:valAx>
        <c:axId val="71465444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42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2022-2024'!$B$5</c:f>
              <c:strCache>
                <c:ptCount val="1"/>
                <c:pt idx="0">
                  <c:v>Laborable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DEMANDA L2 2022-2024'!$A$6:$A$33</c:f>
              <c:numCache>
                <c:formatCode>mmm\-yy</c:formatCode>
                <c:ptCount val="2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</c:numCache>
            </c:numRef>
          </c:xVal>
          <c:yVal>
            <c:numRef>
              <c:f>'DATOS DE DEMANDA L2 2022-2024'!$B$6:$B$33</c:f>
              <c:numCache>
                <c:formatCode>#,##0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1-4732-8C6C-1F5A6027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84632"/>
        <c:axId val="640887152"/>
      </c:scatterChart>
      <c:valAx>
        <c:axId val="6408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40887152"/>
        <c:crosses val="autoZero"/>
        <c:crossBetween val="midCat"/>
      </c:valAx>
      <c:valAx>
        <c:axId val="640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4088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2022-2024'!$C$5</c:f>
              <c:strCache>
                <c:ptCount val="1"/>
                <c:pt idx="0">
                  <c:v>Sábados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DEMANDA L2 2022-2024'!$A$6:$A$33</c:f>
              <c:numCache>
                <c:formatCode>mmm\-yy</c:formatCode>
                <c:ptCount val="2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</c:numCache>
            </c:numRef>
          </c:xVal>
          <c:yVal>
            <c:numRef>
              <c:f>'DATOS DE DEMANDA L2 2022-2024'!$C$6:$C$33</c:f>
              <c:numCache>
                <c:formatCode>#,##0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4-409A-B2CF-B1FA907B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03696"/>
        <c:axId val="676004776"/>
      </c:scatterChart>
      <c:valAx>
        <c:axId val="6760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76004776"/>
        <c:crosses val="autoZero"/>
        <c:crossBetween val="midCat"/>
      </c:valAx>
      <c:valAx>
        <c:axId val="6760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760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Demanda de usuarios</a:t>
            </a:r>
            <a:r>
              <a:rPr lang="es-PA" baseline="0"/>
              <a:t> del 2019 al 2024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DE DEMANDA L2 2022-2024'!$B$5</c:f>
              <c:strCache>
                <c:ptCount val="1"/>
                <c:pt idx="0">
                  <c:v>Laborable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'DATOS DE DEMANDA L2 2022-2024'!$A$6:$A$33</c:f>
              <c:numCache>
                <c:formatCode>mmm\-yy</c:formatCode>
                <c:ptCount val="2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</c:numCache>
            </c:numRef>
          </c:cat>
          <c:val>
            <c:numRef>
              <c:f>'DATOS DE DEMANDA L2 2022-2024'!$B$6:$B$33</c:f>
              <c:numCache>
                <c:formatCode>#,##0</c:formatCode>
                <c:ptCount val="28"/>
                <c:pt idx="0">
                  <c:v>92181.55</c:v>
                </c:pt>
                <c:pt idx="1">
                  <c:v>101781.21052631579</c:v>
                </c:pt>
                <c:pt idx="2">
                  <c:v>121611</c:v>
                </c:pt>
                <c:pt idx="3">
                  <c:v>131275.25</c:v>
                </c:pt>
                <c:pt idx="4">
                  <c:v>134583</c:v>
                </c:pt>
                <c:pt idx="5">
                  <c:v>136247</c:v>
                </c:pt>
                <c:pt idx="6">
                  <c:v>133935</c:v>
                </c:pt>
                <c:pt idx="7">
                  <c:v>141808</c:v>
                </c:pt>
                <c:pt idx="8">
                  <c:v>144064</c:v>
                </c:pt>
                <c:pt idx="9">
                  <c:v>148015</c:v>
                </c:pt>
                <c:pt idx="10">
                  <c:v>148224</c:v>
                </c:pt>
                <c:pt idx="11">
                  <c:v>159382</c:v>
                </c:pt>
                <c:pt idx="12">
                  <c:v>132906</c:v>
                </c:pt>
                <c:pt idx="13">
                  <c:v>137854</c:v>
                </c:pt>
                <c:pt idx="14">
                  <c:v>156156</c:v>
                </c:pt>
                <c:pt idx="15">
                  <c:v>161269</c:v>
                </c:pt>
                <c:pt idx="16">
                  <c:v>161613.68181818182</c:v>
                </c:pt>
                <c:pt idx="17">
                  <c:v>160111</c:v>
                </c:pt>
                <c:pt idx="18">
                  <c:v>157938.04761904763</c:v>
                </c:pt>
                <c:pt idx="19">
                  <c:v>161756</c:v>
                </c:pt>
                <c:pt idx="20">
                  <c:v>168041.23809523811</c:v>
                </c:pt>
                <c:pt idx="21">
                  <c:v>172356.72727272726</c:v>
                </c:pt>
                <c:pt idx="22">
                  <c:v>164320.22222222199</c:v>
                </c:pt>
                <c:pt idx="23">
                  <c:v>180124.77777777778</c:v>
                </c:pt>
                <c:pt idx="24">
                  <c:v>150453</c:v>
                </c:pt>
                <c:pt idx="25">
                  <c:v>158067.38888888888</c:v>
                </c:pt>
                <c:pt idx="26">
                  <c:v>168441.45</c:v>
                </c:pt>
                <c:pt idx="27">
                  <c:v>180514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A-4343-BD0F-AD5B88286466}"/>
            </c:ext>
          </c:extLst>
        </c:ser>
        <c:ser>
          <c:idx val="1"/>
          <c:order val="1"/>
          <c:tx>
            <c:strRef>
              <c:f>'DATOS DE DEMANDA L2 2022-2024'!$C$5</c:f>
              <c:strCache>
                <c:ptCount val="1"/>
                <c:pt idx="0">
                  <c:v>Sábados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'DATOS DE DEMANDA L2 2022-2024'!$A$6:$A$33</c:f>
              <c:numCache>
                <c:formatCode>mmm\-yy</c:formatCode>
                <c:ptCount val="2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</c:numCache>
            </c:numRef>
          </c:cat>
          <c:val>
            <c:numRef>
              <c:f>'DATOS DE DEMANDA L2 2022-2024'!$C$6:$C$33</c:f>
              <c:numCache>
                <c:formatCode>#,##0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A-4343-BD0F-AD5B88286466}"/>
            </c:ext>
          </c:extLst>
        </c:ser>
        <c:ser>
          <c:idx val="2"/>
          <c:order val="2"/>
          <c:tx>
            <c:strRef>
              <c:f>'DATOS DE DEMANDA L2 2022-2024'!$D$5</c:f>
              <c:strCache>
                <c:ptCount val="1"/>
                <c:pt idx="0">
                  <c:v>Feriados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'DATOS DE DEMANDA L2 2022-2024'!$A$6:$A$33</c:f>
              <c:numCache>
                <c:formatCode>mmm\-yy</c:formatCode>
                <c:ptCount val="2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</c:numCache>
            </c:numRef>
          </c:cat>
          <c:val>
            <c:numRef>
              <c:f>'DATOS DE DEMANDA L2 2022-2024'!$D$6:$D$33</c:f>
              <c:numCache>
                <c:formatCode>#,##0</c:formatCode>
                <c:ptCount val="28"/>
                <c:pt idx="0">
                  <c:v>37567</c:v>
                </c:pt>
                <c:pt idx="1">
                  <c:v>43283</c:v>
                </c:pt>
                <c:pt idx="2">
                  <c:v>47598</c:v>
                </c:pt>
                <c:pt idx="3">
                  <c:v>46151</c:v>
                </c:pt>
                <c:pt idx="4">
                  <c:v>51618</c:v>
                </c:pt>
                <c:pt idx="5">
                  <c:v>50701</c:v>
                </c:pt>
                <c:pt idx="6">
                  <c:v>53959</c:v>
                </c:pt>
                <c:pt idx="7">
                  <c:v>57548</c:v>
                </c:pt>
                <c:pt idx="8">
                  <c:v>54757</c:v>
                </c:pt>
                <c:pt idx="9">
                  <c:v>59028</c:v>
                </c:pt>
                <c:pt idx="10">
                  <c:v>55269</c:v>
                </c:pt>
                <c:pt idx="11">
                  <c:v>66575</c:v>
                </c:pt>
                <c:pt idx="12">
                  <c:v>48931</c:v>
                </c:pt>
                <c:pt idx="13">
                  <c:v>50878</c:v>
                </c:pt>
                <c:pt idx="14">
                  <c:v>62327</c:v>
                </c:pt>
                <c:pt idx="15">
                  <c:v>54875</c:v>
                </c:pt>
                <c:pt idx="16">
                  <c:v>57377.599999999999</c:v>
                </c:pt>
                <c:pt idx="17">
                  <c:v>59308</c:v>
                </c:pt>
                <c:pt idx="18">
                  <c:v>63018.2</c:v>
                </c:pt>
                <c:pt idx="19">
                  <c:v>65306</c:v>
                </c:pt>
                <c:pt idx="20">
                  <c:v>63279.25</c:v>
                </c:pt>
                <c:pt idx="21">
                  <c:v>69688</c:v>
                </c:pt>
                <c:pt idx="22">
                  <c:v>66459.625</c:v>
                </c:pt>
                <c:pt idx="23">
                  <c:v>76894.375</c:v>
                </c:pt>
                <c:pt idx="24">
                  <c:v>55159</c:v>
                </c:pt>
                <c:pt idx="25">
                  <c:v>57859.4</c:v>
                </c:pt>
                <c:pt idx="26">
                  <c:v>60579.5</c:v>
                </c:pt>
                <c:pt idx="27">
                  <c:v>64670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A-4343-BD0F-AD5B8828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15240"/>
        <c:axId val="706613800"/>
      </c:lineChart>
      <c:dateAx>
        <c:axId val="706615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613800"/>
        <c:crosses val="autoZero"/>
        <c:auto val="1"/>
        <c:lblOffset val="100"/>
        <c:baseTimeUnit val="months"/>
      </c:dateAx>
      <c:valAx>
        <c:axId val="7066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661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Demanda de usuarios del 2019 al 2024 Línea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0-46C3-974C-2C6600E7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67248"/>
        <c:axId val="654464728"/>
      </c:scatterChart>
      <c:valAx>
        <c:axId val="6544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4464728"/>
        <c:crosses val="autoZero"/>
        <c:crossBetween val="midCat"/>
      </c:valAx>
      <c:valAx>
        <c:axId val="6544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544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2235345581802275E-4"/>
                  <c:y val="0.19113480606590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2-46A8-8D5A-2CAE9B69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71888"/>
        <c:axId val="713869728"/>
      </c:scatterChart>
      <c:valAx>
        <c:axId val="7138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3869728"/>
        <c:crosses val="autoZero"/>
        <c:crossBetween val="midCat"/>
      </c:valAx>
      <c:valAx>
        <c:axId val="71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38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SÁBADOS'!$B$3:$B$30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'REGRESIÓN SÁBADOS'!$H$3:$H$30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9-4346-8B28-93A525523852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SÁBADOS'!$B$3:$B$30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'AD SÁBADOS'!$B$30:$B$57</c:f>
              <c:numCache>
                <c:formatCode>General</c:formatCode>
                <c:ptCount val="28"/>
                <c:pt idx="0">
                  <c:v>68722.340149938493</c:v>
                </c:pt>
                <c:pt idx="1">
                  <c:v>80038.321984174429</c:v>
                </c:pt>
                <c:pt idx="2">
                  <c:v>90762.363526017638</c:v>
                </c:pt>
                <c:pt idx="3">
                  <c:v>99684.691600690741</c:v>
                </c:pt>
                <c:pt idx="4">
                  <c:v>106238.76793335885</c:v>
                </c:pt>
                <c:pt idx="5">
                  <c:v>110345.76637668622</c:v>
                </c:pt>
                <c:pt idx="6">
                  <c:v>112275.17083841239</c:v>
                </c:pt>
                <c:pt idx="7">
                  <c:v>112521.49390894803</c:v>
                </c:pt>
                <c:pt idx="8">
                  <c:v>111697.11618899011</c:v>
                </c:pt>
                <c:pt idx="9">
                  <c:v>110441.24631715752</c:v>
                </c:pt>
                <c:pt idx="10">
                  <c:v>109345.00169764465</c:v>
                </c:pt>
                <c:pt idx="11">
                  <c:v>108892.60992789692</c:v>
                </c:pt>
                <c:pt idx="12">
                  <c:v>109418.73092630359</c:v>
                </c:pt>
                <c:pt idx="13">
                  <c:v>111081.8997599124</c:v>
                </c:pt>
                <c:pt idx="14">
                  <c:v>113854.09017216132</c:v>
                </c:pt>
                <c:pt idx="15">
                  <c:v>117526.39881063259</c:v>
                </c:pt>
                <c:pt idx="16">
                  <c:v>121730.85015482386</c:v>
                </c:pt>
                <c:pt idx="17">
                  <c:v>125978.32214394014</c:v>
                </c:pt>
                <c:pt idx="18">
                  <c:v>129712.59250470996</c:v>
                </c:pt>
                <c:pt idx="19">
                  <c:v>132380.50577920768</c:v>
                </c:pt>
                <c:pt idx="20">
                  <c:v>133518.26105271117</c:v>
                </c:pt>
                <c:pt idx="21">
                  <c:v>132853.82038157014</c:v>
                </c:pt>
                <c:pt idx="22">
                  <c:v>130425.43792109936</c:v>
                </c:pt>
                <c:pt idx="23">
                  <c:v>126716.30975348223</c:v>
                </c:pt>
                <c:pt idx="24">
                  <c:v>122805.34441570379</c:v>
                </c:pt>
                <c:pt idx="25">
                  <c:v>120534.05412749667</c:v>
                </c:pt>
                <c:pt idx="26">
                  <c:v>122689.56671931781</c:v>
                </c:pt>
                <c:pt idx="27">
                  <c:v>133203.75826033577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9-4346-8B28-93A52552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06416"/>
        <c:axId val="721506776"/>
      </c:scatterChart>
      <c:valAx>
        <c:axId val="72150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06776"/>
        <c:crosses val="autoZero"/>
        <c:crossBetween val="midCat"/>
      </c:valAx>
      <c:valAx>
        <c:axId val="721506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150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D-4917-A426-8F11A895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28424"/>
        <c:axId val="723830856"/>
      </c:scatterChart>
      <c:valAx>
        <c:axId val="62502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3830856"/>
        <c:crosses val="autoZero"/>
        <c:crossBetween val="midCat"/>
      </c:valAx>
      <c:valAx>
        <c:axId val="7238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2502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polinómica grado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527996500437445E-3"/>
                  <c:y val="-0.14606335666375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3-43A7-AEE6-229242E8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80184"/>
        <c:axId val="724578384"/>
      </c:scatterChart>
      <c:valAx>
        <c:axId val="72458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4578384"/>
        <c:crosses val="autoZero"/>
        <c:crossBetween val="midCat"/>
      </c:valAx>
      <c:valAx>
        <c:axId val="724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45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polinómica</a:t>
            </a:r>
            <a:r>
              <a:rPr lang="es-PA" baseline="0"/>
              <a:t> grado 4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9.8053368328958877E-4"/>
                  <c:y val="-0.1176031641878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7-4BDA-A82A-85E468CE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94376"/>
        <c:axId val="726691856"/>
      </c:scatterChart>
      <c:valAx>
        <c:axId val="7266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6691856"/>
        <c:crosses val="autoZero"/>
        <c:crossBetween val="midCat"/>
      </c:valAx>
      <c:valAx>
        <c:axId val="7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66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</a:t>
            </a:r>
            <a:r>
              <a:rPr lang="es-PA" baseline="0"/>
              <a:t> polinómica grado 5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2497812773403327E-4"/>
                  <c:y val="-0.12679024496937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3-48C5-9514-37887EC5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57352"/>
        <c:axId val="726256632"/>
      </c:scatterChart>
      <c:valAx>
        <c:axId val="72625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6256632"/>
        <c:crosses val="autoZero"/>
        <c:crossBetween val="midCat"/>
      </c:valAx>
      <c:valAx>
        <c:axId val="7262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2625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polinómica grado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3.4779090113735782E-3"/>
                  <c:y val="-0.20019612131816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Total'!$E$6:$E$66</c:f>
              <c:numCache>
                <c:formatCode>#,##0</c:formatCode>
                <c:ptCount val="61"/>
                <c:pt idx="0">
                  <c:v>396053</c:v>
                </c:pt>
                <c:pt idx="1">
                  <c:v>462001</c:v>
                </c:pt>
                <c:pt idx="2">
                  <c:v>370190</c:v>
                </c:pt>
                <c:pt idx="3">
                  <c:v>339919</c:v>
                </c:pt>
                <c:pt idx="4">
                  <c:v>343734</c:v>
                </c:pt>
                <c:pt idx="5">
                  <c:v>341285</c:v>
                </c:pt>
                <c:pt idx="6">
                  <c:v>335899</c:v>
                </c:pt>
                <c:pt idx="7">
                  <c:v>323101</c:v>
                </c:pt>
                <c:pt idx="8">
                  <c:v>349571</c:v>
                </c:pt>
                <c:pt idx="9">
                  <c:v>271277</c:v>
                </c:pt>
                <c:pt idx="10">
                  <c:v>287983</c:v>
                </c:pt>
                <c:pt idx="11">
                  <c:v>172115</c:v>
                </c:pt>
                <c:pt idx="12">
                  <c:v>32390</c:v>
                </c:pt>
                <c:pt idx="13">
                  <c:v>46147</c:v>
                </c:pt>
                <c:pt idx="14">
                  <c:v>53798</c:v>
                </c:pt>
                <c:pt idx="15">
                  <c:v>55986</c:v>
                </c:pt>
                <c:pt idx="16">
                  <c:v>72536</c:v>
                </c:pt>
                <c:pt idx="17">
                  <c:v>100110</c:v>
                </c:pt>
                <c:pt idx="18">
                  <c:v>160636</c:v>
                </c:pt>
                <c:pt idx="19">
                  <c:v>173749</c:v>
                </c:pt>
                <c:pt idx="20">
                  <c:v>206617</c:v>
                </c:pt>
                <c:pt idx="21">
                  <c:v>54702</c:v>
                </c:pt>
                <c:pt idx="22">
                  <c:v>121058</c:v>
                </c:pt>
                <c:pt idx="23">
                  <c:v>196697</c:v>
                </c:pt>
                <c:pt idx="24">
                  <c:v>196605</c:v>
                </c:pt>
                <c:pt idx="25">
                  <c:v>212770</c:v>
                </c:pt>
                <c:pt idx="26">
                  <c:v>200424</c:v>
                </c:pt>
                <c:pt idx="27">
                  <c:v>202572</c:v>
                </c:pt>
                <c:pt idx="28">
                  <c:v>223209</c:v>
                </c:pt>
                <c:pt idx="29">
                  <c:v>219227</c:v>
                </c:pt>
                <c:pt idx="30">
                  <c:v>237156</c:v>
                </c:pt>
                <c:pt idx="31">
                  <c:v>229217</c:v>
                </c:pt>
                <c:pt idx="32">
                  <c:v>281067</c:v>
                </c:pt>
                <c:pt idx="33">
                  <c:v>196099.95</c:v>
                </c:pt>
                <c:pt idx="34">
                  <c:v>225819.81052631579</c:v>
                </c:pt>
                <c:pt idx="35">
                  <c:v>268024</c:v>
                </c:pt>
                <c:pt idx="36">
                  <c:v>273181.45</c:v>
                </c:pt>
                <c:pt idx="37">
                  <c:v>291579</c:v>
                </c:pt>
                <c:pt idx="38">
                  <c:v>293142</c:v>
                </c:pt>
                <c:pt idx="39">
                  <c:v>298230</c:v>
                </c:pt>
                <c:pt idx="40">
                  <c:v>313462</c:v>
                </c:pt>
                <c:pt idx="41">
                  <c:v>309782</c:v>
                </c:pt>
                <c:pt idx="42">
                  <c:v>324089</c:v>
                </c:pt>
                <c:pt idx="43">
                  <c:v>305123</c:v>
                </c:pt>
                <c:pt idx="44">
                  <c:v>350106</c:v>
                </c:pt>
                <c:pt idx="45">
                  <c:v>287872</c:v>
                </c:pt>
                <c:pt idx="46">
                  <c:v>282270</c:v>
                </c:pt>
                <c:pt idx="47">
                  <c:v>344196</c:v>
                </c:pt>
                <c:pt idx="48">
                  <c:v>334474</c:v>
                </c:pt>
                <c:pt idx="49">
                  <c:v>339216.0318181818</c:v>
                </c:pt>
                <c:pt idx="50">
                  <c:v>344876</c:v>
                </c:pt>
                <c:pt idx="51">
                  <c:v>350187.04761904763</c:v>
                </c:pt>
                <c:pt idx="52">
                  <c:v>358914</c:v>
                </c:pt>
                <c:pt idx="53">
                  <c:v>363209.28809523809</c:v>
                </c:pt>
                <c:pt idx="54">
                  <c:v>378106.97727272729</c:v>
                </c:pt>
                <c:pt idx="55">
                  <c:v>346163.84722222202</c:v>
                </c:pt>
                <c:pt idx="56">
                  <c:v>409982.9527777778</c:v>
                </c:pt>
                <c:pt idx="57">
                  <c:v>324618</c:v>
                </c:pt>
                <c:pt idx="58">
                  <c:v>323729.62222222221</c:v>
                </c:pt>
                <c:pt idx="59">
                  <c:v>354530.35</c:v>
                </c:pt>
                <c:pt idx="60">
                  <c:v>380104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3-453C-B65E-FE9F631A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85904"/>
        <c:axId val="764184104"/>
      </c:scatterChart>
      <c:valAx>
        <c:axId val="7641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184104"/>
        <c:crosses val="autoZero"/>
        <c:crossBetween val="midCat"/>
      </c:valAx>
      <c:valAx>
        <c:axId val="7641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1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DEMANDA L2 Total'!$B$5</c:f>
              <c:strCache>
                <c:ptCount val="1"/>
                <c:pt idx="0">
                  <c:v>Laborable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DEMANDA L2 Total'!$A$6:$A$66</c:f>
              <c:numCache>
                <c:formatCode>mmm\-yy</c:formatCode>
                <c:ptCount val="61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</c:numCache>
            </c:numRef>
          </c:xVal>
          <c:yVal>
            <c:numRef>
              <c:f>'DATOS DE DEMANDA L2 Total'!$B$6:$B$66</c:f>
              <c:numCache>
                <c:formatCode>#,##0</c:formatCode>
                <c:ptCount val="61"/>
                <c:pt idx="0">
                  <c:v>145204</c:v>
                </c:pt>
                <c:pt idx="1">
                  <c:v>180659</c:v>
                </c:pt>
                <c:pt idx="2">
                  <c:v>148758</c:v>
                </c:pt>
                <c:pt idx="3">
                  <c:v>142022</c:v>
                </c:pt>
                <c:pt idx="4">
                  <c:v>140149</c:v>
                </c:pt>
                <c:pt idx="5">
                  <c:v>142536</c:v>
                </c:pt>
                <c:pt idx="6">
                  <c:v>139218</c:v>
                </c:pt>
                <c:pt idx="7">
                  <c:v>143001</c:v>
                </c:pt>
                <c:pt idx="8">
                  <c:v>144876</c:v>
                </c:pt>
                <c:pt idx="9">
                  <c:v>123542</c:v>
                </c:pt>
                <c:pt idx="10">
                  <c:v>130240</c:v>
                </c:pt>
                <c:pt idx="11">
                  <c:v>76370</c:v>
                </c:pt>
                <c:pt idx="12">
                  <c:v>16842</c:v>
                </c:pt>
                <c:pt idx="13">
                  <c:v>22322</c:v>
                </c:pt>
                <c:pt idx="14">
                  <c:v>31245</c:v>
                </c:pt>
                <c:pt idx="15">
                  <c:v>33444</c:v>
                </c:pt>
                <c:pt idx="16">
                  <c:v>42924</c:v>
                </c:pt>
                <c:pt idx="17">
                  <c:v>57437</c:v>
                </c:pt>
                <c:pt idx="18">
                  <c:v>72102</c:v>
                </c:pt>
                <c:pt idx="19">
                  <c:v>77584</c:v>
                </c:pt>
                <c:pt idx="20">
                  <c:v>88153</c:v>
                </c:pt>
                <c:pt idx="21">
                  <c:v>54702</c:v>
                </c:pt>
                <c:pt idx="22">
                  <c:v>86383</c:v>
                </c:pt>
                <c:pt idx="23">
                  <c:v>88181</c:v>
                </c:pt>
                <c:pt idx="24">
                  <c:v>89280</c:v>
                </c:pt>
                <c:pt idx="25">
                  <c:v>88287</c:v>
                </c:pt>
                <c:pt idx="26">
                  <c:v>87135</c:v>
                </c:pt>
                <c:pt idx="27">
                  <c:v>88734</c:v>
                </c:pt>
                <c:pt idx="28">
                  <c:v>93437</c:v>
                </c:pt>
                <c:pt idx="29">
                  <c:v>96533</c:v>
                </c:pt>
                <c:pt idx="30">
                  <c:v>101429</c:v>
                </c:pt>
                <c:pt idx="31">
                  <c:v>107058</c:v>
                </c:pt>
                <c:pt idx="32">
                  <c:v>124349</c:v>
                </c:pt>
                <c:pt idx="33">
                  <c:v>92181.55</c:v>
                </c:pt>
                <c:pt idx="34">
                  <c:v>101781.21052631579</c:v>
                </c:pt>
                <c:pt idx="35">
                  <c:v>121611</c:v>
                </c:pt>
                <c:pt idx="36">
                  <c:v>131275.25</c:v>
                </c:pt>
                <c:pt idx="37">
                  <c:v>134583</c:v>
                </c:pt>
                <c:pt idx="38">
                  <c:v>136247</c:v>
                </c:pt>
                <c:pt idx="39">
                  <c:v>133935</c:v>
                </c:pt>
                <c:pt idx="40">
                  <c:v>141808</c:v>
                </c:pt>
                <c:pt idx="41">
                  <c:v>144064</c:v>
                </c:pt>
                <c:pt idx="42">
                  <c:v>148015</c:v>
                </c:pt>
                <c:pt idx="43">
                  <c:v>148224</c:v>
                </c:pt>
                <c:pt idx="44">
                  <c:v>159382</c:v>
                </c:pt>
                <c:pt idx="45">
                  <c:v>132906</c:v>
                </c:pt>
                <c:pt idx="46">
                  <c:v>137854</c:v>
                </c:pt>
                <c:pt idx="47">
                  <c:v>156156</c:v>
                </c:pt>
                <c:pt idx="48">
                  <c:v>161269</c:v>
                </c:pt>
                <c:pt idx="49">
                  <c:v>161613.68181818182</c:v>
                </c:pt>
                <c:pt idx="50">
                  <c:v>160111</c:v>
                </c:pt>
                <c:pt idx="51">
                  <c:v>157938.04761904763</c:v>
                </c:pt>
                <c:pt idx="52">
                  <c:v>161756</c:v>
                </c:pt>
                <c:pt idx="53">
                  <c:v>168041.23809523811</c:v>
                </c:pt>
                <c:pt idx="54">
                  <c:v>172356.72727272726</c:v>
                </c:pt>
                <c:pt idx="55">
                  <c:v>164320.22222222199</c:v>
                </c:pt>
                <c:pt idx="56">
                  <c:v>180124.77777777778</c:v>
                </c:pt>
                <c:pt idx="57">
                  <c:v>150453</c:v>
                </c:pt>
                <c:pt idx="58">
                  <c:v>158067.38888888888</c:v>
                </c:pt>
                <c:pt idx="59">
                  <c:v>168441.45</c:v>
                </c:pt>
                <c:pt idx="60">
                  <c:v>180514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0-4FD6-9245-1EDF9911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79176"/>
        <c:axId val="829977736"/>
      </c:scatterChart>
      <c:valAx>
        <c:axId val="82997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29977736"/>
        <c:crosses val="autoZero"/>
        <c:crossBetween val="midCat"/>
      </c:valAx>
      <c:valAx>
        <c:axId val="8299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2997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2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SÁBADOS'!$C$3:$C$30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</c:numCache>
            </c:numRef>
          </c:xVal>
          <c:yVal>
            <c:numRef>
              <c:f>'REGRESIÓN SÁBADOS'!$H$3:$H$30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C-49D8-A150-F815B691852D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SÁBADOS'!$C$3:$C$30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</c:numCache>
            </c:numRef>
          </c:xVal>
          <c:yVal>
            <c:numRef>
              <c:f>'AD SÁBADOS'!$B$30:$B$57</c:f>
              <c:numCache>
                <c:formatCode>General</c:formatCode>
                <c:ptCount val="28"/>
                <c:pt idx="0">
                  <c:v>68722.340149938493</c:v>
                </c:pt>
                <c:pt idx="1">
                  <c:v>80038.321984174429</c:v>
                </c:pt>
                <c:pt idx="2">
                  <c:v>90762.363526017638</c:v>
                </c:pt>
                <c:pt idx="3">
                  <c:v>99684.691600690741</c:v>
                </c:pt>
                <c:pt idx="4">
                  <c:v>106238.76793335885</c:v>
                </c:pt>
                <c:pt idx="5">
                  <c:v>110345.76637668622</c:v>
                </c:pt>
                <c:pt idx="6">
                  <c:v>112275.17083841239</c:v>
                </c:pt>
                <c:pt idx="7">
                  <c:v>112521.49390894803</c:v>
                </c:pt>
                <c:pt idx="8">
                  <c:v>111697.11618899011</c:v>
                </c:pt>
                <c:pt idx="9">
                  <c:v>110441.24631715752</c:v>
                </c:pt>
                <c:pt idx="10">
                  <c:v>109345.00169764465</c:v>
                </c:pt>
                <c:pt idx="11">
                  <c:v>108892.60992789692</c:v>
                </c:pt>
                <c:pt idx="12">
                  <c:v>109418.73092630359</c:v>
                </c:pt>
                <c:pt idx="13">
                  <c:v>111081.8997599124</c:v>
                </c:pt>
                <c:pt idx="14">
                  <c:v>113854.09017216132</c:v>
                </c:pt>
                <c:pt idx="15">
                  <c:v>117526.39881063259</c:v>
                </c:pt>
                <c:pt idx="16">
                  <c:v>121730.85015482386</c:v>
                </c:pt>
                <c:pt idx="17">
                  <c:v>125978.32214394014</c:v>
                </c:pt>
                <c:pt idx="18">
                  <c:v>129712.59250470996</c:v>
                </c:pt>
                <c:pt idx="19">
                  <c:v>132380.50577920768</c:v>
                </c:pt>
                <c:pt idx="20">
                  <c:v>133518.26105271117</c:v>
                </c:pt>
                <c:pt idx="21">
                  <c:v>132853.82038157014</c:v>
                </c:pt>
                <c:pt idx="22">
                  <c:v>130425.43792109936</c:v>
                </c:pt>
                <c:pt idx="23">
                  <c:v>126716.30975348223</c:v>
                </c:pt>
                <c:pt idx="24">
                  <c:v>122805.34441570379</c:v>
                </c:pt>
                <c:pt idx="25">
                  <c:v>120534.05412749667</c:v>
                </c:pt>
                <c:pt idx="26">
                  <c:v>122689.56671931781</c:v>
                </c:pt>
                <c:pt idx="27">
                  <c:v>133203.75826033577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C-49D8-A150-F815B691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17216"/>
        <c:axId val="721515416"/>
      </c:scatterChart>
      <c:valAx>
        <c:axId val="7215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15416"/>
        <c:crosses val="autoZero"/>
        <c:crossBetween val="midCat"/>
      </c:valAx>
      <c:valAx>
        <c:axId val="72151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1517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3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'REGRESIÓN SÁBADOS'!$D$3:$D$30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</c:numCache>
            </c:numRef>
          </c:xVal>
          <c:yVal>
            <c:numRef>
              <c:f>'REGRESIÓN SÁBADOS'!$H$3:$H$30</c:f>
              <c:numCache>
                <c:formatCode>0</c:formatCode>
                <c:ptCount val="28"/>
                <c:pt idx="0">
                  <c:v>66351.399999999994</c:v>
                </c:pt>
                <c:pt idx="1">
                  <c:v>80755.600000000006</c:v>
                </c:pt>
                <c:pt idx="2">
                  <c:v>98815</c:v>
                </c:pt>
                <c:pt idx="3">
                  <c:v>95755.199999999997</c:v>
                </c:pt>
                <c:pt idx="4">
                  <c:v>105378</c:v>
                </c:pt>
                <c:pt idx="5">
                  <c:v>106194</c:v>
                </c:pt>
                <c:pt idx="6">
                  <c:v>110336</c:v>
                </c:pt>
                <c:pt idx="7">
                  <c:v>114106</c:v>
                </c:pt>
                <c:pt idx="8">
                  <c:v>110961</c:v>
                </c:pt>
                <c:pt idx="9">
                  <c:v>117046</c:v>
                </c:pt>
                <c:pt idx="10">
                  <c:v>101630</c:v>
                </c:pt>
                <c:pt idx="11">
                  <c:v>124149</c:v>
                </c:pt>
                <c:pt idx="12">
                  <c:v>106035</c:v>
                </c:pt>
                <c:pt idx="13">
                  <c:v>93538</c:v>
                </c:pt>
                <c:pt idx="14">
                  <c:v>125713</c:v>
                </c:pt>
                <c:pt idx="15">
                  <c:v>118330</c:v>
                </c:pt>
                <c:pt idx="16">
                  <c:v>120224.75</c:v>
                </c:pt>
                <c:pt idx="17">
                  <c:v>125457</c:v>
                </c:pt>
                <c:pt idx="18">
                  <c:v>129230.8</c:v>
                </c:pt>
                <c:pt idx="19">
                  <c:v>131852</c:v>
                </c:pt>
                <c:pt idx="20">
                  <c:v>131888.79999999999</c:v>
                </c:pt>
                <c:pt idx="21">
                  <c:v>136062.25</c:v>
                </c:pt>
                <c:pt idx="22">
                  <c:v>115384</c:v>
                </c:pt>
                <c:pt idx="23">
                  <c:v>152963.79999999999</c:v>
                </c:pt>
                <c:pt idx="24">
                  <c:v>119006</c:v>
                </c:pt>
                <c:pt idx="25">
                  <c:v>107802.83333333333</c:v>
                </c:pt>
                <c:pt idx="26">
                  <c:v>125509.4</c:v>
                </c:pt>
                <c:pt idx="27">
                  <c:v>134920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7-402D-8823-0194755339A0}"/>
            </c:ext>
          </c:extLst>
        </c:ser>
        <c:ser>
          <c:idx val="1"/>
          <c:order val="1"/>
          <c:tx>
            <c:v>Pronóstico para Y</c:v>
          </c:tx>
          <c:spPr>
            <a:ln w="28575">
              <a:noFill/>
            </a:ln>
          </c:spPr>
          <c:xVal>
            <c:numRef>
              <c:f>'REGRESIÓN SÁBADOS'!$D$3:$D$30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</c:numCache>
            </c:numRef>
          </c:xVal>
          <c:yVal>
            <c:numRef>
              <c:f>'AD SÁBADOS'!$B$30:$B$57</c:f>
              <c:numCache>
                <c:formatCode>General</c:formatCode>
                <c:ptCount val="28"/>
                <c:pt idx="0">
                  <c:v>68722.340149938493</c:v>
                </c:pt>
                <c:pt idx="1">
                  <c:v>80038.321984174429</c:v>
                </c:pt>
                <c:pt idx="2">
                  <c:v>90762.363526017638</c:v>
                </c:pt>
                <c:pt idx="3">
                  <c:v>99684.691600690741</c:v>
                </c:pt>
                <c:pt idx="4">
                  <c:v>106238.76793335885</c:v>
                </c:pt>
                <c:pt idx="5">
                  <c:v>110345.76637668622</c:v>
                </c:pt>
                <c:pt idx="6">
                  <c:v>112275.17083841239</c:v>
                </c:pt>
                <c:pt idx="7">
                  <c:v>112521.49390894803</c:v>
                </c:pt>
                <c:pt idx="8">
                  <c:v>111697.11618899011</c:v>
                </c:pt>
                <c:pt idx="9">
                  <c:v>110441.24631715752</c:v>
                </c:pt>
                <c:pt idx="10">
                  <c:v>109345.00169764465</c:v>
                </c:pt>
                <c:pt idx="11">
                  <c:v>108892.60992789692</c:v>
                </c:pt>
                <c:pt idx="12">
                  <c:v>109418.73092630359</c:v>
                </c:pt>
                <c:pt idx="13">
                  <c:v>111081.8997599124</c:v>
                </c:pt>
                <c:pt idx="14">
                  <c:v>113854.09017216132</c:v>
                </c:pt>
                <c:pt idx="15">
                  <c:v>117526.39881063259</c:v>
                </c:pt>
                <c:pt idx="16">
                  <c:v>121730.85015482386</c:v>
                </c:pt>
                <c:pt idx="17">
                  <c:v>125978.32214394014</c:v>
                </c:pt>
                <c:pt idx="18">
                  <c:v>129712.59250470996</c:v>
                </c:pt>
                <c:pt idx="19">
                  <c:v>132380.50577920768</c:v>
                </c:pt>
                <c:pt idx="20">
                  <c:v>133518.26105271117</c:v>
                </c:pt>
                <c:pt idx="21">
                  <c:v>132853.82038157014</c:v>
                </c:pt>
                <c:pt idx="22">
                  <c:v>130425.43792109936</c:v>
                </c:pt>
                <c:pt idx="23">
                  <c:v>126716.30975348223</c:v>
                </c:pt>
                <c:pt idx="24">
                  <c:v>122805.34441570379</c:v>
                </c:pt>
                <c:pt idx="25">
                  <c:v>120534.05412749667</c:v>
                </c:pt>
                <c:pt idx="26">
                  <c:v>122689.56671931781</c:v>
                </c:pt>
                <c:pt idx="27">
                  <c:v>133203.75826033577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F7-402D-8823-01947553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16136"/>
        <c:axId val="721521536"/>
      </c:scatterChart>
      <c:valAx>
        <c:axId val="7215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521536"/>
        <c:crosses val="autoZero"/>
        <c:crossBetween val="midCat"/>
      </c:valAx>
      <c:valAx>
        <c:axId val="72152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1516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15</xdr:col>
      <xdr:colOff>479208</xdr:colOff>
      <xdr:row>40</xdr:row>
      <xdr:rowOff>62011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687864-6A67-8802-7649-58CB55AE6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8240" y="548640"/>
          <a:ext cx="6819048" cy="68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C35F6-FB9D-3F10-F038-9F7CC4B06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B6824D-FF9A-C9C9-575C-E244CCD9A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FC8643-6A93-3E07-4607-D9CCF4C4C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</xdr:colOff>
      <xdr:row>9</xdr:row>
      <xdr:rowOff>15240</xdr:rowOff>
    </xdr:from>
    <xdr:to>
      <xdr:col>26</xdr:col>
      <xdr:colOff>740063</xdr:colOff>
      <xdr:row>50</xdr:row>
      <xdr:rowOff>69541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2F66E3-1756-F882-8CD9-65D8B6CD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6040" y="2042160"/>
          <a:ext cx="7857143" cy="7552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335280</xdr:colOff>
      <xdr:row>31</xdr:row>
      <xdr:rowOff>163830</xdr:rowOff>
    </xdr:from>
    <xdr:to>
      <xdr:col>16</xdr:col>
      <xdr:colOff>227880</xdr:colOff>
      <xdr:row>51</xdr:row>
      <xdr:rowOff>106230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3FD1FF-7698-DFD7-BDAD-02FE3542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0487F0-0A22-B50C-514B-E9CFB36D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627D95-2EF1-F298-1B17-218F74647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874910-4C88-0C22-31CD-3C6AAB5B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</xdr:colOff>
      <xdr:row>9</xdr:row>
      <xdr:rowOff>15240</xdr:rowOff>
    </xdr:from>
    <xdr:to>
      <xdr:col>26</xdr:col>
      <xdr:colOff>740063</xdr:colOff>
      <xdr:row>50</xdr:row>
      <xdr:rowOff>69541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3316F3-CAAA-46B9-8B6B-37700E7F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2760" y="2042160"/>
          <a:ext cx="7857143" cy="7552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335280</xdr:colOff>
      <xdr:row>31</xdr:row>
      <xdr:rowOff>163830</xdr:rowOff>
    </xdr:from>
    <xdr:to>
      <xdr:col>16</xdr:col>
      <xdr:colOff>227880</xdr:colOff>
      <xdr:row>51</xdr:row>
      <xdr:rowOff>106230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AB021C-DDE3-4B1D-892D-2A1DF34A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179070</xdr:rowOff>
    </xdr:from>
    <xdr:to>
      <xdr:col>10</xdr:col>
      <xdr:colOff>508260</xdr:colOff>
      <xdr:row>25</xdr:row>
      <xdr:rowOff>43710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1C95C1-024C-F946-AE9A-3C92D93F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3810</xdr:rowOff>
    </xdr:from>
    <xdr:to>
      <xdr:col>10</xdr:col>
      <xdr:colOff>500640</xdr:colOff>
      <xdr:row>47</xdr:row>
      <xdr:rowOff>51330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28C1CC-F109-E54A-41D8-042B822C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171450</xdr:rowOff>
    </xdr:from>
    <xdr:to>
      <xdr:col>10</xdr:col>
      <xdr:colOff>500640</xdr:colOff>
      <xdr:row>70</xdr:row>
      <xdr:rowOff>36090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815AD7-8B68-0485-0043-3F98477C3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72</xdr:row>
      <xdr:rowOff>3810</xdr:rowOff>
    </xdr:from>
    <xdr:to>
      <xdr:col>10</xdr:col>
      <xdr:colOff>500640</xdr:colOff>
      <xdr:row>93</xdr:row>
      <xdr:rowOff>51330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0B7F95-96EF-B184-AE86-4AAE1CA8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</xdr:colOff>
      <xdr:row>95</xdr:row>
      <xdr:rowOff>3810</xdr:rowOff>
    </xdr:from>
    <xdr:to>
      <xdr:col>10</xdr:col>
      <xdr:colOff>508260</xdr:colOff>
      <xdr:row>116</xdr:row>
      <xdr:rowOff>51330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077B74-E53A-56F1-C8C6-8606B9F7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</xdr:row>
      <xdr:rowOff>179070</xdr:rowOff>
    </xdr:from>
    <xdr:to>
      <xdr:col>18</xdr:col>
      <xdr:colOff>500640</xdr:colOff>
      <xdr:row>25</xdr:row>
      <xdr:rowOff>43710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F6D79D-E7B5-DB8D-1585-7A4E9BA0A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25</xdr:row>
      <xdr:rowOff>179070</xdr:rowOff>
    </xdr:from>
    <xdr:to>
      <xdr:col>18</xdr:col>
      <xdr:colOff>500640</xdr:colOff>
      <xdr:row>47</xdr:row>
      <xdr:rowOff>43710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227F1B-AFAE-9746-F0B2-9F303EA41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48</xdr:row>
      <xdr:rowOff>179070</xdr:rowOff>
    </xdr:from>
    <xdr:to>
      <xdr:col>18</xdr:col>
      <xdr:colOff>500640</xdr:colOff>
      <xdr:row>70</xdr:row>
      <xdr:rowOff>43710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612E733-2726-6B82-654A-4FB44705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72</xdr:row>
      <xdr:rowOff>3810</xdr:rowOff>
    </xdr:from>
    <xdr:to>
      <xdr:col>18</xdr:col>
      <xdr:colOff>500640</xdr:colOff>
      <xdr:row>93</xdr:row>
      <xdr:rowOff>51330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58A7946-9951-6F10-2F2D-6005A6D6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7620</xdr:colOff>
      <xdr:row>94</xdr:row>
      <xdr:rowOff>179070</xdr:rowOff>
    </xdr:from>
    <xdr:to>
      <xdr:col>18</xdr:col>
      <xdr:colOff>508260</xdr:colOff>
      <xdr:row>116</xdr:row>
      <xdr:rowOff>43710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CE159A-FA55-A73A-C058-F3812B425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3810</xdr:rowOff>
    </xdr:from>
    <xdr:to>
      <xdr:col>10</xdr:col>
      <xdr:colOff>500640</xdr:colOff>
      <xdr:row>25</xdr:row>
      <xdr:rowOff>51330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105382-DDB0-4143-94D2-3048F659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179070</xdr:rowOff>
    </xdr:from>
    <xdr:to>
      <xdr:col>10</xdr:col>
      <xdr:colOff>500640</xdr:colOff>
      <xdr:row>48</xdr:row>
      <xdr:rowOff>43710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395B09-2539-A57D-1B35-28A063A6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49</xdr:row>
      <xdr:rowOff>179070</xdr:rowOff>
    </xdr:from>
    <xdr:to>
      <xdr:col>10</xdr:col>
      <xdr:colOff>500640</xdr:colOff>
      <xdr:row>71</xdr:row>
      <xdr:rowOff>43710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9AD67E-85E9-10CA-DD8B-38460D6E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95</xdr:row>
      <xdr:rowOff>179070</xdr:rowOff>
    </xdr:from>
    <xdr:to>
      <xdr:col>10</xdr:col>
      <xdr:colOff>500640</xdr:colOff>
      <xdr:row>117</xdr:row>
      <xdr:rowOff>43710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9E1F88-9261-1460-2E49-96AC498CA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</xdr:colOff>
      <xdr:row>73</xdr:row>
      <xdr:rowOff>3810</xdr:rowOff>
    </xdr:from>
    <xdr:to>
      <xdr:col>10</xdr:col>
      <xdr:colOff>508260</xdr:colOff>
      <xdr:row>94</xdr:row>
      <xdr:rowOff>51330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6FB535-8360-D884-C9F9-4DAFA3DF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4</xdr:row>
      <xdr:rowOff>3810</xdr:rowOff>
    </xdr:from>
    <xdr:to>
      <xdr:col>18</xdr:col>
      <xdr:colOff>508260</xdr:colOff>
      <xdr:row>25</xdr:row>
      <xdr:rowOff>51330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0F6034-0EF8-74E2-071C-7DB6C9BC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26</xdr:row>
      <xdr:rowOff>179070</xdr:rowOff>
    </xdr:from>
    <xdr:to>
      <xdr:col>18</xdr:col>
      <xdr:colOff>500640</xdr:colOff>
      <xdr:row>48</xdr:row>
      <xdr:rowOff>43710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DEB73A-5392-B46F-5AAA-CD3F44F4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49</xdr:row>
      <xdr:rowOff>179070</xdr:rowOff>
    </xdr:from>
    <xdr:to>
      <xdr:col>18</xdr:col>
      <xdr:colOff>500640</xdr:colOff>
      <xdr:row>71</xdr:row>
      <xdr:rowOff>43710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5F1DC0A-E640-FAF2-B1B6-C677506E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72</xdr:row>
      <xdr:rowOff>179070</xdr:rowOff>
    </xdr:from>
    <xdr:to>
      <xdr:col>18</xdr:col>
      <xdr:colOff>500640</xdr:colOff>
      <xdr:row>94</xdr:row>
      <xdr:rowOff>43710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FB51F3-C98D-9EEB-8480-9CCE09AD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95</xdr:row>
      <xdr:rowOff>179070</xdr:rowOff>
    </xdr:from>
    <xdr:to>
      <xdr:col>18</xdr:col>
      <xdr:colOff>500640</xdr:colOff>
      <xdr:row>117</xdr:row>
      <xdr:rowOff>43710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C657D8C-D4FE-2FD2-17FC-C5162141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3</xdr:row>
      <xdr:rowOff>240030</xdr:rowOff>
    </xdr:from>
    <xdr:to>
      <xdr:col>10</xdr:col>
      <xdr:colOff>594360</xdr:colOff>
      <xdr:row>18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D181A0-7684-F2B2-866F-9DBBC88B6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3</xdr:row>
      <xdr:rowOff>232410</xdr:rowOff>
    </xdr:from>
    <xdr:to>
      <xdr:col>16</xdr:col>
      <xdr:colOff>617220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052449-D504-1362-7B00-5D3839D32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3810</xdr:rowOff>
    </xdr:from>
    <xdr:to>
      <xdr:col>10</xdr:col>
      <xdr:colOff>609600</xdr:colOff>
      <xdr:row>35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BE80E0-CAAE-79B4-3879-2A742F99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3</xdr:row>
      <xdr:rowOff>148590</xdr:rowOff>
    </xdr:from>
    <xdr:to>
      <xdr:col>12</xdr:col>
      <xdr:colOff>327660</xdr:colOff>
      <xdr:row>17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F5CAC0-4104-EB68-F0B2-3BE4AAFC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20</xdr:row>
      <xdr:rowOff>186690</xdr:rowOff>
    </xdr:from>
    <xdr:to>
      <xdr:col>12</xdr:col>
      <xdr:colOff>327660</xdr:colOff>
      <xdr:row>35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E53F91-B727-6498-46E7-860591E8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179070</xdr:rowOff>
    </xdr:from>
    <xdr:to>
      <xdr:col>12</xdr:col>
      <xdr:colOff>327660</xdr:colOff>
      <xdr:row>52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18C9F2-50D9-52D8-A7F4-B259DDDB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510540</xdr:colOff>
      <xdr:row>55</xdr:row>
      <xdr:rowOff>179070</xdr:rowOff>
    </xdr:from>
    <xdr:to>
      <xdr:col>12</xdr:col>
      <xdr:colOff>327660</xdr:colOff>
      <xdr:row>70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988250-08AA-9539-D24E-7E053EC9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510540</xdr:colOff>
      <xdr:row>73</xdr:row>
      <xdr:rowOff>179070</xdr:rowOff>
    </xdr:from>
    <xdr:to>
      <xdr:col>12</xdr:col>
      <xdr:colOff>327660</xdr:colOff>
      <xdr:row>88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DA4503-FBF7-EA79-6123-F7D1BC72B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91</xdr:row>
      <xdr:rowOff>179070</xdr:rowOff>
    </xdr:from>
    <xdr:to>
      <xdr:col>12</xdr:col>
      <xdr:colOff>350520</xdr:colOff>
      <xdr:row>106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05084C-9F4E-026A-2C0C-77806411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533400</xdr:colOff>
      <xdr:row>109</xdr:row>
      <xdr:rowOff>179070</xdr:rowOff>
    </xdr:from>
    <xdr:to>
      <xdr:col>12</xdr:col>
      <xdr:colOff>350520</xdr:colOff>
      <xdr:row>124</xdr:row>
      <xdr:rowOff>179070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20F595-1E86-8F00-B38A-9F081B1FD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365760</xdr:colOff>
      <xdr:row>3</xdr:row>
      <xdr:rowOff>156210</xdr:rowOff>
    </xdr:from>
    <xdr:to>
      <xdr:col>18</xdr:col>
      <xdr:colOff>182880</xdr:colOff>
      <xdr:row>17</xdr:row>
      <xdr:rowOff>110490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0DDD3C-3302-A079-374F-95705FBB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E1934A-5C12-7AAA-2C61-687B50E2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B4162A-E91D-2BB5-82B6-0825F0869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31113D-11E6-6F9E-1979-4209DE27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F40131-A928-8695-81E1-78CAD551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BC2F76-DBF7-6900-FD99-C94D9815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B6B121-5601-3789-D8C8-AE7FB3FFE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924A70-E919-BD12-3F48-0E30319B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251460</xdr:colOff>
      <xdr:row>24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9C5E88-559B-49FD-020A-24340C19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251460</xdr:colOff>
      <xdr:row>26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3D9967-BA7E-1967-3C76-950E8E9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251460</xdr:colOff>
      <xdr:row>28</xdr:row>
      <xdr:rowOff>175260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F83CAA-5C76-3790-F930-73F2D4B7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251460</xdr:colOff>
      <xdr:row>30</xdr:row>
      <xdr:rowOff>175260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6F2D5D9-28C6-72A8-EDF4-07C9E2BA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251461</xdr:colOff>
      <xdr:row>22</xdr:row>
      <xdr:rowOff>175260</xdr:rowOff>
    </xdr:from>
    <xdr:to>
      <xdr:col>26</xdr:col>
      <xdr:colOff>251460</xdr:colOff>
      <xdr:row>32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EAD517-3C0F-1C29-5825-34F2B40A1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251459</xdr:colOff>
      <xdr:row>24</xdr:row>
      <xdr:rowOff>175260</xdr:rowOff>
    </xdr:from>
    <xdr:to>
      <xdr:col>27</xdr:col>
      <xdr:colOff>251459</xdr:colOff>
      <xdr:row>34</xdr:row>
      <xdr:rowOff>175260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F7376FD-47CA-671C-337C-6F886301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A83C3-513B-C5E5-4E89-9C1BE9CEF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96DC2C-A71B-7723-AE57-8AE339A33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08FE15-A44B-B7C9-973B-57E5E02F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878ACE-4E5A-A5B3-1A56-D3FC4FCB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D6873D-6144-CEAE-D451-7B9CC674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7A7739-66BD-04AF-2A76-0BF50583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81F722-CAFD-15EC-BBEF-CEC4B96E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251460</xdr:colOff>
      <xdr:row>24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F540A2-3406-D9EA-827F-F0A747AD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251460</xdr:colOff>
      <xdr:row>26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13AC91-4754-20EE-5BAC-9512FA28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251460</xdr:colOff>
      <xdr:row>28</xdr:row>
      <xdr:rowOff>175260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5E0948-4DB2-5455-A1FE-A69860215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251460</xdr:colOff>
      <xdr:row>30</xdr:row>
      <xdr:rowOff>175260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299536-AF84-2EC8-5B14-65E60BD9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251461</xdr:colOff>
      <xdr:row>22</xdr:row>
      <xdr:rowOff>175260</xdr:rowOff>
    </xdr:from>
    <xdr:to>
      <xdr:col>26</xdr:col>
      <xdr:colOff>251460</xdr:colOff>
      <xdr:row>32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65FA5BC-B36B-8911-7078-E25B8087D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251459</xdr:colOff>
      <xdr:row>24</xdr:row>
      <xdr:rowOff>175260</xdr:rowOff>
    </xdr:from>
    <xdr:to>
      <xdr:col>27</xdr:col>
      <xdr:colOff>251459</xdr:colOff>
      <xdr:row>34</xdr:row>
      <xdr:rowOff>175260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6889BD3-970A-AFF7-1688-EB4E949C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4762</xdr:rowOff>
    </xdr:from>
    <xdr:to>
      <xdr:col>19</xdr:col>
      <xdr:colOff>0</xdr:colOff>
      <xdr:row>20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C74A1-B1FE-DAEF-0E42-143EF0D6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4762</xdr:rowOff>
    </xdr:from>
    <xdr:to>
      <xdr:col>19</xdr:col>
      <xdr:colOff>0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187D3B-ECBC-ACD7-E465-6E3D1AB4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4F2F9-2D18-8FD0-0BA2-D65832FD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AFED32-8F4A-3945-B398-DA141A266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E94842-9FCF-041C-B83F-D84BC70B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6</xdr:row>
      <xdr:rowOff>3810</xdr:rowOff>
    </xdr:from>
    <xdr:to>
      <xdr:col>19</xdr:col>
      <xdr:colOff>617220</xdr:colOff>
      <xdr:row>21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CE1F67-7F47-4760-8EED-725A1C29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0E8DA2-4D58-4520-4A5E-41841B2F4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34DC4-FE06-462F-46D8-4CB3B6A0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7D663F-E17A-FE79-72E2-19129BA6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6</xdr:row>
      <xdr:rowOff>3810</xdr:rowOff>
    </xdr:from>
    <xdr:to>
      <xdr:col>19</xdr:col>
      <xdr:colOff>617220</xdr:colOff>
      <xdr:row>21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8A4F6F-3223-8BFD-A36A-52D463E4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rica" refreshedDate="45456.940707407404" createdVersion="8" refreshedVersion="8" minRefreshableVersion="3" recordCount="28" xr:uid="{37796EAC-2A00-4928-8A8D-459D65DB22E0}">
  <cacheSource type="worksheet">
    <worksheetSource ref="A5:B33" sheet="DATOS DE DEMANDA L2 2022-2024"/>
  </cacheSource>
  <cacheFields count="5">
    <cacheField name="Mes" numFmtId="17">
      <sharedItems containsSemiMixedTypes="0" containsNonDate="0" containsDate="1" containsString="0" minDate="2022-01-01T00:00:00" maxDate="2024-04-02T00:00:00" count="28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</sharedItems>
      <fieldGroup par="4"/>
    </cacheField>
    <cacheField name="Laborable" numFmtId="3">
      <sharedItems containsSemiMixedTypes="0" containsString="0" containsNumber="1" minValue="92181.55" maxValue="180514"/>
    </cacheField>
    <cacheField name="Meses (Mes)" numFmtId="0" databaseField="0">
      <fieldGroup base="0">
        <rangePr groupBy="months" startDate="2022-01-01T00:00:00" endDate="2024-04-02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2/2024"/>
        </groupItems>
      </fieldGroup>
    </cacheField>
    <cacheField name="Trimestres (Mes)" numFmtId="0" databaseField="0">
      <fieldGroup base="0">
        <rangePr groupBy="quarters" startDate="2022-01-01T00:00:00" endDate="2024-04-02T00:00:00"/>
        <groupItems count="6">
          <s v="&lt;01/01/2022"/>
          <s v="Trim.1"/>
          <s v="Trim.2"/>
          <s v="Trim.3"/>
          <s v="Trim.4"/>
          <s v="&gt;04/02/2024"/>
        </groupItems>
      </fieldGroup>
    </cacheField>
    <cacheField name="Años (Mes)" numFmtId="0" databaseField="0">
      <fieldGroup base="0">
        <rangePr groupBy="years" startDate="2022-01-01T00:00:00" endDate="2024-04-02T00:00:00"/>
        <groupItems count="5">
          <s v="&lt;01/01/2022"/>
          <s v="2022"/>
          <s v="2023"/>
          <s v="2024"/>
          <s v="&gt;04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rica" refreshedDate="45456.982243402781" createdVersion="8" refreshedVersion="8" minRefreshableVersion="3" recordCount="28" xr:uid="{07519F00-1208-45C2-B0E2-ECCD40E102F2}">
  <cacheSource type="worksheet">
    <worksheetSource ref="A5:C33" sheet="DATOS DE DEMANDA L2 2022-2024"/>
  </cacheSource>
  <cacheFields count="6">
    <cacheField name="Mes" numFmtId="17">
      <sharedItems containsSemiMixedTypes="0" containsNonDate="0" containsDate="1" containsString="0" minDate="2022-01-01T00:00:00" maxDate="2024-04-02T00:00:00" count="28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</sharedItems>
      <fieldGroup par="5"/>
    </cacheField>
    <cacheField name="Laborable" numFmtId="3">
      <sharedItems containsSemiMixedTypes="0" containsString="0" containsNumber="1" minValue="92181.55" maxValue="180514"/>
    </cacheField>
    <cacheField name="Sábados" numFmtId="3">
      <sharedItems containsSemiMixedTypes="0" containsString="0" containsNumber="1" minValue="66351.399999999994" maxValue="152963.79999999999"/>
    </cacheField>
    <cacheField name="Meses (Mes)" numFmtId="0" databaseField="0">
      <fieldGroup base="0">
        <rangePr groupBy="months" startDate="2022-01-01T00:00:00" endDate="2024-04-02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2/2024"/>
        </groupItems>
      </fieldGroup>
    </cacheField>
    <cacheField name="Trimestres (Mes)" numFmtId="0" databaseField="0">
      <fieldGroup base="0">
        <rangePr groupBy="quarters" startDate="2022-01-01T00:00:00" endDate="2024-04-02T00:00:00"/>
        <groupItems count="6">
          <s v="&lt;01/01/2022"/>
          <s v="Trim.1"/>
          <s v="Trim.2"/>
          <s v="Trim.3"/>
          <s v="Trim.4"/>
          <s v="&gt;04/02/2024"/>
        </groupItems>
      </fieldGroup>
    </cacheField>
    <cacheField name="Años (Mes)" numFmtId="0" databaseField="0">
      <fieldGroup base="0">
        <rangePr groupBy="years" startDate="2022-01-01T00:00:00" endDate="2024-04-02T00:00:00"/>
        <groupItems count="5">
          <s v="&lt;01/01/2022"/>
          <s v="2022"/>
          <s v="2023"/>
          <s v="2024"/>
          <s v="&gt;04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92181.55"/>
  </r>
  <r>
    <x v="1"/>
    <n v="101781.21052631579"/>
  </r>
  <r>
    <x v="2"/>
    <n v="121611"/>
  </r>
  <r>
    <x v="3"/>
    <n v="131275.25"/>
  </r>
  <r>
    <x v="4"/>
    <n v="134583"/>
  </r>
  <r>
    <x v="5"/>
    <n v="136247"/>
  </r>
  <r>
    <x v="6"/>
    <n v="133935"/>
  </r>
  <r>
    <x v="7"/>
    <n v="141808"/>
  </r>
  <r>
    <x v="8"/>
    <n v="144064"/>
  </r>
  <r>
    <x v="9"/>
    <n v="148015"/>
  </r>
  <r>
    <x v="10"/>
    <n v="148224"/>
  </r>
  <r>
    <x v="11"/>
    <n v="159382"/>
  </r>
  <r>
    <x v="12"/>
    <n v="132906"/>
  </r>
  <r>
    <x v="13"/>
    <n v="137854"/>
  </r>
  <r>
    <x v="14"/>
    <n v="156156"/>
  </r>
  <r>
    <x v="15"/>
    <n v="161269"/>
  </r>
  <r>
    <x v="16"/>
    <n v="161613.68181818182"/>
  </r>
  <r>
    <x v="17"/>
    <n v="160111"/>
  </r>
  <r>
    <x v="18"/>
    <n v="157938.04761904763"/>
  </r>
  <r>
    <x v="19"/>
    <n v="161756"/>
  </r>
  <r>
    <x v="20"/>
    <n v="168041.23809523811"/>
  </r>
  <r>
    <x v="21"/>
    <n v="172356.72727272726"/>
  </r>
  <r>
    <x v="22"/>
    <n v="164320.22222222199"/>
  </r>
  <r>
    <x v="23"/>
    <n v="180124.77777777778"/>
  </r>
  <r>
    <x v="24"/>
    <n v="150453"/>
  </r>
  <r>
    <x v="25"/>
    <n v="158067.38888888888"/>
  </r>
  <r>
    <x v="26"/>
    <n v="168441.45"/>
  </r>
  <r>
    <x v="27"/>
    <n v="1805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92181.55"/>
    <n v="66351.399999999994"/>
  </r>
  <r>
    <x v="1"/>
    <n v="101781.21052631579"/>
    <n v="80755.600000000006"/>
  </r>
  <r>
    <x v="2"/>
    <n v="121611"/>
    <n v="98815"/>
  </r>
  <r>
    <x v="3"/>
    <n v="131275.25"/>
    <n v="95755.199999999997"/>
  </r>
  <r>
    <x v="4"/>
    <n v="134583"/>
    <n v="105378"/>
  </r>
  <r>
    <x v="5"/>
    <n v="136247"/>
    <n v="106194"/>
  </r>
  <r>
    <x v="6"/>
    <n v="133935"/>
    <n v="110336"/>
  </r>
  <r>
    <x v="7"/>
    <n v="141808"/>
    <n v="114106"/>
  </r>
  <r>
    <x v="8"/>
    <n v="144064"/>
    <n v="110961"/>
  </r>
  <r>
    <x v="9"/>
    <n v="148015"/>
    <n v="117046"/>
  </r>
  <r>
    <x v="10"/>
    <n v="148224"/>
    <n v="101630"/>
  </r>
  <r>
    <x v="11"/>
    <n v="159382"/>
    <n v="124149"/>
  </r>
  <r>
    <x v="12"/>
    <n v="132906"/>
    <n v="106035"/>
  </r>
  <r>
    <x v="13"/>
    <n v="137854"/>
    <n v="93538"/>
  </r>
  <r>
    <x v="14"/>
    <n v="156156"/>
    <n v="125713"/>
  </r>
  <r>
    <x v="15"/>
    <n v="161269"/>
    <n v="118330"/>
  </r>
  <r>
    <x v="16"/>
    <n v="161613.68181818182"/>
    <n v="120224.75"/>
  </r>
  <r>
    <x v="17"/>
    <n v="160111"/>
    <n v="125457"/>
  </r>
  <r>
    <x v="18"/>
    <n v="157938.04761904763"/>
    <n v="129230.8"/>
  </r>
  <r>
    <x v="19"/>
    <n v="161756"/>
    <n v="131852"/>
  </r>
  <r>
    <x v="20"/>
    <n v="168041.23809523811"/>
    <n v="131888.79999999999"/>
  </r>
  <r>
    <x v="21"/>
    <n v="172356.72727272726"/>
    <n v="136062.25"/>
  </r>
  <r>
    <x v="22"/>
    <n v="164320.22222222199"/>
    <n v="115384"/>
  </r>
  <r>
    <x v="23"/>
    <n v="180124.77777777778"/>
    <n v="152963.79999999999"/>
  </r>
  <r>
    <x v="24"/>
    <n v="150453"/>
    <n v="119006"/>
  </r>
  <r>
    <x v="25"/>
    <n v="158067.38888888888"/>
    <n v="107802.83333333333"/>
  </r>
  <r>
    <x v="26"/>
    <n v="168441.45"/>
    <n v="125509.4"/>
  </r>
  <r>
    <x v="27"/>
    <n v="180514"/>
    <n v="134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944A4-DD4A-4E43-B1BB-8407A4A82E8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5:B34" firstHeaderRow="1" firstDataRow="1" firstDataCol="1" rowPageCount="3" colPageCount="1"/>
  <pivotFields count="5">
    <pivotField axis="axisRow" numFmtId="17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numFmtId="3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3">
    <pageField fld="4" hier="-1"/>
    <pageField fld="3" hier="-1"/>
    <pageField fld="2" hier="-1"/>
  </pageFields>
  <dataFields count="1">
    <dataField name="Suma de Laborable" fld="1" baseField="0" baseItem="0" numFmtId="1"/>
  </dataFields>
  <formats count="1">
    <format dxfId="2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323A7-3FAD-4E26-A01D-434878181A8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5:B34" firstHeaderRow="1" firstDataRow="1" firstDataCol="1" rowPageCount="3" colPageCount="1"/>
  <pivotFields count="6">
    <pivotField axis="axisRow" numFmtId="17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3" showAll="0"/>
    <pivotField dataField="1" numFmtId="3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3">
    <pageField fld="5" hier="-1"/>
    <pageField fld="4" hier="-1"/>
    <pageField fld="3" hier="-1"/>
  </pageFields>
  <dataFields count="1">
    <dataField name="Suma de Sábados" fld="2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osabiertos.gob.pa/dataset/demanda-de-usuarios-y-registro-de-accident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1FFB-58A1-4CE4-90D9-A1ED698878BF}">
  <dimension ref="A1:F18"/>
  <sheetViews>
    <sheetView tabSelected="1" workbookViewId="0">
      <selection sqref="A1:F1"/>
    </sheetView>
  </sheetViews>
  <sheetFormatPr baseColWidth="10" defaultRowHeight="14.4" x14ac:dyDescent="0.3"/>
  <cols>
    <col min="1" max="1" width="34.33203125" style="65" customWidth="1"/>
    <col min="2" max="6" width="16.44140625" style="65" customWidth="1"/>
    <col min="7" max="16384" width="11.5546875" style="65"/>
  </cols>
  <sheetData>
    <row r="1" spans="1:6" x14ac:dyDescent="0.3">
      <c r="A1" s="64" t="s">
        <v>87</v>
      </c>
      <c r="B1" s="64"/>
      <c r="C1" s="64"/>
      <c r="D1" s="64"/>
      <c r="E1" s="64"/>
      <c r="F1" s="64"/>
    </row>
    <row r="2" spans="1:6" x14ac:dyDescent="0.3">
      <c r="A2" s="66"/>
      <c r="B2" s="66"/>
      <c r="C2" s="66"/>
      <c r="D2" s="66"/>
      <c r="E2" s="66"/>
      <c r="F2" s="66"/>
    </row>
    <row r="3" spans="1:6" x14ac:dyDescent="0.3">
      <c r="A3" s="67" t="s">
        <v>88</v>
      </c>
      <c r="B3" s="66"/>
      <c r="C3" s="66"/>
      <c r="D3" s="66"/>
      <c r="E3" s="66"/>
      <c r="F3" s="66"/>
    </row>
    <row r="4" spans="1:6" x14ac:dyDescent="0.3">
      <c r="A4" s="66"/>
      <c r="B4" s="66"/>
      <c r="C4" s="66"/>
      <c r="D4" s="66"/>
      <c r="E4" s="66"/>
      <c r="F4" s="66"/>
    </row>
    <row r="5" spans="1:6" x14ac:dyDescent="0.3">
      <c r="A5" s="72" t="s">
        <v>82</v>
      </c>
      <c r="B5" s="72" t="s">
        <v>83</v>
      </c>
      <c r="C5" s="72" t="s">
        <v>96</v>
      </c>
      <c r="D5" s="72" t="s">
        <v>84</v>
      </c>
      <c r="E5" s="72" t="s">
        <v>85</v>
      </c>
      <c r="F5" s="72" t="s">
        <v>86</v>
      </c>
    </row>
    <row r="6" spans="1:6" x14ac:dyDescent="0.3">
      <c r="A6" s="68" t="s">
        <v>89</v>
      </c>
      <c r="B6" s="69">
        <f>'REGRESIÓN LABORABLE'!M30</f>
        <v>5063.4720256162709</v>
      </c>
      <c r="C6" s="70">
        <f>'REGRESIÓN LABORABLE'!O30</f>
        <v>3.3957605252194578</v>
      </c>
      <c r="D6" s="70">
        <f>MIN('REGRESIÓN LABORABLE'!P3:P30)</f>
        <v>-3.9616608343115405</v>
      </c>
      <c r="E6" s="70">
        <f>MAX('REGRESIÓN LABORABLE'!P3:P30)</f>
        <v>2.3161364324101781</v>
      </c>
      <c r="F6" s="70">
        <f>B6*1.25</f>
        <v>6329.3400320203382</v>
      </c>
    </row>
    <row r="7" spans="1:6" x14ac:dyDescent="0.3">
      <c r="A7" s="68" t="s">
        <v>101</v>
      </c>
      <c r="B7" s="69">
        <f>'SUAVIZACIÓN LABORABLE'!I31</f>
        <v>16460.033681319921</v>
      </c>
      <c r="C7" s="70">
        <f>'SUAVIZACIÓN LABORABLE'!K31</f>
        <v>12.105522810541975</v>
      </c>
      <c r="D7" s="70">
        <f>MIN('SUAVIZACIÓN LABORABLE'!L4:L31)</f>
        <v>-1.9353379023506156</v>
      </c>
      <c r="E7" s="70">
        <f>MAX('SUAVIZACIÓN LABORABLE'!L4:L31)</f>
        <v>12.227437141847043</v>
      </c>
      <c r="F7" s="70">
        <f>B7*1.25</f>
        <v>20575.042101649902</v>
      </c>
    </row>
    <row r="8" spans="1:6" x14ac:dyDescent="0.3">
      <c r="A8" s="68" t="s">
        <v>100</v>
      </c>
      <c r="B8" s="69">
        <f>'M. HOLT LABORABLE'!$J$31</f>
        <v>8780.7056107596673</v>
      </c>
      <c r="C8" s="70">
        <f>'M. HOLT LABORABLE'!$L$31</f>
        <v>6.4807779218259629</v>
      </c>
      <c r="D8" s="70">
        <f>MIN('M. HOLT LABORABLE'!$M$4:$M$31)</f>
        <v>-3.546493647063425</v>
      </c>
      <c r="E8" s="70">
        <f>MAX('M. HOLT LABORABLE'!$M$4:$M$31)</f>
        <v>2.6912155275538261</v>
      </c>
      <c r="F8" s="70">
        <f>B8*1.25</f>
        <v>10975.882013449584</v>
      </c>
    </row>
    <row r="9" spans="1:6" x14ac:dyDescent="0.3">
      <c r="A9" s="68" t="s">
        <v>90</v>
      </c>
      <c r="B9" s="69">
        <f>'M. WINTER LABORABLE'!M27</f>
        <v>3780.8249620062034</v>
      </c>
      <c r="C9" s="70">
        <f>'M. WINTER LABORABLE'!O27</f>
        <v>2.9181070843829491</v>
      </c>
      <c r="D9" s="71">
        <f>MIN('M. WINTER LABORABLE'!P4:P27)</f>
        <v>1</v>
      </c>
      <c r="E9" s="71">
        <f>MAX('M. WINTER LABORABLE'!P4:P27)</f>
        <v>11.255653563558324</v>
      </c>
      <c r="F9" s="70">
        <f>B9*1.25</f>
        <v>4726.0312025077546</v>
      </c>
    </row>
    <row r="12" spans="1:6" x14ac:dyDescent="0.3">
      <c r="A12" s="67" t="s">
        <v>91</v>
      </c>
    </row>
    <row r="14" spans="1:6" x14ac:dyDescent="0.3">
      <c r="A14" s="72" t="s">
        <v>82</v>
      </c>
      <c r="B14" s="72" t="s">
        <v>83</v>
      </c>
      <c r="C14" s="72" t="s">
        <v>96</v>
      </c>
      <c r="D14" s="72" t="s">
        <v>84</v>
      </c>
      <c r="E14" s="72" t="s">
        <v>85</v>
      </c>
      <c r="F14" s="72" t="s">
        <v>86</v>
      </c>
    </row>
    <row r="15" spans="1:6" x14ac:dyDescent="0.3">
      <c r="A15" s="68" t="s">
        <v>89</v>
      </c>
      <c r="B15" s="69">
        <f>'REGRESIÓN SÁBADOS'!M30</f>
        <v>5633.5764455929466</v>
      </c>
      <c r="C15" s="70">
        <f>'REGRESIÓN SÁBADOS'!O30</f>
        <v>4.9137345535358321</v>
      </c>
      <c r="D15" s="70">
        <f>MIN('REGRESIÓN SÁBADOS'!P3:P30)</f>
        <v>-2.3395860045949064</v>
      </c>
      <c r="E15" s="70">
        <f>MAX('REGRESIÓN SÁBADOS'!P3:P30)</f>
        <v>2.9686755983586774</v>
      </c>
      <c r="F15" s="70">
        <f>B15*1.25</f>
        <v>7041.970556991183</v>
      </c>
    </row>
    <row r="16" spans="1:6" x14ac:dyDescent="0.3">
      <c r="A16" s="68" t="s">
        <v>101</v>
      </c>
      <c r="B16" s="69">
        <f>'SUAVIZACIÓN SÁBADOS'!I31</f>
        <v>12939.437389708875</v>
      </c>
      <c r="C16" s="70">
        <f>'SUAVIZACIÓN SÁBADOS'!K31</f>
        <v>12.246470740545353</v>
      </c>
      <c r="D16" s="70">
        <f>MIN('SUAVIZACIÓN SÁBADOS'!L4:L31)</f>
        <v>-6.1771688111685252</v>
      </c>
      <c r="E16" s="70">
        <f>MAX('SUAVIZACIÓN SÁBADOS'!L4:L31)</f>
        <v>6.1371597640159585</v>
      </c>
      <c r="F16" s="70">
        <f>B16*1.25</f>
        <v>16174.296737136094</v>
      </c>
    </row>
    <row r="17" spans="1:6" x14ac:dyDescent="0.3">
      <c r="A17" s="68" t="s">
        <v>100</v>
      </c>
      <c r="B17" s="69">
        <f>'M. HOLT SÁBADOS'!J31</f>
        <v>9712.9143329554263</v>
      </c>
      <c r="C17" s="70">
        <f>'M. HOLT SÁBADOS'!L31</f>
        <v>9.1047625310347424</v>
      </c>
      <c r="D17" s="70">
        <f>MIN('M. HOLT SÁBADOS'!M4:M31)</f>
        <v>-5.1642058646944653</v>
      </c>
      <c r="E17" s="70">
        <f>MAX('M. HOLT SÁBADOS'!M4:M31)</f>
        <v>3.4792931901830744</v>
      </c>
      <c r="F17" s="70">
        <f>B17*1.25</f>
        <v>12141.142916194283</v>
      </c>
    </row>
    <row r="18" spans="1:6" x14ac:dyDescent="0.3">
      <c r="A18" s="68" t="s">
        <v>90</v>
      </c>
      <c r="B18" s="69">
        <f>'M. WINTER SÁBADOS'!M27</f>
        <v>6234.582058686522</v>
      </c>
      <c r="C18" s="70">
        <f>'M. WINTER SÁBADOS'!O27</f>
        <v>6.423809945485881</v>
      </c>
      <c r="D18" s="71">
        <f>MIN('M. WINTER SÁBADOS'!P4:P27)</f>
        <v>1</v>
      </c>
      <c r="E18" s="71">
        <f>MAX('M. WINTER SÁBADOS'!P4:P27)</f>
        <v>15.097718718922101</v>
      </c>
      <c r="F18" s="70">
        <f>B18*1.25</f>
        <v>7793.2275733581528</v>
      </c>
    </row>
  </sheetData>
  <mergeCells count="1">
    <mergeCell ref="A1:F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30C2-4CD8-4044-B3E2-A497C8C50962}">
  <dimension ref="A1:I52"/>
  <sheetViews>
    <sheetView workbookViewId="0">
      <selection activeCell="A16" sqref="A16:B18"/>
    </sheetView>
  </sheetViews>
  <sheetFormatPr baseColWidth="10"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27" t="s">
        <v>47</v>
      </c>
      <c r="B3" s="27"/>
    </row>
    <row r="4" spans="1:9" x14ac:dyDescent="0.3">
      <c r="A4" t="s">
        <v>48</v>
      </c>
      <c r="B4">
        <v>0.85863612662137434</v>
      </c>
    </row>
    <row r="5" spans="1:9" x14ac:dyDescent="0.3">
      <c r="A5" t="s">
        <v>49</v>
      </c>
      <c r="B5">
        <v>0.7372559979393567</v>
      </c>
    </row>
    <row r="6" spans="1:9" x14ac:dyDescent="0.3">
      <c r="A6" t="s">
        <v>50</v>
      </c>
      <c r="B6">
        <v>0.72715045939856282</v>
      </c>
    </row>
    <row r="7" spans="1:9" x14ac:dyDescent="0.3">
      <c r="A7" t="s">
        <v>51</v>
      </c>
      <c r="B7">
        <v>11003.189805458545</v>
      </c>
    </row>
    <row r="8" spans="1:9" ht="15" thickBot="1" x14ac:dyDescent="0.35">
      <c r="A8" s="25" t="s">
        <v>52</v>
      </c>
      <c r="B8" s="25">
        <v>28</v>
      </c>
    </row>
    <row r="10" spans="1:9" ht="15" thickBot="1" x14ac:dyDescent="0.35">
      <c r="A10" t="s">
        <v>53</v>
      </c>
    </row>
    <row r="11" spans="1:9" x14ac:dyDescent="0.3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">
      <c r="A12" t="s">
        <v>54</v>
      </c>
      <c r="B12">
        <v>1</v>
      </c>
      <c r="C12">
        <v>8832752491.3550491</v>
      </c>
      <c r="D12">
        <v>8832752491.3550491</v>
      </c>
      <c r="E12">
        <v>72.955636650457194</v>
      </c>
      <c r="F12">
        <v>5.0701626127969554E-9</v>
      </c>
    </row>
    <row r="13" spans="1:9" x14ac:dyDescent="0.3">
      <c r="A13" t="s">
        <v>55</v>
      </c>
      <c r="B13">
        <v>26</v>
      </c>
      <c r="C13">
        <v>3147824833.2686181</v>
      </c>
      <c r="D13">
        <v>121070185.89494684</v>
      </c>
    </row>
    <row r="14" spans="1:9" ht="15" thickBot="1" x14ac:dyDescent="0.35">
      <c r="A14" s="25" t="s">
        <v>8</v>
      </c>
      <c r="B14" s="25">
        <v>27</v>
      </c>
      <c r="C14" s="25">
        <v>11980577324.623667</v>
      </c>
      <c r="D14" s="25"/>
      <c r="E14" s="25"/>
      <c r="F14" s="25"/>
    </row>
    <row r="15" spans="1:9" ht="15" thickBot="1" x14ac:dyDescent="0.35"/>
    <row r="16" spans="1:9" x14ac:dyDescent="0.3">
      <c r="A16" s="28"/>
      <c r="B16" s="28" t="s">
        <v>62</v>
      </c>
      <c r="C16" s="26" t="s">
        <v>51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">
      <c r="A17" s="16" t="s">
        <v>56</v>
      </c>
      <c r="B17" s="16">
        <v>116868.96694107202</v>
      </c>
      <c r="C17">
        <v>4272.7760687128221</v>
      </c>
      <c r="D17">
        <v>27.35199904269238</v>
      </c>
      <c r="E17">
        <v>1.0894786831577036E-20</v>
      </c>
      <c r="F17">
        <v>108086.14994710406</v>
      </c>
      <c r="G17">
        <v>125651.78393503999</v>
      </c>
      <c r="H17">
        <v>108086.14994710406</v>
      </c>
      <c r="I17">
        <v>125651.78393503999</v>
      </c>
    </row>
    <row r="18" spans="1:9" ht="15" thickBot="1" x14ac:dyDescent="0.35">
      <c r="A18" s="29" t="s">
        <v>69</v>
      </c>
      <c r="B18" s="29">
        <v>2198.7647041142436</v>
      </c>
      <c r="C18" s="25">
        <v>257.4241758104821</v>
      </c>
      <c r="D18" s="25">
        <v>8.5414071821016275</v>
      </c>
      <c r="E18" s="25">
        <v>5.0701626127969008E-9</v>
      </c>
      <c r="F18" s="25">
        <v>1669.6217325174191</v>
      </c>
      <c r="G18" s="25">
        <v>2727.9076757110679</v>
      </c>
      <c r="H18" s="25">
        <v>1669.6217325174191</v>
      </c>
      <c r="I18" s="25">
        <v>2727.9076757110679</v>
      </c>
    </row>
    <row r="22" spans="1:9" x14ac:dyDescent="0.3">
      <c r="A22" t="s">
        <v>75</v>
      </c>
      <c r="F22" t="s">
        <v>79</v>
      </c>
    </row>
    <row r="23" spans="1:9" ht="15" thickBot="1" x14ac:dyDescent="0.35"/>
    <row r="24" spans="1:9" x14ac:dyDescent="0.3">
      <c r="A24" s="26" t="s">
        <v>76</v>
      </c>
      <c r="B24" s="26" t="s">
        <v>77</v>
      </c>
      <c r="C24" s="26" t="s">
        <v>55</v>
      </c>
      <c r="D24" s="26" t="s">
        <v>78</v>
      </c>
      <c r="F24" s="26" t="s">
        <v>80</v>
      </c>
      <c r="G24" s="26" t="s">
        <v>81</v>
      </c>
    </row>
    <row r="25" spans="1:9" x14ac:dyDescent="0.3">
      <c r="A25">
        <v>1</v>
      </c>
      <c r="B25">
        <v>119067.73164518627</v>
      </c>
      <c r="C25">
        <v>-26886.181645186269</v>
      </c>
      <c r="D25">
        <v>-2.4900366071867612</v>
      </c>
      <c r="F25">
        <v>1.7857142857142858</v>
      </c>
      <c r="G25">
        <v>92181.55</v>
      </c>
    </row>
    <row r="26" spans="1:9" x14ac:dyDescent="0.3">
      <c r="A26">
        <v>2</v>
      </c>
      <c r="B26">
        <v>121266.49634930051</v>
      </c>
      <c r="C26">
        <v>-19485.285822984719</v>
      </c>
      <c r="D26">
        <v>-1.8046101019858312</v>
      </c>
      <c r="F26">
        <v>5.3571428571428577</v>
      </c>
      <c r="G26">
        <v>101781.21052631579</v>
      </c>
    </row>
    <row r="27" spans="1:9" x14ac:dyDescent="0.3">
      <c r="A27">
        <v>3</v>
      </c>
      <c r="B27">
        <v>123465.26105341475</v>
      </c>
      <c r="C27">
        <v>-1854.2610534147534</v>
      </c>
      <c r="D27">
        <v>-0.17173051804885381</v>
      </c>
      <c r="F27">
        <v>8.9285714285714288</v>
      </c>
      <c r="G27">
        <v>121611</v>
      </c>
    </row>
    <row r="28" spans="1:9" x14ac:dyDescent="0.3">
      <c r="A28">
        <v>4</v>
      </c>
      <c r="B28">
        <v>125664.025757529</v>
      </c>
      <c r="C28">
        <v>5611.2242424709984</v>
      </c>
      <c r="D28">
        <v>0.5196778761400721</v>
      </c>
      <c r="F28">
        <v>12.500000000000002</v>
      </c>
      <c r="G28">
        <v>131275.25</v>
      </c>
    </row>
    <row r="29" spans="1:9" x14ac:dyDescent="0.3">
      <c r="A29">
        <v>5</v>
      </c>
      <c r="B29">
        <v>127862.79046164325</v>
      </c>
      <c r="C29">
        <v>6720.2095383567503</v>
      </c>
      <c r="D29">
        <v>0.6223854312711582</v>
      </c>
      <c r="F29">
        <v>16.071428571428573</v>
      </c>
      <c r="G29">
        <v>132906</v>
      </c>
    </row>
    <row r="30" spans="1:9" x14ac:dyDescent="0.3">
      <c r="A30">
        <v>6</v>
      </c>
      <c r="B30">
        <v>130061.55516575748</v>
      </c>
      <c r="C30">
        <v>6185.4448342425167</v>
      </c>
      <c r="D30">
        <v>0.57285873733415416</v>
      </c>
      <c r="F30">
        <v>19.642857142857142</v>
      </c>
      <c r="G30">
        <v>133935</v>
      </c>
    </row>
    <row r="31" spans="1:9" x14ac:dyDescent="0.3">
      <c r="A31">
        <v>7</v>
      </c>
      <c r="B31">
        <v>132260.31986987172</v>
      </c>
      <c r="C31">
        <v>1674.6801301282831</v>
      </c>
      <c r="D31">
        <v>0.15509881188704674</v>
      </c>
      <c r="F31">
        <v>23.214285714285715</v>
      </c>
      <c r="G31">
        <v>134583</v>
      </c>
    </row>
    <row r="32" spans="1:9" x14ac:dyDescent="0.3">
      <c r="A32">
        <v>8</v>
      </c>
      <c r="B32">
        <v>134459.08457398598</v>
      </c>
      <c r="C32">
        <v>7348.9154260140203</v>
      </c>
      <c r="D32">
        <v>0.68061239321317646</v>
      </c>
      <c r="F32">
        <v>26.785714285714285</v>
      </c>
      <c r="G32">
        <v>136247</v>
      </c>
    </row>
    <row r="33" spans="1:7" x14ac:dyDescent="0.3">
      <c r="A33">
        <v>9</v>
      </c>
      <c r="B33">
        <v>136657.84927810021</v>
      </c>
      <c r="C33">
        <v>7406.1507218997867</v>
      </c>
      <c r="D33">
        <v>0.68591318243864241</v>
      </c>
      <c r="F33">
        <v>30.357142857142858</v>
      </c>
      <c r="G33">
        <v>137854</v>
      </c>
    </row>
    <row r="34" spans="1:7" x14ac:dyDescent="0.3">
      <c r="A34">
        <v>10</v>
      </c>
      <c r="B34">
        <v>138856.61398221448</v>
      </c>
      <c r="C34">
        <v>9158.386017785524</v>
      </c>
      <c r="D34">
        <v>0.84819468781340779</v>
      </c>
      <c r="F34">
        <v>33.928571428571431</v>
      </c>
      <c r="G34">
        <v>141808</v>
      </c>
    </row>
    <row r="35" spans="1:7" x14ac:dyDescent="0.3">
      <c r="A35">
        <v>11</v>
      </c>
      <c r="B35">
        <v>141055.37868632871</v>
      </c>
      <c r="C35">
        <v>7168.6213136712904</v>
      </c>
      <c r="D35">
        <v>0.66391463576594079</v>
      </c>
      <c r="F35">
        <v>37.5</v>
      </c>
      <c r="G35">
        <v>144064</v>
      </c>
    </row>
    <row r="36" spans="1:7" x14ac:dyDescent="0.3">
      <c r="A36">
        <v>12</v>
      </c>
      <c r="B36">
        <v>143254.14339044294</v>
      </c>
      <c r="C36">
        <v>16127.856609557057</v>
      </c>
      <c r="D36">
        <v>1.4936651802486851</v>
      </c>
      <c r="F36">
        <v>41.071428571428569</v>
      </c>
      <c r="G36">
        <v>148015</v>
      </c>
    </row>
    <row r="37" spans="1:7" x14ac:dyDescent="0.3">
      <c r="A37">
        <v>13</v>
      </c>
      <c r="B37">
        <v>145452.90809455718</v>
      </c>
      <c r="C37">
        <v>-12546.908094557177</v>
      </c>
      <c r="D37">
        <v>-1.1620192437422185</v>
      </c>
      <c r="F37">
        <v>44.642857142857146</v>
      </c>
      <c r="G37">
        <v>148224</v>
      </c>
    </row>
    <row r="38" spans="1:7" x14ac:dyDescent="0.3">
      <c r="A38">
        <v>14</v>
      </c>
      <c r="B38">
        <v>147651.67279867144</v>
      </c>
      <c r="C38">
        <v>-9797.6727986714395</v>
      </c>
      <c r="D38">
        <v>-0.90740158851444197</v>
      </c>
      <c r="F38">
        <v>48.214285714285715</v>
      </c>
      <c r="G38">
        <v>150453</v>
      </c>
    </row>
    <row r="39" spans="1:7" x14ac:dyDescent="0.3">
      <c r="A39">
        <v>15</v>
      </c>
      <c r="B39">
        <v>149850.43750278567</v>
      </c>
      <c r="C39">
        <v>6305.5624972143269</v>
      </c>
      <c r="D39">
        <v>0.58398331359108346</v>
      </c>
      <c r="F39">
        <v>51.785714285714285</v>
      </c>
      <c r="G39">
        <v>156156</v>
      </c>
    </row>
    <row r="40" spans="1:7" x14ac:dyDescent="0.3">
      <c r="A40">
        <v>16</v>
      </c>
      <c r="B40">
        <v>152049.20220689994</v>
      </c>
      <c r="C40">
        <v>9219.7977931000642</v>
      </c>
      <c r="D40">
        <v>0.85388227747056211</v>
      </c>
      <c r="F40">
        <v>55.357142857142861</v>
      </c>
      <c r="G40">
        <v>157938.04761904763</v>
      </c>
    </row>
    <row r="41" spans="1:7" x14ac:dyDescent="0.3">
      <c r="A41">
        <v>17</v>
      </c>
      <c r="B41">
        <v>154247.96691101417</v>
      </c>
      <c r="C41">
        <v>7365.714907167654</v>
      </c>
      <c r="D41">
        <v>0.68216826022346211</v>
      </c>
      <c r="F41">
        <v>58.928571428571431</v>
      </c>
      <c r="G41">
        <v>158067.38888888888</v>
      </c>
    </row>
    <row r="42" spans="1:7" x14ac:dyDescent="0.3">
      <c r="A42">
        <v>18</v>
      </c>
      <c r="B42">
        <v>156446.7316151284</v>
      </c>
      <c r="C42">
        <v>3664.2683848715969</v>
      </c>
      <c r="D42">
        <v>0.33936252225391722</v>
      </c>
      <c r="F42">
        <v>62.5</v>
      </c>
      <c r="G42">
        <v>159382</v>
      </c>
    </row>
    <row r="43" spans="1:7" x14ac:dyDescent="0.3">
      <c r="A43">
        <v>19</v>
      </c>
      <c r="B43">
        <v>158645.49631924264</v>
      </c>
      <c r="C43">
        <v>-707.44870019500377</v>
      </c>
      <c r="D43">
        <v>-6.5519648138940748E-2</v>
      </c>
      <c r="F43">
        <v>66.071428571428584</v>
      </c>
      <c r="G43">
        <v>160111</v>
      </c>
    </row>
    <row r="44" spans="1:7" x14ac:dyDescent="0.3">
      <c r="A44">
        <v>20</v>
      </c>
      <c r="B44">
        <v>160844.2610233569</v>
      </c>
      <c r="C44">
        <v>911.73897664310061</v>
      </c>
      <c r="D44">
        <v>8.4439786132546144E-2</v>
      </c>
      <c r="F44">
        <v>69.642857142857153</v>
      </c>
      <c r="G44">
        <v>161269</v>
      </c>
    </row>
    <row r="45" spans="1:7" x14ac:dyDescent="0.3">
      <c r="A45">
        <v>21</v>
      </c>
      <c r="B45">
        <v>163043.02572747113</v>
      </c>
      <c r="C45">
        <v>4998.2123677669733</v>
      </c>
      <c r="D45">
        <v>0.46290439938546207</v>
      </c>
      <c r="F45">
        <v>73.214285714285722</v>
      </c>
      <c r="G45">
        <v>161613.68181818182</v>
      </c>
    </row>
    <row r="46" spans="1:7" x14ac:dyDescent="0.3">
      <c r="A46">
        <v>22</v>
      </c>
      <c r="B46">
        <v>165241.7904315854</v>
      </c>
      <c r="C46">
        <v>7114.9368411418691</v>
      </c>
      <c r="D46">
        <v>0.65894270246578379</v>
      </c>
      <c r="F46">
        <v>76.785714285714292</v>
      </c>
      <c r="G46">
        <v>161756</v>
      </c>
    </row>
    <row r="47" spans="1:7" x14ac:dyDescent="0.3">
      <c r="A47">
        <v>23</v>
      </c>
      <c r="B47">
        <v>167440.55513569963</v>
      </c>
      <c r="C47">
        <v>-3120.3329134776432</v>
      </c>
      <c r="D47">
        <v>-0.28898648695100804</v>
      </c>
      <c r="F47">
        <v>80.357142857142861</v>
      </c>
      <c r="G47">
        <v>164320.22222222199</v>
      </c>
    </row>
    <row r="48" spans="1:7" x14ac:dyDescent="0.3">
      <c r="A48">
        <v>24</v>
      </c>
      <c r="B48">
        <v>169639.31983981386</v>
      </c>
      <c r="C48">
        <v>10485.457937963918</v>
      </c>
      <c r="D48">
        <v>0.97110011578463706</v>
      </c>
      <c r="F48">
        <v>83.928571428571445</v>
      </c>
      <c r="G48">
        <v>168041.23809523811</v>
      </c>
    </row>
    <row r="49" spans="1:7" x14ac:dyDescent="0.3">
      <c r="A49">
        <v>25</v>
      </c>
      <c r="B49">
        <v>171838.0845439281</v>
      </c>
      <c r="C49">
        <v>-21385.084543928097</v>
      </c>
      <c r="D49">
        <v>-1.9805580452030698</v>
      </c>
      <c r="F49">
        <v>87.500000000000014</v>
      </c>
      <c r="G49">
        <v>168441.45</v>
      </c>
    </row>
    <row r="50" spans="1:7" x14ac:dyDescent="0.3">
      <c r="A50">
        <v>26</v>
      </c>
      <c r="B50">
        <v>174036.84924804236</v>
      </c>
      <c r="C50">
        <v>-15969.460359153483</v>
      </c>
      <c r="D50">
        <v>-1.4789954712081441</v>
      </c>
      <c r="F50">
        <v>91.071428571428584</v>
      </c>
      <c r="G50">
        <v>172356.72727272726</v>
      </c>
    </row>
    <row r="51" spans="1:7" x14ac:dyDescent="0.3">
      <c r="A51">
        <v>27</v>
      </c>
      <c r="B51">
        <v>176235.61395215659</v>
      </c>
      <c r="C51">
        <v>-7794.1639521565812</v>
      </c>
      <c r="D51">
        <v>-0.72184863657499387</v>
      </c>
      <c r="F51">
        <v>94.642857142857153</v>
      </c>
      <c r="G51">
        <v>180124.77777777778</v>
      </c>
    </row>
    <row r="52" spans="1:7" ht="15" thickBot="1" x14ac:dyDescent="0.35">
      <c r="A52" s="25">
        <v>28</v>
      </c>
      <c r="B52" s="25">
        <v>178434.37865627086</v>
      </c>
      <c r="C52" s="25">
        <v>2079.6213437291444</v>
      </c>
      <c r="D52" s="25">
        <v>0.1926020341344985</v>
      </c>
      <c r="F52" s="25">
        <v>98.214285714285722</v>
      </c>
      <c r="G52" s="25">
        <v>180514</v>
      </c>
    </row>
  </sheetData>
  <sortState xmlns:xlrd2="http://schemas.microsoft.com/office/spreadsheetml/2017/richdata2" ref="G25:G52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568A-D4E6-4746-929D-DE182D3EBAEA}">
  <dimension ref="A2:P39"/>
  <sheetViews>
    <sheetView topLeftCell="B1" workbookViewId="0">
      <selection activeCell="I31" sqref="I31"/>
    </sheetView>
  </sheetViews>
  <sheetFormatPr baseColWidth="10" defaultRowHeight="14.4" x14ac:dyDescent="0.3"/>
  <sheetData>
    <row r="2" spans="1:16" ht="58.8" x14ac:dyDescent="0.35">
      <c r="A2" s="32" t="s">
        <v>33</v>
      </c>
      <c r="B2" s="33" t="s">
        <v>97</v>
      </c>
      <c r="C2" s="33" t="s">
        <v>40</v>
      </c>
      <c r="D2" s="33" t="s">
        <v>98</v>
      </c>
      <c r="E2" s="33" t="s">
        <v>99</v>
      </c>
      <c r="F2" s="33" t="s">
        <v>41</v>
      </c>
      <c r="G2" s="33" t="s">
        <v>42</v>
      </c>
      <c r="H2" s="33" t="s">
        <v>43</v>
      </c>
      <c r="I2" s="33" t="s">
        <v>44</v>
      </c>
      <c r="J2" s="33" t="s">
        <v>45</v>
      </c>
      <c r="K2" s="33" t="s">
        <v>10</v>
      </c>
      <c r="L2" s="33" t="s">
        <v>21</v>
      </c>
      <c r="M2" s="33" t="s">
        <v>22</v>
      </c>
    </row>
    <row r="3" spans="1:16" x14ac:dyDescent="0.3">
      <c r="A3" s="55"/>
      <c r="B3" s="56">
        <v>0</v>
      </c>
      <c r="C3" s="13"/>
      <c r="D3" s="57">
        <f>'AD HOLT LABORABLE'!$B$17</f>
        <v>116868.96694107202</v>
      </c>
      <c r="E3" s="57">
        <f>'AD HOLT LABORABLE'!B18</f>
        <v>2198.7647041142436</v>
      </c>
      <c r="F3" s="13"/>
      <c r="G3" s="13"/>
      <c r="H3" s="13"/>
      <c r="I3" s="13"/>
      <c r="J3" s="13"/>
      <c r="K3" s="13"/>
      <c r="L3" s="13"/>
      <c r="M3" s="13"/>
    </row>
    <row r="4" spans="1:16" x14ac:dyDescent="0.3">
      <c r="A4" s="23">
        <v>44562</v>
      </c>
      <c r="B4" s="22">
        <v>1</v>
      </c>
      <c r="C4" s="24">
        <v>92181.55</v>
      </c>
      <c r="D4" s="24">
        <f>$P$4*C4+(1-$P$4)*(D3+E3)</f>
        <v>113690.49531614903</v>
      </c>
      <c r="E4" s="24">
        <f>P5*(D4-D3)+(1-P5)*E3</f>
        <v>2198.7647041142436</v>
      </c>
      <c r="F4" s="24">
        <f>D3+E3</f>
        <v>119067.73164518627</v>
      </c>
      <c r="G4" s="24">
        <f>F4-C4</f>
        <v>26886.181645186269</v>
      </c>
      <c r="H4" s="24">
        <f>ABS(G4)</f>
        <v>26886.181645186269</v>
      </c>
      <c r="I4" s="24">
        <f>SUMSQ($G$4:G4)/B4</f>
        <v>722866763.45795107</v>
      </c>
      <c r="J4" s="24">
        <f>SUM($H$4:H4)/B4</f>
        <v>26886.181645186269</v>
      </c>
      <c r="K4" s="34">
        <f>100*(H4/C4)</f>
        <v>29.166554093727289</v>
      </c>
      <c r="L4" s="34">
        <f>AVERAGE($K$4:K4)</f>
        <v>29.166554093727289</v>
      </c>
      <c r="M4" s="30">
        <f>SUM($G$4:G4)/J4</f>
        <v>1</v>
      </c>
      <c r="O4" t="s">
        <v>93</v>
      </c>
      <c r="P4">
        <v>0.2</v>
      </c>
    </row>
    <row r="5" spans="1:16" x14ac:dyDescent="0.3">
      <c r="A5" s="23">
        <v>44593</v>
      </c>
      <c r="B5" s="22">
        <v>2</v>
      </c>
      <c r="C5" s="24">
        <v>101781.21052631579</v>
      </c>
      <c r="D5" s="24">
        <f t="shared" ref="D5:D31" si="0">$P$4*C5+(1-$P$4)*(D4+E4)</f>
        <v>113067.65012147378</v>
      </c>
      <c r="E5" s="24">
        <f t="shared" ref="E5:E31" si="1">P6*(D5-D4)+(1-P6)*E4</f>
        <v>2198.7647041142436</v>
      </c>
      <c r="F5" s="24">
        <f t="shared" ref="F5:F31" si="2">D4+E4</f>
        <v>115889.26002026327</v>
      </c>
      <c r="G5" s="24">
        <f t="shared" ref="G5:G31" si="3">F5-C5</f>
        <v>14108.049493947488</v>
      </c>
      <c r="H5" s="24">
        <f t="shared" ref="H5:H31" si="4">ABS(G5)</f>
        <v>14108.049493947488</v>
      </c>
      <c r="I5" s="24">
        <f>SUMSQ($G$4:G5)/B5</f>
        <v>460951911.99081153</v>
      </c>
      <c r="J5" s="24">
        <f>SUM($H$4:H5)/B5</f>
        <v>20497.115569566879</v>
      </c>
      <c r="K5" s="34">
        <f t="shared" ref="K5:K31" si="5">100*(H5/C5)</f>
        <v>13.861153174533936</v>
      </c>
      <c r="L5" s="34">
        <f>AVERAGE($K$4:K5)</f>
        <v>21.513853634130612</v>
      </c>
      <c r="M5" s="30">
        <f>SUM($G$4:G5)/J5</f>
        <v>2</v>
      </c>
      <c r="O5" t="s">
        <v>94</v>
      </c>
      <c r="P5">
        <v>0</v>
      </c>
    </row>
    <row r="6" spans="1:16" x14ac:dyDescent="0.3">
      <c r="A6" s="23">
        <v>44621</v>
      </c>
      <c r="B6" s="22">
        <v>3</v>
      </c>
      <c r="C6" s="24">
        <v>121611</v>
      </c>
      <c r="D6" s="24">
        <f t="shared" si="0"/>
        <v>116535.33186047043</v>
      </c>
      <c r="E6" s="24">
        <f t="shared" si="1"/>
        <v>2198.7647041142436</v>
      </c>
      <c r="F6" s="24">
        <f t="shared" si="2"/>
        <v>115266.41482558803</v>
      </c>
      <c r="G6" s="24">
        <f t="shared" si="3"/>
        <v>-6344.5851744119718</v>
      </c>
      <c r="H6" s="24">
        <f t="shared" si="4"/>
        <v>6344.5851744119718</v>
      </c>
      <c r="I6" s="24">
        <f>SUMSQ($G$4:G6)/B6</f>
        <v>320719195.00566375</v>
      </c>
      <c r="J6" s="24">
        <f>SUM($H$4:H6)/B6</f>
        <v>15779.605437848577</v>
      </c>
      <c r="K6" s="34">
        <f t="shared" si="5"/>
        <v>5.2171145491871389</v>
      </c>
      <c r="L6" s="34">
        <f>AVERAGE($K$4:K6)</f>
        <v>16.081607272482788</v>
      </c>
      <c r="M6" s="30">
        <f>SUM($G$4:G6)/J6</f>
        <v>2.1958499596962033</v>
      </c>
    </row>
    <row r="7" spans="1:16" x14ac:dyDescent="0.3">
      <c r="A7" s="23">
        <v>44652</v>
      </c>
      <c r="B7" s="22">
        <v>4</v>
      </c>
      <c r="C7" s="24">
        <v>131275.25</v>
      </c>
      <c r="D7" s="24">
        <f t="shared" si="0"/>
        <v>121242.32725166775</v>
      </c>
      <c r="E7" s="24">
        <f t="shared" si="1"/>
        <v>2198.7647041142436</v>
      </c>
      <c r="F7" s="24">
        <f t="shared" si="2"/>
        <v>118734.09656458467</v>
      </c>
      <c r="G7" s="24">
        <f t="shared" si="3"/>
        <v>-12541.153435415326</v>
      </c>
      <c r="H7" s="24">
        <f t="shared" si="4"/>
        <v>12541.153435415326</v>
      </c>
      <c r="I7" s="24">
        <f>SUMSQ($G$4:G7)/B7</f>
        <v>279859528.6269052</v>
      </c>
      <c r="J7" s="24">
        <f>SUM($H$4:H7)/B7</f>
        <v>14969.992437240264</v>
      </c>
      <c r="K7" s="34">
        <f t="shared" si="5"/>
        <v>9.5533266441429934</v>
      </c>
      <c r="L7" s="34">
        <f>AVERAGE($K$4:K7)</f>
        <v>14.449537115397838</v>
      </c>
      <c r="M7" s="30">
        <f>SUM($G$4:G7)/J7</f>
        <v>1.4768539544688097</v>
      </c>
    </row>
    <row r="8" spans="1:16" x14ac:dyDescent="0.3">
      <c r="A8" s="23">
        <v>44682</v>
      </c>
      <c r="B8" s="22">
        <v>5</v>
      </c>
      <c r="C8" s="24">
        <v>134583</v>
      </c>
      <c r="D8" s="24">
        <f t="shared" si="0"/>
        <v>125669.47356462562</v>
      </c>
      <c r="E8" s="24">
        <f t="shared" si="1"/>
        <v>2198.7647041142436</v>
      </c>
      <c r="F8" s="24">
        <f t="shared" si="2"/>
        <v>123441.091955782</v>
      </c>
      <c r="G8" s="24">
        <f t="shared" si="3"/>
        <v>-11141.908044217998</v>
      </c>
      <c r="H8" s="24">
        <f t="shared" si="4"/>
        <v>11141.908044217998</v>
      </c>
      <c r="I8" s="24">
        <f>SUMSQ($G$4:G8)/B8</f>
        <v>248716045.87468609</v>
      </c>
      <c r="J8" s="24">
        <f>SUM($H$4:H8)/B8</f>
        <v>14204.375558635811</v>
      </c>
      <c r="K8" s="34">
        <f t="shared" si="5"/>
        <v>8.2788376274997582</v>
      </c>
      <c r="L8" s="34">
        <f>AVERAGE($K$4:K8)</f>
        <v>13.215397217818222</v>
      </c>
      <c r="M8" s="30">
        <f>SUM($G$4:G8)/J8</f>
        <v>0.77205678206819339</v>
      </c>
    </row>
    <row r="9" spans="1:16" x14ac:dyDescent="0.3">
      <c r="A9" s="23">
        <v>44713</v>
      </c>
      <c r="B9" s="22">
        <v>6</v>
      </c>
      <c r="C9" s="24">
        <v>136247</v>
      </c>
      <c r="D9" s="24">
        <f t="shared" si="0"/>
        <v>129543.9906149919</v>
      </c>
      <c r="E9" s="24">
        <f t="shared" si="1"/>
        <v>2198.7647041142436</v>
      </c>
      <c r="F9" s="24">
        <f t="shared" si="2"/>
        <v>127868.23826873986</v>
      </c>
      <c r="G9" s="24">
        <f t="shared" si="3"/>
        <v>-8378.761731260136</v>
      </c>
      <c r="H9" s="24">
        <f t="shared" si="4"/>
        <v>8378.761731260136</v>
      </c>
      <c r="I9" s="24">
        <f>SUMSQ($G$4:G9)/B9</f>
        <v>218963979.58710995</v>
      </c>
      <c r="J9" s="24">
        <f>SUM($H$4:H9)/B9</f>
        <v>13233.439920739866</v>
      </c>
      <c r="K9" s="34">
        <f t="shared" si="5"/>
        <v>6.1496853004177243</v>
      </c>
      <c r="L9" s="34">
        <f>AVERAGE($K$4:K9)</f>
        <v>12.03777856491814</v>
      </c>
      <c r="M9" s="30">
        <f>SUM($G$4:G9)/J9</f>
        <v>0.19555178164768836</v>
      </c>
    </row>
    <row r="10" spans="1:16" x14ac:dyDescent="0.3">
      <c r="A10" s="23">
        <v>44743</v>
      </c>
      <c r="B10" s="22">
        <v>7</v>
      </c>
      <c r="C10" s="24">
        <v>133935</v>
      </c>
      <c r="D10" s="24">
        <f t="shared" si="0"/>
        <v>132181.20425528492</v>
      </c>
      <c r="E10" s="24">
        <f t="shared" si="1"/>
        <v>2198.7647041142436</v>
      </c>
      <c r="F10" s="24">
        <f t="shared" si="2"/>
        <v>131742.75531910613</v>
      </c>
      <c r="G10" s="24">
        <f t="shared" si="3"/>
        <v>-2192.2446808938694</v>
      </c>
      <c r="H10" s="24">
        <f t="shared" si="4"/>
        <v>2192.2446808938694</v>
      </c>
      <c r="I10" s="24">
        <f>SUMSQ($G$4:G10)/B10</f>
        <v>188369973.4662239</v>
      </c>
      <c r="J10" s="24">
        <f>SUM($H$4:H10)/B10</f>
        <v>11656.126315047581</v>
      </c>
      <c r="K10" s="34">
        <f t="shared" si="5"/>
        <v>1.6367974621225738</v>
      </c>
      <c r="L10" s="34">
        <f>AVERAGE($K$4:K10)</f>
        <v>10.55192412166163</v>
      </c>
      <c r="M10" s="30">
        <f>SUM($G$4:G10)/J10</f>
        <v>3.3937352962946192E-2</v>
      </c>
    </row>
    <row r="11" spans="1:16" x14ac:dyDescent="0.3">
      <c r="A11" s="23">
        <v>44774</v>
      </c>
      <c r="B11" s="22">
        <v>8</v>
      </c>
      <c r="C11" s="24">
        <v>141808</v>
      </c>
      <c r="D11" s="24">
        <f t="shared" si="0"/>
        <v>135865.57516751933</v>
      </c>
      <c r="E11" s="24">
        <f t="shared" si="1"/>
        <v>2198.7647041142436</v>
      </c>
      <c r="F11" s="24">
        <f t="shared" si="2"/>
        <v>134379.96895939915</v>
      </c>
      <c r="G11" s="24">
        <f t="shared" si="3"/>
        <v>-7428.0310406008502</v>
      </c>
      <c r="H11" s="24">
        <f t="shared" si="4"/>
        <v>7428.0310406008502</v>
      </c>
      <c r="I11" s="24">
        <f>SUMSQ($G$4:G11)/B11</f>
        <v>171720682.42546213</v>
      </c>
      <c r="J11" s="24">
        <f>SUM($H$4:H11)/B11</f>
        <v>11127.614405741739</v>
      </c>
      <c r="K11" s="34">
        <f t="shared" si="5"/>
        <v>5.2380902633143762</v>
      </c>
      <c r="L11" s="34">
        <f>AVERAGE($K$4:K11)</f>
        <v>9.8876948893682233</v>
      </c>
      <c r="M11" s="30">
        <f>SUM($G$4:G11)/J11</f>
        <v>-0.6319820862985438</v>
      </c>
    </row>
    <row r="12" spans="1:16" x14ac:dyDescent="0.3">
      <c r="A12" s="23">
        <v>44805</v>
      </c>
      <c r="B12" s="22">
        <v>9</v>
      </c>
      <c r="C12" s="24">
        <v>144064</v>
      </c>
      <c r="D12" s="24">
        <f t="shared" si="0"/>
        <v>139264.27189730684</v>
      </c>
      <c r="E12" s="24">
        <f t="shared" si="1"/>
        <v>2198.7647041142436</v>
      </c>
      <c r="F12" s="24">
        <f t="shared" si="2"/>
        <v>138064.33987163357</v>
      </c>
      <c r="G12" s="24">
        <f t="shared" si="3"/>
        <v>-5999.6601283664349</v>
      </c>
      <c r="H12" s="24">
        <f t="shared" si="4"/>
        <v>5999.6601283664349</v>
      </c>
      <c r="I12" s="24">
        <f>SUMSQ($G$4:G12)/B12</f>
        <v>156640153.45106745</v>
      </c>
      <c r="J12" s="24">
        <f>SUM($H$4:H12)/B12</f>
        <v>10557.841708255593</v>
      </c>
      <c r="K12" s="34">
        <f t="shared" si="5"/>
        <v>4.1645797203787449</v>
      </c>
      <c r="L12" s="34">
        <f>AVERAGE($K$4:K12)</f>
        <v>9.2517932039249473</v>
      </c>
      <c r="M12" s="30">
        <f>SUM($G$4:G12)/J12</f>
        <v>-1.2343539007449322</v>
      </c>
    </row>
    <row r="13" spans="1:16" x14ac:dyDescent="0.3">
      <c r="A13" s="23">
        <v>44835</v>
      </c>
      <c r="B13" s="22">
        <v>10</v>
      </c>
      <c r="C13" s="24">
        <v>148015</v>
      </c>
      <c r="D13" s="24">
        <f t="shared" si="0"/>
        <v>142773.42928113687</v>
      </c>
      <c r="E13" s="24">
        <f t="shared" si="1"/>
        <v>2198.7647041142436</v>
      </c>
      <c r="F13" s="24">
        <f t="shared" si="2"/>
        <v>141463.03660142107</v>
      </c>
      <c r="G13" s="24">
        <f t="shared" si="3"/>
        <v>-6551.963398578926</v>
      </c>
      <c r="H13" s="24">
        <f t="shared" si="4"/>
        <v>6551.963398578926</v>
      </c>
      <c r="I13" s="24">
        <f>SUMSQ($G$4:G13)/B13</f>
        <v>145268960.54359251</v>
      </c>
      <c r="J13" s="24">
        <f>SUM($H$4:H13)/B13</f>
        <v>10157.253877287927</v>
      </c>
      <c r="K13" s="34">
        <f t="shared" si="5"/>
        <v>4.4265536591419288</v>
      </c>
      <c r="L13" s="34">
        <f>AVERAGE($K$4:K13)</f>
        <v>8.769269249446646</v>
      </c>
      <c r="M13" s="30">
        <f>SUM($G$4:G13)/J13</f>
        <v>-1.9280877224505164</v>
      </c>
    </row>
    <row r="14" spans="1:16" x14ac:dyDescent="0.3">
      <c r="A14" s="23">
        <v>44866</v>
      </c>
      <c r="B14" s="22">
        <v>11</v>
      </c>
      <c r="C14" s="24">
        <v>148224</v>
      </c>
      <c r="D14" s="24">
        <f t="shared" si="0"/>
        <v>145622.5551882009</v>
      </c>
      <c r="E14" s="24">
        <f t="shared" si="1"/>
        <v>2198.7647041142436</v>
      </c>
      <c r="F14" s="24">
        <f t="shared" si="2"/>
        <v>144972.1939852511</v>
      </c>
      <c r="G14" s="24">
        <f t="shared" si="3"/>
        <v>-3251.8060147489014</v>
      </c>
      <c r="H14" s="24">
        <f t="shared" si="4"/>
        <v>3251.8060147489014</v>
      </c>
      <c r="I14" s="24">
        <f>SUMSQ($G$4:G14)/B14</f>
        <v>133023986.16304383</v>
      </c>
      <c r="J14" s="24">
        <f>SUM($H$4:H14)/B14</f>
        <v>9529.4858897843787</v>
      </c>
      <c r="K14" s="34">
        <f t="shared" si="5"/>
        <v>2.1938458109003278</v>
      </c>
      <c r="L14" s="34">
        <f>AVERAGE($K$4:K14)</f>
        <v>8.1715034823060719</v>
      </c>
      <c r="M14" s="30">
        <f>SUM($G$4:G14)/J14</f>
        <v>-2.3963394010416401</v>
      </c>
    </row>
    <row r="15" spans="1:16" x14ac:dyDescent="0.3">
      <c r="A15" s="23">
        <v>44896</v>
      </c>
      <c r="B15" s="22">
        <v>12</v>
      </c>
      <c r="C15" s="24">
        <v>159382</v>
      </c>
      <c r="D15" s="24">
        <f t="shared" si="0"/>
        <v>150133.45591385211</v>
      </c>
      <c r="E15" s="24">
        <f t="shared" si="1"/>
        <v>2198.7647041142436</v>
      </c>
      <c r="F15" s="24">
        <f t="shared" si="2"/>
        <v>147821.31989231514</v>
      </c>
      <c r="G15" s="24">
        <f t="shared" si="3"/>
        <v>-11560.680107684864</v>
      </c>
      <c r="H15" s="24">
        <f t="shared" si="4"/>
        <v>11560.680107684864</v>
      </c>
      <c r="I15" s="24">
        <f>SUMSQ($G$4:G15)/B15</f>
        <v>133076097.69547522</v>
      </c>
      <c r="J15" s="24">
        <f>SUM($H$4:H15)/B15</f>
        <v>9698.7520746094197</v>
      </c>
      <c r="K15" s="34">
        <f t="shared" si="5"/>
        <v>7.2534414850390032</v>
      </c>
      <c r="L15" s="34">
        <f>AVERAGE($K$4:K15)</f>
        <v>8.0949983158671497</v>
      </c>
      <c r="M15" s="35">
        <f>SUM($G$4:G15)/J15</f>
        <v>-3.546493647063425</v>
      </c>
    </row>
    <row r="16" spans="1:16" x14ac:dyDescent="0.3">
      <c r="A16" s="23">
        <v>44927</v>
      </c>
      <c r="B16" s="22">
        <v>13</v>
      </c>
      <c r="C16" s="24">
        <v>132906</v>
      </c>
      <c r="D16" s="24">
        <f t="shared" si="0"/>
        <v>148446.97649437308</v>
      </c>
      <c r="E16" s="24">
        <f t="shared" si="1"/>
        <v>2198.7647041142436</v>
      </c>
      <c r="F16" s="24">
        <f t="shared" si="2"/>
        <v>152332.22061796635</v>
      </c>
      <c r="G16" s="24">
        <f t="shared" si="3"/>
        <v>19426.220617966348</v>
      </c>
      <c r="H16" s="24">
        <f t="shared" si="4"/>
        <v>19426.220617966348</v>
      </c>
      <c r="I16" s="24">
        <f>SUMSQ($G$4:G16)/B16</f>
        <v>151868555.37258488</v>
      </c>
      <c r="J16" s="24">
        <f>SUM($H$4:H16)/B16</f>
        <v>10447.018885636877</v>
      </c>
      <c r="K16" s="34">
        <f t="shared" si="5"/>
        <v>14.616511382455529</v>
      </c>
      <c r="L16" s="34">
        <f>AVERAGE($K$4:K16)</f>
        <v>8.5966531671431774</v>
      </c>
      <c r="M16" s="30">
        <f>SUM($G$4:G16)/J16</f>
        <v>-1.4329774036937182</v>
      </c>
    </row>
    <row r="17" spans="1:13" x14ac:dyDescent="0.3">
      <c r="A17" s="23">
        <v>44958</v>
      </c>
      <c r="B17" s="22">
        <v>14</v>
      </c>
      <c r="C17" s="24">
        <v>137854</v>
      </c>
      <c r="D17" s="24">
        <f t="shared" si="0"/>
        <v>148087.39295878986</v>
      </c>
      <c r="E17" s="24">
        <f t="shared" si="1"/>
        <v>2198.7647041142436</v>
      </c>
      <c r="F17" s="24">
        <f t="shared" si="2"/>
        <v>150645.74119848732</v>
      </c>
      <c r="G17" s="24">
        <f t="shared" si="3"/>
        <v>12791.741198487318</v>
      </c>
      <c r="H17" s="24">
        <f t="shared" si="4"/>
        <v>12791.741198487318</v>
      </c>
      <c r="I17" s="24">
        <f>SUMSQ($G$4:G17)/B17</f>
        <v>152708561.62376294</v>
      </c>
      <c r="J17" s="24">
        <f>SUM($H$4:H17)/B17</f>
        <v>10614.499050840479</v>
      </c>
      <c r="K17" s="34">
        <f t="shared" si="5"/>
        <v>9.2791947991986579</v>
      </c>
      <c r="L17" s="34">
        <f>AVERAGE($K$4:K17)</f>
        <v>8.6454061408614269</v>
      </c>
      <c r="M17" s="30">
        <f>SUM($G$4:G17)/J17</f>
        <v>-0.20524763252198411</v>
      </c>
    </row>
    <row r="18" spans="1:13" x14ac:dyDescent="0.3">
      <c r="A18" s="23">
        <v>44986</v>
      </c>
      <c r="B18" s="22">
        <v>15</v>
      </c>
      <c r="C18" s="24">
        <v>156156</v>
      </c>
      <c r="D18" s="24">
        <f t="shared" si="0"/>
        <v>151460.12613032327</v>
      </c>
      <c r="E18" s="24">
        <f t="shared" si="1"/>
        <v>2198.7647041142436</v>
      </c>
      <c r="F18" s="24">
        <f t="shared" si="2"/>
        <v>150286.15766290409</v>
      </c>
      <c r="G18" s="24">
        <f t="shared" si="3"/>
        <v>-5869.8423370959063</v>
      </c>
      <c r="H18" s="24">
        <f t="shared" si="4"/>
        <v>5869.8423370959063</v>
      </c>
      <c r="I18" s="24">
        <f>SUMSQ($G$4:G18)/B18</f>
        <v>144824994.11966965</v>
      </c>
      <c r="J18" s="24">
        <f>SUM($H$4:H18)/B18</f>
        <v>10298.188603257508</v>
      </c>
      <c r="K18" s="34">
        <f t="shared" si="5"/>
        <v>3.7589604863699804</v>
      </c>
      <c r="L18" s="34">
        <f>AVERAGE($K$4:K18)</f>
        <v>8.3196430972286652</v>
      </c>
      <c r="M18" s="30">
        <f>SUM($G$4:G18)/J18</f>
        <v>-0.78153969088718089</v>
      </c>
    </row>
    <row r="19" spans="1:13" x14ac:dyDescent="0.3">
      <c r="A19" s="23">
        <v>45017</v>
      </c>
      <c r="B19" s="22">
        <v>16</v>
      </c>
      <c r="C19" s="24">
        <v>161269</v>
      </c>
      <c r="D19" s="24">
        <f t="shared" si="0"/>
        <v>155180.91266755003</v>
      </c>
      <c r="E19" s="24">
        <f t="shared" si="1"/>
        <v>2198.7647041142436</v>
      </c>
      <c r="F19" s="24">
        <f t="shared" si="2"/>
        <v>153658.89083443751</v>
      </c>
      <c r="G19" s="24">
        <f t="shared" si="3"/>
        <v>-7610.1091655624914</v>
      </c>
      <c r="H19" s="24">
        <f t="shared" si="4"/>
        <v>7610.1091655624914</v>
      </c>
      <c r="I19" s="24">
        <f>SUMSQ($G$4:G19)/B19</f>
        <v>139393042.08167645</v>
      </c>
      <c r="J19" s="24">
        <f>SUM($H$4:H19)/B19</f>
        <v>10130.18363840157</v>
      </c>
      <c r="K19" s="34">
        <f t="shared" si="5"/>
        <v>4.7188915201077029</v>
      </c>
      <c r="L19" s="34">
        <f>AVERAGE($K$4:K19)</f>
        <v>8.0945961236586044</v>
      </c>
      <c r="M19" s="30">
        <f>SUM($G$4:G19)/J19</f>
        <v>-1.5457323245248691</v>
      </c>
    </row>
    <row r="20" spans="1:13" x14ac:dyDescent="0.3">
      <c r="A20" s="23">
        <v>45047</v>
      </c>
      <c r="B20" s="22">
        <v>17</v>
      </c>
      <c r="C20" s="24">
        <v>161613.68181818182</v>
      </c>
      <c r="D20" s="24">
        <f t="shared" si="0"/>
        <v>158226.47826096779</v>
      </c>
      <c r="E20" s="24">
        <f t="shared" si="1"/>
        <v>2198.7647041142436</v>
      </c>
      <c r="F20" s="24">
        <f t="shared" si="2"/>
        <v>157379.67737166426</v>
      </c>
      <c r="G20" s="24">
        <f t="shared" si="3"/>
        <v>-4234.0044465175597</v>
      </c>
      <c r="H20" s="24">
        <f t="shared" si="4"/>
        <v>4234.0044465175597</v>
      </c>
      <c r="I20" s="24">
        <f>SUMSQ($G$4:G20)/B20</f>
        <v>132247968.64470316</v>
      </c>
      <c r="J20" s="24">
        <f>SUM($H$4:H20)/B20</f>
        <v>9783.3495682907451</v>
      </c>
      <c r="K20" s="34">
        <f t="shared" si="5"/>
        <v>2.6198304493061966</v>
      </c>
      <c r="L20" s="34">
        <f>AVERAGE($K$4:K20)</f>
        <v>7.7725510839908152</v>
      </c>
      <c r="M20" s="30">
        <f>SUM($G$4:G20)/J20</f>
        <v>-2.0333073668595545</v>
      </c>
    </row>
    <row r="21" spans="1:13" x14ac:dyDescent="0.3">
      <c r="A21" s="23">
        <v>45078</v>
      </c>
      <c r="B21" s="22">
        <v>18</v>
      </c>
      <c r="C21" s="24">
        <v>160111</v>
      </c>
      <c r="D21" s="24">
        <f t="shared" si="0"/>
        <v>160362.39437206564</v>
      </c>
      <c r="E21" s="24">
        <f t="shared" si="1"/>
        <v>2198.7647041142436</v>
      </c>
      <c r="F21" s="24">
        <f t="shared" si="2"/>
        <v>160425.24296508203</v>
      </c>
      <c r="G21" s="24">
        <f t="shared" si="3"/>
        <v>314.24296508202679</v>
      </c>
      <c r="H21" s="24">
        <f t="shared" si="4"/>
        <v>314.24296508202679</v>
      </c>
      <c r="I21" s="24">
        <f>SUMSQ($G$4:G21)/B21</f>
        <v>124906345.31116986</v>
      </c>
      <c r="J21" s="24">
        <f>SUM($H$4:H21)/B21</f>
        <v>9257.288090334705</v>
      </c>
      <c r="K21" s="34">
        <f t="shared" si="5"/>
        <v>0.1962656938511575</v>
      </c>
      <c r="L21" s="34">
        <f>AVERAGE($K$4:K21)</f>
        <v>7.3516463400941676</v>
      </c>
      <c r="M21" s="30">
        <f>SUM($G$4:G21)/J21</f>
        <v>-2.1149081235925884</v>
      </c>
    </row>
    <row r="22" spans="1:13" x14ac:dyDescent="0.3">
      <c r="A22" s="23">
        <v>45108</v>
      </c>
      <c r="B22" s="22">
        <v>19</v>
      </c>
      <c r="C22" s="24">
        <v>157938.04761904763</v>
      </c>
      <c r="D22" s="24">
        <f t="shared" si="0"/>
        <v>161636.53678475344</v>
      </c>
      <c r="E22" s="24">
        <f t="shared" si="1"/>
        <v>2198.7647041142436</v>
      </c>
      <c r="F22" s="24">
        <f t="shared" si="2"/>
        <v>162561.15907617987</v>
      </c>
      <c r="G22" s="24">
        <f t="shared" si="3"/>
        <v>4623.1114571322396</v>
      </c>
      <c r="H22" s="24">
        <f t="shared" si="4"/>
        <v>4623.1114571322396</v>
      </c>
      <c r="I22" s="24">
        <f>SUMSQ($G$4:G22)/B22</f>
        <v>119457230.27084868</v>
      </c>
      <c r="J22" s="24">
        <f>SUM($H$4:H22)/B22</f>
        <v>9013.3840570082593</v>
      </c>
      <c r="K22" s="34">
        <f t="shared" si="5"/>
        <v>2.927167662780886</v>
      </c>
      <c r="L22" s="34">
        <f>AVERAGE($K$4:K22)</f>
        <v>7.1187790412882048</v>
      </c>
      <c r="M22" s="30">
        <f>SUM($G$4:G22)/J22</f>
        <v>-1.6592216899850496</v>
      </c>
    </row>
    <row r="23" spans="1:13" x14ac:dyDescent="0.3">
      <c r="A23" s="23">
        <v>45139</v>
      </c>
      <c r="B23" s="22">
        <v>20</v>
      </c>
      <c r="C23" s="24">
        <v>161756</v>
      </c>
      <c r="D23" s="24">
        <f t="shared" si="0"/>
        <v>163419.44119109414</v>
      </c>
      <c r="E23" s="24">
        <f t="shared" si="1"/>
        <v>2198.7647041142436</v>
      </c>
      <c r="F23" s="24">
        <f t="shared" si="2"/>
        <v>163835.30148886767</v>
      </c>
      <c r="G23" s="24">
        <f t="shared" si="3"/>
        <v>2079.3014888676698</v>
      </c>
      <c r="H23" s="24">
        <f t="shared" si="4"/>
        <v>2079.3014888676698</v>
      </c>
      <c r="I23" s="24">
        <f>SUMSQ($G$4:G23)/B23</f>
        <v>113700543.49138661</v>
      </c>
      <c r="J23" s="24">
        <f>SUM($H$4:H23)/B23</f>
        <v>8666.6799286012301</v>
      </c>
      <c r="K23" s="34">
        <f t="shared" si="5"/>
        <v>1.2854555558171998</v>
      </c>
      <c r="L23" s="34">
        <f>AVERAGE($K$4:K23)</f>
        <v>6.8271128670146553</v>
      </c>
      <c r="M23" s="30">
        <f>SUM($G$4:G23)/J23</f>
        <v>-1.4856785925823384</v>
      </c>
    </row>
    <row r="24" spans="1:13" x14ac:dyDescent="0.3">
      <c r="A24" s="23">
        <v>45170</v>
      </c>
      <c r="B24" s="22">
        <v>21</v>
      </c>
      <c r="C24" s="24">
        <v>168041.23809523811</v>
      </c>
      <c r="D24" s="24">
        <f t="shared" si="0"/>
        <v>166102.81233521432</v>
      </c>
      <c r="E24" s="24">
        <f t="shared" si="1"/>
        <v>2198.7647041142436</v>
      </c>
      <c r="F24" s="24">
        <f t="shared" si="2"/>
        <v>165618.20589520838</v>
      </c>
      <c r="G24" s="24">
        <f t="shared" si="3"/>
        <v>-2423.032200029731</v>
      </c>
      <c r="H24" s="24">
        <f t="shared" si="4"/>
        <v>2423.032200029731</v>
      </c>
      <c r="I24" s="24">
        <f>SUMSQ($G$4:G24)/B24</f>
        <v>108565807.37476727</v>
      </c>
      <c r="J24" s="24">
        <f>SUM($H$4:H24)/B24</f>
        <v>8369.3633700978262</v>
      </c>
      <c r="K24" s="34">
        <f t="shared" si="5"/>
        <v>1.4419271290160733</v>
      </c>
      <c r="L24" s="34">
        <f>AVERAGE($K$4:K24)</f>
        <v>6.5706754509194853</v>
      </c>
      <c r="M24" s="30">
        <f>SUM($G$4:G24)/J24</f>
        <v>-1.8279685517510018</v>
      </c>
    </row>
    <row r="25" spans="1:13" x14ac:dyDescent="0.3">
      <c r="A25" s="23">
        <v>45200</v>
      </c>
      <c r="B25" s="22">
        <v>22</v>
      </c>
      <c r="C25" s="24">
        <v>172356.72727272726</v>
      </c>
      <c r="D25" s="24">
        <f t="shared" si="0"/>
        <v>169112.6070860083</v>
      </c>
      <c r="E25" s="24">
        <f t="shared" si="1"/>
        <v>2198.7647041142436</v>
      </c>
      <c r="F25" s="24">
        <f t="shared" si="2"/>
        <v>168301.57703932855</v>
      </c>
      <c r="G25" s="24">
        <f t="shared" si="3"/>
        <v>-4055.1502333987155</v>
      </c>
      <c r="H25" s="24">
        <f t="shared" si="4"/>
        <v>4055.1502333987155</v>
      </c>
      <c r="I25" s="24">
        <f>SUMSQ($G$4:G25)/B25</f>
        <v>104378463.55843395</v>
      </c>
      <c r="J25" s="24">
        <f>SUM($H$4:H25)/B25</f>
        <v>8173.2627729751393</v>
      </c>
      <c r="K25" s="34">
        <f t="shared" si="5"/>
        <v>2.3527658580927224</v>
      </c>
      <c r="L25" s="34">
        <f>AVERAGE($K$4:K25)</f>
        <v>6.3789522876091773</v>
      </c>
      <c r="M25" s="30">
        <f>SUM($G$4:G25)/J25</f>
        <v>-2.3679751660632427</v>
      </c>
    </row>
    <row r="26" spans="1:13" x14ac:dyDescent="0.3">
      <c r="A26" s="23">
        <v>45231</v>
      </c>
      <c r="B26" s="22">
        <v>23</v>
      </c>
      <c r="C26" s="24">
        <v>164320.22222222199</v>
      </c>
      <c r="D26" s="24">
        <f t="shared" si="0"/>
        <v>169913.14187654242</v>
      </c>
      <c r="E26" s="24">
        <f t="shared" si="1"/>
        <v>2198.7647041142436</v>
      </c>
      <c r="F26" s="24">
        <f t="shared" si="2"/>
        <v>171311.37179012253</v>
      </c>
      <c r="G26" s="24">
        <f t="shared" si="3"/>
        <v>6991.1495679005457</v>
      </c>
      <c r="H26" s="24">
        <f t="shared" si="4"/>
        <v>6991.1495679005457</v>
      </c>
      <c r="I26" s="24">
        <f>SUMSQ($G$4:G26)/B26</f>
        <v>101965320.45940447</v>
      </c>
      <c r="J26" s="24">
        <f>SUM($H$4:H26)/B26</f>
        <v>8121.8665466675475</v>
      </c>
      <c r="K26" s="34">
        <f t="shared" si="5"/>
        <v>4.2545886765208447</v>
      </c>
      <c r="L26" s="34">
        <f>AVERAGE($K$4:K26)</f>
        <v>6.2865886523444674</v>
      </c>
      <c r="M26" s="30">
        <f>SUM($G$4:G26)/J26</f>
        <v>-1.5221788776234406</v>
      </c>
    </row>
    <row r="27" spans="1:13" x14ac:dyDescent="0.3">
      <c r="A27" s="23">
        <v>45261</v>
      </c>
      <c r="B27" s="22">
        <v>24</v>
      </c>
      <c r="C27" s="24">
        <v>180124.77777777778</v>
      </c>
      <c r="D27" s="24">
        <f t="shared" si="0"/>
        <v>173714.48082008088</v>
      </c>
      <c r="E27" s="24">
        <f t="shared" si="1"/>
        <v>2198.7647041142436</v>
      </c>
      <c r="F27" s="24">
        <f t="shared" si="2"/>
        <v>172111.90658065665</v>
      </c>
      <c r="G27" s="24">
        <f t="shared" si="3"/>
        <v>-8012.8711971211305</v>
      </c>
      <c r="H27" s="24">
        <f t="shared" si="4"/>
        <v>8012.8711971211305</v>
      </c>
      <c r="I27" s="24">
        <f>SUMSQ($G$4:G27)/B27</f>
        <v>100392019.80783151</v>
      </c>
      <c r="J27" s="24">
        <f>SUM($H$4:H27)/B27</f>
        <v>8117.3250737697808</v>
      </c>
      <c r="K27" s="34">
        <f t="shared" si="5"/>
        <v>4.4485113575028032</v>
      </c>
      <c r="L27" s="34">
        <f>AVERAGE($K$4:K27)</f>
        <v>6.2100020983927315</v>
      </c>
      <c r="M27" s="30">
        <f>SUM($G$4:G27)/J27</f>
        <v>-2.510162487785172</v>
      </c>
    </row>
    <row r="28" spans="1:13" x14ac:dyDescent="0.3">
      <c r="A28" s="23">
        <v>45292</v>
      </c>
      <c r="B28" s="22">
        <v>25</v>
      </c>
      <c r="C28" s="24">
        <v>150453</v>
      </c>
      <c r="D28" s="24">
        <f t="shared" si="0"/>
        <v>170821.1964193561</v>
      </c>
      <c r="E28" s="24">
        <f t="shared" si="1"/>
        <v>2198.7647041142436</v>
      </c>
      <c r="F28" s="24">
        <f t="shared" si="2"/>
        <v>175913.24552419511</v>
      </c>
      <c r="G28" s="24">
        <f t="shared" si="3"/>
        <v>25460.24552419511</v>
      </c>
      <c r="H28" s="24">
        <f t="shared" si="4"/>
        <v>25460.24552419511</v>
      </c>
      <c r="I28" s="24">
        <f>SUMSQ($G$4:G28)/B28</f>
        <v>122305303.10161012</v>
      </c>
      <c r="J28" s="24">
        <f>SUM($H$4:H28)/B28</f>
        <v>8811.0418917867937</v>
      </c>
      <c r="K28" s="34">
        <f t="shared" si="5"/>
        <v>16.922391394119831</v>
      </c>
      <c r="L28" s="34">
        <f>AVERAGE($K$4:K28)</f>
        <v>6.6384976702218159</v>
      </c>
      <c r="M28" s="30">
        <f>SUM($G$4:G28)/J28</f>
        <v>0.5770532798850565</v>
      </c>
    </row>
    <row r="29" spans="1:13" x14ac:dyDescent="0.3">
      <c r="A29" s="23">
        <v>45323</v>
      </c>
      <c r="B29" s="22">
        <v>26</v>
      </c>
      <c r="C29" s="24">
        <v>158067.38888888888</v>
      </c>
      <c r="D29" s="24">
        <f t="shared" si="0"/>
        <v>170029.44667655404</v>
      </c>
      <c r="E29" s="24">
        <f t="shared" si="1"/>
        <v>2198.7647041142436</v>
      </c>
      <c r="F29" s="24">
        <f t="shared" si="2"/>
        <v>173019.96112347033</v>
      </c>
      <c r="G29" s="24">
        <f t="shared" si="3"/>
        <v>14952.572234581457</v>
      </c>
      <c r="H29" s="24">
        <f t="shared" si="4"/>
        <v>14952.572234581457</v>
      </c>
      <c r="I29" s="24">
        <f>SUMSQ($G$4:G29)/B29</f>
        <v>126200461.30656268</v>
      </c>
      <c r="J29" s="24">
        <f>SUM($H$4:H29)/B29</f>
        <v>9047.2545972788957</v>
      </c>
      <c r="K29" s="34">
        <f t="shared" si="5"/>
        <v>9.4596186725727129</v>
      </c>
      <c r="L29" s="34">
        <f>AVERAGE($K$4:K29)</f>
        <v>6.7470023241583883</v>
      </c>
      <c r="M29" s="30">
        <f>SUM($G$4:G29)/J29</f>
        <v>2.2147064219313677</v>
      </c>
    </row>
    <row r="30" spans="1:13" x14ac:dyDescent="0.3">
      <c r="A30" s="23">
        <v>45352</v>
      </c>
      <c r="B30" s="22">
        <v>27</v>
      </c>
      <c r="C30" s="24">
        <v>168441.45</v>
      </c>
      <c r="D30" s="24">
        <f t="shared" si="0"/>
        <v>171470.85910453464</v>
      </c>
      <c r="E30" s="24">
        <f t="shared" si="1"/>
        <v>2198.7647041142436</v>
      </c>
      <c r="F30" s="24">
        <f t="shared" si="2"/>
        <v>172228.21138066828</v>
      </c>
      <c r="G30" s="24">
        <f t="shared" si="3"/>
        <v>3786.7613806682639</v>
      </c>
      <c r="H30" s="24">
        <f t="shared" si="4"/>
        <v>3786.7613806682639</v>
      </c>
      <c r="I30" s="24">
        <f>SUMSQ($G$4:G30)/B30</f>
        <v>122057465.02684261</v>
      </c>
      <c r="J30" s="24">
        <f>SUM($H$4:H30)/B30</f>
        <v>8852.4215151822063</v>
      </c>
      <c r="K30" s="34">
        <f t="shared" si="5"/>
        <v>2.248117301690447</v>
      </c>
      <c r="L30" s="34">
        <f>AVERAGE($K$4:K30)</f>
        <v>6.5803769529558727</v>
      </c>
      <c r="M30" s="35">
        <f>SUM($G$4:G30)/J30</f>
        <v>2.6912155275538261</v>
      </c>
    </row>
    <row r="31" spans="1:13" x14ac:dyDescent="0.3">
      <c r="A31" s="23">
        <v>45383</v>
      </c>
      <c r="B31" s="22">
        <v>28</v>
      </c>
      <c r="C31" s="24">
        <v>180514</v>
      </c>
      <c r="D31" s="24">
        <f t="shared" si="0"/>
        <v>175038.49904691911</v>
      </c>
      <c r="E31" s="24">
        <f t="shared" si="1"/>
        <v>2198.7647041142436</v>
      </c>
      <c r="F31" s="24">
        <f t="shared" si="2"/>
        <v>173669.62380864887</v>
      </c>
      <c r="G31" s="24">
        <f t="shared" si="3"/>
        <v>-6844.3761913511262</v>
      </c>
      <c r="H31" s="24">
        <f t="shared" si="4"/>
        <v>6844.3761913511262</v>
      </c>
      <c r="I31" s="58">
        <f>SUMSQ($G$4:G31)/B31</f>
        <v>119371322.89905302</v>
      </c>
      <c r="J31" s="31">
        <f>SUM($H$4:H31)/B31</f>
        <v>8780.7056107596673</v>
      </c>
      <c r="K31" s="34">
        <f t="shared" si="5"/>
        <v>3.7916040813184164</v>
      </c>
      <c r="L31" s="36">
        <f>AVERAGE($K$4:K31)</f>
        <v>6.4807779218259629</v>
      </c>
      <c r="M31" s="30">
        <f>SUM($G$4:G31)/J31</f>
        <v>1.9337168104067455</v>
      </c>
    </row>
    <row r="32" spans="1:13" x14ac:dyDescent="0.3">
      <c r="A32" s="38">
        <v>45413</v>
      </c>
      <c r="B32" s="37">
        <v>29</v>
      </c>
      <c r="F32" s="31">
        <f>$D$31+$E$31</f>
        <v>177237.26375103334</v>
      </c>
    </row>
    <row r="33" spans="1:6" x14ac:dyDescent="0.3">
      <c r="A33" s="38">
        <v>45444</v>
      </c>
      <c r="B33" s="37">
        <v>30</v>
      </c>
      <c r="F33" s="31">
        <f>$D$31+$E$31*B5</f>
        <v>179436.02845514761</v>
      </c>
    </row>
    <row r="34" spans="1:6" x14ac:dyDescent="0.3">
      <c r="A34" s="38">
        <v>45474</v>
      </c>
      <c r="B34" s="37">
        <v>31</v>
      </c>
      <c r="F34" s="31">
        <f t="shared" ref="F34:F39" si="6">$D$31+$E$31*B6</f>
        <v>181634.79315926184</v>
      </c>
    </row>
    <row r="35" spans="1:6" x14ac:dyDescent="0.3">
      <c r="A35" s="38">
        <v>45505</v>
      </c>
      <c r="B35" s="37">
        <v>32</v>
      </c>
      <c r="F35" s="31">
        <f t="shared" si="6"/>
        <v>183833.55786337607</v>
      </c>
    </row>
    <row r="36" spans="1:6" x14ac:dyDescent="0.3">
      <c r="A36" s="38">
        <v>45536</v>
      </c>
      <c r="B36" s="37">
        <v>33</v>
      </c>
      <c r="F36" s="31">
        <f t="shared" si="6"/>
        <v>186032.32256749034</v>
      </c>
    </row>
    <row r="37" spans="1:6" x14ac:dyDescent="0.3">
      <c r="A37" s="38">
        <v>45566</v>
      </c>
      <c r="B37" s="37">
        <v>34</v>
      </c>
      <c r="F37" s="31">
        <f t="shared" si="6"/>
        <v>188231.08727160457</v>
      </c>
    </row>
    <row r="38" spans="1:6" x14ac:dyDescent="0.3">
      <c r="A38" s="38">
        <v>45597</v>
      </c>
      <c r="B38" s="37">
        <v>35</v>
      </c>
      <c r="F38" s="31">
        <f t="shared" si="6"/>
        <v>190429.8519757188</v>
      </c>
    </row>
    <row r="39" spans="1:6" x14ac:dyDescent="0.3">
      <c r="A39" s="38">
        <v>45627</v>
      </c>
      <c r="B39" s="37">
        <v>36</v>
      </c>
      <c r="F39" s="31">
        <f t="shared" si="6"/>
        <v>192628.61667983307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0506-7E9F-4FDF-B94D-5D09C7A5D774}">
  <dimension ref="A1:I40"/>
  <sheetViews>
    <sheetView topLeftCell="A15" workbookViewId="0">
      <selection activeCell="A16" sqref="A16:B18"/>
    </sheetView>
  </sheetViews>
  <sheetFormatPr baseColWidth="10"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27" t="s">
        <v>47</v>
      </c>
      <c r="B3" s="27"/>
    </row>
    <row r="4" spans="1:9" x14ac:dyDescent="0.3">
      <c r="A4" t="s">
        <v>48</v>
      </c>
      <c r="B4">
        <v>0.99666557267582023</v>
      </c>
    </row>
    <row r="5" spans="1:9" x14ac:dyDescent="0.3">
      <c r="A5" t="s">
        <v>49</v>
      </c>
      <c r="B5">
        <v>0.99334226375722068</v>
      </c>
    </row>
    <row r="6" spans="1:9" x14ac:dyDescent="0.3">
      <c r="A6" t="s">
        <v>50</v>
      </c>
      <c r="B6">
        <v>0.99286671116845071</v>
      </c>
    </row>
    <row r="7" spans="1:9" x14ac:dyDescent="0.3">
      <c r="A7" t="s">
        <v>51</v>
      </c>
      <c r="B7">
        <v>620.60319550659392</v>
      </c>
    </row>
    <row r="8" spans="1:9" ht="15" thickBot="1" x14ac:dyDescent="0.35">
      <c r="A8" s="25" t="s">
        <v>52</v>
      </c>
      <c r="B8" s="25">
        <v>16</v>
      </c>
    </row>
    <row r="10" spans="1:9" ht="15" thickBot="1" x14ac:dyDescent="0.35">
      <c r="A10" t="s">
        <v>53</v>
      </c>
    </row>
    <row r="11" spans="1:9" x14ac:dyDescent="0.3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">
      <c r="A12" t="s">
        <v>54</v>
      </c>
      <c r="B12">
        <v>1</v>
      </c>
      <c r="C12">
        <v>804504316.31947219</v>
      </c>
      <c r="D12">
        <v>804504316.31947219</v>
      </c>
      <c r="E12">
        <v>2088.8168568834294</v>
      </c>
      <c r="F12">
        <v>1.2180979830099328E-16</v>
      </c>
    </row>
    <row r="13" spans="1:9" x14ac:dyDescent="0.3">
      <c r="A13" t="s">
        <v>55</v>
      </c>
      <c r="B13">
        <v>14</v>
      </c>
      <c r="C13">
        <v>5392076.5678219385</v>
      </c>
      <c r="D13">
        <v>385148.32627299562</v>
      </c>
    </row>
    <row r="14" spans="1:9" ht="15" thickBot="1" x14ac:dyDescent="0.35">
      <c r="A14" s="25" t="s">
        <v>8</v>
      </c>
      <c r="B14" s="25">
        <v>15</v>
      </c>
      <c r="C14" s="25">
        <v>809896392.88729417</v>
      </c>
      <c r="D14" s="25"/>
      <c r="E14" s="25"/>
      <c r="F14" s="25"/>
    </row>
    <row r="15" spans="1:9" ht="15" thickBot="1" x14ac:dyDescent="0.35"/>
    <row r="16" spans="1:9" x14ac:dyDescent="0.3">
      <c r="A16" s="28"/>
      <c r="B16" s="28" t="s">
        <v>62</v>
      </c>
      <c r="C16" s="26" t="s">
        <v>51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">
      <c r="A17" s="16" t="s">
        <v>56</v>
      </c>
      <c r="B17" s="16">
        <v>94506.177386642172</v>
      </c>
      <c r="C17">
        <v>512.09442354326916</v>
      </c>
      <c r="D17">
        <v>184.5483431214457</v>
      </c>
      <c r="E17">
        <v>4.1429545698789697E-25</v>
      </c>
      <c r="F17">
        <v>93407.844084069628</v>
      </c>
      <c r="G17">
        <v>95604.510689214716</v>
      </c>
      <c r="H17">
        <v>93407.844084069628</v>
      </c>
      <c r="I17">
        <v>95604.510689214716</v>
      </c>
    </row>
    <row r="18" spans="1:9" ht="15" thickBot="1" x14ac:dyDescent="0.35">
      <c r="A18" s="29" t="s">
        <v>69</v>
      </c>
      <c r="B18" s="29">
        <v>1538.2422324346405</v>
      </c>
      <c r="C18" s="25">
        <v>33.656933831241595</v>
      </c>
      <c r="D18" s="25">
        <v>45.703575974790311</v>
      </c>
      <c r="E18" s="25">
        <v>1.2180979830099328E-16</v>
      </c>
      <c r="F18" s="25">
        <v>1466.0552887972631</v>
      </c>
      <c r="G18" s="25">
        <v>1610.429176072018</v>
      </c>
      <c r="H18" s="25">
        <v>1466.0552887972631</v>
      </c>
      <c r="I18" s="25">
        <v>1610.429176072018</v>
      </c>
    </row>
    <row r="22" spans="1:9" x14ac:dyDescent="0.3">
      <c r="A22" t="s">
        <v>75</v>
      </c>
      <c r="F22" t="s">
        <v>79</v>
      </c>
    </row>
    <row r="23" spans="1:9" ht="15" thickBot="1" x14ac:dyDescent="0.35"/>
    <row r="24" spans="1:9" x14ac:dyDescent="0.3">
      <c r="A24" s="26" t="s">
        <v>76</v>
      </c>
      <c r="B24" s="26" t="s">
        <v>77</v>
      </c>
      <c r="C24" s="26" t="s">
        <v>55</v>
      </c>
      <c r="D24" s="26" t="s">
        <v>78</v>
      </c>
      <c r="F24" s="26" t="s">
        <v>80</v>
      </c>
      <c r="G24" s="26" t="s">
        <v>81</v>
      </c>
    </row>
    <row r="25" spans="1:9" x14ac:dyDescent="0.3">
      <c r="A25">
        <v>1</v>
      </c>
      <c r="B25">
        <v>105273.87301368466</v>
      </c>
      <c r="C25">
        <v>-997.28968035132857</v>
      </c>
      <c r="D25">
        <v>-1.6633702486890076</v>
      </c>
      <c r="F25">
        <v>3.125</v>
      </c>
      <c r="G25">
        <v>104276.58333333333</v>
      </c>
    </row>
    <row r="26" spans="1:9" x14ac:dyDescent="0.3">
      <c r="A26">
        <v>2</v>
      </c>
      <c r="B26">
        <v>106812.1152461193</v>
      </c>
      <c r="C26">
        <v>-349.44857945262629</v>
      </c>
      <c r="D26">
        <v>-0.5828420587921519</v>
      </c>
      <c r="F26">
        <v>9.375</v>
      </c>
      <c r="G26">
        <v>106462.66666666667</v>
      </c>
    </row>
    <row r="27" spans="1:9" x14ac:dyDescent="0.3">
      <c r="A27">
        <v>3</v>
      </c>
      <c r="B27">
        <v>108350.35747855394</v>
      </c>
      <c r="C27">
        <v>-234.34081188727578</v>
      </c>
      <c r="D27">
        <v>-0.39085487619765941</v>
      </c>
      <c r="F27">
        <v>15.625</v>
      </c>
      <c r="G27">
        <v>108116.01666666666</v>
      </c>
    </row>
    <row r="28" spans="1:9" x14ac:dyDescent="0.3">
      <c r="A28">
        <v>4</v>
      </c>
      <c r="B28">
        <v>109888.59971098858</v>
      </c>
      <c r="C28">
        <v>288.78362234476663</v>
      </c>
      <c r="D28">
        <v>0.48165953702409331</v>
      </c>
      <c r="F28">
        <v>21.875</v>
      </c>
      <c r="G28">
        <v>110177.38333333335</v>
      </c>
    </row>
    <row r="29" spans="1:9" x14ac:dyDescent="0.3">
      <c r="A29">
        <v>5</v>
      </c>
      <c r="B29">
        <v>111426.84194342322</v>
      </c>
      <c r="C29">
        <v>309.77263991010841</v>
      </c>
      <c r="D29">
        <v>0.51666692560461225</v>
      </c>
      <c r="F29">
        <v>28.125</v>
      </c>
      <c r="G29">
        <v>111736.61458333333</v>
      </c>
    </row>
    <row r="30" spans="1:9" x14ac:dyDescent="0.3">
      <c r="A30">
        <v>6</v>
      </c>
      <c r="B30">
        <v>112965.08417585786</v>
      </c>
      <c r="C30">
        <v>192.76999080881069</v>
      </c>
      <c r="D30">
        <v>0.3215192875940221</v>
      </c>
      <c r="F30">
        <v>34.375</v>
      </c>
      <c r="G30">
        <v>113157.85416666667</v>
      </c>
    </row>
    <row r="31" spans="1:9" x14ac:dyDescent="0.3">
      <c r="A31">
        <v>7</v>
      </c>
      <c r="B31">
        <v>114503.3264082925</v>
      </c>
      <c r="C31">
        <v>244.43609170749551</v>
      </c>
      <c r="D31">
        <v>0.40769270018800535</v>
      </c>
      <c r="F31">
        <v>40.625</v>
      </c>
      <c r="G31">
        <v>114747.7625</v>
      </c>
    </row>
    <row r="32" spans="1:9" x14ac:dyDescent="0.3">
      <c r="A32">
        <v>8</v>
      </c>
      <c r="B32">
        <v>116041.56864072714</v>
      </c>
      <c r="C32">
        <v>232.89385927286639</v>
      </c>
      <c r="D32">
        <v>0.38844151729353094</v>
      </c>
      <c r="F32">
        <v>46.875</v>
      </c>
      <c r="G32">
        <v>116274.46250000001</v>
      </c>
    </row>
    <row r="33" spans="1:7" x14ac:dyDescent="0.3">
      <c r="A33">
        <v>9</v>
      </c>
      <c r="B33">
        <v>117579.81087316178</v>
      </c>
      <c r="C33">
        <v>306.05996017155121</v>
      </c>
      <c r="D33">
        <v>0.5104745813522874</v>
      </c>
      <c r="F33">
        <v>53.125</v>
      </c>
      <c r="G33">
        <v>117885.87083333333</v>
      </c>
    </row>
    <row r="34" spans="1:7" x14ac:dyDescent="0.3">
      <c r="A34">
        <v>10</v>
      </c>
      <c r="B34">
        <v>119118.05310559642</v>
      </c>
      <c r="C34">
        <v>432.15314440357906</v>
      </c>
      <c r="D34">
        <v>0.72078423896363375</v>
      </c>
      <c r="F34">
        <v>59.375</v>
      </c>
      <c r="G34">
        <v>119550.20625</v>
      </c>
    </row>
    <row r="35" spans="1:7" x14ac:dyDescent="0.3">
      <c r="A35">
        <v>11</v>
      </c>
      <c r="B35">
        <v>120656.29533803106</v>
      </c>
      <c r="C35">
        <v>259.33799530228134</v>
      </c>
      <c r="D35">
        <v>0.43254744758664115</v>
      </c>
      <c r="F35">
        <v>65.625</v>
      </c>
      <c r="G35">
        <v>120915.63333333335</v>
      </c>
    </row>
    <row r="36" spans="1:7" x14ac:dyDescent="0.3">
      <c r="A36">
        <v>12</v>
      </c>
      <c r="B36">
        <v>122194.53757046571</v>
      </c>
      <c r="C36">
        <v>494.79576286762313</v>
      </c>
      <c r="D36">
        <v>0.82526528384555853</v>
      </c>
      <c r="F36">
        <v>71.875</v>
      </c>
      <c r="G36">
        <v>122689.33333333333</v>
      </c>
    </row>
    <row r="37" spans="1:7" x14ac:dyDescent="0.3">
      <c r="A37">
        <v>13</v>
      </c>
      <c r="B37">
        <v>123732.77980290035</v>
      </c>
      <c r="C37">
        <v>697.62853043299401</v>
      </c>
      <c r="D37">
        <v>1.1635681838701886</v>
      </c>
      <c r="F37">
        <v>78.125</v>
      </c>
      <c r="G37">
        <v>124430.40833333334</v>
      </c>
    </row>
    <row r="38" spans="1:7" x14ac:dyDescent="0.3">
      <c r="A38">
        <v>14</v>
      </c>
      <c r="B38">
        <v>125271.02203533499</v>
      </c>
      <c r="C38">
        <v>294.21268688725831</v>
      </c>
      <c r="D38">
        <v>0.4907146236414659</v>
      </c>
      <c r="F38">
        <v>84.375</v>
      </c>
      <c r="G38">
        <v>125565.23472222225</v>
      </c>
    </row>
    <row r="39" spans="1:7" x14ac:dyDescent="0.3">
      <c r="A39">
        <v>15</v>
      </c>
      <c r="B39">
        <v>126809.26426776963</v>
      </c>
      <c r="C39">
        <v>-658.14482332518674</v>
      </c>
      <c r="D39">
        <v>-1.0977136733853905</v>
      </c>
      <c r="F39">
        <v>90.625</v>
      </c>
      <c r="G39">
        <v>126151.11944444444</v>
      </c>
    </row>
    <row r="40" spans="1:7" ht="15" thickBot="1" x14ac:dyDescent="0.35">
      <c r="A40" s="25">
        <v>16</v>
      </c>
      <c r="B40" s="25">
        <v>128347.50650020427</v>
      </c>
      <c r="C40" s="25">
        <v>-1513.6203890931793</v>
      </c>
      <c r="D40" s="25">
        <v>-2.5245534699002663</v>
      </c>
      <c r="F40" s="25">
        <v>96.875</v>
      </c>
      <c r="G40" s="25">
        <v>126833.88611111109</v>
      </c>
    </row>
  </sheetData>
  <sortState xmlns:xlrd2="http://schemas.microsoft.com/office/spreadsheetml/2017/richdata2" ref="G25:G40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7EE6-D272-422D-96AF-C750C5AB8B0D}">
  <dimension ref="A2:S39"/>
  <sheetViews>
    <sheetView workbookViewId="0">
      <selection activeCell="S6" sqref="S6"/>
    </sheetView>
  </sheetViews>
  <sheetFormatPr baseColWidth="10" defaultRowHeight="14.4" x14ac:dyDescent="0.3"/>
  <cols>
    <col min="3" max="5" width="14.33203125" customWidth="1"/>
    <col min="9" max="10" width="13.109375" customWidth="1"/>
    <col min="12" max="13" width="13.109375" customWidth="1"/>
  </cols>
  <sheetData>
    <row r="2" spans="1:19" ht="44.4" x14ac:dyDescent="0.35">
      <c r="A2" s="13" t="s">
        <v>11</v>
      </c>
      <c r="B2" s="13" t="s">
        <v>12</v>
      </c>
      <c r="C2" s="13" t="s">
        <v>9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14</v>
      </c>
      <c r="I2" s="13" t="s">
        <v>92</v>
      </c>
      <c r="J2" s="13" t="s">
        <v>17</v>
      </c>
      <c r="K2" s="13" t="s">
        <v>18</v>
      </c>
      <c r="L2" s="13" t="s">
        <v>19</v>
      </c>
      <c r="M2" s="13" t="s">
        <v>20</v>
      </c>
      <c r="N2" s="13" t="s">
        <v>10</v>
      </c>
      <c r="O2" s="13" t="s">
        <v>21</v>
      </c>
      <c r="P2" s="13" t="s">
        <v>22</v>
      </c>
    </row>
    <row r="3" spans="1:19" x14ac:dyDescent="0.3">
      <c r="A3" s="14">
        <v>0</v>
      </c>
      <c r="B3" s="15"/>
      <c r="C3" s="15"/>
      <c r="E3" s="15"/>
      <c r="F3" s="40">
        <f>'AD WINTER SÁBADOS'!$B$17</f>
        <v>94506.177386642172</v>
      </c>
      <c r="G3" s="40">
        <f>'AD WINTER SÁBADOS'!B18</f>
        <v>1538.2422324346405</v>
      </c>
      <c r="H3" s="15"/>
      <c r="I3" s="15"/>
      <c r="J3" s="15"/>
      <c r="K3" s="15"/>
      <c r="L3" s="15"/>
      <c r="M3" s="15"/>
      <c r="N3" s="15"/>
      <c r="O3" s="15"/>
      <c r="P3" s="15"/>
    </row>
    <row r="4" spans="1:19" x14ac:dyDescent="0.3">
      <c r="A4" s="15">
        <v>1</v>
      </c>
      <c r="B4" s="21">
        <v>66351.399999999994</v>
      </c>
      <c r="C4" s="15"/>
      <c r="D4" s="40">
        <f>'AD WINTER SÁBADOS'!$B$17+'AD WINTER SÁBADOS'!$B$18*'M. WINTER SÁBADOS'!A4</f>
        <v>96044.419619076813</v>
      </c>
      <c r="E4" s="42">
        <f>B4/D4</f>
        <v>0.69084076163047536</v>
      </c>
      <c r="F4" s="40">
        <f>$S$4*(D4/E4)+(1-$S$4)*(F3+G3)</f>
        <v>104640.61754723536</v>
      </c>
      <c r="G4" s="40">
        <f>$S$5*(F4-F3)+(1-$S$5)*G3</f>
        <v>3257.4818180663515</v>
      </c>
      <c r="H4" s="42">
        <f>E28</f>
        <v>0.80844186379776517</v>
      </c>
      <c r="I4" s="40">
        <f>(F4+G4)*H4</f>
        <v>87229.340551120986</v>
      </c>
      <c r="J4" s="39">
        <f>I4-B4</f>
        <v>20877.940551120992</v>
      </c>
      <c r="K4" s="40">
        <f>ABS(J4)</f>
        <v>20877.940551120992</v>
      </c>
      <c r="L4" s="40">
        <f>SUMSQ($J$4:J4)/(A4)</f>
        <v>435888401.65614229</v>
      </c>
      <c r="M4" s="40">
        <f>SUM($K$4:K4)/A4</f>
        <v>20877.940551120992</v>
      </c>
      <c r="N4" s="40">
        <f>100*(K4/B4)</f>
        <v>31.46571217957872</v>
      </c>
      <c r="O4" s="40">
        <f>AVERAGE($N$4:N4)</f>
        <v>31.46571217957872</v>
      </c>
      <c r="P4" s="52">
        <f>SUM($J$4:J4)/M4</f>
        <v>1</v>
      </c>
      <c r="R4" t="s">
        <v>93</v>
      </c>
      <c r="S4" s="50">
        <v>0.2</v>
      </c>
    </row>
    <row r="5" spans="1:19" x14ac:dyDescent="0.3">
      <c r="A5" s="15">
        <v>2</v>
      </c>
      <c r="B5" s="21">
        <v>80755.600000000006</v>
      </c>
      <c r="C5" s="15"/>
      <c r="D5" s="40">
        <f>'AD WINTER SÁBADOS'!$B$17+'AD WINTER SÁBADOS'!$B$18*'M. WINTER SÁBADOS'!A5</f>
        <v>97582.661851511453</v>
      </c>
      <c r="E5" s="42">
        <f t="shared" ref="E5:E27" si="0">B5/D5</f>
        <v>0.82756094646078959</v>
      </c>
      <c r="F5" s="40">
        <f t="shared" ref="F5:F27" si="1">$S$4*(D5/E5)+(1-$S$4)*(F4+G4)</f>
        <v>109901.67593688777</v>
      </c>
      <c r="G5" s="40">
        <f t="shared" ref="G5:G27" si="2">$S$5*(F5-F4)+(1-$S$5)*G4</f>
        <v>3658.1971323835623</v>
      </c>
      <c r="H5" s="42">
        <f t="shared" ref="H5:H15" si="3">E29</f>
        <v>0.81681707940382653</v>
      </c>
      <c r="I5" s="40">
        <f t="shared" ref="I5:I27" si="4">(F5+G5)*H5</f>
        <v>92757.643857911462</v>
      </c>
      <c r="J5" s="39">
        <f t="shared" ref="J5:J27" si="5">I5-B5</f>
        <v>12002.043857911456</v>
      </c>
      <c r="K5" s="40">
        <f t="shared" ref="K5:K27" si="6">ABS(J5)</f>
        <v>12002.043857911456</v>
      </c>
      <c r="L5" s="40">
        <f>SUMSQ($J$4:J5)/(A5)</f>
        <v>289968729.21168619</v>
      </c>
      <c r="M5" s="40">
        <f>SUM($K$4:K5)/A5</f>
        <v>16439.992204516224</v>
      </c>
      <c r="N5" s="40">
        <f t="shared" ref="N5:N27" si="7">100*(K5/B5)</f>
        <v>14.86218151795226</v>
      </c>
      <c r="O5" s="40">
        <f>AVERAGE($N$4:N5)</f>
        <v>23.163946848765491</v>
      </c>
      <c r="P5" s="43">
        <f>SUM($J$4:J5)/M5</f>
        <v>2</v>
      </c>
      <c r="R5" t="s">
        <v>94</v>
      </c>
      <c r="S5" s="50">
        <v>0.2</v>
      </c>
    </row>
    <row r="6" spans="1:19" x14ac:dyDescent="0.3">
      <c r="A6" s="15">
        <v>3</v>
      </c>
      <c r="B6" s="21">
        <v>98815</v>
      </c>
      <c r="C6" s="15"/>
      <c r="D6" s="40">
        <f>'AD WINTER SÁBADOS'!$B$17+'AD WINTER SÁBADOS'!$B$18*'M. WINTER SÁBADOS'!A6</f>
        <v>99120.904083946094</v>
      </c>
      <c r="E6" s="42">
        <f t="shared" si="0"/>
        <v>0.99691382875516332</v>
      </c>
      <c r="F6" s="40">
        <f t="shared" si="1"/>
        <v>110733.44948799076</v>
      </c>
      <c r="G6" s="40">
        <f t="shared" si="2"/>
        <v>3092.9124161274481</v>
      </c>
      <c r="H6" s="42">
        <f t="shared" si="3"/>
        <v>1.0330427376853426</v>
      </c>
      <c r="I6" s="40">
        <f t="shared" si="4"/>
        <v>117587.49652219286</v>
      </c>
      <c r="J6" s="39">
        <f t="shared" si="5"/>
        <v>18772.496522192858</v>
      </c>
      <c r="K6" s="40">
        <f t="shared" si="6"/>
        <v>18772.496522192858</v>
      </c>
      <c r="L6" s="40">
        <f>SUMSQ($J$4:J6)/(A6)</f>
        <v>310781361.36637181</v>
      </c>
      <c r="M6" s="40">
        <f>SUM($K$4:K6)/A6</f>
        <v>17217.493643741767</v>
      </c>
      <c r="N6" s="40">
        <f t="shared" si="7"/>
        <v>18.997618299036439</v>
      </c>
      <c r="O6" s="40">
        <f>AVERAGE($N$4:N6)</f>
        <v>21.775170665522477</v>
      </c>
      <c r="P6" s="43">
        <f>SUM($J$4:J6)/M6</f>
        <v>3</v>
      </c>
      <c r="R6" t="s">
        <v>95</v>
      </c>
      <c r="S6" s="50">
        <v>0</v>
      </c>
    </row>
    <row r="7" spans="1:19" x14ac:dyDescent="0.3">
      <c r="A7" s="15">
        <v>4</v>
      </c>
      <c r="B7" s="21">
        <v>95755.199999999997</v>
      </c>
      <c r="C7" s="15"/>
      <c r="D7" s="40">
        <f>'AD WINTER SÁBADOS'!$B$17+'AD WINTER SÁBADOS'!$B$18*'M. WINTER SÁBADOS'!A7</f>
        <v>100659.14631638073</v>
      </c>
      <c r="E7" s="42">
        <f t="shared" si="0"/>
        <v>0.9512816619667408</v>
      </c>
      <c r="F7" s="40">
        <f t="shared" si="1"/>
        <v>112223.93757153122</v>
      </c>
      <c r="G7" s="40">
        <f t="shared" si="2"/>
        <v>2772.4275496100513</v>
      </c>
      <c r="H7" s="42">
        <f t="shared" si="3"/>
        <v>0.97233296502581557</v>
      </c>
      <c r="I7" s="40">
        <f t="shared" si="4"/>
        <v>111814.75666543057</v>
      </c>
      <c r="J7" s="39">
        <f t="shared" si="5"/>
        <v>16059.556665430573</v>
      </c>
      <c r="K7" s="40">
        <f t="shared" si="6"/>
        <v>16059.556665430573</v>
      </c>
      <c r="L7" s="40">
        <f>SUMSQ($J$4:J7)/(A7)</f>
        <v>297563361.0973227</v>
      </c>
      <c r="M7" s="40">
        <f>SUM($K$4:K7)/A7</f>
        <v>16928.00939916397</v>
      </c>
      <c r="N7" s="40">
        <f t="shared" si="7"/>
        <v>16.771472113713486</v>
      </c>
      <c r="O7" s="40">
        <f>AVERAGE($N$4:N7)</f>
        <v>20.524246027570229</v>
      </c>
      <c r="P7" s="43">
        <f>SUM($J$4:J7)/M7</f>
        <v>4</v>
      </c>
    </row>
    <row r="8" spans="1:19" x14ac:dyDescent="0.3">
      <c r="A8" s="14">
        <v>5</v>
      </c>
      <c r="B8" s="21">
        <v>105378</v>
      </c>
      <c r="C8" s="15"/>
      <c r="D8" s="40">
        <f>'AD WINTER SÁBADOS'!$B$17+'AD WINTER SÁBADOS'!$B$18*'M. WINTER SÁBADOS'!A8</f>
        <v>102197.38854881538</v>
      </c>
      <c r="E8" s="42">
        <f t="shared" si="0"/>
        <v>1.0311222380175142</v>
      </c>
      <c r="F8" s="40">
        <f t="shared" si="1"/>
        <v>111819.64751872316</v>
      </c>
      <c r="G8" s="40">
        <f t="shared" si="2"/>
        <v>2137.084029126428</v>
      </c>
      <c r="H8" s="42">
        <f t="shared" si="3"/>
        <v>1.0137727940116152</v>
      </c>
      <c r="I8" s="40">
        <f t="shared" si="4"/>
        <v>115526.23413769505</v>
      </c>
      <c r="J8" s="39">
        <f t="shared" si="5"/>
        <v>10148.23413769505</v>
      </c>
      <c r="K8" s="40">
        <f t="shared" si="6"/>
        <v>10148.23413769505</v>
      </c>
      <c r="L8" s="40">
        <f>SUMSQ($J$4:J8)/(A8)</f>
        <v>258648020.10055399</v>
      </c>
      <c r="M8" s="40">
        <f>SUM($K$4:K8)/A8</f>
        <v>15572.054346870185</v>
      </c>
      <c r="N8" s="40">
        <f t="shared" si="7"/>
        <v>9.6303157563201527</v>
      </c>
      <c r="O8" s="40">
        <f>AVERAGE($N$4:N8)</f>
        <v>18.345459973320214</v>
      </c>
      <c r="P8" s="43">
        <f>SUM($J$4:J8)/M8</f>
        <v>5</v>
      </c>
    </row>
    <row r="9" spans="1:19" x14ac:dyDescent="0.3">
      <c r="A9" s="15">
        <v>6</v>
      </c>
      <c r="B9" s="21">
        <v>106194</v>
      </c>
      <c r="C9" s="15"/>
      <c r="D9" s="40">
        <f>'AD WINTER SÁBADOS'!$B$17+'AD WINTER SÁBADOS'!$B$18*'M. WINTER SÁBADOS'!A9</f>
        <v>103735.63078125002</v>
      </c>
      <c r="E9" s="42">
        <f t="shared" si="0"/>
        <v>1.0236984071937059</v>
      </c>
      <c r="F9" s="40">
        <f t="shared" si="1"/>
        <v>111432.21969895321</v>
      </c>
      <c r="G9" s="40">
        <f t="shared" si="2"/>
        <v>1632.1816593471533</v>
      </c>
      <c r="H9" s="42">
        <f t="shared" si="3"/>
        <v>1.0251986646055045</v>
      </c>
      <c r="I9" s="40">
        <f t="shared" si="4"/>
        <v>115913.47328695032</v>
      </c>
      <c r="J9" s="39">
        <f t="shared" si="5"/>
        <v>9719.4732869503205</v>
      </c>
      <c r="K9" s="40">
        <f t="shared" si="6"/>
        <v>9719.4732869503205</v>
      </c>
      <c r="L9" s="40">
        <f>SUMSQ($J$4:J9)/(A9)</f>
        <v>231284710.24641848</v>
      </c>
      <c r="M9" s="40">
        <f>SUM($K$4:K9)/A9</f>
        <v>14596.624170216875</v>
      </c>
      <c r="N9" s="40">
        <f t="shared" si="7"/>
        <v>9.1525635035409927</v>
      </c>
      <c r="O9" s="40">
        <f>AVERAGE($N$4:N9)</f>
        <v>16.813310561690344</v>
      </c>
      <c r="P9" s="43">
        <f>SUM($J$4:J9)/M9</f>
        <v>6</v>
      </c>
    </row>
    <row r="10" spans="1:19" x14ac:dyDescent="0.3">
      <c r="A10" s="15">
        <v>7</v>
      </c>
      <c r="B10" s="21">
        <v>110336</v>
      </c>
      <c r="C10" s="40">
        <f>((B4+B16+2*(SUM(B5:B15)))/(2*12))</f>
        <v>104276.58333333333</v>
      </c>
      <c r="D10" s="40">
        <f>'AD WINTER SÁBADOS'!$B$17+'AD WINTER SÁBADOS'!$B$18*'M. WINTER SÁBADOS'!A10</f>
        <v>105273.87301368466</v>
      </c>
      <c r="E10" s="42">
        <f t="shared" si="0"/>
        <v>1.0480853115915789</v>
      </c>
      <c r="F10" s="40">
        <f t="shared" si="1"/>
        <v>110540.31955550161</v>
      </c>
      <c r="G10" s="40">
        <f t="shared" si="2"/>
        <v>1127.3652987874034</v>
      </c>
      <c r="H10" s="42">
        <f t="shared" si="3"/>
        <v>1.0462599704227529</v>
      </c>
      <c r="I10" s="40">
        <f t="shared" si="4"/>
        <v>116833.42865282572</v>
      </c>
      <c r="J10" s="39">
        <f t="shared" si="5"/>
        <v>6497.4286528257217</v>
      </c>
      <c r="K10" s="40">
        <f t="shared" si="6"/>
        <v>6497.4286528257217</v>
      </c>
      <c r="L10" s="40">
        <f>SUMSQ($J$4:J10)/(A10)</f>
        <v>204274977.22529593</v>
      </c>
      <c r="M10" s="40">
        <f>SUM($K$4:K10)/A10</f>
        <v>13439.596239160996</v>
      </c>
      <c r="N10" s="40">
        <f t="shared" si="7"/>
        <v>5.888765817888741</v>
      </c>
      <c r="O10" s="40">
        <f>AVERAGE($N$4:N10)</f>
        <v>15.252661312575828</v>
      </c>
      <c r="P10" s="43">
        <f>SUM($J$4:J10)/M10</f>
        <v>7</v>
      </c>
    </row>
    <row r="11" spans="1:19" x14ac:dyDescent="0.3">
      <c r="A11" s="15">
        <v>8</v>
      </c>
      <c r="B11" s="21">
        <v>114106</v>
      </c>
      <c r="C11" s="40">
        <f t="shared" ref="C11:C23" si="8">((B5+B17+2*(SUM(B6:B16)))/(2*12))</f>
        <v>106462.66666666667</v>
      </c>
      <c r="D11" s="40">
        <f>'AD WINTER SÁBADOS'!$B$17+'AD WINTER SÁBADOS'!$B$18*'M. WINTER SÁBADOS'!A11</f>
        <v>106812.1152461193</v>
      </c>
      <c r="E11" s="42">
        <f t="shared" si="0"/>
        <v>1.0682870546760912</v>
      </c>
      <c r="F11" s="40">
        <f t="shared" si="1"/>
        <v>109331.04193519059</v>
      </c>
      <c r="G11" s="40">
        <f t="shared" si="2"/>
        <v>660.03671496771744</v>
      </c>
      <c r="H11" s="42">
        <f t="shared" si="3"/>
        <v>1.0604104877960225</v>
      </c>
      <c r="I11" s="40">
        <f t="shared" si="4"/>
        <v>116635.69336462505</v>
      </c>
      <c r="J11" s="39">
        <f t="shared" si="5"/>
        <v>2529.6933646250545</v>
      </c>
      <c r="K11" s="40">
        <f t="shared" si="6"/>
        <v>2529.6933646250545</v>
      </c>
      <c r="L11" s="40">
        <f>SUMSQ($J$4:J11)/(A11)</f>
        <v>179540523.63701242</v>
      </c>
      <c r="M11" s="40">
        <f>SUM($K$4:K11)/A11</f>
        <v>12075.858379844003</v>
      </c>
      <c r="N11" s="40">
        <f t="shared" si="7"/>
        <v>2.2169678760319829</v>
      </c>
      <c r="O11" s="40">
        <f>AVERAGE($N$4:N11)</f>
        <v>13.623199633007848</v>
      </c>
      <c r="P11" s="43">
        <f>SUM($J$4:J11)/M11</f>
        <v>8</v>
      </c>
    </row>
    <row r="12" spans="1:19" x14ac:dyDescent="0.3">
      <c r="A12" s="15">
        <v>9</v>
      </c>
      <c r="B12" s="21">
        <v>110961</v>
      </c>
      <c r="C12" s="40">
        <f t="shared" si="8"/>
        <v>108116.01666666666</v>
      </c>
      <c r="D12" s="40">
        <f>'AD WINTER SÁBADOS'!$B$17+'AD WINTER SÁBADOS'!$B$18*'M. WINTER SÁBADOS'!A12</f>
        <v>108350.35747855394</v>
      </c>
      <c r="E12" s="42">
        <f t="shared" si="0"/>
        <v>1.0240944523137618</v>
      </c>
      <c r="F12" s="40">
        <f t="shared" si="1"/>
        <v>109153.0903256663</v>
      </c>
      <c r="G12" s="40">
        <f t="shared" si="2"/>
        <v>492.43905006931652</v>
      </c>
      <c r="H12" s="42">
        <f t="shared" si="3"/>
        <v>1.0320754778842329</v>
      </c>
      <c r="I12" s="40">
        <f t="shared" si="4"/>
        <v>113162.46212833203</v>
      </c>
      <c r="J12" s="39">
        <f t="shared" si="5"/>
        <v>2201.4621283320303</v>
      </c>
      <c r="K12" s="40">
        <f t="shared" si="6"/>
        <v>2201.4621283320303</v>
      </c>
      <c r="L12" s="40">
        <f>SUMSQ($J$4:J12)/(A12)</f>
        <v>160130069.39984217</v>
      </c>
      <c r="M12" s="40">
        <f>SUM($K$4:K12)/A12</f>
        <v>10978.703240787117</v>
      </c>
      <c r="N12" s="40">
        <f t="shared" si="7"/>
        <v>1.9839962944926868</v>
      </c>
      <c r="O12" s="40">
        <f>AVERAGE($N$4:N12)</f>
        <v>12.329954817617274</v>
      </c>
      <c r="P12" s="43">
        <f>SUM($J$4:J12)/M12</f>
        <v>9</v>
      </c>
    </row>
    <row r="13" spans="1:19" x14ac:dyDescent="0.3">
      <c r="A13" s="14">
        <v>10</v>
      </c>
      <c r="B13" s="21">
        <v>117046</v>
      </c>
      <c r="C13" s="40">
        <f t="shared" si="8"/>
        <v>110177.38333333335</v>
      </c>
      <c r="D13" s="40">
        <f>'AD WINTER SÁBADOS'!$B$17+'AD WINTER SÁBADOS'!$B$18*'M. WINTER SÁBADOS'!A13</f>
        <v>109888.59971098858</v>
      </c>
      <c r="E13" s="42">
        <f t="shared" si="0"/>
        <v>1.0651332377319911</v>
      </c>
      <c r="F13" s="40">
        <f t="shared" si="1"/>
        <v>108350.19884778853</v>
      </c>
      <c r="G13" s="40">
        <f t="shared" si="2"/>
        <v>233.37294447989945</v>
      </c>
      <c r="H13" s="42">
        <f t="shared" si="3"/>
        <v>1.0626207418877913</v>
      </c>
      <c r="I13" s="40">
        <f t="shared" si="4"/>
        <v>115383.15561472652</v>
      </c>
      <c r="J13" s="39">
        <f t="shared" si="5"/>
        <v>-1662.8443852734781</v>
      </c>
      <c r="K13" s="40">
        <f t="shared" si="6"/>
        <v>1662.8443852734781</v>
      </c>
      <c r="L13" s="40">
        <f>SUMSQ($J$4:J13)/(A13)</f>
        <v>144393567.6048215</v>
      </c>
      <c r="M13" s="40">
        <f>SUM($K$4:K13)/A13</f>
        <v>10047.117355235754</v>
      </c>
      <c r="N13" s="40">
        <f t="shared" si="7"/>
        <v>1.420675960967037</v>
      </c>
      <c r="O13" s="40">
        <f>AVERAGE($N$4:N13)</f>
        <v>11.23902693195225</v>
      </c>
      <c r="P13" s="43">
        <f>SUM($J$4:J13)/M13</f>
        <v>9.6689907509825321</v>
      </c>
    </row>
    <row r="14" spans="1:19" x14ac:dyDescent="0.3">
      <c r="A14" s="15">
        <v>11</v>
      </c>
      <c r="B14" s="21">
        <v>101630</v>
      </c>
      <c r="C14" s="40">
        <f t="shared" si="8"/>
        <v>111736.61458333333</v>
      </c>
      <c r="D14" s="40">
        <f>'AD WINTER SÁBADOS'!$B$17+'AD WINTER SÁBADOS'!$B$18*'M. WINTER SÁBADOS'!A14</f>
        <v>111426.84194342322</v>
      </c>
      <c r="E14" s="42">
        <f t="shared" si="0"/>
        <v>0.91207825894951278</v>
      </c>
      <c r="F14" s="40">
        <f t="shared" si="1"/>
        <v>111300.471731728</v>
      </c>
      <c r="G14" s="40">
        <f t="shared" si="2"/>
        <v>776.75293237181347</v>
      </c>
      <c r="H14" s="42">
        <f t="shared" si="3"/>
        <v>0.90021411066345558</v>
      </c>
      <c r="I14" s="40">
        <f t="shared" si="4"/>
        <v>100893.49912662093</v>
      </c>
      <c r="J14" s="39">
        <f t="shared" si="5"/>
        <v>-736.50087337907462</v>
      </c>
      <c r="K14" s="40">
        <f t="shared" si="6"/>
        <v>736.50087337907462</v>
      </c>
      <c r="L14" s="40">
        <f>SUMSQ($J$4:J14)/(A14)</f>
        <v>131316191.78042756</v>
      </c>
      <c r="M14" s="40">
        <f>SUM($K$4:K14)/A14</f>
        <v>9200.6976750669637</v>
      </c>
      <c r="N14" s="40">
        <f t="shared" si="7"/>
        <v>0.72468845161770601</v>
      </c>
      <c r="O14" s="40">
        <f>AVERAGE($N$4:N14)</f>
        <v>10.283177979194564</v>
      </c>
      <c r="P14" s="43">
        <f>SUM($J$4:J14)/M14</f>
        <v>10.478442756541266</v>
      </c>
    </row>
    <row r="15" spans="1:19" x14ac:dyDescent="0.3">
      <c r="A15" s="15">
        <v>12</v>
      </c>
      <c r="B15" s="21">
        <v>124149</v>
      </c>
      <c r="C15" s="40">
        <f t="shared" si="8"/>
        <v>113157.85416666667</v>
      </c>
      <c r="D15" s="40">
        <f>'AD WINTER SÁBADOS'!$B$17+'AD WINTER SÁBADOS'!$B$18*'M. WINTER SÁBADOS'!A15</f>
        <v>112965.08417585786</v>
      </c>
      <c r="E15" s="42">
        <f t="shared" si="0"/>
        <v>1.0990032973970225</v>
      </c>
      <c r="F15" s="40">
        <f t="shared" si="1"/>
        <v>110219.51316909838</v>
      </c>
      <c r="G15" s="40">
        <f t="shared" si="2"/>
        <v>405.21063337152725</v>
      </c>
      <c r="H15" s="42">
        <f t="shared" si="3"/>
        <v>1.1314494303659037</v>
      </c>
      <c r="I15" s="40">
        <f t="shared" si="4"/>
        <v>125166.28073069001</v>
      </c>
      <c r="J15" s="39">
        <f t="shared" si="5"/>
        <v>1017.2807306900067</v>
      </c>
      <c r="K15" s="40">
        <f t="shared" si="6"/>
        <v>1017.2807306900067</v>
      </c>
      <c r="L15" s="40">
        <f>SUMSQ($J$4:J15)/(A15)</f>
        <v>120459414.1391447</v>
      </c>
      <c r="M15" s="40">
        <f>SUM($K$4:K15)/A15</f>
        <v>8518.7462630355512</v>
      </c>
      <c r="N15" s="40">
        <f t="shared" si="7"/>
        <v>0.81940308072558521</v>
      </c>
      <c r="O15" s="40">
        <f>AVERAGE($N$4:N15)</f>
        <v>9.4945300709888159</v>
      </c>
      <c r="P15" s="43">
        <f>SUM($J$4:J15)/M15</f>
        <v>11.436690521218184</v>
      </c>
    </row>
    <row r="16" spans="1:19" x14ac:dyDescent="0.3">
      <c r="A16" s="15">
        <v>13</v>
      </c>
      <c r="B16" s="21">
        <v>106035</v>
      </c>
      <c r="C16" s="40">
        <f t="shared" si="8"/>
        <v>114747.7625</v>
      </c>
      <c r="D16" s="40">
        <f>'AD WINTER SÁBADOS'!$B$17+'AD WINTER SÁBADOS'!$B$18*'M. WINTER SÁBADOS'!A16</f>
        <v>114503.3264082925</v>
      </c>
      <c r="E16" s="42">
        <f t="shared" si="0"/>
        <v>0.92604296596505498</v>
      </c>
      <c r="F16" s="40">
        <f t="shared" si="1"/>
        <v>113229.37164548227</v>
      </c>
      <c r="G16" s="40">
        <f t="shared" si="2"/>
        <v>926.14020197399941</v>
      </c>
      <c r="H16" s="42">
        <f>$S$6*(B4/F4)+(1-$S$6)*H4</f>
        <v>0.80844186379776517</v>
      </c>
      <c r="I16" s="40">
        <f t="shared" si="4"/>
        <v>92288.094760745415</v>
      </c>
      <c r="J16" s="39">
        <f t="shared" si="5"/>
        <v>-13746.905239254585</v>
      </c>
      <c r="K16" s="40">
        <f t="shared" si="6"/>
        <v>13746.905239254585</v>
      </c>
      <c r="L16" s="40">
        <f>SUMSQ($J$4:J16)/(A16)</f>
        <v>125730028.71744473</v>
      </c>
      <c r="M16" s="40">
        <f>SUM($K$4:K16)/A16</f>
        <v>8920.912338129323</v>
      </c>
      <c r="N16" s="40">
        <f t="shared" si="7"/>
        <v>12.964497797193934</v>
      </c>
      <c r="O16" s="40">
        <f>AVERAGE($N$4:N16)</f>
        <v>9.7614506653122852</v>
      </c>
      <c r="P16" s="43">
        <f>SUM($J$4:J16)/M16</f>
        <v>9.3801347023901069</v>
      </c>
    </row>
    <row r="17" spans="1:16" x14ac:dyDescent="0.3">
      <c r="A17" s="15">
        <v>14</v>
      </c>
      <c r="B17" s="21">
        <v>93538</v>
      </c>
      <c r="C17" s="40">
        <f t="shared" si="8"/>
        <v>116274.46250000001</v>
      </c>
      <c r="D17" s="40">
        <f>'AD WINTER SÁBADOS'!$B$17+'AD WINTER SÁBADOS'!$B$18*'M. WINTER SÁBADOS'!A17</f>
        <v>116041.56864072714</v>
      </c>
      <c r="E17" s="42">
        <f t="shared" si="0"/>
        <v>0.80607321234686358</v>
      </c>
      <c r="F17" s="40">
        <f t="shared" si="1"/>
        <v>120116.22810269635</v>
      </c>
      <c r="G17" s="40">
        <f t="shared" si="2"/>
        <v>2118.2834530220148</v>
      </c>
      <c r="H17" s="42">
        <f t="shared" ref="H17:H27" si="9">$S$6*(B5/F5)+(1-$S$6)*H5</f>
        <v>0.81681707940382653</v>
      </c>
      <c r="I17" s="40">
        <f t="shared" si="4"/>
        <v>99843.236731295154</v>
      </c>
      <c r="J17" s="39">
        <f t="shared" si="5"/>
        <v>6305.2367312951537</v>
      </c>
      <c r="K17" s="40">
        <f t="shared" si="6"/>
        <v>6305.2367312951537</v>
      </c>
      <c r="L17" s="40">
        <f>SUMSQ($J$4:J17)/(A17)</f>
        <v>119589027.39746107</v>
      </c>
      <c r="M17" s="40">
        <f>SUM($K$4:K17)/A17</f>
        <v>8734.0783662125959</v>
      </c>
      <c r="N17" s="40">
        <f t="shared" si="7"/>
        <v>6.7408291082716687</v>
      </c>
      <c r="O17" s="40">
        <f>AVERAGE($N$4:N17)</f>
        <v>9.5456919826665274</v>
      </c>
      <c r="P17" s="43">
        <f>SUM($J$4:J17)/M17</f>
        <v>10.302700795456976</v>
      </c>
    </row>
    <row r="18" spans="1:16" x14ac:dyDescent="0.3">
      <c r="A18" s="14">
        <v>15</v>
      </c>
      <c r="B18" s="21">
        <v>125713</v>
      </c>
      <c r="C18" s="40">
        <f t="shared" si="8"/>
        <v>117885.87083333333</v>
      </c>
      <c r="D18" s="40">
        <f>'AD WINTER SÁBADOS'!$B$17+'AD WINTER SÁBADOS'!$B$18*'M. WINTER SÁBADOS'!A18</f>
        <v>117579.81087316178</v>
      </c>
      <c r="E18" s="42">
        <f t="shared" si="0"/>
        <v>1.0691716466155217</v>
      </c>
      <c r="F18" s="40">
        <f t="shared" si="1"/>
        <v>119782.17134231875</v>
      </c>
      <c r="G18" s="40">
        <f t="shared" si="2"/>
        <v>1627.8154103420918</v>
      </c>
      <c r="H18" s="42">
        <f t="shared" si="9"/>
        <v>1.0330427376853426</v>
      </c>
      <c r="I18" s="40">
        <f t="shared" si="4"/>
        <v>125421.70509730994</v>
      </c>
      <c r="J18" s="39">
        <f t="shared" si="5"/>
        <v>-291.29490269006055</v>
      </c>
      <c r="K18" s="40">
        <f t="shared" si="6"/>
        <v>291.29490269006055</v>
      </c>
      <c r="L18" s="40">
        <f>SUMSQ($J$4:J18)/(A18)</f>
        <v>111622082.41898587</v>
      </c>
      <c r="M18" s="40">
        <f>SUM($K$4:K18)/A18</f>
        <v>8171.2261353110944</v>
      </c>
      <c r="N18" s="40">
        <f t="shared" si="7"/>
        <v>0.23171422421711402</v>
      </c>
      <c r="O18" s="40">
        <f>AVERAGE($N$4:N18)</f>
        <v>8.9247601321032342</v>
      </c>
      <c r="P18" s="43">
        <f>SUM($J$4:J18)/M18</f>
        <v>10.976724881088757</v>
      </c>
    </row>
    <row r="19" spans="1:16" x14ac:dyDescent="0.3">
      <c r="A19" s="15">
        <v>16</v>
      </c>
      <c r="B19" s="21">
        <v>118330</v>
      </c>
      <c r="C19" s="40">
        <f t="shared" si="8"/>
        <v>119550.20625</v>
      </c>
      <c r="D19" s="40">
        <f>'AD WINTER SÁBADOS'!$B$17+'AD WINTER SÁBADOS'!$B$18*'M. WINTER SÁBADOS'!A19</f>
        <v>119118.05310559642</v>
      </c>
      <c r="E19" s="42">
        <f t="shared" si="0"/>
        <v>0.99338426808489033</v>
      </c>
      <c r="F19" s="40">
        <f t="shared" si="1"/>
        <v>121110.26029821199</v>
      </c>
      <c r="G19" s="40">
        <f t="shared" si="2"/>
        <v>1567.8701194523214</v>
      </c>
      <c r="H19" s="42">
        <f t="shared" si="9"/>
        <v>0.97233296502581557</v>
      </c>
      <c r="I19" s="40">
        <f t="shared" si="4"/>
        <v>119283.99029283122</v>
      </c>
      <c r="J19" s="39">
        <f t="shared" si="5"/>
        <v>953.99029283122218</v>
      </c>
      <c r="K19" s="40">
        <f t="shared" si="6"/>
        <v>953.99029283122218</v>
      </c>
      <c r="L19" s="40">
        <f>SUMSQ($J$4:J19)/(A19)</f>
        <v>104702583.36022528</v>
      </c>
      <c r="M19" s="40">
        <f>SUM($K$4:K19)/A19</f>
        <v>7720.1488951561023</v>
      </c>
      <c r="N19" s="40">
        <f t="shared" si="7"/>
        <v>0.80621169004582283</v>
      </c>
      <c r="O19" s="40">
        <f>AVERAGE($N$4:N19)</f>
        <v>8.4173508544746447</v>
      </c>
      <c r="P19" s="43">
        <f>SUM($J$4:J19)/M19</f>
        <v>11.741650679584508</v>
      </c>
    </row>
    <row r="20" spans="1:16" x14ac:dyDescent="0.3">
      <c r="A20" s="15">
        <v>17</v>
      </c>
      <c r="B20" s="21">
        <v>120224.75</v>
      </c>
      <c r="C20" s="40">
        <f t="shared" si="8"/>
        <v>120915.63333333335</v>
      </c>
      <c r="D20" s="40">
        <f>'AD WINTER SÁBADOS'!$B$17+'AD WINTER SÁBADOS'!$B$18*'M. WINTER SÁBADOS'!A20</f>
        <v>120656.29533803106</v>
      </c>
      <c r="E20" s="42">
        <f t="shared" si="0"/>
        <v>0.99642335000571625</v>
      </c>
      <c r="F20" s="40">
        <f t="shared" si="1"/>
        <v>122360.38227473549</v>
      </c>
      <c r="G20" s="40">
        <f t="shared" si="2"/>
        <v>1504.3204908665573</v>
      </c>
      <c r="H20" s="42">
        <f t="shared" si="9"/>
        <v>1.0137727940116152</v>
      </c>
      <c r="I20" s="40">
        <f t="shared" si="4"/>
        <v>125570.66580210262</v>
      </c>
      <c r="J20" s="39">
        <f t="shared" si="5"/>
        <v>5345.9158021026233</v>
      </c>
      <c r="K20" s="40">
        <f t="shared" si="6"/>
        <v>5345.9158021026233</v>
      </c>
      <c r="L20" s="40">
        <f>SUMSQ($J$4:J20)/(A20)</f>
        <v>100224714.67804559</v>
      </c>
      <c r="M20" s="40">
        <f>SUM($K$4:K20)/A20</f>
        <v>7580.4881249764858</v>
      </c>
      <c r="N20" s="40">
        <f t="shared" si="7"/>
        <v>4.4466017206129544</v>
      </c>
      <c r="O20" s="40">
        <f>AVERAGE($N$4:N20)</f>
        <v>8.183777376012193</v>
      </c>
      <c r="P20" s="43">
        <f>SUM($J$4:J20)/M20</f>
        <v>12.663196055557917</v>
      </c>
    </row>
    <row r="21" spans="1:16" x14ac:dyDescent="0.3">
      <c r="A21" s="15">
        <v>18</v>
      </c>
      <c r="B21" s="21">
        <v>125457</v>
      </c>
      <c r="C21" s="40">
        <f t="shared" si="8"/>
        <v>122689.33333333333</v>
      </c>
      <c r="D21" s="40">
        <f>'AD WINTER SÁBADOS'!$B$17+'AD WINTER SÁBADOS'!$B$18*'M. WINTER SÁBADOS'!A21</f>
        <v>122194.53757046571</v>
      </c>
      <c r="E21" s="42">
        <f t="shared" si="0"/>
        <v>1.0266989220173033</v>
      </c>
      <c r="F21" s="40">
        <f t="shared" si="1"/>
        <v>122895.14506407216</v>
      </c>
      <c r="G21" s="40">
        <f t="shared" si="2"/>
        <v>1310.4089505605805</v>
      </c>
      <c r="H21" s="42">
        <f t="shared" si="9"/>
        <v>1.0251986646055045</v>
      </c>
      <c r="I21" s="40">
        <f t="shared" si="4"/>
        <v>127335.36811238834</v>
      </c>
      <c r="J21" s="39">
        <f t="shared" si="5"/>
        <v>1878.3681123883434</v>
      </c>
      <c r="K21" s="40">
        <f t="shared" si="6"/>
        <v>1878.3681123883434</v>
      </c>
      <c r="L21" s="40">
        <f>SUMSQ($J$4:J21)/(A21)</f>
        <v>94852689.794022903</v>
      </c>
      <c r="M21" s="40">
        <f>SUM($K$4:K21)/A21</f>
        <v>7263.7036798326999</v>
      </c>
      <c r="N21" s="40">
        <f t="shared" si="7"/>
        <v>1.4972206512098514</v>
      </c>
      <c r="O21" s="40">
        <f>AVERAGE($N$4:N21)</f>
        <v>7.8123020024120633</v>
      </c>
      <c r="P21" s="43">
        <f>SUM($J$4:J21)/M21</f>
        <v>13.474059481188585</v>
      </c>
    </row>
    <row r="22" spans="1:16" x14ac:dyDescent="0.3">
      <c r="A22" s="15">
        <v>19</v>
      </c>
      <c r="B22" s="21">
        <v>129230.8</v>
      </c>
      <c r="C22" s="40">
        <f t="shared" si="8"/>
        <v>124430.40833333334</v>
      </c>
      <c r="D22" s="40">
        <f>'AD WINTER SÁBADOS'!$B$17+'AD WINTER SÁBADOS'!$B$18*'M. WINTER SÁBADOS'!A22</f>
        <v>123732.77980290035</v>
      </c>
      <c r="E22" s="42">
        <f t="shared" si="0"/>
        <v>1.044434629253927</v>
      </c>
      <c r="F22" s="40">
        <f t="shared" si="1"/>
        <v>123058.17690019691</v>
      </c>
      <c r="G22" s="40">
        <f t="shared" si="2"/>
        <v>1080.9335276734141</v>
      </c>
      <c r="H22" s="42">
        <f t="shared" si="9"/>
        <v>1.0462599704227529</v>
      </c>
      <c r="I22" s="40">
        <f t="shared" si="4"/>
        <v>129881.78200457046</v>
      </c>
      <c r="J22" s="39">
        <f t="shared" si="5"/>
        <v>650.98200457045459</v>
      </c>
      <c r="K22" s="40">
        <f t="shared" si="6"/>
        <v>650.98200457045459</v>
      </c>
      <c r="L22" s="40">
        <f>SUMSQ($J$4:J22)/(A22)</f>
        <v>89882747.045404568</v>
      </c>
      <c r="M22" s="40">
        <f>SUM($K$4:K22)/A22</f>
        <v>6915.6656969241603</v>
      </c>
      <c r="N22" s="40">
        <f t="shared" si="7"/>
        <v>0.50373595502810053</v>
      </c>
      <c r="O22" s="40">
        <f>AVERAGE($N$4:N22)</f>
        <v>7.427640631497118</v>
      </c>
      <c r="P22" s="43">
        <f>SUM($J$4:J22)/M22</f>
        <v>14.246286873609861</v>
      </c>
    </row>
    <row r="23" spans="1:16" x14ac:dyDescent="0.3">
      <c r="A23" s="14">
        <v>20</v>
      </c>
      <c r="B23" s="21">
        <v>131852</v>
      </c>
      <c r="C23" s="40">
        <f t="shared" si="8"/>
        <v>125565.23472222225</v>
      </c>
      <c r="D23" s="40">
        <f>'AD WINTER SÁBADOS'!$B$17+'AD WINTER SÁBADOS'!$B$18*'M. WINTER SÁBADOS'!A23</f>
        <v>125271.02203533499</v>
      </c>
      <c r="E23" s="42">
        <f t="shared" si="0"/>
        <v>1.0525339209159539</v>
      </c>
      <c r="F23" s="40">
        <f t="shared" si="1"/>
        <v>123114.99092060738</v>
      </c>
      <c r="G23" s="40">
        <f t="shared" si="2"/>
        <v>876.10962622082559</v>
      </c>
      <c r="H23" s="42">
        <f t="shared" si="9"/>
        <v>1.0604104877960225</v>
      </c>
      <c r="I23" s="40">
        <f t="shared" si="4"/>
        <v>131481.46341322779</v>
      </c>
      <c r="J23" s="39">
        <f t="shared" si="5"/>
        <v>-370.53658677221392</v>
      </c>
      <c r="K23" s="40">
        <f t="shared" si="6"/>
        <v>370.53658677221392</v>
      </c>
      <c r="L23" s="40">
        <f>SUMSQ($J$4:J23)/(A23)</f>
        <v>85395474.56124118</v>
      </c>
      <c r="M23" s="40">
        <f>SUM($K$4:K23)/A23</f>
        <v>6588.4092414165625</v>
      </c>
      <c r="N23" s="40">
        <f t="shared" si="7"/>
        <v>0.28102462364788849</v>
      </c>
      <c r="O23" s="40">
        <f>AVERAGE($N$4:N23)</f>
        <v>7.0703098311046562</v>
      </c>
      <c r="P23" s="43">
        <f>SUM($J$4:J23)/M23</f>
        <v>14.89768125461632</v>
      </c>
    </row>
    <row r="24" spans="1:16" x14ac:dyDescent="0.3">
      <c r="A24" s="15">
        <v>21</v>
      </c>
      <c r="B24" s="21">
        <v>131888.79999999999</v>
      </c>
      <c r="C24" s="40">
        <f>((B18+B30+2*(SUM(B19:B29)))/(2*12))</f>
        <v>126151.11944444444</v>
      </c>
      <c r="D24" s="40">
        <f>'AD WINTER SÁBADOS'!$B$17+'AD WINTER SÁBADOS'!$B$18*'M. WINTER SÁBADOS'!A24</f>
        <v>126809.26426776963</v>
      </c>
      <c r="E24" s="42">
        <f t="shared" si="0"/>
        <v>1.0400565034547038</v>
      </c>
      <c r="F24" s="40">
        <f t="shared" si="1"/>
        <v>123577.95256509288</v>
      </c>
      <c r="G24" s="40">
        <f t="shared" si="2"/>
        <v>793.48002987376162</v>
      </c>
      <c r="H24" s="42">
        <f t="shared" si="9"/>
        <v>1.0320754778842329</v>
      </c>
      <c r="I24" s="40">
        <f t="shared" si="4"/>
        <v>128360.70573059688</v>
      </c>
      <c r="J24" s="39">
        <f t="shared" si="5"/>
        <v>-3528.094269403111</v>
      </c>
      <c r="K24" s="40">
        <f t="shared" si="6"/>
        <v>3528.094269403111</v>
      </c>
      <c r="L24" s="40">
        <f>SUMSQ($J$4:J24)/(A24)</f>
        <v>81921759.066600889</v>
      </c>
      <c r="M24" s="40">
        <f>SUM($K$4:K24)/A24</f>
        <v>6442.6799570349704</v>
      </c>
      <c r="N24" s="40">
        <f t="shared" si="7"/>
        <v>2.6750522177797595</v>
      </c>
      <c r="O24" s="40">
        <f>AVERAGE($N$4:N24)</f>
        <v>6.8610118495177561</v>
      </c>
      <c r="P24" s="43">
        <f>SUM($J$4:J24)/M24</f>
        <v>14.687044400035177</v>
      </c>
    </row>
    <row r="25" spans="1:16" x14ac:dyDescent="0.3">
      <c r="A25" s="15">
        <v>22</v>
      </c>
      <c r="B25" s="21">
        <v>136062.25</v>
      </c>
      <c r="C25" s="40">
        <f>((B19+B31+2*(SUM(B20:B30)))/(2*12))</f>
        <v>126833.88611111109</v>
      </c>
      <c r="D25" s="40">
        <f>'AD WINTER SÁBADOS'!$B$17+'AD WINTER SÁBADOS'!$B$18*'M. WINTER SÁBADOS'!A25</f>
        <v>128347.50650020427</v>
      </c>
      <c r="E25" s="42">
        <f t="shared" si="0"/>
        <v>1.0601082460435916</v>
      </c>
      <c r="F25" s="40">
        <f t="shared" si="1"/>
        <v>123711.18402525019</v>
      </c>
      <c r="G25" s="40">
        <f t="shared" si="2"/>
        <v>661.43031593046965</v>
      </c>
      <c r="H25" s="42">
        <f t="shared" si="9"/>
        <v>1.0626207418877913</v>
      </c>
      <c r="I25" s="40">
        <f t="shared" si="4"/>
        <v>132160.91972174955</v>
      </c>
      <c r="J25" s="39">
        <f t="shared" si="5"/>
        <v>-3901.330278250447</v>
      </c>
      <c r="K25" s="40">
        <f t="shared" si="6"/>
        <v>3901.330278250447</v>
      </c>
      <c r="L25" s="40">
        <f>SUMSQ($J$4:J25)/(A25)</f>
        <v>78889878.106300563</v>
      </c>
      <c r="M25" s="40">
        <f>SUM($K$4:K25)/A25</f>
        <v>6327.1640625447644</v>
      </c>
      <c r="N25" s="40">
        <f t="shared" si="7"/>
        <v>2.8673127765052002</v>
      </c>
      <c r="O25" s="40">
        <f>AVERAGE($N$4:N25)</f>
        <v>6.6794800734717308</v>
      </c>
      <c r="P25" s="43">
        <f>SUM($J$4:J25)/M25</f>
        <v>14.338587621426488</v>
      </c>
    </row>
    <row r="26" spans="1:16" x14ac:dyDescent="0.3">
      <c r="A26" s="15">
        <v>23</v>
      </c>
      <c r="B26" s="21">
        <v>115384</v>
      </c>
      <c r="C26" s="40"/>
      <c r="D26" s="40">
        <f>'AD WINTER SÁBADOS'!$B$17+'AD WINTER SÁBADOS'!$B$18*'M. WINTER SÁBADOS'!A26</f>
        <v>129885.74873263889</v>
      </c>
      <c r="E26" s="42">
        <f t="shared" si="0"/>
        <v>0.88834996237739849</v>
      </c>
      <c r="F26" s="40">
        <f t="shared" si="1"/>
        <v>128740.11415171839</v>
      </c>
      <c r="G26" s="40">
        <f t="shared" si="2"/>
        <v>1534.9302780380158</v>
      </c>
      <c r="H26" s="42">
        <f t="shared" si="9"/>
        <v>0.90021411066345558</v>
      </c>
      <c r="I26" s="40">
        <f t="shared" si="4"/>
        <v>117275.43326297532</v>
      </c>
      <c r="J26" s="39">
        <f t="shared" si="5"/>
        <v>1891.4332629753189</v>
      </c>
      <c r="K26" s="40">
        <f t="shared" si="6"/>
        <v>1891.4332629753189</v>
      </c>
      <c r="L26" s="40">
        <f>SUMSQ($J$4:J26)/(A26)</f>
        <v>75615427.744647905</v>
      </c>
      <c r="M26" s="40">
        <f>SUM($K$4:K26)/A26</f>
        <v>6134.3062016939184</v>
      </c>
      <c r="N26" s="40">
        <f t="shared" si="7"/>
        <v>1.6392509039167642</v>
      </c>
      <c r="O26" s="40">
        <f>AVERAGE($N$4:N26)</f>
        <v>6.4603396747954278</v>
      </c>
      <c r="P26" s="52">
        <f>SUM($J$4:J26)/M26</f>
        <v>15.097718718922101</v>
      </c>
    </row>
    <row r="27" spans="1:16" x14ac:dyDescent="0.3">
      <c r="A27" s="15">
        <v>24</v>
      </c>
      <c r="B27" s="21">
        <v>152963.79999999999</v>
      </c>
      <c r="C27" s="40"/>
      <c r="D27" s="40">
        <f>'AD WINTER SÁBADOS'!$B$17+'AD WINTER SÁBADOS'!$B$18*'M. WINTER SÁBADOS'!A27</f>
        <v>131423.99096507355</v>
      </c>
      <c r="E27" s="42">
        <f t="shared" si="0"/>
        <v>1.1638955633347852</v>
      </c>
      <c r="F27" s="40">
        <f t="shared" si="1"/>
        <v>126803.5035292863</v>
      </c>
      <c r="G27" s="40">
        <f t="shared" si="2"/>
        <v>840.6220979439961</v>
      </c>
      <c r="H27" s="42">
        <f t="shared" si="9"/>
        <v>1.1314494303659037</v>
      </c>
      <c r="I27" s="40">
        <f t="shared" si="4"/>
        <v>144422.87323048359</v>
      </c>
      <c r="J27" s="39">
        <f t="shared" si="5"/>
        <v>-8540.9267695164017</v>
      </c>
      <c r="K27" s="40">
        <f t="shared" si="6"/>
        <v>8540.9267695164017</v>
      </c>
      <c r="L27" s="44">
        <f>SUMSQ($J$4:J27)/(A27)</f>
        <v>75504261.17538099</v>
      </c>
      <c r="M27" s="51">
        <f>SUM($K$4:K27)/A27</f>
        <v>6234.582058686522</v>
      </c>
      <c r="N27" s="40">
        <f t="shared" si="7"/>
        <v>5.5836261713662987</v>
      </c>
      <c r="O27" s="51">
        <f>AVERAGE($N$4:N27)</f>
        <v>6.423809945485881</v>
      </c>
      <c r="P27" s="43">
        <f>SUM($J$4:J27)/M27</f>
        <v>13.484962104598557</v>
      </c>
    </row>
    <row r="28" spans="1:16" x14ac:dyDescent="0.3">
      <c r="A28" s="14">
        <v>25</v>
      </c>
      <c r="B28" s="21">
        <v>119006</v>
      </c>
      <c r="C28" s="40"/>
      <c r="D28" s="40"/>
      <c r="E28" s="48">
        <f>AVERAGE(E4,E16)</f>
        <v>0.80844186379776517</v>
      </c>
      <c r="F28" s="40"/>
      <c r="G28" s="40"/>
      <c r="H28" s="48">
        <f>H4</f>
        <v>0.80844186379776517</v>
      </c>
      <c r="I28" s="49">
        <f>($F$27+$G$27*A4)*H28</f>
        <v>103192.85482491415</v>
      </c>
      <c r="J28" s="39"/>
      <c r="K28" s="40"/>
      <c r="L28" s="40"/>
      <c r="M28" s="40"/>
      <c r="N28" s="40"/>
      <c r="O28" s="40"/>
      <c r="P28" s="43"/>
    </row>
    <row r="29" spans="1:16" x14ac:dyDescent="0.3">
      <c r="A29" s="15">
        <v>26</v>
      </c>
      <c r="B29" s="21">
        <v>107802.83333333333</v>
      </c>
      <c r="C29" s="40"/>
      <c r="D29" s="40"/>
      <c r="E29" s="48">
        <f t="shared" ref="E29:E39" si="10">AVERAGE(E5,E17)</f>
        <v>0.81681707940382653</v>
      </c>
      <c r="F29" s="40"/>
      <c r="G29" s="40"/>
      <c r="H29" s="48">
        <f t="shared" ref="H29:H39" si="11">H5</f>
        <v>0.81681707940382653</v>
      </c>
      <c r="I29" s="49">
        <f t="shared" ref="I29:I39" si="12">($F$27+$G$27*A5)*H29</f>
        <v>104948.53638481432</v>
      </c>
      <c r="J29" s="39"/>
      <c r="K29" s="40"/>
      <c r="L29" s="40"/>
      <c r="M29" s="40"/>
      <c r="N29" s="40"/>
      <c r="O29" s="40"/>
      <c r="P29" s="43"/>
    </row>
    <row r="30" spans="1:16" x14ac:dyDescent="0.3">
      <c r="A30" s="15">
        <v>27</v>
      </c>
      <c r="B30" s="21">
        <v>125509.4</v>
      </c>
      <c r="C30" s="40"/>
      <c r="D30" s="40"/>
      <c r="E30" s="48">
        <f t="shared" si="10"/>
        <v>1.0330427376853426</v>
      </c>
      <c r="F30" s="40"/>
      <c r="G30" s="40"/>
      <c r="H30" s="48">
        <f t="shared" si="11"/>
        <v>1.0330427376853426</v>
      </c>
      <c r="I30" s="49">
        <f t="shared" si="12"/>
        <v>133598.63409424352</v>
      </c>
      <c r="J30" s="39"/>
      <c r="K30" s="40"/>
      <c r="L30" s="40"/>
      <c r="M30" s="40"/>
      <c r="N30" s="40"/>
      <c r="O30" s="40"/>
      <c r="P30" s="43"/>
    </row>
    <row r="31" spans="1:16" x14ac:dyDescent="0.3">
      <c r="A31" s="15">
        <v>28</v>
      </c>
      <c r="B31" s="21">
        <v>134920</v>
      </c>
      <c r="C31" s="40"/>
      <c r="D31" s="40"/>
      <c r="E31" s="48">
        <f t="shared" si="10"/>
        <v>0.97233296502581557</v>
      </c>
      <c r="F31" s="40"/>
      <c r="G31" s="40"/>
      <c r="H31" s="48">
        <f t="shared" si="11"/>
        <v>0.97233296502581557</v>
      </c>
      <c r="I31" s="49">
        <f t="shared" si="12"/>
        <v>126564.68487013286</v>
      </c>
      <c r="J31" s="39"/>
      <c r="K31" s="40"/>
      <c r="L31" s="40"/>
      <c r="M31" s="40"/>
      <c r="N31" s="40"/>
      <c r="O31" s="40"/>
      <c r="P31" s="43"/>
    </row>
    <row r="32" spans="1:16" x14ac:dyDescent="0.3">
      <c r="A32" s="45">
        <v>29</v>
      </c>
      <c r="C32" s="41"/>
      <c r="E32" s="48">
        <f t="shared" si="10"/>
        <v>1.0137727940116152</v>
      </c>
      <c r="H32" s="48">
        <f t="shared" si="11"/>
        <v>1.0137727940116152</v>
      </c>
      <c r="I32" s="49">
        <f t="shared" si="12"/>
        <v>132810.94112804925</v>
      </c>
    </row>
    <row r="33" spans="1:9" x14ac:dyDescent="0.3">
      <c r="A33" s="46">
        <v>30</v>
      </c>
      <c r="C33" s="41"/>
      <c r="E33" s="48">
        <f t="shared" si="10"/>
        <v>1.0251986646055045</v>
      </c>
      <c r="H33" s="48">
        <f t="shared" si="11"/>
        <v>1.0251986646055045</v>
      </c>
      <c r="I33" s="49">
        <f t="shared" si="12"/>
        <v>135169.61039902407</v>
      </c>
    </row>
    <row r="34" spans="1:9" x14ac:dyDescent="0.3">
      <c r="A34" s="47">
        <v>31</v>
      </c>
      <c r="C34" s="41"/>
      <c r="E34" s="48">
        <f t="shared" si="10"/>
        <v>1.0462599704227529</v>
      </c>
      <c r="H34" s="48">
        <f t="shared" si="11"/>
        <v>1.0462599704227529</v>
      </c>
      <c r="I34" s="49">
        <f t="shared" si="12"/>
        <v>138825.99461137372</v>
      </c>
    </row>
    <row r="35" spans="1:9" x14ac:dyDescent="0.3">
      <c r="A35" s="46">
        <v>32</v>
      </c>
      <c r="C35" s="41"/>
      <c r="E35" s="48">
        <f t="shared" si="10"/>
        <v>1.0604104877960225</v>
      </c>
      <c r="H35" s="48">
        <f t="shared" si="11"/>
        <v>1.0604104877960225</v>
      </c>
      <c r="I35" s="49">
        <f t="shared" si="12"/>
        <v>141595.00094319842</v>
      </c>
    </row>
    <row r="36" spans="1:9" x14ac:dyDescent="0.3">
      <c r="A36" s="46">
        <v>33</v>
      </c>
      <c r="C36" s="41"/>
      <c r="E36" s="48">
        <f t="shared" si="10"/>
        <v>1.0320754778842329</v>
      </c>
      <c r="H36" s="48">
        <f t="shared" si="11"/>
        <v>1.0320754778842329</v>
      </c>
      <c r="I36" s="49">
        <f t="shared" si="12"/>
        <v>138679.05558348354</v>
      </c>
    </row>
    <row r="37" spans="1:9" x14ac:dyDescent="0.3">
      <c r="A37" s="46">
        <v>34</v>
      </c>
      <c r="C37" s="41"/>
      <c r="E37" s="48">
        <f t="shared" si="10"/>
        <v>1.0626207418877913</v>
      </c>
      <c r="H37" s="48">
        <f t="shared" si="11"/>
        <v>1.0626207418877913</v>
      </c>
      <c r="I37" s="49">
        <f t="shared" si="12"/>
        <v>143676.65776790658</v>
      </c>
    </row>
    <row r="38" spans="1:9" x14ac:dyDescent="0.3">
      <c r="A38" s="46">
        <v>35</v>
      </c>
      <c r="C38" s="41"/>
      <c r="E38" s="48">
        <f t="shared" si="10"/>
        <v>0.90021411066345558</v>
      </c>
      <c r="H38" s="48">
        <f t="shared" si="11"/>
        <v>0.90021411066345558</v>
      </c>
      <c r="I38" s="49">
        <f t="shared" si="12"/>
        <v>122474.44177597856</v>
      </c>
    </row>
    <row r="39" spans="1:9" x14ac:dyDescent="0.3">
      <c r="A39" s="47">
        <v>36</v>
      </c>
      <c r="C39" s="41"/>
      <c r="E39" s="48">
        <f t="shared" si="10"/>
        <v>1.1314494303659037</v>
      </c>
      <c r="H39" s="48">
        <f t="shared" si="11"/>
        <v>1.1314494303659037</v>
      </c>
      <c r="I39" s="49">
        <f t="shared" si="12"/>
        <v>154885.20856307258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4642-4272-4CF6-8517-1E6BDA7DE731}">
  <dimension ref="A1:I40"/>
  <sheetViews>
    <sheetView workbookViewId="0">
      <selection activeCell="A16" sqref="A16:B18"/>
    </sheetView>
  </sheetViews>
  <sheetFormatPr baseColWidth="10"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27" t="s">
        <v>47</v>
      </c>
      <c r="B3" s="27"/>
    </row>
    <row r="4" spans="1:9" x14ac:dyDescent="0.3">
      <c r="A4" t="s">
        <v>48</v>
      </c>
      <c r="B4">
        <v>0.99280677305181197</v>
      </c>
    </row>
    <row r="5" spans="1:9" x14ac:dyDescent="0.3">
      <c r="A5" t="s">
        <v>49</v>
      </c>
      <c r="B5">
        <v>0.98566528861755198</v>
      </c>
    </row>
    <row r="6" spans="1:9" x14ac:dyDescent="0.3">
      <c r="A6" t="s">
        <v>50</v>
      </c>
      <c r="B6">
        <v>0.98464138066166285</v>
      </c>
    </row>
    <row r="7" spans="1:9" x14ac:dyDescent="0.3">
      <c r="A7" t="s">
        <v>51</v>
      </c>
      <c r="B7">
        <v>1158.9129638537083</v>
      </c>
    </row>
    <row r="8" spans="1:9" ht="15" thickBot="1" x14ac:dyDescent="0.35">
      <c r="A8" s="25" t="s">
        <v>52</v>
      </c>
      <c r="B8" s="25">
        <v>16</v>
      </c>
    </row>
    <row r="10" spans="1:9" ht="15" thickBot="1" x14ac:dyDescent="0.35">
      <c r="A10" t="s">
        <v>53</v>
      </c>
    </row>
    <row r="11" spans="1:9" x14ac:dyDescent="0.3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">
      <c r="A12" t="s">
        <v>54</v>
      </c>
      <c r="B12">
        <v>1</v>
      </c>
      <c r="C12">
        <v>1292915634.3105578</v>
      </c>
      <c r="D12">
        <v>1292915634.3105578</v>
      </c>
      <c r="E12">
        <v>962.6502879954835</v>
      </c>
      <c r="F12">
        <v>2.6217501663308006E-14</v>
      </c>
    </row>
    <row r="13" spans="1:9" x14ac:dyDescent="0.3">
      <c r="A13" t="s">
        <v>55</v>
      </c>
      <c r="B13">
        <v>14</v>
      </c>
      <c r="C13">
        <v>18803109.609034609</v>
      </c>
      <c r="D13">
        <v>1343079.2577881864</v>
      </c>
    </row>
    <row r="14" spans="1:9" ht="15" thickBot="1" x14ac:dyDescent="0.35">
      <c r="A14" s="25" t="s">
        <v>8</v>
      </c>
      <c r="B14" s="25">
        <v>15</v>
      </c>
      <c r="C14" s="25">
        <v>1311718743.9195924</v>
      </c>
      <c r="D14" s="25"/>
      <c r="E14" s="25"/>
      <c r="F14" s="25"/>
    </row>
    <row r="15" spans="1:9" ht="15" thickBot="1" x14ac:dyDescent="0.35"/>
    <row r="16" spans="1:9" x14ac:dyDescent="0.3">
      <c r="A16" s="28"/>
      <c r="B16" s="28" t="s">
        <v>62</v>
      </c>
      <c r="C16" s="26" t="s">
        <v>51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">
      <c r="A17" s="16" t="s">
        <v>56</v>
      </c>
      <c r="B17" s="16">
        <v>123308.702296388</v>
      </c>
      <c r="C17">
        <v>956.28393546546067</v>
      </c>
      <c r="D17">
        <v>128.94570087739564</v>
      </c>
      <c r="E17">
        <v>6.2507005298186173E-23</v>
      </c>
      <c r="F17">
        <v>121257.67724173203</v>
      </c>
      <c r="G17">
        <v>125359.72735104397</v>
      </c>
      <c r="H17">
        <v>121257.67724173203</v>
      </c>
      <c r="I17">
        <v>125359.72735104397</v>
      </c>
    </row>
    <row r="18" spans="1:9" ht="15" thickBot="1" x14ac:dyDescent="0.35">
      <c r="A18" s="29" t="s">
        <v>69</v>
      </c>
      <c r="B18" s="29">
        <v>1950.0494973435609</v>
      </c>
      <c r="C18" s="25">
        <v>62.850879955190166</v>
      </c>
      <c r="D18" s="25">
        <v>31.026606130794953</v>
      </c>
      <c r="E18" s="25">
        <v>2.6217501663308094E-14</v>
      </c>
      <c r="F18" s="25">
        <v>1815.2477666917491</v>
      </c>
      <c r="G18" s="25">
        <v>2084.8512279953729</v>
      </c>
      <c r="H18" s="25">
        <v>1815.2477666917491</v>
      </c>
      <c r="I18" s="25">
        <v>2084.8512279953729</v>
      </c>
    </row>
    <row r="22" spans="1:9" x14ac:dyDescent="0.3">
      <c r="A22" t="s">
        <v>75</v>
      </c>
      <c r="F22" t="s">
        <v>79</v>
      </c>
    </row>
    <row r="23" spans="1:9" ht="15" thickBot="1" x14ac:dyDescent="0.35"/>
    <row r="24" spans="1:9" x14ac:dyDescent="0.3">
      <c r="A24" s="26" t="s">
        <v>76</v>
      </c>
      <c r="B24" s="26" t="s">
        <v>77</v>
      </c>
      <c r="C24" s="26" t="s">
        <v>55</v>
      </c>
      <c r="D24" s="26" t="s">
        <v>78</v>
      </c>
      <c r="F24" s="26" t="s">
        <v>80</v>
      </c>
      <c r="G24" s="26" t="s">
        <v>81</v>
      </c>
    </row>
    <row r="25" spans="1:9" x14ac:dyDescent="0.3">
      <c r="A25">
        <v>1</v>
      </c>
      <c r="B25">
        <v>136959.04877779292</v>
      </c>
      <c r="C25">
        <v>-2503.279150599963</v>
      </c>
      <c r="D25">
        <v>-2.2358366604658237</v>
      </c>
      <c r="F25">
        <v>3.125</v>
      </c>
      <c r="G25">
        <v>134455.76962719296</v>
      </c>
    </row>
    <row r="26" spans="1:9" x14ac:dyDescent="0.3">
      <c r="A26">
        <v>2</v>
      </c>
      <c r="B26">
        <v>138909.09827513649</v>
      </c>
      <c r="C26">
        <v>-1253.4436698733189</v>
      </c>
      <c r="D26">
        <v>-1.1195296810025805</v>
      </c>
      <c r="F26">
        <v>9.375</v>
      </c>
      <c r="G26">
        <v>137655.65460526317</v>
      </c>
    </row>
    <row r="27" spans="1:9" x14ac:dyDescent="0.3">
      <c r="A27">
        <v>3</v>
      </c>
      <c r="B27">
        <v>140859.14777248004</v>
      </c>
      <c r="C27">
        <v>-261.0852724800352</v>
      </c>
      <c r="D27">
        <v>-0.23319174115226624</v>
      </c>
      <c r="F27">
        <v>15.625</v>
      </c>
      <c r="G27">
        <v>140598.0625</v>
      </c>
    </row>
    <row r="28" spans="1:9" x14ac:dyDescent="0.3">
      <c r="A28">
        <v>4</v>
      </c>
      <c r="B28">
        <v>142809.19726982361</v>
      </c>
      <c r="C28">
        <v>477.97981350973714</v>
      </c>
      <c r="D28">
        <v>0.42691394994903192</v>
      </c>
      <c r="F28">
        <v>21.875</v>
      </c>
      <c r="G28">
        <v>143287.17708333334</v>
      </c>
    </row>
    <row r="29" spans="1:9" x14ac:dyDescent="0.3">
      <c r="A29">
        <v>5</v>
      </c>
      <c r="B29">
        <v>144759.24676716718</v>
      </c>
      <c r="C29">
        <v>903.94830859039212</v>
      </c>
      <c r="D29">
        <v>0.80737330753866499</v>
      </c>
      <c r="F29">
        <v>28.125</v>
      </c>
      <c r="G29">
        <v>145663.19507575757</v>
      </c>
    </row>
    <row r="30" spans="1:9" x14ac:dyDescent="0.3">
      <c r="A30">
        <v>6</v>
      </c>
      <c r="B30">
        <v>146709.29626451072</v>
      </c>
      <c r="C30">
        <v>1074.5105536711053</v>
      </c>
      <c r="D30">
        <v>0.95971321751291483</v>
      </c>
      <c r="F30">
        <v>34.375</v>
      </c>
      <c r="G30">
        <v>147783.80681818182</v>
      </c>
    </row>
    <row r="31" spans="1:9" x14ac:dyDescent="0.3">
      <c r="A31">
        <v>7</v>
      </c>
      <c r="B31">
        <v>148659.34576185429</v>
      </c>
      <c r="C31">
        <v>1118.9213737878599</v>
      </c>
      <c r="D31">
        <v>0.99937932495226889</v>
      </c>
      <c r="F31">
        <v>40.625</v>
      </c>
      <c r="G31">
        <v>149778.26713564215</v>
      </c>
    </row>
    <row r="32" spans="1:9" x14ac:dyDescent="0.3">
      <c r="A32">
        <v>8</v>
      </c>
      <c r="B32">
        <v>150609.39525919786</v>
      </c>
      <c r="C32">
        <v>1000.1655272379285</v>
      </c>
      <c r="D32">
        <v>0.89331098043809298</v>
      </c>
      <c r="F32">
        <v>46.875</v>
      </c>
      <c r="G32">
        <v>151609.56078643579</v>
      </c>
    </row>
    <row r="33" spans="1:7" x14ac:dyDescent="0.3">
      <c r="A33">
        <v>9</v>
      </c>
      <c r="B33">
        <v>152559.4447565414</v>
      </c>
      <c r="C33">
        <v>880.33428386264131</v>
      </c>
      <c r="D33">
        <v>0.7862821311212056</v>
      </c>
      <c r="F33">
        <v>53.125</v>
      </c>
      <c r="G33">
        <v>153439.77904040404</v>
      </c>
    </row>
    <row r="34" spans="1:7" x14ac:dyDescent="0.3">
      <c r="A34">
        <v>10</v>
      </c>
      <c r="B34">
        <v>154509.49425388497</v>
      </c>
      <c r="C34">
        <v>943.57501018431503</v>
      </c>
      <c r="D34">
        <v>0.84276641666746421</v>
      </c>
      <c r="F34">
        <v>59.375</v>
      </c>
      <c r="G34">
        <v>155453.06926406929</v>
      </c>
    </row>
    <row r="35" spans="1:7" x14ac:dyDescent="0.3">
      <c r="A35">
        <v>11</v>
      </c>
      <c r="B35">
        <v>156459.54375122854</v>
      </c>
      <c r="C35">
        <v>678.44007513028919</v>
      </c>
      <c r="D35">
        <v>0.60595766618434699</v>
      </c>
      <c r="F35">
        <v>65.625</v>
      </c>
      <c r="G35">
        <v>157137.98382635883</v>
      </c>
    </row>
    <row r="36" spans="1:7" x14ac:dyDescent="0.3">
      <c r="A36">
        <v>12</v>
      </c>
      <c r="B36">
        <v>158409.59324857208</v>
      </c>
      <c r="C36">
        <v>263.34891112006153</v>
      </c>
      <c r="D36">
        <v>0.23521353974240944</v>
      </c>
      <c r="F36">
        <v>71.875</v>
      </c>
      <c r="G36">
        <v>158672.94215969215</v>
      </c>
    </row>
    <row r="37" spans="1:7" x14ac:dyDescent="0.3">
      <c r="A37">
        <v>13</v>
      </c>
      <c r="B37">
        <v>160359.64274591565</v>
      </c>
      <c r="C37">
        <v>-91.293178816093132</v>
      </c>
      <c r="D37">
        <v>-8.1539702033855119E-2</v>
      </c>
      <c r="F37">
        <v>78.125</v>
      </c>
      <c r="G37">
        <v>160268.34956709956</v>
      </c>
    </row>
    <row r="38" spans="1:7" x14ac:dyDescent="0.3">
      <c r="A38">
        <v>14</v>
      </c>
      <c r="B38">
        <v>162309.69224325923</v>
      </c>
      <c r="C38">
        <v>-467.99313912264188</v>
      </c>
      <c r="D38">
        <v>-0.41799422051915547</v>
      </c>
      <c r="F38">
        <v>84.375</v>
      </c>
      <c r="G38">
        <v>161841.69910413658</v>
      </c>
    </row>
    <row r="39" spans="1:7" x14ac:dyDescent="0.3">
      <c r="A39">
        <v>15</v>
      </c>
      <c r="B39">
        <v>164259.74174060277</v>
      </c>
      <c r="C39">
        <v>-1063.924349429115</v>
      </c>
      <c r="D39">
        <v>-0.95025801011674893</v>
      </c>
      <c r="F39">
        <v>90.625</v>
      </c>
      <c r="G39">
        <v>163195.81739117365</v>
      </c>
    </row>
    <row r="40" spans="1:7" ht="15" thickBot="1" x14ac:dyDescent="0.35">
      <c r="A40" s="25">
        <v>16</v>
      </c>
      <c r="B40" s="25">
        <v>166209.79123794634</v>
      </c>
      <c r="C40" s="25">
        <v>-1700.2050967726973</v>
      </c>
      <c r="D40" s="25">
        <v>-1.5185605188155542</v>
      </c>
      <c r="F40" s="25">
        <v>96.875</v>
      </c>
      <c r="G40" s="25">
        <v>164509.58614117364</v>
      </c>
    </row>
  </sheetData>
  <sortState xmlns:xlrd2="http://schemas.microsoft.com/office/spreadsheetml/2017/richdata2" ref="G25:G40">
    <sortCondition ref="G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07BB-8784-49E0-9D87-40F262726DAC}">
  <dimension ref="A2:S39"/>
  <sheetViews>
    <sheetView topLeftCell="F1" workbookViewId="0">
      <selection activeCell="S5" sqref="S5"/>
    </sheetView>
  </sheetViews>
  <sheetFormatPr baseColWidth="10" defaultRowHeight="14.4" x14ac:dyDescent="0.3"/>
  <cols>
    <col min="3" max="5" width="14.33203125" customWidth="1"/>
    <col min="9" max="10" width="13.109375" customWidth="1"/>
    <col min="12" max="12" width="15.109375" customWidth="1"/>
    <col min="13" max="13" width="13.109375" customWidth="1"/>
  </cols>
  <sheetData>
    <row r="2" spans="1:19" ht="44.4" x14ac:dyDescent="0.35">
      <c r="A2" s="13" t="s">
        <v>11</v>
      </c>
      <c r="B2" s="13" t="s">
        <v>12</v>
      </c>
      <c r="C2" s="13" t="s">
        <v>9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14</v>
      </c>
      <c r="I2" s="13" t="s">
        <v>92</v>
      </c>
      <c r="J2" s="13" t="s">
        <v>17</v>
      </c>
      <c r="K2" s="13" t="s">
        <v>18</v>
      </c>
      <c r="L2" s="13" t="s">
        <v>19</v>
      </c>
      <c r="M2" s="13" t="s">
        <v>20</v>
      </c>
      <c r="N2" s="13" t="s">
        <v>10</v>
      </c>
      <c r="O2" s="13" t="s">
        <v>21</v>
      </c>
      <c r="P2" s="13" t="s">
        <v>22</v>
      </c>
    </row>
    <row r="3" spans="1:19" x14ac:dyDescent="0.3">
      <c r="A3" s="14">
        <v>0</v>
      </c>
      <c r="B3" s="15"/>
      <c r="C3" s="15"/>
      <c r="E3" s="15"/>
      <c r="F3" s="43">
        <f>'AD WINTER LABORABLE'!$B$17</f>
        <v>123308.702296388</v>
      </c>
      <c r="G3" s="43">
        <f>'AD WINTER LABORABLE'!$B$18</f>
        <v>1950.0494973435609</v>
      </c>
      <c r="H3" s="15"/>
      <c r="I3" s="15"/>
      <c r="J3" s="15"/>
      <c r="K3" s="15"/>
      <c r="L3" s="15"/>
      <c r="M3" s="15"/>
      <c r="N3" s="15"/>
      <c r="O3" s="15"/>
      <c r="P3" s="15"/>
    </row>
    <row r="4" spans="1:19" x14ac:dyDescent="0.3">
      <c r="A4" s="15">
        <v>1</v>
      </c>
      <c r="B4" s="21">
        <v>92181.55</v>
      </c>
      <c r="C4" s="15"/>
      <c r="D4" s="40">
        <f>'AD WINTER LABORABLE'!$B$17+'AD WINTER LABORABLE'!$B$18*'M. WINTER LABORABLE'!A4</f>
        <v>125258.75179373156</v>
      </c>
      <c r="E4" s="40">
        <f>B4/D4</f>
        <v>0.73592901637562969</v>
      </c>
      <c r="F4" s="40">
        <f>$S$4*(D4/E4)+(1-$S$4)*(F3+G3)</f>
        <v>125258.75179373156</v>
      </c>
      <c r="G4" s="40">
        <f>$S$5*(F4-F3)+(1-$S$5)*G3</f>
        <v>1950.04949734356</v>
      </c>
      <c r="H4" s="40">
        <f>E28</f>
        <v>0.81497979444135971</v>
      </c>
      <c r="I4" s="40">
        <f>(F4+G4)*H4</f>
        <v>103672.60272733217</v>
      </c>
      <c r="J4" s="40">
        <f>I4-B4</f>
        <v>11491.052727332164</v>
      </c>
      <c r="K4" s="40">
        <f>ABS(J4)</f>
        <v>11491.052727332164</v>
      </c>
      <c r="L4" s="40">
        <f>SUMSQ($J$4:J4)/(A4)</f>
        <v>132044292.78232796</v>
      </c>
      <c r="M4" s="40">
        <f>SUM($K$4:K4)/A4</f>
        <v>11491.052727332164</v>
      </c>
      <c r="N4" s="40">
        <f>100*(K4/B4)</f>
        <v>12.465675319336857</v>
      </c>
      <c r="O4" s="40">
        <f>AVERAGE($N$4:N4)</f>
        <v>12.465675319336857</v>
      </c>
      <c r="P4" s="51">
        <f>SUM($J$4:J4)/M4</f>
        <v>1</v>
      </c>
      <c r="R4" t="s">
        <v>93</v>
      </c>
      <c r="S4" s="50">
        <v>0</v>
      </c>
    </row>
    <row r="5" spans="1:19" x14ac:dyDescent="0.3">
      <c r="A5" s="15">
        <v>2</v>
      </c>
      <c r="B5" s="21">
        <v>101781.21052631579</v>
      </c>
      <c r="C5" s="15"/>
      <c r="D5" s="40">
        <f>'AD WINTER LABORABLE'!$B$17+'AD WINTER LABORABLE'!$B$18*'M. WINTER LABORABLE'!A5</f>
        <v>127208.80129107513</v>
      </c>
      <c r="E5" s="40">
        <f t="shared" ref="E5:E27" si="0">B5/D5</f>
        <v>0.80011138768160595</v>
      </c>
      <c r="F5" s="40">
        <f t="shared" ref="F5:F27" si="1">$S$4*(D5/E5)+(1-$S$4)*(F4+G4)</f>
        <v>127208.80129107511</v>
      </c>
      <c r="G5" s="40">
        <f t="shared" ref="G5:G27" si="2">$S$5*(F5-F4)+(1-$S$5)*G4</f>
        <v>1950.0494973435593</v>
      </c>
      <c r="H5" s="40">
        <f t="shared" ref="H5:H15" si="3">E29</f>
        <v>0.85770974577678638</v>
      </c>
      <c r="I5" s="40">
        <f t="shared" ref="I5:I26" si="4">(F5+G5)*H5</f>
        <v>110780.80507455647</v>
      </c>
      <c r="J5" s="40">
        <f t="shared" ref="J5:J27" si="5">I5-B5</f>
        <v>8999.5945482406823</v>
      </c>
      <c r="K5" s="40">
        <f t="shared" ref="K5:K27" si="6">ABS(J5)</f>
        <v>8999.5945482406823</v>
      </c>
      <c r="L5" s="40">
        <f>SUMSQ($J$4:J5)/(A5)</f>
        <v>106518497.40752569</v>
      </c>
      <c r="M5" s="40">
        <f>SUM($K$4:K5)/A5</f>
        <v>10245.323637786423</v>
      </c>
      <c r="N5" s="40">
        <f t="shared" ref="N5:N27" si="7">100*(K5/B5)</f>
        <v>8.8420981649789034</v>
      </c>
      <c r="O5" s="40">
        <f>AVERAGE($N$4:N5)</f>
        <v>10.65388674215788</v>
      </c>
      <c r="P5" s="40">
        <f>SUM($J$4:J5)/M5</f>
        <v>2</v>
      </c>
      <c r="R5" t="s">
        <v>94</v>
      </c>
      <c r="S5" s="50">
        <v>0.2</v>
      </c>
    </row>
    <row r="6" spans="1:19" x14ac:dyDescent="0.3">
      <c r="A6" s="15">
        <v>3</v>
      </c>
      <c r="B6" s="21">
        <v>121611</v>
      </c>
      <c r="C6" s="15"/>
      <c r="D6" s="40">
        <f>'AD WINTER LABORABLE'!$B$17+'AD WINTER LABORABLE'!$B$18*'M. WINTER LABORABLE'!A6</f>
        <v>129158.85078841868</v>
      </c>
      <c r="E6" s="40">
        <f t="shared" si="0"/>
        <v>0.94156149003847067</v>
      </c>
      <c r="F6" s="40">
        <f t="shared" si="1"/>
        <v>129158.85078841867</v>
      </c>
      <c r="G6" s="40">
        <f t="shared" si="2"/>
        <v>1950.0494973435586</v>
      </c>
      <c r="H6" s="40">
        <f t="shared" si="3"/>
        <v>0.98256813467969883</v>
      </c>
      <c r="I6" s="40">
        <f t="shared" si="4"/>
        <v>128823.42759368804</v>
      </c>
      <c r="J6" s="40">
        <f t="shared" si="5"/>
        <v>7212.427593688044</v>
      </c>
      <c r="K6" s="40">
        <f t="shared" si="6"/>
        <v>7212.427593688044</v>
      </c>
      <c r="L6" s="40">
        <f>SUMSQ($J$4:J6)/(A6)</f>
        <v>88352035.536414698</v>
      </c>
      <c r="M6" s="40">
        <f>SUM($K$4:K6)/A6</f>
        <v>9234.3582897536307</v>
      </c>
      <c r="N6" s="40">
        <f t="shared" si="7"/>
        <v>5.9307361946600583</v>
      </c>
      <c r="O6" s="40">
        <f>AVERAGE($N$4:N6)</f>
        <v>9.0795032263252722</v>
      </c>
      <c r="P6" s="40">
        <f>SUM($J$4:J6)/M6</f>
        <v>3</v>
      </c>
      <c r="R6" t="s">
        <v>95</v>
      </c>
      <c r="S6" s="50">
        <v>0</v>
      </c>
    </row>
    <row r="7" spans="1:19" x14ac:dyDescent="0.3">
      <c r="A7" s="15">
        <v>4</v>
      </c>
      <c r="B7" s="21">
        <v>131275.25</v>
      </c>
      <c r="C7" s="15"/>
      <c r="D7" s="40">
        <f>'AD WINTER LABORABLE'!$B$17+'AD WINTER LABORABLE'!$B$18*'M. WINTER LABORABLE'!A7</f>
        <v>131108.90028576224</v>
      </c>
      <c r="E7" s="40">
        <f t="shared" si="0"/>
        <v>1.0012687904015303</v>
      </c>
      <c r="F7" s="40">
        <f t="shared" si="1"/>
        <v>131108.90028576224</v>
      </c>
      <c r="G7" s="40">
        <f t="shared" si="2"/>
        <v>1950.0494973435611</v>
      </c>
      <c r="H7" s="40">
        <f t="shared" si="3"/>
        <v>1.022508474132795</v>
      </c>
      <c r="I7" s="40">
        <f t="shared" si="4"/>
        <v>136053.90371243571</v>
      </c>
      <c r="J7" s="40">
        <f t="shared" si="5"/>
        <v>4778.6537124357128</v>
      </c>
      <c r="K7" s="40">
        <f t="shared" si="6"/>
        <v>4778.6537124357128</v>
      </c>
      <c r="L7" s="40">
        <f>SUMSQ($J$4:J7)/(A7)</f>
        <v>71972909.478154927</v>
      </c>
      <c r="M7" s="40">
        <f>SUM($K$4:K7)/A7</f>
        <v>8120.4321454241508</v>
      </c>
      <c r="N7" s="40">
        <f t="shared" si="7"/>
        <v>3.6401787179500418</v>
      </c>
      <c r="O7" s="40">
        <f>AVERAGE($N$4:N7)</f>
        <v>7.7196720992314649</v>
      </c>
      <c r="P7" s="40">
        <f>SUM($J$4:J7)/M7</f>
        <v>4</v>
      </c>
    </row>
    <row r="8" spans="1:19" x14ac:dyDescent="0.3">
      <c r="A8" s="14">
        <v>5</v>
      </c>
      <c r="B8" s="21">
        <v>134583</v>
      </c>
      <c r="C8" s="15"/>
      <c r="D8" s="40">
        <f>'AD WINTER LABORABLE'!$B$17+'AD WINTER LABORABLE'!$B$18*'M. WINTER LABORABLE'!A8</f>
        <v>133058.94978310581</v>
      </c>
      <c r="E8" s="40">
        <f t="shared" si="0"/>
        <v>1.0114539474374213</v>
      </c>
      <c r="F8" s="40">
        <f t="shared" si="1"/>
        <v>133058.94978310581</v>
      </c>
      <c r="G8" s="40">
        <f t="shared" si="2"/>
        <v>1950.0494973435632</v>
      </c>
      <c r="H8" s="40">
        <f t="shared" si="3"/>
        <v>1.0221981263993947</v>
      </c>
      <c r="I8" s="40">
        <f t="shared" si="4"/>
        <v>138005.94611153257</v>
      </c>
      <c r="J8" s="40">
        <f t="shared" si="5"/>
        <v>3422.9461115325685</v>
      </c>
      <c r="K8" s="40">
        <f t="shared" si="6"/>
        <v>3422.9461115325685</v>
      </c>
      <c r="L8" s="40">
        <f>SUMSQ($J$4:J8)/(A8)</f>
        <v>59921639.599015132</v>
      </c>
      <c r="M8" s="40">
        <f>SUM($K$4:K8)/A8</f>
        <v>7180.9349386458343</v>
      </c>
      <c r="N8" s="40">
        <f t="shared" si="7"/>
        <v>2.5433718311618616</v>
      </c>
      <c r="O8" s="40">
        <f>AVERAGE($N$4:N8)</f>
        <v>6.6844120456175444</v>
      </c>
      <c r="P8" s="40">
        <f>SUM($J$4:J8)/M8</f>
        <v>5</v>
      </c>
    </row>
    <row r="9" spans="1:19" x14ac:dyDescent="0.3">
      <c r="A9" s="15">
        <v>6</v>
      </c>
      <c r="B9" s="21">
        <v>136247</v>
      </c>
      <c r="C9" s="15"/>
      <c r="D9" s="40">
        <f>'AD WINTER LABORABLE'!$B$17+'AD WINTER LABORABLE'!$B$18*'M. WINTER LABORABLE'!A9</f>
        <v>135008.99928044935</v>
      </c>
      <c r="E9" s="40">
        <f t="shared" si="0"/>
        <v>1.0091697644316213</v>
      </c>
      <c r="F9" s="40">
        <f t="shared" si="1"/>
        <v>135008.99928044938</v>
      </c>
      <c r="G9" s="40">
        <f t="shared" si="2"/>
        <v>1950.0494973435648</v>
      </c>
      <c r="H9" s="40">
        <f t="shared" si="3"/>
        <v>1.0099551590927867</v>
      </c>
      <c r="I9" s="40">
        <f t="shared" si="4"/>
        <v>138322.49789757261</v>
      </c>
      <c r="J9" s="40">
        <f t="shared" si="5"/>
        <v>2075.4978975726117</v>
      </c>
      <c r="K9" s="40">
        <f t="shared" si="6"/>
        <v>2075.4978975726117</v>
      </c>
      <c r="L9" s="40">
        <f>SUMSQ($J$4:J9)/(A9)</f>
        <v>50652648.252983995</v>
      </c>
      <c r="M9" s="40">
        <f>SUM($K$4:K9)/A9</f>
        <v>6330.0287651336303</v>
      </c>
      <c r="N9" s="40">
        <f t="shared" si="7"/>
        <v>1.5233347505432131</v>
      </c>
      <c r="O9" s="40">
        <f>AVERAGE($N$4:N9)</f>
        <v>5.8242324964384897</v>
      </c>
      <c r="P9" s="40">
        <f>SUM($J$4:J9)/M9</f>
        <v>6</v>
      </c>
    </row>
    <row r="10" spans="1:19" x14ac:dyDescent="0.3">
      <c r="A10" s="15">
        <v>7</v>
      </c>
      <c r="B10" s="21">
        <v>133935</v>
      </c>
      <c r="C10" s="40">
        <f>((B4+B16+2*(SUM(B5:B15)))/(2*12))</f>
        <v>134455.76962719296</v>
      </c>
      <c r="D10" s="40">
        <f>'AD WINTER LABORABLE'!$B$17+'AD WINTER LABORABLE'!$B$18*'M. WINTER LABORABLE'!A10</f>
        <v>136959.04877779292</v>
      </c>
      <c r="E10" s="40">
        <f t="shared" si="0"/>
        <v>0.9779200512505074</v>
      </c>
      <c r="F10" s="40">
        <f t="shared" si="1"/>
        <v>136959.04877779295</v>
      </c>
      <c r="G10" s="40">
        <f t="shared" si="2"/>
        <v>1950.0494973435661</v>
      </c>
      <c r="H10" s="40">
        <f t="shared" si="3"/>
        <v>0.98140951264891541</v>
      </c>
      <c r="I10" s="40">
        <f t="shared" si="4"/>
        <v>136326.71044070204</v>
      </c>
      <c r="J10" s="40">
        <f t="shared" si="5"/>
        <v>2391.7104407020379</v>
      </c>
      <c r="K10" s="40">
        <f t="shared" si="6"/>
        <v>2391.7104407020379</v>
      </c>
      <c r="L10" s="40">
        <f>SUMSQ($J$4:J10)/(A10)</f>
        <v>44233738.335723877</v>
      </c>
      <c r="M10" s="40">
        <f>SUM($K$4:K10)/A10</f>
        <v>5767.4118616434034</v>
      </c>
      <c r="N10" s="40">
        <f t="shared" si="7"/>
        <v>1.7857247476029701</v>
      </c>
      <c r="O10" s="40">
        <f>AVERAGE($N$4:N10)</f>
        <v>5.2473028180334156</v>
      </c>
      <c r="P10" s="40">
        <f>SUM($J$4:J10)/M10</f>
        <v>6.9999999999999991</v>
      </c>
    </row>
    <row r="11" spans="1:19" x14ac:dyDescent="0.3">
      <c r="A11" s="15">
        <v>8</v>
      </c>
      <c r="B11" s="21">
        <v>141808</v>
      </c>
      <c r="C11" s="40">
        <f t="shared" ref="C11:C23" si="8">((B5+B17+2*(SUM(B6:B16)))/(2*12))</f>
        <v>137655.65460526317</v>
      </c>
      <c r="D11" s="40">
        <f>'AD WINTER LABORABLE'!$B$17+'AD WINTER LABORABLE'!$B$18*'M. WINTER LABORABLE'!A11</f>
        <v>138909.09827513649</v>
      </c>
      <c r="E11" s="40">
        <f t="shared" si="0"/>
        <v>1.0208690558131885</v>
      </c>
      <c r="F11" s="40">
        <f t="shared" si="1"/>
        <v>138909.09827513652</v>
      </c>
      <c r="G11" s="40">
        <f t="shared" si="2"/>
        <v>1950.0494973435671</v>
      </c>
      <c r="H11" s="40">
        <f t="shared" si="3"/>
        <v>1.0087288619183015</v>
      </c>
      <c r="I11" s="40">
        <f t="shared" si="4"/>
        <v>142088.6878233157</v>
      </c>
      <c r="J11" s="40">
        <f t="shared" si="5"/>
        <v>280.68782331570401</v>
      </c>
      <c r="K11" s="40">
        <f t="shared" si="6"/>
        <v>280.68782331570401</v>
      </c>
      <c r="L11" s="40">
        <f>SUMSQ($J$4:J11)/(A11)</f>
        <v>38714369.250528105</v>
      </c>
      <c r="M11" s="40">
        <f>SUM($K$4:K11)/A11</f>
        <v>5081.5713568524407</v>
      </c>
      <c r="N11" s="40">
        <f t="shared" si="7"/>
        <v>0.19793511178191922</v>
      </c>
      <c r="O11" s="40">
        <f>AVERAGE($N$4:N11)</f>
        <v>4.6161318547519778</v>
      </c>
      <c r="P11" s="40">
        <f>SUM($J$4:J11)/M11</f>
        <v>8</v>
      </c>
    </row>
    <row r="12" spans="1:19" x14ac:dyDescent="0.3">
      <c r="A12" s="15">
        <v>9</v>
      </c>
      <c r="B12" s="21">
        <v>144064</v>
      </c>
      <c r="C12" s="40">
        <f t="shared" si="8"/>
        <v>140598.0625</v>
      </c>
      <c r="D12" s="40">
        <f>'AD WINTER LABORABLE'!$B$17+'AD WINTER LABORABLE'!$B$18*'M. WINTER LABORABLE'!A12</f>
        <v>140859.14777248004</v>
      </c>
      <c r="E12" s="40">
        <f t="shared" si="0"/>
        <v>1.0227521767538772</v>
      </c>
      <c r="F12" s="40">
        <f t="shared" si="1"/>
        <v>140859.14777248009</v>
      </c>
      <c r="G12" s="40">
        <f t="shared" si="2"/>
        <v>1950.049497343568</v>
      </c>
      <c r="H12" s="40">
        <f t="shared" si="3"/>
        <v>1.0228868100990238</v>
      </c>
      <c r="I12" s="40">
        <f t="shared" si="4"/>
        <v>146077.64424813216</v>
      </c>
      <c r="J12" s="40">
        <f t="shared" si="5"/>
        <v>2013.6442481321574</v>
      </c>
      <c r="K12" s="40">
        <f t="shared" si="6"/>
        <v>2013.6442481321574</v>
      </c>
      <c r="L12" s="40">
        <f>SUMSQ($J$4:J12)/(A12)</f>
        <v>34863301.90691784</v>
      </c>
      <c r="M12" s="40">
        <f>SUM($K$4:K12)/A12</f>
        <v>4740.6905669946318</v>
      </c>
      <c r="N12" s="40">
        <f t="shared" si="7"/>
        <v>1.3977428421619262</v>
      </c>
      <c r="O12" s="40">
        <f>AVERAGE($N$4:N12)</f>
        <v>4.258533075575305</v>
      </c>
      <c r="P12" s="40">
        <f>SUM($J$4:J12)/M12</f>
        <v>9</v>
      </c>
    </row>
    <row r="13" spans="1:19" x14ac:dyDescent="0.3">
      <c r="A13" s="14">
        <v>10</v>
      </c>
      <c r="B13" s="21">
        <v>148015</v>
      </c>
      <c r="C13" s="40">
        <f t="shared" si="8"/>
        <v>143287.17708333334</v>
      </c>
      <c r="D13" s="40">
        <f>'AD WINTER LABORABLE'!$B$17+'AD WINTER LABORABLE'!$B$18*'M. WINTER LABORABLE'!A13</f>
        <v>142809.19726982361</v>
      </c>
      <c r="E13" s="40">
        <f t="shared" si="0"/>
        <v>1.03645285338549</v>
      </c>
      <c r="F13" s="40">
        <f t="shared" si="1"/>
        <v>142809.19726982366</v>
      </c>
      <c r="G13" s="40">
        <f t="shared" si="2"/>
        <v>1950.0494973435686</v>
      </c>
      <c r="H13" s="40">
        <f t="shared" si="3"/>
        <v>1.0367179246634661</v>
      </c>
      <c r="I13" s="40">
        <f t="shared" si="4"/>
        <v>150074.50588430418</v>
      </c>
      <c r="J13" s="40">
        <f t="shared" si="5"/>
        <v>2059.505884304177</v>
      </c>
      <c r="K13" s="40">
        <f t="shared" si="6"/>
        <v>2059.505884304177</v>
      </c>
      <c r="L13" s="40">
        <f>SUMSQ($J$4:J13)/(A13)</f>
        <v>31801128.164974403</v>
      </c>
      <c r="M13" s="40">
        <f>SUM($K$4:K13)/A13</f>
        <v>4472.5720987255863</v>
      </c>
      <c r="N13" s="40">
        <f t="shared" si="7"/>
        <v>1.3914170079412067</v>
      </c>
      <c r="O13" s="40">
        <f>AVERAGE($N$4:N13)</f>
        <v>3.9718214688118954</v>
      </c>
      <c r="P13" s="40">
        <f>SUM($J$4:J13)/M13</f>
        <v>10</v>
      </c>
    </row>
    <row r="14" spans="1:19" x14ac:dyDescent="0.3">
      <c r="A14" s="15">
        <v>11</v>
      </c>
      <c r="B14" s="21">
        <v>148224</v>
      </c>
      <c r="C14" s="40">
        <f t="shared" si="8"/>
        <v>145663.19507575757</v>
      </c>
      <c r="D14" s="40">
        <f>'AD WINTER LABORABLE'!$B$17+'AD WINTER LABORABLE'!$B$18*'M. WINTER LABORABLE'!A14</f>
        <v>144759.24676716718</v>
      </c>
      <c r="E14" s="40">
        <f t="shared" si="0"/>
        <v>1.0239345900880901</v>
      </c>
      <c r="F14" s="40">
        <f t="shared" si="1"/>
        <v>144759.24676716723</v>
      </c>
      <c r="G14" s="40">
        <f t="shared" si="2"/>
        <v>1950.0494973435691</v>
      </c>
      <c r="H14" s="40">
        <f t="shared" si="3"/>
        <v>1.000550721097855</v>
      </c>
      <c r="I14" s="40">
        <f t="shared" si="4"/>
        <v>146790.09216921515</v>
      </c>
      <c r="J14" s="40">
        <f t="shared" si="5"/>
        <v>-1433.907830784854</v>
      </c>
      <c r="K14" s="40">
        <f t="shared" si="6"/>
        <v>1433.907830784854</v>
      </c>
      <c r="L14" s="40">
        <f>SUMSQ($J$4:J14)/(A14)</f>
        <v>29097033.937902745</v>
      </c>
      <c r="M14" s="40">
        <f>SUM($K$4:K14)/A14</f>
        <v>4196.3298925491554</v>
      </c>
      <c r="N14" s="40">
        <f t="shared" si="7"/>
        <v>0.96739248082959173</v>
      </c>
      <c r="O14" s="40">
        <f>AVERAGE($N$4:N14)</f>
        <v>3.6986915608135047</v>
      </c>
      <c r="P14" s="40">
        <f>SUM($J$4:J14)/M14</f>
        <v>10.316589559209421</v>
      </c>
    </row>
    <row r="15" spans="1:19" x14ac:dyDescent="0.3">
      <c r="A15" s="15">
        <v>12</v>
      </c>
      <c r="B15" s="21">
        <v>159382</v>
      </c>
      <c r="C15" s="40">
        <f t="shared" si="8"/>
        <v>147783.80681818182</v>
      </c>
      <c r="D15" s="40">
        <f>'AD WINTER LABORABLE'!$B$17+'AD WINTER LABORABLE'!$B$18*'M. WINTER LABORABLE'!A15</f>
        <v>146709.29626451072</v>
      </c>
      <c r="E15" s="40">
        <f t="shared" si="0"/>
        <v>1.0863796913907959</v>
      </c>
      <c r="F15" s="40">
        <f t="shared" si="1"/>
        <v>146709.29626451081</v>
      </c>
      <c r="G15" s="40">
        <f t="shared" si="2"/>
        <v>1950.0494973435696</v>
      </c>
      <c r="H15" s="40">
        <f t="shared" si="3"/>
        <v>1.0726263691434128</v>
      </c>
      <c r="I15" s="40">
        <f t="shared" si="4"/>
        <v>159455.93428377307</v>
      </c>
      <c r="J15" s="40">
        <f t="shared" si="5"/>
        <v>73.934283773065545</v>
      </c>
      <c r="K15" s="40">
        <f t="shared" si="6"/>
        <v>73.934283773065545</v>
      </c>
      <c r="L15" s="40">
        <f>SUMSQ($J$4:J15)/(A15)</f>
        <v>26672736.632937267</v>
      </c>
      <c r="M15" s="40">
        <f>SUM($K$4:K15)/A15</f>
        <v>3852.7969251511481</v>
      </c>
      <c r="N15" s="40">
        <f t="shared" si="7"/>
        <v>4.638810139982278E-2</v>
      </c>
      <c r="O15" s="40">
        <f>AVERAGE($N$4:N15)</f>
        <v>3.3943329391956976</v>
      </c>
      <c r="P15" s="51">
        <f>SUM($J$4:J15)/M15</f>
        <v>11.255653563558324</v>
      </c>
    </row>
    <row r="16" spans="1:19" x14ac:dyDescent="0.3">
      <c r="A16" s="15">
        <v>13</v>
      </c>
      <c r="B16" s="21">
        <v>132906</v>
      </c>
      <c r="C16" s="40">
        <f t="shared" si="8"/>
        <v>149778.26713564215</v>
      </c>
      <c r="D16" s="40">
        <f>'AD WINTER LABORABLE'!$B$17+'AD WINTER LABORABLE'!$B$18*'M. WINTER LABORABLE'!A16</f>
        <v>148659.34576185429</v>
      </c>
      <c r="E16" s="40">
        <f t="shared" si="0"/>
        <v>0.89403057250708973</v>
      </c>
      <c r="F16" s="40">
        <f t="shared" si="1"/>
        <v>148659.34576185438</v>
      </c>
      <c r="G16" s="40">
        <f t="shared" si="2"/>
        <v>1950.0494973435698</v>
      </c>
      <c r="H16" s="40">
        <f>$S$6*(B4/F4)+(1-$S$6)*H4</f>
        <v>0.81497979444135971</v>
      </c>
      <c r="I16" s="40">
        <f t="shared" si="4"/>
        <v>122743.61398927865</v>
      </c>
      <c r="J16" s="40">
        <f t="shared" si="5"/>
        <v>-10162.386010721355</v>
      </c>
      <c r="K16" s="40">
        <f t="shared" si="6"/>
        <v>10162.386010721355</v>
      </c>
      <c r="L16" s="40">
        <f>SUMSQ($J$4:J16)/(A16)</f>
        <v>32565148.3866271</v>
      </c>
      <c r="M16" s="40">
        <f>SUM($K$4:K16)/A16</f>
        <v>4338.1499317334719</v>
      </c>
      <c r="N16" s="40">
        <f t="shared" si="7"/>
        <v>7.6462958863567891</v>
      </c>
      <c r="O16" s="40">
        <f>AVERAGE($N$4:N16)</f>
        <v>3.7214070120542431</v>
      </c>
      <c r="P16" s="40">
        <f>SUM($J$4:J16)/M16</f>
        <v>7.6538067959894267</v>
      </c>
    </row>
    <row r="17" spans="1:16" x14ac:dyDescent="0.3">
      <c r="A17" s="15">
        <v>14</v>
      </c>
      <c r="B17" s="21">
        <v>137854</v>
      </c>
      <c r="C17" s="40">
        <f t="shared" si="8"/>
        <v>151609.56078643579</v>
      </c>
      <c r="D17" s="40">
        <f>'AD WINTER LABORABLE'!$B$17+'AD WINTER LABORABLE'!$B$18*'M. WINTER LABORABLE'!A17</f>
        <v>150609.39525919786</v>
      </c>
      <c r="E17" s="40">
        <f t="shared" si="0"/>
        <v>0.91530810387196693</v>
      </c>
      <c r="F17" s="40">
        <f t="shared" si="1"/>
        <v>150609.39525919795</v>
      </c>
      <c r="G17" s="40">
        <f t="shared" si="2"/>
        <v>1950.04949734357</v>
      </c>
      <c r="H17" s="40">
        <f t="shared" ref="H17:H27" si="9">$S$6*(B5/F5)+(1-$S$6)*H5</f>
        <v>0.85770974577678638</v>
      </c>
      <c r="I17" s="40">
        <f t="shared" si="4"/>
        <v>130851.72257798091</v>
      </c>
      <c r="J17" s="40">
        <f t="shared" si="5"/>
        <v>-7002.2774220190913</v>
      </c>
      <c r="K17" s="40">
        <f t="shared" si="6"/>
        <v>7002.2774220190913</v>
      </c>
      <c r="L17" s="40">
        <f>SUMSQ($J$4:J17)/(A17)</f>
        <v>33741344.151505046</v>
      </c>
      <c r="M17" s="40">
        <f>SUM($K$4:K17)/A17</f>
        <v>4528.4447524681591</v>
      </c>
      <c r="N17" s="40">
        <f t="shared" si="7"/>
        <v>5.0794880250258183</v>
      </c>
      <c r="O17" s="40">
        <f>AVERAGE($N$4:N17)</f>
        <v>3.81841279869507</v>
      </c>
      <c r="P17" s="40">
        <f>SUM($J$4:J17)/M17</f>
        <v>5.7858901763620123</v>
      </c>
    </row>
    <row r="18" spans="1:16" x14ac:dyDescent="0.3">
      <c r="A18" s="14">
        <v>15</v>
      </c>
      <c r="B18" s="21">
        <v>156156</v>
      </c>
      <c r="C18" s="40">
        <f t="shared" si="8"/>
        <v>153439.77904040404</v>
      </c>
      <c r="D18" s="40">
        <f>'AD WINTER LABORABLE'!$B$17+'AD WINTER LABORABLE'!$B$18*'M. WINTER LABORABLE'!A18</f>
        <v>152559.4447565414</v>
      </c>
      <c r="E18" s="40">
        <f t="shared" si="0"/>
        <v>1.0235747793209269</v>
      </c>
      <c r="F18" s="40">
        <f t="shared" si="1"/>
        <v>152559.44475654152</v>
      </c>
      <c r="G18" s="40">
        <f t="shared" si="2"/>
        <v>1950.0494973435702</v>
      </c>
      <c r="H18" s="40">
        <f t="shared" si="9"/>
        <v>0.98256813467969883</v>
      </c>
      <c r="I18" s="40">
        <f t="shared" si="4"/>
        <v>151816.10555934353</v>
      </c>
      <c r="J18" s="40">
        <f t="shared" si="5"/>
        <v>-4339.8944406564697</v>
      </c>
      <c r="K18" s="40">
        <f t="shared" si="6"/>
        <v>4339.8944406564697</v>
      </c>
      <c r="L18" s="40">
        <f>SUMSQ($J$4:J18)/(A18)</f>
        <v>32747566.791807435</v>
      </c>
      <c r="M18" s="40">
        <f>SUM($K$4:K18)/A18</f>
        <v>4515.874731680713</v>
      </c>
      <c r="N18" s="40">
        <f t="shared" si="7"/>
        <v>2.7792044113940353</v>
      </c>
      <c r="O18" s="40">
        <f>AVERAGE($N$4:N18)</f>
        <v>3.7491322395416673</v>
      </c>
      <c r="P18" s="40">
        <f>SUM($J$4:J18)/M18</f>
        <v>4.8409645673919925</v>
      </c>
    </row>
    <row r="19" spans="1:16" x14ac:dyDescent="0.3">
      <c r="A19" s="15">
        <v>16</v>
      </c>
      <c r="B19" s="21">
        <v>161269</v>
      </c>
      <c r="C19" s="40">
        <f t="shared" si="8"/>
        <v>155453.06926406929</v>
      </c>
      <c r="D19" s="40">
        <f>'AD WINTER LABORABLE'!$B$17+'AD WINTER LABORABLE'!$B$18*'M. WINTER LABORABLE'!A19</f>
        <v>154509.49425388497</v>
      </c>
      <c r="E19" s="40">
        <f t="shared" si="0"/>
        <v>1.0437481578640599</v>
      </c>
      <c r="F19" s="40">
        <f t="shared" si="1"/>
        <v>154509.49425388509</v>
      </c>
      <c r="G19" s="40">
        <f t="shared" si="2"/>
        <v>1950.0494973435705</v>
      </c>
      <c r="H19" s="40">
        <f t="shared" si="9"/>
        <v>1.022508474132795</v>
      </c>
      <c r="I19" s="40">
        <f t="shared" si="4"/>
        <v>159981.20934458211</v>
      </c>
      <c r="J19" s="40">
        <f t="shared" si="5"/>
        <v>-1287.7906554178917</v>
      </c>
      <c r="K19" s="40">
        <f t="shared" si="6"/>
        <v>1287.7906554178917</v>
      </c>
      <c r="L19" s="40">
        <f>SUMSQ($J$4:J19)/(A19)</f>
        <v>30804494.165580824</v>
      </c>
      <c r="M19" s="40">
        <f>SUM($K$4:K19)/A19</f>
        <v>4314.1194769142867</v>
      </c>
      <c r="N19" s="40">
        <f t="shared" si="7"/>
        <v>0.79853577278825549</v>
      </c>
      <c r="O19" s="40">
        <f>AVERAGE($N$4:N19)</f>
        <v>3.5647199603695792</v>
      </c>
      <c r="P19" s="40">
        <f>SUM($J$4:J19)/M19</f>
        <v>4.7688523745161957</v>
      </c>
    </row>
    <row r="20" spans="1:16" x14ac:dyDescent="0.3">
      <c r="A20" s="15">
        <v>17</v>
      </c>
      <c r="B20" s="21">
        <v>161613.68181818182</v>
      </c>
      <c r="C20" s="40">
        <f t="shared" si="8"/>
        <v>157137.98382635883</v>
      </c>
      <c r="D20" s="40">
        <f>'AD WINTER LABORABLE'!$B$17+'AD WINTER LABORABLE'!$B$18*'M. WINTER LABORABLE'!A20</f>
        <v>156459.54375122854</v>
      </c>
      <c r="E20" s="40">
        <f t="shared" si="0"/>
        <v>1.032942305361368</v>
      </c>
      <c r="F20" s="40">
        <f t="shared" si="1"/>
        <v>156459.54375122866</v>
      </c>
      <c r="G20" s="40">
        <f t="shared" si="2"/>
        <v>1950.0494973435707</v>
      </c>
      <c r="H20" s="40">
        <f t="shared" si="9"/>
        <v>1.0221981263993947</v>
      </c>
      <c r="I20" s="40">
        <f t="shared" si="4"/>
        <v>161925.98942238072</v>
      </c>
      <c r="J20" s="40">
        <f t="shared" si="5"/>
        <v>312.30760419889702</v>
      </c>
      <c r="K20" s="40">
        <f t="shared" si="6"/>
        <v>312.30760419889702</v>
      </c>
      <c r="L20" s="40">
        <f>SUMSQ($J$4:J20)/(A20)</f>
        <v>28998202.511113741</v>
      </c>
      <c r="M20" s="40">
        <f>SUM($K$4:K20)/A20</f>
        <v>4078.7187785192637</v>
      </c>
      <c r="N20" s="40">
        <f t="shared" si="7"/>
        <v>0.19324329517487787</v>
      </c>
      <c r="O20" s="40">
        <f>AVERAGE($N$4:N20)</f>
        <v>3.3663978035934203</v>
      </c>
      <c r="P20" s="40">
        <f>SUM($J$4:J20)/M20</f>
        <v>5.1206537272497368</v>
      </c>
    </row>
    <row r="21" spans="1:16" x14ac:dyDescent="0.3">
      <c r="A21" s="15">
        <v>18</v>
      </c>
      <c r="B21" s="21">
        <v>160111</v>
      </c>
      <c r="C21" s="40">
        <f t="shared" si="8"/>
        <v>158672.94215969215</v>
      </c>
      <c r="D21" s="40">
        <f>'AD WINTER LABORABLE'!$B$17+'AD WINTER LABORABLE'!$B$18*'M. WINTER LABORABLE'!A21</f>
        <v>158409.59324857208</v>
      </c>
      <c r="E21" s="40">
        <f t="shared" si="0"/>
        <v>1.0107405537539518</v>
      </c>
      <c r="F21" s="40">
        <f t="shared" si="1"/>
        <v>158409.59324857223</v>
      </c>
      <c r="G21" s="40">
        <f t="shared" si="2"/>
        <v>1950.0494973435707</v>
      </c>
      <c r="H21" s="40">
        <f t="shared" si="9"/>
        <v>1.0099551590927867</v>
      </c>
      <c r="I21" s="40">
        <f t="shared" si="4"/>
        <v>161956.04850151381</v>
      </c>
      <c r="J21" s="40">
        <f t="shared" si="5"/>
        <v>1845.0485015138111</v>
      </c>
      <c r="K21" s="40">
        <f t="shared" si="6"/>
        <v>1845.0485015138111</v>
      </c>
      <c r="L21" s="40">
        <f>SUMSQ($J$4:J21)/(A21)</f>
        <v>27576313.703437332</v>
      </c>
      <c r="M21" s="40">
        <f>SUM($K$4:K21)/A21</f>
        <v>3954.6259853522943</v>
      </c>
      <c r="N21" s="40">
        <f t="shared" si="7"/>
        <v>1.1523558665637033</v>
      </c>
      <c r="O21" s="40">
        <f>AVERAGE($N$4:N21)</f>
        <v>3.2433954737584361</v>
      </c>
      <c r="P21" s="40">
        <f>SUM($J$4:J21)/M21</f>
        <v>5.7478899651535622</v>
      </c>
    </row>
    <row r="22" spans="1:16" x14ac:dyDescent="0.3">
      <c r="A22" s="15">
        <v>19</v>
      </c>
      <c r="B22" s="21">
        <v>157938.04761904763</v>
      </c>
      <c r="C22" s="40">
        <f t="shared" si="8"/>
        <v>160268.34956709956</v>
      </c>
      <c r="D22" s="40">
        <f>'AD WINTER LABORABLE'!$B$17+'AD WINTER LABORABLE'!$B$18*'M. WINTER LABORABLE'!A22</f>
        <v>160359.64274591565</v>
      </c>
      <c r="E22" s="40">
        <f t="shared" si="0"/>
        <v>0.98489897404732341</v>
      </c>
      <c r="F22" s="40">
        <f t="shared" si="1"/>
        <v>160359.6427459158</v>
      </c>
      <c r="G22" s="40">
        <f t="shared" si="2"/>
        <v>1950.0494973435707</v>
      </c>
      <c r="H22" s="40">
        <f t="shared" si="9"/>
        <v>0.98140951264891541</v>
      </c>
      <c r="I22" s="40">
        <f t="shared" si="4"/>
        <v>159292.27596265264</v>
      </c>
      <c r="J22" s="40">
        <f t="shared" si="5"/>
        <v>1354.2283436050056</v>
      </c>
      <c r="K22" s="40">
        <f t="shared" si="6"/>
        <v>1354.2283436050056</v>
      </c>
      <c r="L22" s="40">
        <f>SUMSQ($J$4:J22)/(A22)</f>
        <v>26221451.635183956</v>
      </c>
      <c r="M22" s="40">
        <f>SUM($K$4:K22)/A22</f>
        <v>3817.7629515761209</v>
      </c>
      <c r="N22" s="40">
        <f t="shared" si="7"/>
        <v>0.85744275304165729</v>
      </c>
      <c r="O22" s="40">
        <f>AVERAGE($N$4:N22)</f>
        <v>3.1178190147733424</v>
      </c>
      <c r="P22" s="40">
        <f>SUM($J$4:J22)/M22</f>
        <v>6.3086639129346045</v>
      </c>
    </row>
    <row r="23" spans="1:16" x14ac:dyDescent="0.3">
      <c r="A23" s="14">
        <v>20</v>
      </c>
      <c r="B23" s="21">
        <v>161756</v>
      </c>
      <c r="C23" s="40">
        <f t="shared" si="8"/>
        <v>161841.69910413658</v>
      </c>
      <c r="D23" s="40">
        <f>'AD WINTER LABORABLE'!$B$17+'AD WINTER LABORABLE'!$B$18*'M. WINTER LABORABLE'!A23</f>
        <v>162309.69224325923</v>
      </c>
      <c r="E23" s="40">
        <f t="shared" si="0"/>
        <v>0.99658866802341428</v>
      </c>
      <c r="F23" s="40">
        <f t="shared" si="1"/>
        <v>162309.69224325937</v>
      </c>
      <c r="G23" s="40">
        <f t="shared" si="2"/>
        <v>1950.0494973435707</v>
      </c>
      <c r="H23" s="40">
        <f t="shared" si="9"/>
        <v>1.0087288619183015</v>
      </c>
      <c r="I23" s="40">
        <f t="shared" si="4"/>
        <v>165693.54234499251</v>
      </c>
      <c r="J23" s="40">
        <f t="shared" si="5"/>
        <v>3937.5423449925147</v>
      </c>
      <c r="K23" s="40">
        <f t="shared" si="6"/>
        <v>3937.5423449925147</v>
      </c>
      <c r="L23" s="40">
        <f>SUMSQ($J$4:J23)/(A23)</f>
        <v>25685591.039355215</v>
      </c>
      <c r="M23" s="40">
        <f>SUM($K$4:K23)/A23</f>
        <v>3823.7519212469406</v>
      </c>
      <c r="N23" s="40">
        <f t="shared" si="7"/>
        <v>2.4342480928018215</v>
      </c>
      <c r="O23" s="40">
        <f>AVERAGE($N$4:N23)</f>
        <v>3.0836404686747665</v>
      </c>
      <c r="P23" s="40">
        <f>SUM($J$4:J23)/M23</f>
        <v>7.3285417785684261</v>
      </c>
    </row>
    <row r="24" spans="1:16" x14ac:dyDescent="0.3">
      <c r="A24" s="15">
        <v>21</v>
      </c>
      <c r="B24" s="21">
        <v>168041.23809523811</v>
      </c>
      <c r="C24" s="40">
        <f>((B18+B30+2*(SUM(B19:B29)))/(2*12))</f>
        <v>163195.81739117365</v>
      </c>
      <c r="D24" s="40">
        <f>'AD WINTER LABORABLE'!$B$17+'AD WINTER LABORABLE'!$B$18*'M. WINTER LABORABLE'!A24</f>
        <v>164259.74174060277</v>
      </c>
      <c r="E24" s="40">
        <f t="shared" si="0"/>
        <v>1.0230214434441705</v>
      </c>
      <c r="F24" s="40">
        <f t="shared" si="1"/>
        <v>164259.74174060294</v>
      </c>
      <c r="G24" s="40">
        <f t="shared" si="2"/>
        <v>1950.0494973435707</v>
      </c>
      <c r="H24" s="40">
        <f t="shared" si="9"/>
        <v>1.0228868100990238</v>
      </c>
      <c r="I24" s="40">
        <f t="shared" si="4"/>
        <v>170013.8031666078</v>
      </c>
      <c r="J24" s="40">
        <f t="shared" si="5"/>
        <v>1972.5650713696959</v>
      </c>
      <c r="K24" s="40">
        <f t="shared" si="6"/>
        <v>1972.5650713696959</v>
      </c>
      <c r="L24" s="40">
        <f>SUMSQ($J$4:J24)/(A24)</f>
        <v>24647753.987994857</v>
      </c>
      <c r="M24" s="40">
        <f>SUM($K$4:K24)/A24</f>
        <v>3735.6001664908813</v>
      </c>
      <c r="N24" s="40">
        <f t="shared" si="7"/>
        <v>1.1738577349993911</v>
      </c>
      <c r="O24" s="40">
        <f>AVERAGE($N$4:N24)</f>
        <v>2.9926984337378442</v>
      </c>
      <c r="P24" s="40">
        <f>SUM($J$4:J24)/M24</f>
        <v>8.0295238891387406</v>
      </c>
    </row>
    <row r="25" spans="1:16" x14ac:dyDescent="0.3">
      <c r="A25" s="15">
        <v>22</v>
      </c>
      <c r="B25" s="21">
        <v>172356.72727272726</v>
      </c>
      <c r="C25" s="40">
        <f>((B19+B31+2*(SUM(B20:B30)))/(2*12))</f>
        <v>164509.58614117364</v>
      </c>
      <c r="D25" s="40">
        <f>'AD WINTER LABORABLE'!$B$17+'AD WINTER LABORABLE'!$B$18*'M. WINTER LABORABLE'!A25</f>
        <v>166209.79123794634</v>
      </c>
      <c r="E25" s="40">
        <f t="shared" si="0"/>
        <v>1.0369829959414423</v>
      </c>
      <c r="F25" s="40">
        <f t="shared" si="1"/>
        <v>166209.79123794651</v>
      </c>
      <c r="G25" s="40">
        <f t="shared" si="2"/>
        <v>1950.0494973435707</v>
      </c>
      <c r="H25" s="40">
        <f t="shared" si="9"/>
        <v>1.0367179246634661</v>
      </c>
      <c r="I25" s="40">
        <f t="shared" si="4"/>
        <v>174334.32109882892</v>
      </c>
      <c r="J25" s="40">
        <f t="shared" si="5"/>
        <v>1977.5938261016563</v>
      </c>
      <c r="K25" s="40">
        <f t="shared" si="6"/>
        <v>1977.5938261016563</v>
      </c>
      <c r="L25" s="40">
        <f>SUMSQ($J$4:J25)/(A25)</f>
        <v>23705168.685860336</v>
      </c>
      <c r="M25" s="40">
        <f>SUM($K$4:K25)/A25</f>
        <v>3655.6907873822802</v>
      </c>
      <c r="N25" s="40">
        <f t="shared" si="7"/>
        <v>1.1473841824418183</v>
      </c>
      <c r="O25" s="40">
        <f>AVERAGE($N$4:N25)</f>
        <v>2.9088205132243883</v>
      </c>
      <c r="P25" s="40">
        <f>SUM($J$4:J25)/M25</f>
        <v>8.7460035497437225</v>
      </c>
    </row>
    <row r="26" spans="1:16" x14ac:dyDescent="0.3">
      <c r="A26" s="15">
        <v>23</v>
      </c>
      <c r="B26" s="21">
        <v>164320.22222222199</v>
      </c>
      <c r="C26" s="40"/>
      <c r="D26" s="40">
        <f>'AD WINTER LABORABLE'!$B$17+'AD WINTER LABORABLE'!$B$18*'M. WINTER LABORABLE'!A26</f>
        <v>168159.84073528991</v>
      </c>
      <c r="E26" s="40">
        <f t="shared" si="0"/>
        <v>0.97716685210762011</v>
      </c>
      <c r="F26" s="40">
        <f t="shared" si="1"/>
        <v>168159.84073529008</v>
      </c>
      <c r="G26" s="40">
        <f t="shared" si="2"/>
        <v>1950.0494973435707</v>
      </c>
      <c r="H26" s="40">
        <f t="shared" si="9"/>
        <v>1.000550721097855</v>
      </c>
      <c r="I26" s="40">
        <f t="shared" si="4"/>
        <v>170203.57333813858</v>
      </c>
      <c r="J26" s="40">
        <f t="shared" si="5"/>
        <v>5883.3511159165937</v>
      </c>
      <c r="K26" s="40">
        <f t="shared" si="6"/>
        <v>5883.3511159165937</v>
      </c>
      <c r="L26" s="40">
        <f>SUMSQ($J$4:J26)/(A26)</f>
        <v>24179457.888786279</v>
      </c>
      <c r="M26" s="40">
        <f>SUM($K$4:K26)/A26</f>
        <v>3752.5455842750766</v>
      </c>
      <c r="N26" s="40">
        <f t="shared" si="7"/>
        <v>3.5804181836853388</v>
      </c>
      <c r="O26" s="40">
        <f>AVERAGE($N$4:N26)</f>
        <v>2.9380204119400815</v>
      </c>
      <c r="P26" s="40">
        <f>SUM($J$4:J26)/M26</f>
        <v>10.088094832948054</v>
      </c>
    </row>
    <row r="27" spans="1:16" x14ac:dyDescent="0.3">
      <c r="A27" s="15">
        <v>24</v>
      </c>
      <c r="B27" s="21">
        <v>180124.77777777778</v>
      </c>
      <c r="C27" s="40"/>
      <c r="D27" s="40">
        <f>'AD WINTER LABORABLE'!$B$17+'AD WINTER LABORABLE'!$B$18*'M. WINTER LABORABLE'!A27</f>
        <v>170109.89023263345</v>
      </c>
      <c r="E27" s="40">
        <f t="shared" si="0"/>
        <v>1.0588730468960299</v>
      </c>
      <c r="F27" s="40">
        <f t="shared" si="1"/>
        <v>170109.89023263365</v>
      </c>
      <c r="G27" s="40">
        <f t="shared" si="2"/>
        <v>1950.0494973435707</v>
      </c>
      <c r="H27" s="40">
        <f t="shared" si="9"/>
        <v>1.0726263691434128</v>
      </c>
      <c r="I27" s="40">
        <f t="shared" ref="I27" si="10">(F27+G27)*H27</f>
        <v>184556.0284275999</v>
      </c>
      <c r="J27" s="40">
        <f t="shared" si="5"/>
        <v>4431.2506498221192</v>
      </c>
      <c r="K27" s="40">
        <f t="shared" si="6"/>
        <v>4431.2506498221192</v>
      </c>
      <c r="L27" s="44">
        <f>SUMSQ($J$4:J27)/(A27)</f>
        <v>23990146.406818058</v>
      </c>
      <c r="M27" s="51">
        <f>SUM($K$4:K27)/A27</f>
        <v>3780.8249620062034</v>
      </c>
      <c r="N27" s="40">
        <f t="shared" si="7"/>
        <v>2.4601005505689004</v>
      </c>
      <c r="O27" s="51">
        <f>AVERAGE($N$4:N27)</f>
        <v>2.9181070843829491</v>
      </c>
      <c r="P27" s="40">
        <f>SUM($J$4:J27)/M27</f>
        <v>11.184671809432519</v>
      </c>
    </row>
    <row r="28" spans="1:16" x14ac:dyDescent="0.3">
      <c r="A28" s="14">
        <v>25</v>
      </c>
      <c r="B28" s="21">
        <v>150453</v>
      </c>
      <c r="C28" s="40"/>
      <c r="D28" s="40"/>
      <c r="E28" s="53">
        <f>AVERAGE(E4,E16)</f>
        <v>0.81497979444135971</v>
      </c>
      <c r="F28" s="40"/>
      <c r="G28" s="40"/>
      <c r="H28" s="54">
        <f>H4</f>
        <v>0.81497979444135971</v>
      </c>
      <c r="I28" s="49">
        <f>($F$27+$G$27*A4)*H28</f>
        <v>140225.37431272957</v>
      </c>
      <c r="J28" s="39"/>
      <c r="K28" s="40"/>
      <c r="L28" s="40"/>
      <c r="M28" s="40"/>
      <c r="N28" s="40"/>
      <c r="O28" s="40"/>
      <c r="P28" s="43"/>
    </row>
    <row r="29" spans="1:16" x14ac:dyDescent="0.3">
      <c r="A29" s="15">
        <v>26</v>
      </c>
      <c r="B29" s="21">
        <v>158067.38888888888</v>
      </c>
      <c r="C29" s="40"/>
      <c r="D29" s="40"/>
      <c r="E29" s="53">
        <f t="shared" ref="E29:E39" si="11">AVERAGE(E5,E17)</f>
        <v>0.85770974577678638</v>
      </c>
      <c r="F29" s="40"/>
      <c r="G29" s="40"/>
      <c r="H29" s="54">
        <f t="shared" ref="H29:H39" si="12">H5</f>
        <v>0.85770974577678638</v>
      </c>
      <c r="I29" s="49">
        <f t="shared" ref="I29:I39" si="13">($F$27+$G$27*A5)*H29</f>
        <v>149250.06362278666</v>
      </c>
      <c r="J29" s="39"/>
      <c r="K29" s="40"/>
      <c r="L29" s="40"/>
      <c r="M29" s="40"/>
      <c r="N29" s="40"/>
      <c r="O29" s="40"/>
      <c r="P29" s="43"/>
    </row>
    <row r="30" spans="1:16" x14ac:dyDescent="0.3">
      <c r="A30" s="15">
        <v>27</v>
      </c>
      <c r="B30" s="21">
        <v>168441.45</v>
      </c>
      <c r="C30" s="40"/>
      <c r="D30" s="40"/>
      <c r="E30" s="53">
        <f t="shared" si="11"/>
        <v>0.98256813467969883</v>
      </c>
      <c r="F30" s="40"/>
      <c r="G30" s="40"/>
      <c r="H30" s="54">
        <f t="shared" si="12"/>
        <v>0.98256813467969883</v>
      </c>
      <c r="I30" s="49">
        <f t="shared" si="13"/>
        <v>172892.72702786105</v>
      </c>
      <c r="J30" s="39"/>
      <c r="K30" s="40"/>
      <c r="L30" s="40"/>
      <c r="M30" s="40"/>
      <c r="N30" s="40"/>
      <c r="O30" s="40"/>
      <c r="P30" s="43"/>
    </row>
    <row r="31" spans="1:16" x14ac:dyDescent="0.3">
      <c r="A31" s="15">
        <v>28</v>
      </c>
      <c r="B31" s="21">
        <v>180514</v>
      </c>
      <c r="C31" s="40"/>
      <c r="D31" s="40"/>
      <c r="E31" s="53">
        <f t="shared" si="11"/>
        <v>1.022508474132795</v>
      </c>
      <c r="F31" s="40"/>
      <c r="G31" s="40"/>
      <c r="H31" s="54">
        <f t="shared" si="12"/>
        <v>1.022508474132795</v>
      </c>
      <c r="I31" s="49">
        <f t="shared" si="13"/>
        <v>181914.57284071628</v>
      </c>
      <c r="J31" s="39"/>
      <c r="K31" s="40"/>
      <c r="L31" s="40"/>
      <c r="M31" s="40"/>
      <c r="N31" s="40"/>
      <c r="O31" s="40"/>
      <c r="P31" s="43"/>
    </row>
    <row r="32" spans="1:16" x14ac:dyDescent="0.3">
      <c r="A32" s="45">
        <v>29</v>
      </c>
      <c r="C32" s="41"/>
      <c r="E32" s="53">
        <f t="shared" si="11"/>
        <v>1.0221981263993947</v>
      </c>
      <c r="H32" s="54">
        <f t="shared" si="12"/>
        <v>1.0221981263993947</v>
      </c>
      <c r="I32" s="49">
        <f t="shared" si="13"/>
        <v>183852.69579065821</v>
      </c>
    </row>
    <row r="33" spans="1:9" x14ac:dyDescent="0.3">
      <c r="A33" s="46">
        <v>30</v>
      </c>
      <c r="C33" s="41"/>
      <c r="E33" s="53">
        <f t="shared" si="11"/>
        <v>1.0099551590927867</v>
      </c>
      <c r="H33" s="54">
        <f t="shared" si="12"/>
        <v>1.0099551590927867</v>
      </c>
      <c r="I33" s="49">
        <f t="shared" si="13"/>
        <v>183620.13655512661</v>
      </c>
    </row>
    <row r="34" spans="1:9" x14ac:dyDescent="0.3">
      <c r="A34" s="47">
        <v>31</v>
      </c>
      <c r="C34" s="41"/>
      <c r="E34" s="53">
        <f t="shared" si="11"/>
        <v>0.98140951264891541</v>
      </c>
      <c r="H34" s="54">
        <f t="shared" si="12"/>
        <v>0.98140951264891541</v>
      </c>
      <c r="I34" s="49">
        <f t="shared" si="13"/>
        <v>180344.04435777399</v>
      </c>
    </row>
    <row r="35" spans="1:9" x14ac:dyDescent="0.3">
      <c r="A35" s="46">
        <v>32</v>
      </c>
      <c r="C35" s="41"/>
      <c r="E35" s="53">
        <f t="shared" si="11"/>
        <v>1.0087288619183015</v>
      </c>
      <c r="H35" s="54">
        <f t="shared" si="12"/>
        <v>1.0087288619183015</v>
      </c>
      <c r="I35" s="49">
        <f t="shared" si="13"/>
        <v>187331.32565652963</v>
      </c>
    </row>
    <row r="36" spans="1:9" x14ac:dyDescent="0.3">
      <c r="A36" s="46">
        <v>33</v>
      </c>
      <c r="C36" s="41"/>
      <c r="E36" s="53">
        <f t="shared" si="11"/>
        <v>1.0228868100990238</v>
      </c>
      <c r="H36" s="54">
        <f t="shared" si="12"/>
        <v>1.0228868100990238</v>
      </c>
      <c r="I36" s="49">
        <f t="shared" si="13"/>
        <v>191955.28217521045</v>
      </c>
    </row>
    <row r="37" spans="1:9" x14ac:dyDescent="0.3">
      <c r="A37" s="46">
        <v>34</v>
      </c>
      <c r="C37" s="41"/>
      <c r="E37" s="53">
        <f t="shared" si="11"/>
        <v>1.0367179246634661</v>
      </c>
      <c r="H37" s="54">
        <f t="shared" si="12"/>
        <v>1.0367179246634661</v>
      </c>
      <c r="I37" s="49">
        <f t="shared" si="13"/>
        <v>196572.48504547661</v>
      </c>
    </row>
    <row r="38" spans="1:9" x14ac:dyDescent="0.3">
      <c r="A38" s="46">
        <v>35</v>
      </c>
      <c r="C38" s="41"/>
      <c r="E38" s="53">
        <f t="shared" si="11"/>
        <v>1.000550721097855</v>
      </c>
      <c r="H38" s="54">
        <f t="shared" si="12"/>
        <v>1.000550721097855</v>
      </c>
      <c r="I38" s="49">
        <f t="shared" si="13"/>
        <v>191665.93107631837</v>
      </c>
    </row>
    <row r="39" spans="1:9" x14ac:dyDescent="0.3">
      <c r="A39" s="47">
        <v>36</v>
      </c>
      <c r="C39" s="41"/>
      <c r="E39" s="53">
        <f t="shared" si="11"/>
        <v>1.0726263691434128</v>
      </c>
      <c r="H39" s="54">
        <f t="shared" si="12"/>
        <v>1.0726263691434128</v>
      </c>
      <c r="I39" s="49">
        <f t="shared" si="13"/>
        <v>207564.4480594412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44C8-7A4A-4DE4-8877-54B6945CA48B}">
  <dimension ref="A1:B34"/>
  <sheetViews>
    <sheetView topLeftCell="E82" workbookViewId="0">
      <selection activeCell="A6" sqref="A6:A33"/>
    </sheetView>
  </sheetViews>
  <sheetFormatPr baseColWidth="10" defaultRowHeight="14.4" x14ac:dyDescent="0.3"/>
  <cols>
    <col min="1" max="1" width="16.5546875" bestFit="1" customWidth="1"/>
    <col min="2" max="2" width="17.33203125" bestFit="1" customWidth="1"/>
  </cols>
  <sheetData>
    <row r="1" spans="1:2" x14ac:dyDescent="0.3">
      <c r="A1" s="18" t="s">
        <v>27</v>
      </c>
      <c r="B1" t="s">
        <v>28</v>
      </c>
    </row>
    <row r="2" spans="1:2" x14ac:dyDescent="0.3">
      <c r="A2" s="18" t="s">
        <v>29</v>
      </c>
      <c r="B2" t="s">
        <v>28</v>
      </c>
    </row>
    <row r="3" spans="1:2" x14ac:dyDescent="0.3">
      <c r="A3" s="18" t="s">
        <v>30</v>
      </c>
      <c r="B3" t="s">
        <v>28</v>
      </c>
    </row>
    <row r="5" spans="1:2" x14ac:dyDescent="0.3">
      <c r="A5" s="18" t="s">
        <v>25</v>
      </c>
      <c r="B5" t="s">
        <v>31</v>
      </c>
    </row>
    <row r="6" spans="1:2" x14ac:dyDescent="0.3">
      <c r="A6" s="19">
        <v>44562</v>
      </c>
      <c r="B6" s="20">
        <v>92181.55</v>
      </c>
    </row>
    <row r="7" spans="1:2" x14ac:dyDescent="0.3">
      <c r="A7" s="19">
        <v>44593</v>
      </c>
      <c r="B7" s="20">
        <v>101781.21052631579</v>
      </c>
    </row>
    <row r="8" spans="1:2" x14ac:dyDescent="0.3">
      <c r="A8" s="19">
        <v>44621</v>
      </c>
      <c r="B8" s="20">
        <v>121611</v>
      </c>
    </row>
    <row r="9" spans="1:2" x14ac:dyDescent="0.3">
      <c r="A9" s="19">
        <v>44652</v>
      </c>
      <c r="B9" s="20">
        <v>131275.25</v>
      </c>
    </row>
    <row r="10" spans="1:2" x14ac:dyDescent="0.3">
      <c r="A10" s="19">
        <v>44682</v>
      </c>
      <c r="B10" s="20">
        <v>134583</v>
      </c>
    </row>
    <row r="11" spans="1:2" x14ac:dyDescent="0.3">
      <c r="A11" s="19">
        <v>44713</v>
      </c>
      <c r="B11" s="20">
        <v>136247</v>
      </c>
    </row>
    <row r="12" spans="1:2" x14ac:dyDescent="0.3">
      <c r="A12" s="19">
        <v>44743</v>
      </c>
      <c r="B12" s="20">
        <v>133935</v>
      </c>
    </row>
    <row r="13" spans="1:2" x14ac:dyDescent="0.3">
      <c r="A13" s="19">
        <v>44774</v>
      </c>
      <c r="B13" s="20">
        <v>141808</v>
      </c>
    </row>
    <row r="14" spans="1:2" x14ac:dyDescent="0.3">
      <c r="A14" s="19">
        <v>44805</v>
      </c>
      <c r="B14" s="20">
        <v>144064</v>
      </c>
    </row>
    <row r="15" spans="1:2" x14ac:dyDescent="0.3">
      <c r="A15" s="19">
        <v>44835</v>
      </c>
      <c r="B15" s="20">
        <v>148015</v>
      </c>
    </row>
    <row r="16" spans="1:2" x14ac:dyDescent="0.3">
      <c r="A16" s="19">
        <v>44866</v>
      </c>
      <c r="B16" s="20">
        <v>148224</v>
      </c>
    </row>
    <row r="17" spans="1:2" x14ac:dyDescent="0.3">
      <c r="A17" s="19">
        <v>44896</v>
      </c>
      <c r="B17" s="20">
        <v>159382</v>
      </c>
    </row>
    <row r="18" spans="1:2" x14ac:dyDescent="0.3">
      <c r="A18" s="19">
        <v>44927</v>
      </c>
      <c r="B18" s="20">
        <v>132906</v>
      </c>
    </row>
    <row r="19" spans="1:2" x14ac:dyDescent="0.3">
      <c r="A19" s="19">
        <v>44958</v>
      </c>
      <c r="B19" s="20">
        <v>137854</v>
      </c>
    </row>
    <row r="20" spans="1:2" x14ac:dyDescent="0.3">
      <c r="A20" s="19">
        <v>44986</v>
      </c>
      <c r="B20" s="20">
        <v>156156</v>
      </c>
    </row>
    <row r="21" spans="1:2" x14ac:dyDescent="0.3">
      <c r="A21" s="19">
        <v>45017</v>
      </c>
      <c r="B21" s="20">
        <v>161269</v>
      </c>
    </row>
    <row r="22" spans="1:2" x14ac:dyDescent="0.3">
      <c r="A22" s="19">
        <v>45047</v>
      </c>
      <c r="B22" s="20">
        <v>161613.68181818182</v>
      </c>
    </row>
    <row r="23" spans="1:2" x14ac:dyDescent="0.3">
      <c r="A23" s="19">
        <v>45078</v>
      </c>
      <c r="B23" s="20">
        <v>160111</v>
      </c>
    </row>
    <row r="24" spans="1:2" x14ac:dyDescent="0.3">
      <c r="A24" s="19">
        <v>45108</v>
      </c>
      <c r="B24" s="20">
        <v>157938.04761904763</v>
      </c>
    </row>
    <row r="25" spans="1:2" x14ac:dyDescent="0.3">
      <c r="A25" s="19">
        <v>45139</v>
      </c>
      <c r="B25" s="20">
        <v>161756</v>
      </c>
    </row>
    <row r="26" spans="1:2" x14ac:dyDescent="0.3">
      <c r="A26" s="19">
        <v>45170</v>
      </c>
      <c r="B26" s="20">
        <v>168041.23809523811</v>
      </c>
    </row>
    <row r="27" spans="1:2" x14ac:dyDescent="0.3">
      <c r="A27" s="19">
        <v>45200</v>
      </c>
      <c r="B27" s="20">
        <v>172356.72727272726</v>
      </c>
    </row>
    <row r="28" spans="1:2" x14ac:dyDescent="0.3">
      <c r="A28" s="19">
        <v>45231</v>
      </c>
      <c r="B28" s="20">
        <v>164320.22222222199</v>
      </c>
    </row>
    <row r="29" spans="1:2" x14ac:dyDescent="0.3">
      <c r="A29" s="19">
        <v>45261</v>
      </c>
      <c r="B29" s="20">
        <v>180124.77777777778</v>
      </c>
    </row>
    <row r="30" spans="1:2" x14ac:dyDescent="0.3">
      <c r="A30" s="19">
        <v>45292</v>
      </c>
      <c r="B30" s="20">
        <v>150453</v>
      </c>
    </row>
    <row r="31" spans="1:2" x14ac:dyDescent="0.3">
      <c r="A31" s="19">
        <v>45323</v>
      </c>
      <c r="B31" s="20">
        <v>158067.38888888888</v>
      </c>
    </row>
    <row r="32" spans="1:2" x14ac:dyDescent="0.3">
      <c r="A32" s="19">
        <v>45352</v>
      </c>
      <c r="B32" s="20">
        <v>168441.45</v>
      </c>
    </row>
    <row r="33" spans="1:2" x14ac:dyDescent="0.3">
      <c r="A33" s="19">
        <v>45383</v>
      </c>
      <c r="B33" s="20">
        <v>180514</v>
      </c>
    </row>
    <row r="34" spans="1:2" x14ac:dyDescent="0.3">
      <c r="A34" s="19" t="s">
        <v>26</v>
      </c>
      <c r="B34" s="20">
        <v>4165029.5442203996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3B03-F690-44BF-AA91-4BD37D31EE94}">
  <dimension ref="A1:B34"/>
  <sheetViews>
    <sheetView workbookViewId="0">
      <selection activeCell="B6" sqref="B6:B33"/>
    </sheetView>
  </sheetViews>
  <sheetFormatPr baseColWidth="10" defaultRowHeight="14.4" x14ac:dyDescent="0.3"/>
  <cols>
    <col min="1" max="1" width="16.5546875" bestFit="1" customWidth="1"/>
    <col min="2" max="2" width="15.88671875" bestFit="1" customWidth="1"/>
  </cols>
  <sheetData>
    <row r="1" spans="1:2" x14ac:dyDescent="0.3">
      <c r="A1" s="18" t="s">
        <v>27</v>
      </c>
      <c r="B1" t="s">
        <v>28</v>
      </c>
    </row>
    <row r="2" spans="1:2" x14ac:dyDescent="0.3">
      <c r="A2" s="18" t="s">
        <v>29</v>
      </c>
      <c r="B2" t="s">
        <v>28</v>
      </c>
    </row>
    <row r="3" spans="1:2" x14ac:dyDescent="0.3">
      <c r="A3" s="18" t="s">
        <v>30</v>
      </c>
      <c r="B3" t="s">
        <v>28</v>
      </c>
    </row>
    <row r="5" spans="1:2" x14ac:dyDescent="0.3">
      <c r="A5" s="18" t="s">
        <v>25</v>
      </c>
      <c r="B5" t="s">
        <v>32</v>
      </c>
    </row>
    <row r="6" spans="1:2" x14ac:dyDescent="0.3">
      <c r="A6" s="19">
        <v>44562</v>
      </c>
      <c r="B6" s="20">
        <v>66351.399999999994</v>
      </c>
    </row>
    <row r="7" spans="1:2" x14ac:dyDescent="0.3">
      <c r="A7" s="19">
        <v>44593</v>
      </c>
      <c r="B7" s="20">
        <v>80755.600000000006</v>
      </c>
    </row>
    <row r="8" spans="1:2" x14ac:dyDescent="0.3">
      <c r="A8" s="19">
        <v>44621</v>
      </c>
      <c r="B8" s="20">
        <v>98815</v>
      </c>
    </row>
    <row r="9" spans="1:2" x14ac:dyDescent="0.3">
      <c r="A9" s="19">
        <v>44652</v>
      </c>
      <c r="B9" s="20">
        <v>95755.199999999997</v>
      </c>
    </row>
    <row r="10" spans="1:2" x14ac:dyDescent="0.3">
      <c r="A10" s="19">
        <v>44682</v>
      </c>
      <c r="B10" s="20">
        <v>105378</v>
      </c>
    </row>
    <row r="11" spans="1:2" x14ac:dyDescent="0.3">
      <c r="A11" s="19">
        <v>44713</v>
      </c>
      <c r="B11" s="20">
        <v>106194</v>
      </c>
    </row>
    <row r="12" spans="1:2" x14ac:dyDescent="0.3">
      <c r="A12" s="19">
        <v>44743</v>
      </c>
      <c r="B12" s="20">
        <v>110336</v>
      </c>
    </row>
    <row r="13" spans="1:2" x14ac:dyDescent="0.3">
      <c r="A13" s="19">
        <v>44774</v>
      </c>
      <c r="B13" s="20">
        <v>114106</v>
      </c>
    </row>
    <row r="14" spans="1:2" x14ac:dyDescent="0.3">
      <c r="A14" s="19">
        <v>44805</v>
      </c>
      <c r="B14" s="20">
        <v>110961</v>
      </c>
    </row>
    <row r="15" spans="1:2" x14ac:dyDescent="0.3">
      <c r="A15" s="19">
        <v>44835</v>
      </c>
      <c r="B15" s="20">
        <v>117046</v>
      </c>
    </row>
    <row r="16" spans="1:2" x14ac:dyDescent="0.3">
      <c r="A16" s="19">
        <v>44866</v>
      </c>
      <c r="B16" s="20">
        <v>101630</v>
      </c>
    </row>
    <row r="17" spans="1:2" x14ac:dyDescent="0.3">
      <c r="A17" s="19">
        <v>44896</v>
      </c>
      <c r="B17" s="20">
        <v>124149</v>
      </c>
    </row>
    <row r="18" spans="1:2" x14ac:dyDescent="0.3">
      <c r="A18" s="19">
        <v>44927</v>
      </c>
      <c r="B18" s="20">
        <v>106035</v>
      </c>
    </row>
    <row r="19" spans="1:2" x14ac:dyDescent="0.3">
      <c r="A19" s="19">
        <v>44958</v>
      </c>
      <c r="B19" s="20">
        <v>93538</v>
      </c>
    </row>
    <row r="20" spans="1:2" x14ac:dyDescent="0.3">
      <c r="A20" s="19">
        <v>44986</v>
      </c>
      <c r="B20" s="20">
        <v>125713</v>
      </c>
    </row>
    <row r="21" spans="1:2" x14ac:dyDescent="0.3">
      <c r="A21" s="19">
        <v>45017</v>
      </c>
      <c r="B21" s="20">
        <v>118330</v>
      </c>
    </row>
    <row r="22" spans="1:2" x14ac:dyDescent="0.3">
      <c r="A22" s="19">
        <v>45047</v>
      </c>
      <c r="B22" s="20">
        <v>120224.75</v>
      </c>
    </row>
    <row r="23" spans="1:2" x14ac:dyDescent="0.3">
      <c r="A23" s="19">
        <v>45078</v>
      </c>
      <c r="B23" s="20">
        <v>125457</v>
      </c>
    </row>
    <row r="24" spans="1:2" x14ac:dyDescent="0.3">
      <c r="A24" s="19">
        <v>45108</v>
      </c>
      <c r="B24" s="20">
        <v>129230.8</v>
      </c>
    </row>
    <row r="25" spans="1:2" x14ac:dyDescent="0.3">
      <c r="A25" s="19">
        <v>45139</v>
      </c>
      <c r="B25" s="20">
        <v>131852</v>
      </c>
    </row>
    <row r="26" spans="1:2" x14ac:dyDescent="0.3">
      <c r="A26" s="19">
        <v>45170</v>
      </c>
      <c r="B26" s="20">
        <v>131888.79999999999</v>
      </c>
    </row>
    <row r="27" spans="1:2" x14ac:dyDescent="0.3">
      <c r="A27" s="19">
        <v>45200</v>
      </c>
      <c r="B27" s="20">
        <v>136062.25</v>
      </c>
    </row>
    <row r="28" spans="1:2" x14ac:dyDescent="0.3">
      <c r="A28" s="19">
        <v>45231</v>
      </c>
      <c r="B28" s="20">
        <v>115384</v>
      </c>
    </row>
    <row r="29" spans="1:2" x14ac:dyDescent="0.3">
      <c r="A29" s="19">
        <v>45261</v>
      </c>
      <c r="B29" s="20">
        <v>152963.79999999999</v>
      </c>
    </row>
    <row r="30" spans="1:2" x14ac:dyDescent="0.3">
      <c r="A30" s="19">
        <v>45292</v>
      </c>
      <c r="B30" s="20">
        <v>119006</v>
      </c>
    </row>
    <row r="31" spans="1:2" x14ac:dyDescent="0.3">
      <c r="A31" s="19">
        <v>45323</v>
      </c>
      <c r="B31" s="20">
        <v>107802.83333333333</v>
      </c>
    </row>
    <row r="32" spans="1:2" x14ac:dyDescent="0.3">
      <c r="A32" s="19">
        <v>45352</v>
      </c>
      <c r="B32" s="20">
        <v>125509.4</v>
      </c>
    </row>
    <row r="33" spans="1:2" x14ac:dyDescent="0.3">
      <c r="A33" s="19">
        <v>45383</v>
      </c>
      <c r="B33" s="20">
        <v>134920</v>
      </c>
    </row>
    <row r="34" spans="1:2" x14ac:dyDescent="0.3">
      <c r="A34" s="19" t="s">
        <v>26</v>
      </c>
      <c r="B34" s="20">
        <v>3205394.833333333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95F7-7D6C-49D7-909F-B927B6B55E0B}">
  <dimension ref="A1:D33"/>
  <sheetViews>
    <sheetView topLeftCell="A7" zoomScaleNormal="100" workbookViewId="0">
      <selection sqref="A1:D1"/>
    </sheetView>
  </sheetViews>
  <sheetFormatPr baseColWidth="10" defaultRowHeight="14.4" x14ac:dyDescent="0.3"/>
  <cols>
    <col min="1" max="1" width="11.6640625" customWidth="1"/>
    <col min="2" max="4" width="15.6640625" style="5" customWidth="1"/>
  </cols>
  <sheetData>
    <row r="1" spans="1:4" s="1" customFormat="1" ht="24.9" customHeight="1" x14ac:dyDescent="0.25">
      <c r="A1" s="60" t="s">
        <v>2</v>
      </c>
      <c r="B1" s="60"/>
      <c r="C1" s="60"/>
      <c r="D1" s="60"/>
    </row>
    <row r="2" spans="1:4" s="1" customFormat="1" ht="24.9" customHeight="1" x14ac:dyDescent="0.25">
      <c r="A2" s="61" t="s">
        <v>7</v>
      </c>
      <c r="B2" s="61"/>
      <c r="C2" s="61"/>
      <c r="D2" s="61"/>
    </row>
    <row r="3" spans="1:4" s="1" customFormat="1" ht="24.9" customHeight="1" x14ac:dyDescent="0.25">
      <c r="A3" s="62" t="s">
        <v>1</v>
      </c>
      <c r="B3" s="62"/>
      <c r="C3" s="62"/>
      <c r="D3" s="62"/>
    </row>
    <row r="4" spans="1:4" ht="20.100000000000001" customHeight="1" x14ac:dyDescent="0.35">
      <c r="A4" s="4"/>
      <c r="B4" s="63" t="s">
        <v>3</v>
      </c>
      <c r="C4" s="63"/>
      <c r="D4" s="63"/>
    </row>
    <row r="5" spans="1:4" ht="20.100000000000001" customHeight="1" x14ac:dyDescent="0.3">
      <c r="A5" s="3" t="s">
        <v>0</v>
      </c>
      <c r="B5" s="7" t="s">
        <v>4</v>
      </c>
      <c r="C5" s="8" t="s">
        <v>5</v>
      </c>
      <c r="D5" s="8" t="s">
        <v>6</v>
      </c>
    </row>
    <row r="6" spans="1:4" x14ac:dyDescent="0.3">
      <c r="A6" s="11">
        <v>44562</v>
      </c>
      <c r="B6" s="5">
        <v>92181.55</v>
      </c>
      <c r="C6" s="5">
        <v>66351.399999999994</v>
      </c>
      <c r="D6" s="5">
        <v>37567</v>
      </c>
    </row>
    <row r="7" spans="1:4" x14ac:dyDescent="0.3">
      <c r="A7" s="11">
        <v>44593</v>
      </c>
      <c r="B7" s="5">
        <v>101781.21052631579</v>
      </c>
      <c r="C7" s="5">
        <v>80755.600000000006</v>
      </c>
      <c r="D7" s="5">
        <v>43283</v>
      </c>
    </row>
    <row r="8" spans="1:4" x14ac:dyDescent="0.3">
      <c r="A8" s="11">
        <v>44621</v>
      </c>
      <c r="B8" s="5">
        <v>121611</v>
      </c>
      <c r="C8" s="5">
        <v>98815</v>
      </c>
      <c r="D8" s="5">
        <v>47598</v>
      </c>
    </row>
    <row r="9" spans="1:4" x14ac:dyDescent="0.3">
      <c r="A9" s="11">
        <v>44652</v>
      </c>
      <c r="B9" s="5">
        <v>131275.25</v>
      </c>
      <c r="C9" s="6">
        <v>95755.199999999997</v>
      </c>
      <c r="D9" s="5">
        <v>46151</v>
      </c>
    </row>
    <row r="10" spans="1:4" x14ac:dyDescent="0.3">
      <c r="A10" s="11">
        <v>44682</v>
      </c>
      <c r="B10" s="5">
        <v>134583</v>
      </c>
      <c r="C10" s="5">
        <v>105378</v>
      </c>
      <c r="D10" s="5">
        <v>51618</v>
      </c>
    </row>
    <row r="11" spans="1:4" x14ac:dyDescent="0.3">
      <c r="A11" s="11">
        <v>44713</v>
      </c>
      <c r="B11" s="5">
        <v>136247</v>
      </c>
      <c r="C11" s="5">
        <v>106194</v>
      </c>
      <c r="D11" s="5">
        <v>50701</v>
      </c>
    </row>
    <row r="12" spans="1:4" x14ac:dyDescent="0.3">
      <c r="A12" s="11">
        <v>44743</v>
      </c>
      <c r="B12" s="5">
        <v>133935</v>
      </c>
      <c r="C12" s="5">
        <v>110336</v>
      </c>
      <c r="D12" s="5">
        <v>53959</v>
      </c>
    </row>
    <row r="13" spans="1:4" x14ac:dyDescent="0.3">
      <c r="A13" s="11">
        <v>44774</v>
      </c>
      <c r="B13" s="5">
        <v>141808</v>
      </c>
      <c r="C13" s="5">
        <v>114106</v>
      </c>
      <c r="D13" s="5">
        <v>57548</v>
      </c>
    </row>
    <row r="14" spans="1:4" x14ac:dyDescent="0.3">
      <c r="A14" s="11">
        <v>44805</v>
      </c>
      <c r="B14" s="5">
        <v>144064</v>
      </c>
      <c r="C14" s="5">
        <v>110961</v>
      </c>
      <c r="D14" s="5">
        <v>54757</v>
      </c>
    </row>
    <row r="15" spans="1:4" x14ac:dyDescent="0.3">
      <c r="A15" s="11">
        <v>44835</v>
      </c>
      <c r="B15" s="6">
        <v>148015</v>
      </c>
      <c r="C15" s="6">
        <v>117046</v>
      </c>
      <c r="D15" s="5">
        <v>59028</v>
      </c>
    </row>
    <row r="16" spans="1:4" x14ac:dyDescent="0.3">
      <c r="A16" s="11">
        <v>44866</v>
      </c>
      <c r="B16" s="5">
        <v>148224</v>
      </c>
      <c r="C16" s="5">
        <v>101630</v>
      </c>
      <c r="D16" s="5">
        <v>55269</v>
      </c>
    </row>
    <row r="17" spans="1:4" x14ac:dyDescent="0.3">
      <c r="A17" s="11">
        <v>44896</v>
      </c>
      <c r="B17" s="5">
        <v>159382</v>
      </c>
      <c r="C17" s="5">
        <v>124149</v>
      </c>
      <c r="D17" s="5">
        <v>66575</v>
      </c>
    </row>
    <row r="18" spans="1:4" x14ac:dyDescent="0.3">
      <c r="A18" s="2">
        <v>44927</v>
      </c>
      <c r="B18" s="6">
        <v>132906</v>
      </c>
      <c r="C18" s="6">
        <v>106035</v>
      </c>
      <c r="D18" s="5">
        <v>48931</v>
      </c>
    </row>
    <row r="19" spans="1:4" x14ac:dyDescent="0.3">
      <c r="A19" s="2">
        <v>44958</v>
      </c>
      <c r="B19" s="5">
        <v>137854</v>
      </c>
      <c r="C19" s="5">
        <v>93538</v>
      </c>
      <c r="D19" s="5">
        <v>50878</v>
      </c>
    </row>
    <row r="20" spans="1:4" x14ac:dyDescent="0.3">
      <c r="A20" s="2">
        <v>44986</v>
      </c>
      <c r="B20" s="6">
        <v>156156</v>
      </c>
      <c r="C20" s="6">
        <v>125713</v>
      </c>
      <c r="D20" s="5">
        <v>62327</v>
      </c>
    </row>
    <row r="21" spans="1:4" x14ac:dyDescent="0.3">
      <c r="A21" s="2">
        <v>45017</v>
      </c>
      <c r="B21" s="5">
        <v>161269</v>
      </c>
      <c r="C21" s="6">
        <v>118330</v>
      </c>
      <c r="D21" s="5">
        <v>54875</v>
      </c>
    </row>
    <row r="22" spans="1:4" x14ac:dyDescent="0.3">
      <c r="A22" s="2">
        <v>45047</v>
      </c>
      <c r="B22" s="5">
        <v>161613.68181818182</v>
      </c>
      <c r="C22" s="5">
        <v>120224.75</v>
      </c>
      <c r="D22" s="5">
        <v>57377.599999999999</v>
      </c>
    </row>
    <row r="23" spans="1:4" x14ac:dyDescent="0.3">
      <c r="A23" s="2">
        <v>45078</v>
      </c>
      <c r="B23" s="5">
        <v>160111</v>
      </c>
      <c r="C23" s="5">
        <v>125457</v>
      </c>
      <c r="D23" s="5">
        <v>59308</v>
      </c>
    </row>
    <row r="24" spans="1:4" x14ac:dyDescent="0.3">
      <c r="A24" s="2">
        <v>45108</v>
      </c>
      <c r="B24" s="5">
        <v>157938.04761904763</v>
      </c>
      <c r="C24" s="5">
        <v>129230.8</v>
      </c>
      <c r="D24" s="5">
        <v>63018.2</v>
      </c>
    </row>
    <row r="25" spans="1:4" x14ac:dyDescent="0.3">
      <c r="A25" s="2">
        <v>45139</v>
      </c>
      <c r="B25" s="5">
        <v>161756</v>
      </c>
      <c r="C25" s="5">
        <v>131852</v>
      </c>
      <c r="D25" s="5">
        <v>65306</v>
      </c>
    </row>
    <row r="26" spans="1:4" x14ac:dyDescent="0.3">
      <c r="A26" s="2">
        <v>45170</v>
      </c>
      <c r="B26" s="5">
        <v>168041.23809523811</v>
      </c>
      <c r="C26" s="5">
        <v>131888.79999999999</v>
      </c>
      <c r="D26" s="5">
        <v>63279.25</v>
      </c>
    </row>
    <row r="27" spans="1:4" x14ac:dyDescent="0.3">
      <c r="A27" s="2">
        <v>45200</v>
      </c>
      <c r="B27" s="5">
        <v>172356.72727272726</v>
      </c>
      <c r="C27" s="5">
        <v>136062.25</v>
      </c>
      <c r="D27" s="5">
        <v>69688</v>
      </c>
    </row>
    <row r="28" spans="1:4" x14ac:dyDescent="0.3">
      <c r="A28" s="2">
        <v>45231</v>
      </c>
      <c r="B28" s="9">
        <v>164320.22222222199</v>
      </c>
      <c r="C28" s="10">
        <v>115384</v>
      </c>
      <c r="D28" s="9">
        <v>66459.625</v>
      </c>
    </row>
    <row r="29" spans="1:4" x14ac:dyDescent="0.3">
      <c r="A29" s="2">
        <v>45261</v>
      </c>
      <c r="B29" s="9">
        <v>180124.77777777778</v>
      </c>
      <c r="C29" s="9">
        <v>152963.79999999999</v>
      </c>
      <c r="D29" s="9">
        <v>76894.375</v>
      </c>
    </row>
    <row r="30" spans="1:4" x14ac:dyDescent="0.3">
      <c r="A30" s="11">
        <v>45292</v>
      </c>
      <c r="B30" s="6">
        <v>150453</v>
      </c>
      <c r="C30" s="6">
        <v>119006</v>
      </c>
      <c r="D30" s="6">
        <v>55159</v>
      </c>
    </row>
    <row r="31" spans="1:4" x14ac:dyDescent="0.3">
      <c r="A31" s="11">
        <v>45323</v>
      </c>
      <c r="B31" s="6">
        <v>158067.38888888888</v>
      </c>
      <c r="C31" s="6">
        <v>107802.83333333333</v>
      </c>
      <c r="D31" s="6">
        <v>57859.4</v>
      </c>
    </row>
    <row r="32" spans="1:4" x14ac:dyDescent="0.3">
      <c r="A32" s="11">
        <v>45352</v>
      </c>
      <c r="B32" s="6">
        <v>168441.45</v>
      </c>
      <c r="C32" s="6">
        <v>125509.4</v>
      </c>
      <c r="D32" s="6">
        <v>60579.5</v>
      </c>
    </row>
    <row r="33" spans="1:4" x14ac:dyDescent="0.3">
      <c r="A33" s="11">
        <v>45383</v>
      </c>
      <c r="B33" s="5">
        <v>180514</v>
      </c>
      <c r="C33" s="6">
        <v>134920</v>
      </c>
      <c r="D33" s="6">
        <v>64670</v>
      </c>
    </row>
  </sheetData>
  <mergeCells count="4">
    <mergeCell ref="A1:D1"/>
    <mergeCell ref="A2:D2"/>
    <mergeCell ref="A3:D3"/>
    <mergeCell ref="B4:D4"/>
  </mergeCells>
  <pageMargins left="0.7" right="0.7" top="0.75" bottom="0.75" header="0.3" footer="0.3"/>
  <pageSetup scale="75" orientation="portrait" verticalDpi="597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4BFB-034B-4F2F-ACD7-320F38ECF31B}">
  <dimension ref="A1:F66"/>
  <sheetViews>
    <sheetView zoomScaleNormal="100" workbookViewId="0">
      <selection activeCell="G58" sqref="G58"/>
    </sheetView>
  </sheetViews>
  <sheetFormatPr baseColWidth="10" defaultRowHeight="14.4" x14ac:dyDescent="0.3"/>
  <cols>
    <col min="1" max="1" width="11.6640625" customWidth="1"/>
    <col min="2" max="4" width="15.6640625" style="5" customWidth="1"/>
  </cols>
  <sheetData>
    <row r="1" spans="1:5" s="1" customFormat="1" ht="24.9" customHeight="1" x14ac:dyDescent="0.25">
      <c r="A1" s="60" t="s">
        <v>2</v>
      </c>
      <c r="B1" s="60"/>
      <c r="C1" s="60"/>
      <c r="D1" s="60"/>
    </row>
    <row r="2" spans="1:5" s="1" customFormat="1" ht="24.9" customHeight="1" x14ac:dyDescent="0.25">
      <c r="A2" s="61" t="s">
        <v>7</v>
      </c>
      <c r="B2" s="61"/>
      <c r="C2" s="61"/>
      <c r="D2" s="61"/>
    </row>
    <row r="3" spans="1:5" s="1" customFormat="1" ht="24.9" customHeight="1" x14ac:dyDescent="0.25">
      <c r="A3" s="62" t="s">
        <v>1</v>
      </c>
      <c r="B3" s="62"/>
      <c r="C3" s="62"/>
      <c r="D3" s="62"/>
    </row>
    <row r="4" spans="1:5" ht="20.100000000000001" customHeight="1" x14ac:dyDescent="0.35">
      <c r="A4" s="4"/>
      <c r="B4" s="63" t="s">
        <v>3</v>
      </c>
      <c r="C4" s="63"/>
      <c r="D4" s="63"/>
    </row>
    <row r="5" spans="1:5" ht="20.100000000000001" customHeight="1" x14ac:dyDescent="0.3">
      <c r="A5" s="3" t="s">
        <v>0</v>
      </c>
      <c r="B5" s="7" t="s">
        <v>4</v>
      </c>
      <c r="C5" s="8" t="s">
        <v>5</v>
      </c>
      <c r="D5" s="8" t="s">
        <v>6</v>
      </c>
      <c r="E5" s="8" t="s">
        <v>8</v>
      </c>
    </row>
    <row r="6" spans="1:5" ht="15" customHeight="1" x14ac:dyDescent="0.3">
      <c r="A6" s="2">
        <v>43556</v>
      </c>
      <c r="B6" s="5">
        <v>145204</v>
      </c>
      <c r="C6" s="5">
        <v>149706</v>
      </c>
      <c r="D6" s="5">
        <v>101143</v>
      </c>
      <c r="E6" s="5">
        <f>B6+C6+D6</f>
        <v>396053</v>
      </c>
    </row>
    <row r="7" spans="1:5" ht="15" customHeight="1" x14ac:dyDescent="0.3">
      <c r="A7" s="2">
        <v>43586</v>
      </c>
      <c r="B7" s="5">
        <v>180659</v>
      </c>
      <c r="C7" s="5">
        <v>173414</v>
      </c>
      <c r="D7" s="5">
        <v>107928</v>
      </c>
      <c r="E7" s="12">
        <f t="shared" ref="E7:E66" si="0">B7+C7+D7</f>
        <v>462001</v>
      </c>
    </row>
    <row r="8" spans="1:5" ht="15" customHeight="1" x14ac:dyDescent="0.3">
      <c r="A8" s="2">
        <v>43617</v>
      </c>
      <c r="B8" s="5">
        <v>148758</v>
      </c>
      <c r="C8" s="5">
        <v>142000</v>
      </c>
      <c r="D8" s="5">
        <v>79432</v>
      </c>
      <c r="E8" s="12">
        <f t="shared" si="0"/>
        <v>370190</v>
      </c>
    </row>
    <row r="9" spans="1:5" ht="15" customHeight="1" x14ac:dyDescent="0.3">
      <c r="A9" s="2">
        <v>43647</v>
      </c>
      <c r="B9" s="5">
        <v>142022</v>
      </c>
      <c r="C9" s="5">
        <v>128680</v>
      </c>
      <c r="D9" s="5">
        <v>69217</v>
      </c>
      <c r="E9" s="12">
        <f t="shared" si="0"/>
        <v>339919</v>
      </c>
    </row>
    <row r="10" spans="1:5" ht="15" customHeight="1" x14ac:dyDescent="0.3">
      <c r="A10" s="2">
        <v>43678</v>
      </c>
      <c r="B10" s="5">
        <v>140149</v>
      </c>
      <c r="C10" s="5">
        <v>130942</v>
      </c>
      <c r="D10" s="5">
        <v>72643</v>
      </c>
      <c r="E10" s="12">
        <f t="shared" si="0"/>
        <v>343734</v>
      </c>
    </row>
    <row r="11" spans="1:5" ht="15" customHeight="1" x14ac:dyDescent="0.3">
      <c r="A11" s="2">
        <v>43709</v>
      </c>
      <c r="B11" s="5">
        <v>142536</v>
      </c>
      <c r="C11" s="5">
        <v>130904</v>
      </c>
      <c r="D11" s="5">
        <v>67845</v>
      </c>
      <c r="E11" s="5">
        <f t="shared" si="0"/>
        <v>341285</v>
      </c>
    </row>
    <row r="12" spans="1:5" ht="15" customHeight="1" x14ac:dyDescent="0.3">
      <c r="A12" s="2">
        <v>43739</v>
      </c>
      <c r="B12" s="5">
        <v>139218</v>
      </c>
      <c r="C12" s="5">
        <v>139218</v>
      </c>
      <c r="D12" s="5">
        <v>57463</v>
      </c>
      <c r="E12" s="5">
        <f t="shared" si="0"/>
        <v>335899</v>
      </c>
    </row>
    <row r="13" spans="1:5" ht="15" customHeight="1" x14ac:dyDescent="0.3">
      <c r="A13" s="2">
        <v>43770</v>
      </c>
      <c r="B13" s="5">
        <v>143001</v>
      </c>
      <c r="C13" s="5">
        <v>121179</v>
      </c>
      <c r="D13" s="5">
        <v>58921</v>
      </c>
      <c r="E13" s="5">
        <f t="shared" si="0"/>
        <v>323101</v>
      </c>
    </row>
    <row r="14" spans="1:5" ht="15" customHeight="1" x14ac:dyDescent="0.3">
      <c r="A14" s="2">
        <v>43800</v>
      </c>
      <c r="B14" s="5">
        <v>144876</v>
      </c>
      <c r="C14" s="5">
        <v>133210</v>
      </c>
      <c r="D14" s="5">
        <v>71485</v>
      </c>
      <c r="E14" s="5">
        <f t="shared" si="0"/>
        <v>349571</v>
      </c>
    </row>
    <row r="15" spans="1:5" ht="15" customHeight="1" x14ac:dyDescent="0.3">
      <c r="A15" s="11">
        <v>43831</v>
      </c>
      <c r="B15" s="5">
        <v>123542</v>
      </c>
      <c r="C15" s="5">
        <v>99637</v>
      </c>
      <c r="D15" s="5">
        <v>48098</v>
      </c>
      <c r="E15" s="12">
        <f t="shared" si="0"/>
        <v>271277</v>
      </c>
    </row>
    <row r="16" spans="1:5" ht="15" customHeight="1" x14ac:dyDescent="0.3">
      <c r="A16" s="11">
        <v>43862</v>
      </c>
      <c r="B16" s="5">
        <v>130240</v>
      </c>
      <c r="C16" s="5">
        <v>104886</v>
      </c>
      <c r="D16" s="5">
        <v>52857</v>
      </c>
      <c r="E16" s="12">
        <f t="shared" si="0"/>
        <v>287983</v>
      </c>
    </row>
    <row r="17" spans="1:5" ht="15" customHeight="1" x14ac:dyDescent="0.3">
      <c r="A17" s="11">
        <v>43891</v>
      </c>
      <c r="B17" s="5">
        <v>76370</v>
      </c>
      <c r="C17" s="5">
        <v>59867</v>
      </c>
      <c r="D17" s="5">
        <v>35878</v>
      </c>
      <c r="E17" s="12">
        <f t="shared" si="0"/>
        <v>172115</v>
      </c>
    </row>
    <row r="18" spans="1:5" ht="15" customHeight="1" x14ac:dyDescent="0.3">
      <c r="A18" s="11">
        <v>43922</v>
      </c>
      <c r="B18" s="5">
        <v>16842</v>
      </c>
      <c r="C18" s="5">
        <v>12598</v>
      </c>
      <c r="D18" s="5">
        <v>2950</v>
      </c>
      <c r="E18" s="12">
        <f t="shared" si="0"/>
        <v>32390</v>
      </c>
    </row>
    <row r="19" spans="1:5" ht="15" customHeight="1" x14ac:dyDescent="0.3">
      <c r="A19" s="11">
        <v>43952</v>
      </c>
      <c r="B19" s="5">
        <v>22322</v>
      </c>
      <c r="C19" s="5">
        <v>16189</v>
      </c>
      <c r="D19" s="5">
        <v>7636</v>
      </c>
      <c r="E19" s="5">
        <f t="shared" si="0"/>
        <v>46147</v>
      </c>
    </row>
    <row r="20" spans="1:5" ht="15" customHeight="1" x14ac:dyDescent="0.3">
      <c r="A20" s="11">
        <v>43983</v>
      </c>
      <c r="B20" s="5">
        <v>31245</v>
      </c>
      <c r="C20" s="5">
        <v>22553</v>
      </c>
      <c r="D20" s="5">
        <v>0</v>
      </c>
      <c r="E20" s="5">
        <f t="shared" si="0"/>
        <v>53798</v>
      </c>
    </row>
    <row r="21" spans="1:5" ht="15" customHeight="1" x14ac:dyDescent="0.3">
      <c r="A21" s="11">
        <v>44013</v>
      </c>
      <c r="B21" s="5">
        <v>33444</v>
      </c>
      <c r="C21" s="5">
        <v>22542</v>
      </c>
      <c r="D21" s="5">
        <v>0</v>
      </c>
      <c r="E21" s="5">
        <f t="shared" si="0"/>
        <v>55986</v>
      </c>
    </row>
    <row r="22" spans="1:5" ht="15" customHeight="1" x14ac:dyDescent="0.3">
      <c r="A22" s="11">
        <v>44044</v>
      </c>
      <c r="B22" s="5">
        <v>42924</v>
      </c>
      <c r="C22" s="5">
        <v>29612</v>
      </c>
      <c r="D22" s="5">
        <v>0</v>
      </c>
      <c r="E22" s="5">
        <f t="shared" si="0"/>
        <v>72536</v>
      </c>
    </row>
    <row r="23" spans="1:5" ht="15" customHeight="1" x14ac:dyDescent="0.3">
      <c r="A23" s="11">
        <v>44075</v>
      </c>
      <c r="B23" s="5">
        <v>57437</v>
      </c>
      <c r="C23" s="5">
        <v>42673</v>
      </c>
      <c r="D23" s="5">
        <v>0</v>
      </c>
      <c r="E23" s="12">
        <f t="shared" si="0"/>
        <v>100110</v>
      </c>
    </row>
    <row r="24" spans="1:5" ht="15" customHeight="1" x14ac:dyDescent="0.3">
      <c r="A24" s="11">
        <v>44105</v>
      </c>
      <c r="B24" s="5">
        <v>72102</v>
      </c>
      <c r="C24" s="5">
        <v>65455</v>
      </c>
      <c r="D24" s="5">
        <v>23079</v>
      </c>
      <c r="E24" s="12">
        <f t="shared" si="0"/>
        <v>160636</v>
      </c>
    </row>
    <row r="25" spans="1:5" ht="15" customHeight="1" x14ac:dyDescent="0.3">
      <c r="A25" s="11">
        <v>44136</v>
      </c>
      <c r="B25" s="5">
        <v>77584</v>
      </c>
      <c r="C25" s="5">
        <v>61038</v>
      </c>
      <c r="D25" s="5">
        <v>35127</v>
      </c>
      <c r="E25" s="12">
        <f t="shared" si="0"/>
        <v>173749</v>
      </c>
    </row>
    <row r="26" spans="1:5" ht="15" customHeight="1" x14ac:dyDescent="0.3">
      <c r="A26" s="11">
        <v>44166</v>
      </c>
      <c r="B26" s="5">
        <v>88153</v>
      </c>
      <c r="C26" s="5">
        <v>78264</v>
      </c>
      <c r="D26" s="5">
        <v>40200</v>
      </c>
      <c r="E26" s="12">
        <f t="shared" si="0"/>
        <v>206617</v>
      </c>
    </row>
    <row r="27" spans="1:5" ht="15" customHeight="1" x14ac:dyDescent="0.3">
      <c r="A27" s="2">
        <v>44197</v>
      </c>
      <c r="B27" s="5">
        <v>54702</v>
      </c>
      <c r="C27" s="5">
        <v>0</v>
      </c>
      <c r="D27" s="5">
        <v>0</v>
      </c>
      <c r="E27" s="5">
        <f t="shared" si="0"/>
        <v>54702</v>
      </c>
    </row>
    <row r="28" spans="1:5" ht="15" customHeight="1" x14ac:dyDescent="0.3">
      <c r="A28" s="2">
        <v>44228</v>
      </c>
      <c r="B28" s="5">
        <v>86383</v>
      </c>
      <c r="C28" s="5">
        <v>0</v>
      </c>
      <c r="D28" s="5">
        <v>34675</v>
      </c>
      <c r="E28" s="5">
        <f t="shared" si="0"/>
        <v>121058</v>
      </c>
    </row>
    <row r="29" spans="1:5" ht="15" customHeight="1" x14ac:dyDescent="0.3">
      <c r="A29" s="2">
        <v>44256</v>
      </c>
      <c r="B29" s="5">
        <v>88181</v>
      </c>
      <c r="C29" s="5">
        <v>73142</v>
      </c>
      <c r="D29" s="5">
        <v>35374</v>
      </c>
      <c r="E29" s="5">
        <f t="shared" si="0"/>
        <v>196697</v>
      </c>
    </row>
    <row r="30" spans="1:5" ht="15" customHeight="1" x14ac:dyDescent="0.3">
      <c r="A30" s="2">
        <v>44287</v>
      </c>
      <c r="B30" s="5">
        <v>89280</v>
      </c>
      <c r="C30" s="5">
        <v>71847</v>
      </c>
      <c r="D30" s="5">
        <v>35478</v>
      </c>
      <c r="E30" s="5">
        <f t="shared" si="0"/>
        <v>196605</v>
      </c>
    </row>
    <row r="31" spans="1:5" ht="15" customHeight="1" x14ac:dyDescent="0.3">
      <c r="A31" s="2">
        <v>44317</v>
      </c>
      <c r="B31" s="5">
        <v>88287</v>
      </c>
      <c r="C31" s="5">
        <v>80561</v>
      </c>
      <c r="D31" s="5">
        <v>43922</v>
      </c>
      <c r="E31" s="12">
        <f t="shared" si="0"/>
        <v>212770</v>
      </c>
    </row>
    <row r="32" spans="1:5" ht="15" customHeight="1" x14ac:dyDescent="0.3">
      <c r="A32" s="2">
        <v>44348</v>
      </c>
      <c r="B32" s="5">
        <v>87135</v>
      </c>
      <c r="C32" s="5">
        <v>76275</v>
      </c>
      <c r="D32" s="5">
        <v>37014</v>
      </c>
      <c r="E32" s="12">
        <f t="shared" si="0"/>
        <v>200424</v>
      </c>
    </row>
    <row r="33" spans="1:6" ht="15" customHeight="1" x14ac:dyDescent="0.3">
      <c r="A33" s="2">
        <v>44378</v>
      </c>
      <c r="B33" s="5">
        <v>88734</v>
      </c>
      <c r="C33" s="5">
        <v>78180</v>
      </c>
      <c r="D33" s="5">
        <v>35658</v>
      </c>
      <c r="E33" s="12">
        <f t="shared" si="0"/>
        <v>202572</v>
      </c>
    </row>
    <row r="34" spans="1:6" ht="15" customHeight="1" x14ac:dyDescent="0.3">
      <c r="A34" s="2">
        <v>44409</v>
      </c>
      <c r="B34" s="5">
        <v>93437</v>
      </c>
      <c r="C34" s="5">
        <v>87694</v>
      </c>
      <c r="D34" s="5">
        <v>42078</v>
      </c>
      <c r="E34" s="12">
        <f t="shared" si="0"/>
        <v>223209</v>
      </c>
    </row>
    <row r="35" spans="1:6" ht="15" customHeight="1" x14ac:dyDescent="0.3">
      <c r="A35" s="2">
        <v>44440</v>
      </c>
      <c r="B35" s="5">
        <v>96533</v>
      </c>
      <c r="C35" s="5">
        <v>82274</v>
      </c>
      <c r="D35" s="5">
        <v>40420</v>
      </c>
      <c r="E35" s="5">
        <f t="shared" si="0"/>
        <v>219227</v>
      </c>
    </row>
    <row r="36" spans="1:6" ht="15" customHeight="1" x14ac:dyDescent="0.3">
      <c r="A36" s="2">
        <v>44470</v>
      </c>
      <c r="B36" s="5">
        <v>101429</v>
      </c>
      <c r="C36" s="5">
        <v>90733</v>
      </c>
      <c r="D36" s="5">
        <v>44994</v>
      </c>
      <c r="E36" s="5">
        <f t="shared" si="0"/>
        <v>237156</v>
      </c>
    </row>
    <row r="37" spans="1:6" ht="15" customHeight="1" x14ac:dyDescent="0.3">
      <c r="A37" s="2">
        <v>44501</v>
      </c>
      <c r="B37" s="5">
        <v>107058</v>
      </c>
      <c r="C37" s="5">
        <v>78657</v>
      </c>
      <c r="D37" s="5">
        <v>43502</v>
      </c>
      <c r="E37" s="5">
        <f t="shared" si="0"/>
        <v>229217</v>
      </c>
    </row>
    <row r="38" spans="1:6" x14ac:dyDescent="0.3">
      <c r="A38" s="2">
        <v>44531</v>
      </c>
      <c r="B38" s="5">
        <v>124349</v>
      </c>
      <c r="C38" s="5">
        <v>107140</v>
      </c>
      <c r="D38" s="5">
        <v>49578</v>
      </c>
      <c r="E38" s="5">
        <f t="shared" si="0"/>
        <v>281067</v>
      </c>
    </row>
    <row r="39" spans="1:6" x14ac:dyDescent="0.3">
      <c r="A39" s="11">
        <v>44562</v>
      </c>
      <c r="B39" s="5">
        <v>92181.55</v>
      </c>
      <c r="C39" s="5">
        <v>66351.399999999994</v>
      </c>
      <c r="D39" s="5">
        <v>37567</v>
      </c>
      <c r="E39" s="12">
        <f t="shared" si="0"/>
        <v>196099.95</v>
      </c>
      <c r="F39" s="16"/>
    </row>
    <row r="40" spans="1:6" x14ac:dyDescent="0.3">
      <c r="A40" s="11">
        <v>44593</v>
      </c>
      <c r="B40" s="5">
        <v>101781.21052631579</v>
      </c>
      <c r="C40" s="5">
        <v>80755.600000000006</v>
      </c>
      <c r="D40" s="5">
        <v>43283</v>
      </c>
      <c r="E40" s="12">
        <f t="shared" si="0"/>
        <v>225819.81052631579</v>
      </c>
      <c r="F40" s="16"/>
    </row>
    <row r="41" spans="1:6" x14ac:dyDescent="0.3">
      <c r="A41" s="11">
        <v>44621</v>
      </c>
      <c r="B41" s="5">
        <v>121611</v>
      </c>
      <c r="C41" s="5">
        <v>98815</v>
      </c>
      <c r="D41" s="5">
        <v>47598</v>
      </c>
      <c r="E41" s="12">
        <f t="shared" si="0"/>
        <v>268024</v>
      </c>
      <c r="F41" s="16"/>
    </row>
    <row r="42" spans="1:6" x14ac:dyDescent="0.3">
      <c r="A42" s="11">
        <v>44652</v>
      </c>
      <c r="B42" s="5">
        <v>131275.25</v>
      </c>
      <c r="C42" s="6">
        <v>95755.199999999997</v>
      </c>
      <c r="D42" s="5">
        <v>46151</v>
      </c>
      <c r="E42" s="12">
        <f t="shared" si="0"/>
        <v>273181.45</v>
      </c>
      <c r="F42" s="16"/>
    </row>
    <row r="43" spans="1:6" x14ac:dyDescent="0.3">
      <c r="A43" s="11">
        <v>44682</v>
      </c>
      <c r="B43" s="5">
        <v>134583</v>
      </c>
      <c r="C43" s="5">
        <v>105378</v>
      </c>
      <c r="D43" s="5">
        <v>51618</v>
      </c>
      <c r="E43" s="5">
        <f t="shared" si="0"/>
        <v>291579</v>
      </c>
      <c r="F43" s="16"/>
    </row>
    <row r="44" spans="1:6" x14ac:dyDescent="0.3">
      <c r="A44" s="11">
        <v>44713</v>
      </c>
      <c r="B44" s="5">
        <v>136247</v>
      </c>
      <c r="C44" s="5">
        <v>106194</v>
      </c>
      <c r="D44" s="5">
        <v>50701</v>
      </c>
      <c r="E44" s="5">
        <f t="shared" si="0"/>
        <v>293142</v>
      </c>
      <c r="F44" s="16"/>
    </row>
    <row r="45" spans="1:6" x14ac:dyDescent="0.3">
      <c r="A45" s="11">
        <v>44743</v>
      </c>
      <c r="B45" s="5">
        <v>133935</v>
      </c>
      <c r="C45" s="5">
        <v>110336</v>
      </c>
      <c r="D45" s="5">
        <v>53959</v>
      </c>
      <c r="E45" s="5">
        <f t="shared" si="0"/>
        <v>298230</v>
      </c>
      <c r="F45" s="16"/>
    </row>
    <row r="46" spans="1:6" x14ac:dyDescent="0.3">
      <c r="A46" s="11">
        <v>44774</v>
      </c>
      <c r="B46" s="5">
        <v>141808</v>
      </c>
      <c r="C46" s="5">
        <v>114106</v>
      </c>
      <c r="D46" s="5">
        <v>57548</v>
      </c>
      <c r="E46" s="5">
        <f t="shared" si="0"/>
        <v>313462</v>
      </c>
      <c r="F46" s="16"/>
    </row>
    <row r="47" spans="1:6" x14ac:dyDescent="0.3">
      <c r="A47" s="11">
        <v>44805</v>
      </c>
      <c r="B47" s="5">
        <v>144064</v>
      </c>
      <c r="C47" s="5">
        <v>110961</v>
      </c>
      <c r="D47" s="5">
        <v>54757</v>
      </c>
      <c r="E47" s="12">
        <f t="shared" si="0"/>
        <v>309782</v>
      </c>
      <c r="F47" s="16"/>
    </row>
    <row r="48" spans="1:6" x14ac:dyDescent="0.3">
      <c r="A48" s="11">
        <v>44835</v>
      </c>
      <c r="B48" s="6">
        <v>148015</v>
      </c>
      <c r="C48" s="6">
        <v>117046</v>
      </c>
      <c r="D48" s="5">
        <v>59028</v>
      </c>
      <c r="E48" s="12">
        <f t="shared" si="0"/>
        <v>324089</v>
      </c>
      <c r="F48" s="16"/>
    </row>
    <row r="49" spans="1:6" x14ac:dyDescent="0.3">
      <c r="A49" s="11">
        <v>44866</v>
      </c>
      <c r="B49" s="5">
        <v>148224</v>
      </c>
      <c r="C49" s="5">
        <v>101630</v>
      </c>
      <c r="D49" s="5">
        <v>55269</v>
      </c>
      <c r="E49" s="12">
        <f t="shared" si="0"/>
        <v>305123</v>
      </c>
      <c r="F49" s="16"/>
    </row>
    <row r="50" spans="1:6" x14ac:dyDescent="0.3">
      <c r="A50" s="11">
        <v>44896</v>
      </c>
      <c r="B50" s="5">
        <v>159382</v>
      </c>
      <c r="C50" s="5">
        <v>124149</v>
      </c>
      <c r="D50" s="5">
        <v>66575</v>
      </c>
      <c r="E50" s="12">
        <f t="shared" si="0"/>
        <v>350106</v>
      </c>
      <c r="F50" s="16"/>
    </row>
    <row r="51" spans="1:6" x14ac:dyDescent="0.3">
      <c r="A51" s="2">
        <v>44927</v>
      </c>
      <c r="B51" s="6">
        <v>132906</v>
      </c>
      <c r="C51" s="6">
        <v>106035</v>
      </c>
      <c r="D51" s="5">
        <v>48931</v>
      </c>
      <c r="E51" s="5">
        <f t="shared" si="0"/>
        <v>287872</v>
      </c>
      <c r="F51" s="16"/>
    </row>
    <row r="52" spans="1:6" x14ac:dyDescent="0.3">
      <c r="A52" s="2">
        <v>44958</v>
      </c>
      <c r="B52" s="5">
        <v>137854</v>
      </c>
      <c r="C52" s="5">
        <v>93538</v>
      </c>
      <c r="D52" s="5">
        <v>50878</v>
      </c>
      <c r="E52" s="5">
        <f t="shared" si="0"/>
        <v>282270</v>
      </c>
      <c r="F52" s="16"/>
    </row>
    <row r="53" spans="1:6" x14ac:dyDescent="0.3">
      <c r="A53" s="2">
        <v>44986</v>
      </c>
      <c r="B53" s="6">
        <v>156156</v>
      </c>
      <c r="C53" s="6">
        <v>125713</v>
      </c>
      <c r="D53" s="5">
        <v>62327</v>
      </c>
      <c r="E53" s="5">
        <f t="shared" si="0"/>
        <v>344196</v>
      </c>
      <c r="F53" s="16"/>
    </row>
    <row r="54" spans="1:6" x14ac:dyDescent="0.3">
      <c r="A54" s="2">
        <v>45017</v>
      </c>
      <c r="B54" s="5">
        <v>161269</v>
      </c>
      <c r="C54" s="6">
        <v>118330</v>
      </c>
      <c r="D54" s="5">
        <v>54875</v>
      </c>
      <c r="E54" s="5">
        <f t="shared" si="0"/>
        <v>334474</v>
      </c>
      <c r="F54" s="16"/>
    </row>
    <row r="55" spans="1:6" x14ac:dyDescent="0.3">
      <c r="A55" s="2">
        <v>45047</v>
      </c>
      <c r="B55" s="5">
        <v>161613.68181818182</v>
      </c>
      <c r="C55" s="5">
        <v>120224.75</v>
      </c>
      <c r="D55" s="5">
        <v>57377.599999999999</v>
      </c>
      <c r="E55" s="12">
        <f t="shared" si="0"/>
        <v>339216.0318181818</v>
      </c>
      <c r="F55" s="16"/>
    </row>
    <row r="56" spans="1:6" x14ac:dyDescent="0.3">
      <c r="A56" s="2">
        <v>45078</v>
      </c>
      <c r="B56" s="5">
        <v>160111</v>
      </c>
      <c r="C56" s="5">
        <v>125457</v>
      </c>
      <c r="D56" s="5">
        <v>59308</v>
      </c>
      <c r="E56" s="12">
        <f t="shared" si="0"/>
        <v>344876</v>
      </c>
      <c r="F56" s="16"/>
    </row>
    <row r="57" spans="1:6" x14ac:dyDescent="0.3">
      <c r="A57" s="2">
        <v>45108</v>
      </c>
      <c r="B57" s="5">
        <v>157938.04761904763</v>
      </c>
      <c r="C57" s="5">
        <v>129230.8</v>
      </c>
      <c r="D57" s="5">
        <v>63018.2</v>
      </c>
      <c r="E57" s="12">
        <f t="shared" si="0"/>
        <v>350187.04761904763</v>
      </c>
      <c r="F57" s="16"/>
    </row>
    <row r="58" spans="1:6" x14ac:dyDescent="0.3">
      <c r="A58" s="2">
        <v>45139</v>
      </c>
      <c r="B58" s="5">
        <v>161756</v>
      </c>
      <c r="C58" s="5">
        <v>131852</v>
      </c>
      <c r="D58" s="5">
        <v>65306</v>
      </c>
      <c r="E58" s="12">
        <f t="shared" si="0"/>
        <v>358914</v>
      </c>
      <c r="F58" s="16"/>
    </row>
    <row r="59" spans="1:6" x14ac:dyDescent="0.3">
      <c r="A59" s="2">
        <v>45170</v>
      </c>
      <c r="B59" s="5">
        <v>168041.23809523811</v>
      </c>
      <c r="C59" s="5">
        <v>131888.79999999999</v>
      </c>
      <c r="D59" s="5">
        <v>63279.25</v>
      </c>
      <c r="E59" s="5">
        <f t="shared" si="0"/>
        <v>363209.28809523809</v>
      </c>
      <c r="F59" s="16"/>
    </row>
    <row r="60" spans="1:6" x14ac:dyDescent="0.3">
      <c r="A60" s="2">
        <v>45200</v>
      </c>
      <c r="B60" s="5">
        <v>172356.72727272726</v>
      </c>
      <c r="C60" s="5">
        <v>136062.25</v>
      </c>
      <c r="D60" s="5">
        <v>69688</v>
      </c>
      <c r="E60" s="5">
        <f t="shared" si="0"/>
        <v>378106.97727272729</v>
      </c>
      <c r="F60" s="16"/>
    </row>
    <row r="61" spans="1:6" x14ac:dyDescent="0.3">
      <c r="A61" s="2">
        <v>45231</v>
      </c>
      <c r="B61" s="9">
        <v>164320.22222222199</v>
      </c>
      <c r="C61" s="10">
        <v>115384</v>
      </c>
      <c r="D61" s="9">
        <v>66459.625</v>
      </c>
      <c r="E61" s="5">
        <f t="shared" si="0"/>
        <v>346163.84722222202</v>
      </c>
      <c r="F61" s="16"/>
    </row>
    <row r="62" spans="1:6" x14ac:dyDescent="0.3">
      <c r="A62" s="2">
        <v>45261</v>
      </c>
      <c r="B62" s="9">
        <v>180124.77777777778</v>
      </c>
      <c r="C62" s="9">
        <v>152963.79999999999</v>
      </c>
      <c r="D62" s="9">
        <v>76894.375</v>
      </c>
      <c r="E62" s="5">
        <f t="shared" si="0"/>
        <v>409982.9527777778</v>
      </c>
      <c r="F62" s="16"/>
    </row>
    <row r="63" spans="1:6" x14ac:dyDescent="0.3">
      <c r="A63" s="11">
        <v>45292</v>
      </c>
      <c r="B63" s="6">
        <v>150453</v>
      </c>
      <c r="C63" s="6">
        <v>119006</v>
      </c>
      <c r="D63" s="6">
        <v>55159</v>
      </c>
      <c r="E63" s="12">
        <f t="shared" si="0"/>
        <v>324618</v>
      </c>
      <c r="F63" s="16"/>
    </row>
    <row r="64" spans="1:6" x14ac:dyDescent="0.3">
      <c r="A64" s="11">
        <v>45323</v>
      </c>
      <c r="B64" s="6">
        <v>158067.38888888888</v>
      </c>
      <c r="C64" s="6">
        <v>107802.83333333333</v>
      </c>
      <c r="D64" s="6">
        <v>57859.4</v>
      </c>
      <c r="E64" s="12">
        <f t="shared" si="0"/>
        <v>323729.62222222221</v>
      </c>
      <c r="F64" s="16"/>
    </row>
    <row r="65" spans="1:6" x14ac:dyDescent="0.3">
      <c r="A65" s="11">
        <v>45352</v>
      </c>
      <c r="B65" s="6">
        <v>168441.45</v>
      </c>
      <c r="C65" s="6">
        <v>125509.4</v>
      </c>
      <c r="D65" s="6">
        <v>60579.5</v>
      </c>
      <c r="E65" s="12">
        <f t="shared" si="0"/>
        <v>354530.35</v>
      </c>
      <c r="F65" s="16"/>
    </row>
    <row r="66" spans="1:6" x14ac:dyDescent="0.3">
      <c r="A66" s="11">
        <v>45383</v>
      </c>
      <c r="B66" s="5">
        <v>180514</v>
      </c>
      <c r="C66" s="6">
        <v>134920</v>
      </c>
      <c r="D66" s="6">
        <v>64670</v>
      </c>
      <c r="E66" s="12">
        <f t="shared" si="0"/>
        <v>380104</v>
      </c>
      <c r="F66" s="16"/>
    </row>
  </sheetData>
  <mergeCells count="4">
    <mergeCell ref="A1:D1"/>
    <mergeCell ref="A2:D2"/>
    <mergeCell ref="A3:D3"/>
    <mergeCell ref="B4:D4"/>
  </mergeCells>
  <pageMargins left="0.7" right="0.7" top="0.75" bottom="0.75" header="0.3" footer="0.3"/>
  <pageSetup scale="75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8E35-55B8-4009-A7DB-5497FAFF88C9}">
  <dimension ref="A1:I57"/>
  <sheetViews>
    <sheetView workbookViewId="0">
      <selection activeCell="A16" sqref="A16:B23"/>
    </sheetView>
  </sheetViews>
  <sheetFormatPr baseColWidth="10"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27" t="s">
        <v>47</v>
      </c>
      <c r="B3" s="27"/>
    </row>
    <row r="4" spans="1:9" x14ac:dyDescent="0.3">
      <c r="A4" t="s">
        <v>48</v>
      </c>
      <c r="B4">
        <v>0.87546039797853259</v>
      </c>
    </row>
    <row r="5" spans="1:9" x14ac:dyDescent="0.3">
      <c r="A5" t="s">
        <v>49</v>
      </c>
      <c r="B5">
        <v>0.76643090842873063</v>
      </c>
    </row>
    <row r="6" spans="1:9" x14ac:dyDescent="0.3">
      <c r="A6" t="s">
        <v>50</v>
      </c>
      <c r="B6">
        <v>0.69969688226551086</v>
      </c>
    </row>
    <row r="7" spans="1:9" x14ac:dyDescent="0.3">
      <c r="A7" t="s">
        <v>51</v>
      </c>
      <c r="B7">
        <v>9822.7723669998213</v>
      </c>
    </row>
    <row r="8" spans="1:9" ht="15" thickBot="1" x14ac:dyDescent="0.35">
      <c r="A8" s="25" t="s">
        <v>52</v>
      </c>
      <c r="B8" s="25">
        <v>28</v>
      </c>
    </row>
    <row r="10" spans="1:9" ht="15" thickBot="1" x14ac:dyDescent="0.35">
      <c r="A10" t="s">
        <v>53</v>
      </c>
    </row>
    <row r="11" spans="1:9" x14ac:dyDescent="0.3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">
      <c r="A12" t="s">
        <v>54</v>
      </c>
      <c r="B12">
        <v>6</v>
      </c>
      <c r="C12">
        <v>6648827924.2495108</v>
      </c>
      <c r="D12">
        <v>1108137987.3749185</v>
      </c>
      <c r="E12">
        <v>11.484859411212117</v>
      </c>
      <c r="F12">
        <v>1.0395519041580398E-5</v>
      </c>
    </row>
    <row r="13" spans="1:9" x14ac:dyDescent="0.3">
      <c r="A13" t="s">
        <v>55</v>
      </c>
      <c r="B13">
        <v>21</v>
      </c>
      <c r="C13">
        <v>2026223996.4518006</v>
      </c>
      <c r="D13">
        <v>96486856.973895267</v>
      </c>
    </row>
    <row r="14" spans="1:9" ht="15" thickBot="1" x14ac:dyDescent="0.35">
      <c r="A14" s="25" t="s">
        <v>8</v>
      </c>
      <c r="B14" s="25">
        <v>27</v>
      </c>
      <c r="C14" s="25">
        <v>8675051920.7013111</v>
      </c>
      <c r="D14" s="25"/>
      <c r="E14" s="25"/>
      <c r="F14" s="25"/>
    </row>
    <row r="15" spans="1:9" ht="15" thickBot="1" x14ac:dyDescent="0.35"/>
    <row r="16" spans="1:9" x14ac:dyDescent="0.3">
      <c r="A16" s="28"/>
      <c r="B16" s="28" t="s">
        <v>62</v>
      </c>
      <c r="C16" s="26" t="s">
        <v>51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">
      <c r="A17" s="16" t="s">
        <v>56</v>
      </c>
      <c r="B17" s="16">
        <v>58839.069570492953</v>
      </c>
      <c r="C17">
        <v>21248.319521443922</v>
      </c>
      <c r="D17">
        <v>2.7691163769968838</v>
      </c>
      <c r="E17">
        <v>1.1497623646602948E-2</v>
      </c>
      <c r="F17">
        <v>14650.770116500738</v>
      </c>
      <c r="G17">
        <v>103027.36902448518</v>
      </c>
      <c r="H17">
        <v>14650.770116500738</v>
      </c>
      <c r="I17">
        <v>103027.36902448518</v>
      </c>
    </row>
    <row r="18" spans="1:9" x14ac:dyDescent="0.3">
      <c r="A18" s="16" t="s">
        <v>69</v>
      </c>
      <c r="B18" s="16">
        <v>8251.2960320587208</v>
      </c>
      <c r="C18">
        <v>18410.013843130833</v>
      </c>
      <c r="D18">
        <v>0.44819607971872627</v>
      </c>
      <c r="E18">
        <v>0.65860165670637516</v>
      </c>
      <c r="F18">
        <v>-30034.423637744403</v>
      </c>
      <c r="G18">
        <v>46537.015701861848</v>
      </c>
      <c r="H18">
        <v>-30034.423637744403</v>
      </c>
      <c r="I18">
        <v>46537.015701861848</v>
      </c>
    </row>
    <row r="19" spans="1:9" x14ac:dyDescent="0.3">
      <c r="A19" s="16" t="s">
        <v>70</v>
      </c>
      <c r="B19" s="16">
        <v>2179.8202571508114</v>
      </c>
      <c r="C19">
        <v>5175.0194013476557</v>
      </c>
      <c r="D19">
        <v>0.42121972655467771</v>
      </c>
      <c r="E19">
        <v>0.67787460023104962</v>
      </c>
      <c r="F19">
        <v>-8582.2217366261229</v>
      </c>
      <c r="G19">
        <v>12941.862250927747</v>
      </c>
      <c r="H19">
        <v>-8582.2217366261229</v>
      </c>
      <c r="I19">
        <v>12941.862250927747</v>
      </c>
    </row>
    <row r="20" spans="1:9" x14ac:dyDescent="0.3">
      <c r="A20" s="16" t="s">
        <v>71</v>
      </c>
      <c r="B20" s="16">
        <v>-596.26191585644199</v>
      </c>
      <c r="C20">
        <v>647.3859398558875</v>
      </c>
      <c r="D20">
        <v>-0.92103006745740246</v>
      </c>
      <c r="E20">
        <v>0.36749512497918491</v>
      </c>
      <c r="F20">
        <v>-1942.574679262787</v>
      </c>
      <c r="G20">
        <v>750.05084754990287</v>
      </c>
      <c r="H20">
        <v>-1942.574679262787</v>
      </c>
      <c r="I20">
        <v>750.05084754990287</v>
      </c>
    </row>
    <row r="21" spans="1:9" x14ac:dyDescent="0.3">
      <c r="A21" s="16" t="s">
        <v>72</v>
      </c>
      <c r="B21" s="16">
        <v>50.160026418917369</v>
      </c>
      <c r="C21">
        <v>39.926583406513245</v>
      </c>
      <c r="D21">
        <v>1.256306504070537</v>
      </c>
      <c r="E21">
        <v>0.22280149222661344</v>
      </c>
      <c r="F21">
        <v>-32.871849205942027</v>
      </c>
      <c r="G21">
        <v>133.19190204377676</v>
      </c>
      <c r="H21">
        <v>-32.871849205942027</v>
      </c>
      <c r="I21">
        <v>133.19190204377676</v>
      </c>
    </row>
    <row r="22" spans="1:9" x14ac:dyDescent="0.3">
      <c r="A22" s="16" t="s">
        <v>73</v>
      </c>
      <c r="B22" s="16">
        <v>-1.7662101876009522</v>
      </c>
      <c r="C22">
        <v>1.1880454131357401</v>
      </c>
      <c r="D22">
        <v>-1.4866520825489302</v>
      </c>
      <c r="E22">
        <v>0.15196739260128206</v>
      </c>
      <c r="F22">
        <v>-4.2368858769232531</v>
      </c>
      <c r="G22">
        <v>0.70446550172134925</v>
      </c>
      <c r="H22">
        <v>-4.2368858769232531</v>
      </c>
      <c r="I22">
        <v>0.70446550172134925</v>
      </c>
    </row>
    <row r="23" spans="1:9" ht="15" thickBot="1" x14ac:dyDescent="0.35">
      <c r="A23" s="29" t="s">
        <v>74</v>
      </c>
      <c r="B23" s="29">
        <v>2.2389861138359671E-2</v>
      </c>
      <c r="C23" s="25">
        <v>1.3613424308845655E-2</v>
      </c>
      <c r="D23" s="25">
        <v>1.64468987599331</v>
      </c>
      <c r="E23" s="25">
        <v>0.11492132332040204</v>
      </c>
      <c r="F23" s="25">
        <v>-5.9208045284681009E-3</v>
      </c>
      <c r="G23" s="25">
        <v>5.070052680518744E-2</v>
      </c>
      <c r="H23" s="25">
        <v>-5.9208045284681009E-3</v>
      </c>
      <c r="I23" s="25">
        <v>5.070052680518744E-2</v>
      </c>
    </row>
    <row r="27" spans="1:9" x14ac:dyDescent="0.3">
      <c r="A27" t="s">
        <v>75</v>
      </c>
      <c r="F27" t="s">
        <v>79</v>
      </c>
    </row>
    <row r="28" spans="1:9" ht="15" thickBot="1" x14ac:dyDescent="0.35"/>
    <row r="29" spans="1:9" x14ac:dyDescent="0.3">
      <c r="A29" s="26" t="s">
        <v>76</v>
      </c>
      <c r="B29" s="26" t="s">
        <v>77</v>
      </c>
      <c r="C29" s="26" t="s">
        <v>55</v>
      </c>
      <c r="D29" s="26" t="s">
        <v>78</v>
      </c>
      <c r="F29" s="26" t="s">
        <v>80</v>
      </c>
      <c r="G29" s="26" t="s">
        <v>81</v>
      </c>
    </row>
    <row r="30" spans="1:9" x14ac:dyDescent="0.3">
      <c r="A30">
        <v>1</v>
      </c>
      <c r="B30">
        <v>68722.340149938493</v>
      </c>
      <c r="C30">
        <v>-2370.9401499384985</v>
      </c>
      <c r="D30">
        <v>-0.27368988432996022</v>
      </c>
      <c r="F30">
        <v>1.7857142857142858</v>
      </c>
      <c r="G30">
        <v>66351.399999999994</v>
      </c>
    </row>
    <row r="31" spans="1:9" x14ac:dyDescent="0.3">
      <c r="A31">
        <v>2</v>
      </c>
      <c r="B31">
        <v>80038.321984174429</v>
      </c>
      <c r="C31">
        <v>717.27801582557731</v>
      </c>
      <c r="D31">
        <v>8.2799111225484917E-2</v>
      </c>
      <c r="F31">
        <v>5.3571428571428577</v>
      </c>
      <c r="G31">
        <v>80755.600000000006</v>
      </c>
    </row>
    <row r="32" spans="1:9" x14ac:dyDescent="0.3">
      <c r="A32">
        <v>3</v>
      </c>
      <c r="B32">
        <v>90762.363526017638</v>
      </c>
      <c r="C32">
        <v>8052.6364739823621</v>
      </c>
      <c r="D32">
        <v>0.92955747751482487</v>
      </c>
      <c r="F32">
        <v>8.9285714285714288</v>
      </c>
      <c r="G32">
        <v>93538</v>
      </c>
    </row>
    <row r="33" spans="1:7" x14ac:dyDescent="0.3">
      <c r="A33">
        <v>4</v>
      </c>
      <c r="B33">
        <v>99684.691600690741</v>
      </c>
      <c r="C33">
        <v>-3929.4916006907442</v>
      </c>
      <c r="D33">
        <v>-0.45360153932881742</v>
      </c>
      <c r="F33">
        <v>12.500000000000002</v>
      </c>
      <c r="G33">
        <v>95755.199999999997</v>
      </c>
    </row>
    <row r="34" spans="1:7" x14ac:dyDescent="0.3">
      <c r="A34">
        <v>5</v>
      </c>
      <c r="B34">
        <v>106238.76793335885</v>
      </c>
      <c r="C34">
        <v>-860.76793335884577</v>
      </c>
      <c r="D34">
        <v>-9.9362894555576356E-2</v>
      </c>
      <c r="F34">
        <v>16.071428571428573</v>
      </c>
      <c r="G34">
        <v>98815</v>
      </c>
    </row>
    <row r="35" spans="1:7" x14ac:dyDescent="0.3">
      <c r="A35">
        <v>6</v>
      </c>
      <c r="B35">
        <v>110345.76637668622</v>
      </c>
      <c r="C35">
        <v>-4151.7663766862242</v>
      </c>
      <c r="D35">
        <v>-0.4792598663571267</v>
      </c>
      <c r="F35">
        <v>19.642857142857142</v>
      </c>
      <c r="G35">
        <v>101630</v>
      </c>
    </row>
    <row r="36" spans="1:7" x14ac:dyDescent="0.3">
      <c r="A36">
        <v>7</v>
      </c>
      <c r="B36">
        <v>112275.17083841239</v>
      </c>
      <c r="C36">
        <v>-1939.1708384123922</v>
      </c>
      <c r="D36">
        <v>-0.22384851953132881</v>
      </c>
      <c r="F36">
        <v>23.214285714285715</v>
      </c>
      <c r="G36">
        <v>105378</v>
      </c>
    </row>
    <row r="37" spans="1:7" x14ac:dyDescent="0.3">
      <c r="A37">
        <v>8</v>
      </c>
      <c r="B37">
        <v>112521.49390894803</v>
      </c>
      <c r="C37">
        <v>1584.5060910519678</v>
      </c>
      <c r="D37">
        <v>0.1829077333695579</v>
      </c>
      <c r="F37">
        <v>26.785714285714285</v>
      </c>
      <c r="G37">
        <v>106035</v>
      </c>
    </row>
    <row r="38" spans="1:7" x14ac:dyDescent="0.3">
      <c r="A38">
        <v>9</v>
      </c>
      <c r="B38">
        <v>111697.11618899011</v>
      </c>
      <c r="C38">
        <v>-736.11618899011228</v>
      </c>
      <c r="D38">
        <v>-8.497369898744217E-2</v>
      </c>
      <c r="F38">
        <v>30.357142857142858</v>
      </c>
      <c r="G38">
        <v>106194</v>
      </c>
    </row>
    <row r="39" spans="1:7" x14ac:dyDescent="0.3">
      <c r="A39">
        <v>10</v>
      </c>
      <c r="B39">
        <v>110441.24631715752</v>
      </c>
      <c r="C39">
        <v>6604.7536828424782</v>
      </c>
      <c r="D39">
        <v>0.76242087828827176</v>
      </c>
      <c r="F39">
        <v>33.928571428571431</v>
      </c>
      <c r="G39">
        <v>107802.83333333333</v>
      </c>
    </row>
    <row r="40" spans="1:7" x14ac:dyDescent="0.3">
      <c r="A40">
        <v>11</v>
      </c>
      <c r="B40">
        <v>109345.00169764465</v>
      </c>
      <c r="C40">
        <v>-7715.0016976446495</v>
      </c>
      <c r="D40">
        <v>-0.89058254898951505</v>
      </c>
      <c r="F40">
        <v>37.5</v>
      </c>
      <c r="G40">
        <v>110336</v>
      </c>
    </row>
    <row r="41" spans="1:7" x14ac:dyDescent="0.3">
      <c r="A41">
        <v>12</v>
      </c>
      <c r="B41">
        <v>108892.60992789692</v>
      </c>
      <c r="C41">
        <v>15256.39007210308</v>
      </c>
      <c r="D41">
        <v>1.7611240141320974</v>
      </c>
      <c r="F41">
        <v>41.071428571428569</v>
      </c>
      <c r="G41">
        <v>110961</v>
      </c>
    </row>
    <row r="42" spans="1:7" x14ac:dyDescent="0.3">
      <c r="A42">
        <v>13</v>
      </c>
      <c r="B42">
        <v>109418.73092630359</v>
      </c>
      <c r="C42">
        <v>-3383.7309263035859</v>
      </c>
      <c r="D42">
        <v>-0.39060156193641588</v>
      </c>
      <c r="F42">
        <v>44.642857142857146</v>
      </c>
      <c r="G42">
        <v>114106</v>
      </c>
    </row>
    <row r="43" spans="1:7" x14ac:dyDescent="0.3">
      <c r="A43">
        <v>14</v>
      </c>
      <c r="B43">
        <v>111081.8997599124</v>
      </c>
      <c r="C43">
        <v>-17543.899759912398</v>
      </c>
      <c r="D43">
        <v>-2.0251830887048721</v>
      </c>
      <c r="F43">
        <v>48.214285714285715</v>
      </c>
      <c r="G43">
        <v>115384</v>
      </c>
    </row>
    <row r="44" spans="1:7" x14ac:dyDescent="0.3">
      <c r="A44">
        <v>15</v>
      </c>
      <c r="B44">
        <v>113854.09017216132</v>
      </c>
      <c r="C44">
        <v>11858.909827838681</v>
      </c>
      <c r="D44">
        <v>1.3689352973101361</v>
      </c>
      <c r="F44">
        <v>51.785714285714285</v>
      </c>
      <c r="G44">
        <v>117046</v>
      </c>
    </row>
    <row r="45" spans="1:7" x14ac:dyDescent="0.3">
      <c r="A45">
        <v>16</v>
      </c>
      <c r="B45">
        <v>117526.39881063259</v>
      </c>
      <c r="C45">
        <v>803.60118936741492</v>
      </c>
      <c r="D45">
        <v>9.2763841622527404E-2</v>
      </c>
      <c r="F45">
        <v>55.357142857142861</v>
      </c>
      <c r="G45">
        <v>118330</v>
      </c>
    </row>
    <row r="46" spans="1:7" x14ac:dyDescent="0.3">
      <c r="A46">
        <v>17</v>
      </c>
      <c r="B46">
        <v>121730.85015482386</v>
      </c>
      <c r="C46">
        <v>-1506.1001548238564</v>
      </c>
      <c r="D46">
        <v>-0.17385693062465912</v>
      </c>
      <c r="F46">
        <v>58.928571428571431</v>
      </c>
      <c r="G46">
        <v>119006</v>
      </c>
    </row>
    <row r="47" spans="1:7" x14ac:dyDescent="0.3">
      <c r="A47">
        <v>18</v>
      </c>
      <c r="B47">
        <v>125978.32214394014</v>
      </c>
      <c r="C47">
        <v>-521.32214394013863</v>
      </c>
      <c r="D47">
        <v>-6.0178911423523072E-2</v>
      </c>
      <c r="F47">
        <v>62.5</v>
      </c>
      <c r="G47">
        <v>120224.75</v>
      </c>
    </row>
    <row r="48" spans="1:7" x14ac:dyDescent="0.3">
      <c r="A48">
        <v>19</v>
      </c>
      <c r="B48">
        <v>129712.59250470996</v>
      </c>
      <c r="C48">
        <v>-481.79250470995612</v>
      </c>
      <c r="D48">
        <v>-5.5615800714552056E-2</v>
      </c>
      <c r="F48">
        <v>66.071428571428584</v>
      </c>
      <c r="G48">
        <v>124149</v>
      </c>
    </row>
    <row r="49" spans="1:7" x14ac:dyDescent="0.3">
      <c r="A49">
        <v>20</v>
      </c>
      <c r="B49">
        <v>132380.50577920768</v>
      </c>
      <c r="C49">
        <v>-528.5057792076841</v>
      </c>
      <c r="D49">
        <v>-6.1008155597187322E-2</v>
      </c>
      <c r="F49">
        <v>69.642857142857153</v>
      </c>
      <c r="G49">
        <v>125457</v>
      </c>
    </row>
    <row r="50" spans="1:7" x14ac:dyDescent="0.3">
      <c r="A50">
        <v>21</v>
      </c>
      <c r="B50">
        <v>133518.26105271117</v>
      </c>
      <c r="C50">
        <v>-1629.4610527111799</v>
      </c>
      <c r="D50">
        <v>-0.18809711710701188</v>
      </c>
      <c r="F50">
        <v>73.214285714285722</v>
      </c>
      <c r="G50">
        <v>125509.4</v>
      </c>
    </row>
    <row r="51" spans="1:7" x14ac:dyDescent="0.3">
      <c r="A51">
        <v>22</v>
      </c>
      <c r="B51">
        <v>132853.82038157014</v>
      </c>
      <c r="C51">
        <v>3208.4296184298582</v>
      </c>
      <c r="D51">
        <v>0.37036562528651951</v>
      </c>
      <c r="F51">
        <v>76.785714285714292</v>
      </c>
      <c r="G51">
        <v>125713</v>
      </c>
    </row>
    <row r="52" spans="1:7" x14ac:dyDescent="0.3">
      <c r="A52">
        <v>23</v>
      </c>
      <c r="B52">
        <v>130425.43792109936</v>
      </c>
      <c r="C52">
        <v>-15041.437921099365</v>
      </c>
      <c r="D52">
        <v>-1.7363109755801927</v>
      </c>
      <c r="F52">
        <v>80.357142857142861</v>
      </c>
      <c r="G52">
        <v>129230.8</v>
      </c>
    </row>
    <row r="53" spans="1:7" x14ac:dyDescent="0.3">
      <c r="A53">
        <v>24</v>
      </c>
      <c r="B53">
        <v>126716.30975348223</v>
      </c>
      <c r="C53">
        <v>26247.490246517758</v>
      </c>
      <c r="D53">
        <v>3.0298835547188094</v>
      </c>
      <c r="F53">
        <v>83.928571428571445</v>
      </c>
      <c r="G53">
        <v>131852</v>
      </c>
    </row>
    <row r="54" spans="1:7" x14ac:dyDescent="0.3">
      <c r="A54">
        <v>25</v>
      </c>
      <c r="B54">
        <v>122805.34441570379</v>
      </c>
      <c r="C54">
        <v>-3799.3444157037884</v>
      </c>
      <c r="D54">
        <v>-0.43857797662696096</v>
      </c>
      <c r="F54">
        <v>87.500000000000014</v>
      </c>
      <c r="G54">
        <v>131888.79999999999</v>
      </c>
    </row>
    <row r="55" spans="1:7" x14ac:dyDescent="0.3">
      <c r="A55">
        <v>26</v>
      </c>
      <c r="B55">
        <v>120534.05412749667</v>
      </c>
      <c r="C55">
        <v>-12731.220794163339</v>
      </c>
      <c r="D55">
        <v>-1.4696306638630812</v>
      </c>
      <c r="F55">
        <v>91.071428571428584</v>
      </c>
      <c r="G55">
        <v>134920</v>
      </c>
    </row>
    <row r="56" spans="1:7" x14ac:dyDescent="0.3">
      <c r="A56">
        <v>27</v>
      </c>
      <c r="B56">
        <v>122689.56671931781</v>
      </c>
      <c r="C56">
        <v>2819.8332806821854</v>
      </c>
      <c r="D56">
        <v>0.32550794014758189</v>
      </c>
      <c r="F56">
        <v>94.642857142857153</v>
      </c>
      <c r="G56">
        <v>136062.25</v>
      </c>
    </row>
    <row r="57" spans="1:7" ht="15" thickBot="1" x14ac:dyDescent="0.35">
      <c r="A57" s="25">
        <v>28</v>
      </c>
      <c r="B57" s="25">
        <v>133203.75826033577</v>
      </c>
      <c r="C57" s="25">
        <v>1716.2417396642268</v>
      </c>
      <c r="D57" s="25">
        <v>0.19811466064343139</v>
      </c>
      <c r="F57" s="25">
        <v>98.214285714285722</v>
      </c>
      <c r="G57" s="25">
        <v>152963.79999999999</v>
      </c>
    </row>
  </sheetData>
  <sortState xmlns:xlrd2="http://schemas.microsoft.com/office/spreadsheetml/2017/richdata2" ref="G30:G57">
    <sortCondition ref="G3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zoomScaleNormal="100" workbookViewId="0">
      <selection activeCell="J67" sqref="J67"/>
    </sheetView>
  </sheetViews>
  <sheetFormatPr baseColWidth="10" defaultRowHeight="14.4" x14ac:dyDescent="0.3"/>
  <cols>
    <col min="1" max="1" width="11.6640625" customWidth="1"/>
    <col min="2" max="4" width="15.6640625" style="5" customWidth="1"/>
  </cols>
  <sheetData>
    <row r="1" spans="1:4" s="1" customFormat="1" ht="24.9" customHeight="1" x14ac:dyDescent="0.25">
      <c r="A1" s="60" t="s">
        <v>2</v>
      </c>
      <c r="B1" s="60"/>
      <c r="C1" s="60"/>
      <c r="D1" s="60"/>
    </row>
    <row r="2" spans="1:4" s="1" customFormat="1" ht="24.9" customHeight="1" x14ac:dyDescent="0.25">
      <c r="A2" s="61" t="s">
        <v>7</v>
      </c>
      <c r="B2" s="61"/>
      <c r="C2" s="61"/>
      <c r="D2" s="61"/>
    </row>
    <row r="3" spans="1:4" s="1" customFormat="1" ht="24.9" customHeight="1" x14ac:dyDescent="0.25">
      <c r="A3" s="62" t="s">
        <v>1</v>
      </c>
      <c r="B3" s="62"/>
      <c r="C3" s="62"/>
      <c r="D3" s="62"/>
    </row>
    <row r="4" spans="1:4" ht="20.100000000000001" customHeight="1" x14ac:dyDescent="0.35">
      <c r="A4" s="4"/>
      <c r="B4" s="63" t="s">
        <v>3</v>
      </c>
      <c r="C4" s="63"/>
      <c r="D4" s="63"/>
    </row>
    <row r="5" spans="1:4" ht="20.100000000000001" customHeight="1" x14ac:dyDescent="0.3">
      <c r="A5" s="3" t="s">
        <v>0</v>
      </c>
      <c r="B5" s="7" t="s">
        <v>4</v>
      </c>
      <c r="C5" s="8" t="s">
        <v>5</v>
      </c>
      <c r="D5" s="8" t="s">
        <v>6</v>
      </c>
    </row>
    <row r="6" spans="1:4" ht="15" customHeight="1" x14ac:dyDescent="0.3">
      <c r="A6" s="2">
        <v>43556</v>
      </c>
      <c r="B6" s="5">
        <v>145204</v>
      </c>
      <c r="C6" s="5">
        <v>149706</v>
      </c>
      <c r="D6" s="5">
        <v>101143</v>
      </c>
    </row>
    <row r="7" spans="1:4" ht="15" customHeight="1" x14ac:dyDescent="0.3">
      <c r="A7" s="2">
        <v>43586</v>
      </c>
      <c r="B7" s="5">
        <v>180659</v>
      </c>
      <c r="C7" s="5">
        <v>173414</v>
      </c>
      <c r="D7" s="5">
        <v>107928</v>
      </c>
    </row>
    <row r="8" spans="1:4" ht="15" customHeight="1" x14ac:dyDescent="0.3">
      <c r="A8" s="2">
        <v>43617</v>
      </c>
      <c r="B8" s="5">
        <v>148758</v>
      </c>
      <c r="C8" s="5">
        <v>142000</v>
      </c>
      <c r="D8" s="5">
        <v>79432</v>
      </c>
    </row>
    <row r="9" spans="1:4" ht="15" customHeight="1" x14ac:dyDescent="0.3">
      <c r="A9" s="2">
        <v>43647</v>
      </c>
      <c r="B9" s="5">
        <v>142022</v>
      </c>
      <c r="C9" s="5">
        <v>128680</v>
      </c>
      <c r="D9" s="5">
        <v>69217</v>
      </c>
    </row>
    <row r="10" spans="1:4" ht="15" customHeight="1" x14ac:dyDescent="0.3">
      <c r="A10" s="2">
        <v>43678</v>
      </c>
      <c r="B10" s="5">
        <v>140149</v>
      </c>
      <c r="C10" s="5">
        <v>130942</v>
      </c>
      <c r="D10" s="5">
        <v>72643</v>
      </c>
    </row>
    <row r="11" spans="1:4" ht="15" customHeight="1" x14ac:dyDescent="0.3">
      <c r="A11" s="2">
        <v>43709</v>
      </c>
      <c r="B11" s="5">
        <v>142536</v>
      </c>
      <c r="C11" s="5">
        <v>130904</v>
      </c>
      <c r="D11" s="5">
        <v>67845</v>
      </c>
    </row>
    <row r="12" spans="1:4" ht="15" customHeight="1" x14ac:dyDescent="0.3">
      <c r="A12" s="2">
        <v>43739</v>
      </c>
      <c r="B12" s="5">
        <v>139218</v>
      </c>
      <c r="C12" s="5">
        <v>139218</v>
      </c>
      <c r="D12" s="5">
        <v>57463</v>
      </c>
    </row>
    <row r="13" spans="1:4" ht="15" customHeight="1" x14ac:dyDescent="0.3">
      <c r="A13" s="2">
        <v>43770</v>
      </c>
      <c r="B13" s="5">
        <v>143001</v>
      </c>
      <c r="C13" s="5">
        <v>121179</v>
      </c>
      <c r="D13" s="5">
        <v>58921</v>
      </c>
    </row>
    <row r="14" spans="1:4" ht="15" customHeight="1" x14ac:dyDescent="0.3">
      <c r="A14" s="2">
        <v>43800</v>
      </c>
      <c r="B14" s="5">
        <v>144876</v>
      </c>
      <c r="C14" s="5">
        <v>133210</v>
      </c>
      <c r="D14" s="5">
        <v>71485</v>
      </c>
    </row>
    <row r="15" spans="1:4" ht="15" customHeight="1" x14ac:dyDescent="0.3">
      <c r="A15" s="11">
        <v>43831</v>
      </c>
      <c r="B15" s="5">
        <v>123542</v>
      </c>
      <c r="C15" s="5">
        <v>99637</v>
      </c>
      <c r="D15" s="5">
        <v>48098</v>
      </c>
    </row>
    <row r="16" spans="1:4" ht="15" customHeight="1" x14ac:dyDescent="0.3">
      <c r="A16" s="11">
        <v>43862</v>
      </c>
      <c r="B16" s="5">
        <v>130240</v>
      </c>
      <c r="C16" s="5">
        <v>104886</v>
      </c>
      <c r="D16" s="5">
        <v>52857</v>
      </c>
    </row>
    <row r="17" spans="1:4" ht="15" customHeight="1" x14ac:dyDescent="0.3">
      <c r="A17" s="11">
        <v>43891</v>
      </c>
      <c r="B17" s="5">
        <v>76370</v>
      </c>
      <c r="C17" s="5">
        <v>59867</v>
      </c>
      <c r="D17" s="5">
        <v>35878</v>
      </c>
    </row>
    <row r="18" spans="1:4" ht="15" customHeight="1" x14ac:dyDescent="0.3">
      <c r="A18" s="11">
        <v>43922</v>
      </c>
      <c r="B18" s="5">
        <v>16842</v>
      </c>
      <c r="C18" s="5">
        <v>12598</v>
      </c>
      <c r="D18" s="5">
        <v>2950</v>
      </c>
    </row>
    <row r="19" spans="1:4" ht="15" customHeight="1" x14ac:dyDescent="0.3">
      <c r="A19" s="11">
        <v>43952</v>
      </c>
      <c r="B19" s="5">
        <v>22322</v>
      </c>
      <c r="C19" s="5">
        <v>16189</v>
      </c>
      <c r="D19" s="5">
        <v>7636</v>
      </c>
    </row>
    <row r="20" spans="1:4" ht="15" customHeight="1" x14ac:dyDescent="0.3">
      <c r="A20" s="11">
        <v>43983</v>
      </c>
      <c r="B20" s="5">
        <v>31245</v>
      </c>
      <c r="C20" s="5">
        <v>22553</v>
      </c>
      <c r="D20" s="5">
        <v>0</v>
      </c>
    </row>
    <row r="21" spans="1:4" ht="15" customHeight="1" x14ac:dyDescent="0.3">
      <c r="A21" s="11">
        <v>44013</v>
      </c>
      <c r="B21" s="5">
        <v>33444</v>
      </c>
      <c r="C21" s="5">
        <v>22542</v>
      </c>
      <c r="D21" s="5">
        <v>0</v>
      </c>
    </row>
    <row r="22" spans="1:4" ht="15" customHeight="1" x14ac:dyDescent="0.3">
      <c r="A22" s="11">
        <v>44044</v>
      </c>
      <c r="B22" s="5">
        <v>42924</v>
      </c>
      <c r="C22" s="5">
        <v>29612</v>
      </c>
      <c r="D22" s="5">
        <v>0</v>
      </c>
    </row>
    <row r="23" spans="1:4" ht="15" customHeight="1" x14ac:dyDescent="0.3">
      <c r="A23" s="11">
        <v>44075</v>
      </c>
      <c r="B23" s="5">
        <v>57437</v>
      </c>
      <c r="C23" s="5">
        <v>42673</v>
      </c>
      <c r="D23" s="5">
        <v>0</v>
      </c>
    </row>
    <row r="24" spans="1:4" ht="15" customHeight="1" x14ac:dyDescent="0.3">
      <c r="A24" s="11">
        <v>44105</v>
      </c>
      <c r="B24" s="5">
        <v>72102</v>
      </c>
      <c r="C24" s="5">
        <v>65455</v>
      </c>
      <c r="D24" s="5">
        <v>23079</v>
      </c>
    </row>
    <row r="25" spans="1:4" ht="15" customHeight="1" x14ac:dyDescent="0.3">
      <c r="A25" s="11">
        <v>44136</v>
      </c>
      <c r="B25" s="5">
        <v>77584</v>
      </c>
      <c r="C25" s="5">
        <v>61038</v>
      </c>
      <c r="D25" s="5">
        <v>35127</v>
      </c>
    </row>
    <row r="26" spans="1:4" ht="15" customHeight="1" x14ac:dyDescent="0.3">
      <c r="A26" s="11">
        <v>44166</v>
      </c>
      <c r="B26" s="5">
        <v>88153</v>
      </c>
      <c r="C26" s="5">
        <v>78264</v>
      </c>
      <c r="D26" s="5">
        <v>40200</v>
      </c>
    </row>
    <row r="27" spans="1:4" ht="15" customHeight="1" x14ac:dyDescent="0.3">
      <c r="A27" s="2">
        <v>44197</v>
      </c>
      <c r="B27" s="5">
        <v>54702</v>
      </c>
      <c r="C27" s="5">
        <v>0</v>
      </c>
      <c r="D27" s="5">
        <v>0</v>
      </c>
    </row>
    <row r="28" spans="1:4" ht="15" customHeight="1" x14ac:dyDescent="0.3">
      <c r="A28" s="2">
        <v>44228</v>
      </c>
      <c r="B28" s="5">
        <v>86383</v>
      </c>
      <c r="C28" s="5">
        <v>0</v>
      </c>
      <c r="D28" s="5">
        <v>34675</v>
      </c>
    </row>
    <row r="29" spans="1:4" ht="15" customHeight="1" x14ac:dyDescent="0.3">
      <c r="A29" s="2">
        <v>44256</v>
      </c>
      <c r="B29" s="5">
        <v>88181</v>
      </c>
      <c r="C29" s="5">
        <v>73142</v>
      </c>
      <c r="D29" s="5">
        <v>35374</v>
      </c>
    </row>
    <row r="30" spans="1:4" ht="15" customHeight="1" x14ac:dyDescent="0.3">
      <c r="A30" s="2">
        <v>44287</v>
      </c>
      <c r="B30" s="5">
        <v>89280</v>
      </c>
      <c r="C30" s="5">
        <v>71847</v>
      </c>
      <c r="D30" s="5">
        <v>35478</v>
      </c>
    </row>
    <row r="31" spans="1:4" ht="15" customHeight="1" x14ac:dyDescent="0.3">
      <c r="A31" s="2">
        <v>44317</v>
      </c>
      <c r="B31" s="5">
        <v>88287</v>
      </c>
      <c r="C31" s="5">
        <v>80561</v>
      </c>
      <c r="D31" s="5">
        <v>43922</v>
      </c>
    </row>
    <row r="32" spans="1:4" ht="15" customHeight="1" x14ac:dyDescent="0.3">
      <c r="A32" s="2">
        <v>44348</v>
      </c>
      <c r="B32" s="5">
        <v>87135</v>
      </c>
      <c r="C32" s="5">
        <v>76275</v>
      </c>
      <c r="D32" s="5">
        <v>37014</v>
      </c>
    </row>
    <row r="33" spans="1:4" ht="15" customHeight="1" x14ac:dyDescent="0.3">
      <c r="A33" s="2">
        <v>44378</v>
      </c>
      <c r="B33" s="5">
        <v>88734</v>
      </c>
      <c r="C33" s="5">
        <v>78180</v>
      </c>
      <c r="D33" s="5">
        <v>35658</v>
      </c>
    </row>
    <row r="34" spans="1:4" ht="15" customHeight="1" x14ac:dyDescent="0.3">
      <c r="A34" s="2">
        <v>44409</v>
      </c>
      <c r="B34" s="5">
        <v>93437</v>
      </c>
      <c r="C34" s="5">
        <v>87694</v>
      </c>
      <c r="D34" s="5">
        <v>42078</v>
      </c>
    </row>
    <row r="35" spans="1:4" ht="15" customHeight="1" x14ac:dyDescent="0.3">
      <c r="A35" s="2">
        <v>44440</v>
      </c>
      <c r="B35" s="5">
        <v>96533</v>
      </c>
      <c r="C35" s="5">
        <v>82274</v>
      </c>
      <c r="D35" s="5">
        <v>40420</v>
      </c>
    </row>
    <row r="36" spans="1:4" ht="15" customHeight="1" x14ac:dyDescent="0.3">
      <c r="A36" s="2">
        <v>44470</v>
      </c>
      <c r="B36" s="5">
        <v>101429</v>
      </c>
      <c r="C36" s="5">
        <v>90733</v>
      </c>
      <c r="D36" s="5">
        <v>44994</v>
      </c>
    </row>
    <row r="37" spans="1:4" ht="15" customHeight="1" x14ac:dyDescent="0.3">
      <c r="A37" s="2">
        <v>44501</v>
      </c>
      <c r="B37" s="5">
        <v>107058</v>
      </c>
      <c r="C37" s="5">
        <v>78657</v>
      </c>
      <c r="D37" s="5">
        <v>43502</v>
      </c>
    </row>
    <row r="38" spans="1:4" x14ac:dyDescent="0.3">
      <c r="A38" s="2">
        <v>44531</v>
      </c>
      <c r="B38" s="5">
        <v>124349</v>
      </c>
      <c r="C38" s="5">
        <v>107140</v>
      </c>
      <c r="D38" s="5">
        <v>49578</v>
      </c>
    </row>
    <row r="39" spans="1:4" x14ac:dyDescent="0.3">
      <c r="A39" s="11">
        <v>44562</v>
      </c>
      <c r="B39" s="5">
        <v>92181.55</v>
      </c>
      <c r="C39" s="5">
        <v>66351.399999999994</v>
      </c>
      <c r="D39" s="5">
        <v>37567</v>
      </c>
    </row>
    <row r="40" spans="1:4" x14ac:dyDescent="0.3">
      <c r="A40" s="11">
        <v>44593</v>
      </c>
      <c r="B40" s="5">
        <v>101781.21052631579</v>
      </c>
      <c r="C40" s="5">
        <v>80755.600000000006</v>
      </c>
      <c r="D40" s="5">
        <v>43283</v>
      </c>
    </row>
    <row r="41" spans="1:4" x14ac:dyDescent="0.3">
      <c r="A41" s="11">
        <v>44621</v>
      </c>
      <c r="B41" s="5">
        <v>121611</v>
      </c>
      <c r="C41" s="5">
        <v>98815</v>
      </c>
      <c r="D41" s="5">
        <v>47598</v>
      </c>
    </row>
    <row r="42" spans="1:4" x14ac:dyDescent="0.3">
      <c r="A42" s="11">
        <v>44652</v>
      </c>
      <c r="B42" s="5">
        <v>131275.25</v>
      </c>
      <c r="C42" s="6">
        <v>95755.199999999997</v>
      </c>
      <c r="D42" s="5">
        <v>46151</v>
      </c>
    </row>
    <row r="43" spans="1:4" x14ac:dyDescent="0.3">
      <c r="A43" s="11">
        <v>44682</v>
      </c>
      <c r="B43" s="5">
        <v>134583</v>
      </c>
      <c r="C43" s="5">
        <v>105378</v>
      </c>
      <c r="D43" s="5">
        <v>51618</v>
      </c>
    </row>
    <row r="44" spans="1:4" x14ac:dyDescent="0.3">
      <c r="A44" s="11">
        <v>44713</v>
      </c>
      <c r="B44" s="5">
        <v>136247</v>
      </c>
      <c r="C44" s="5">
        <v>106194</v>
      </c>
      <c r="D44" s="5">
        <v>50701</v>
      </c>
    </row>
    <row r="45" spans="1:4" x14ac:dyDescent="0.3">
      <c r="A45" s="11">
        <v>44743</v>
      </c>
      <c r="B45" s="5">
        <v>133935</v>
      </c>
      <c r="C45" s="5">
        <v>110336</v>
      </c>
      <c r="D45" s="5">
        <v>53959</v>
      </c>
    </row>
    <row r="46" spans="1:4" x14ac:dyDescent="0.3">
      <c r="A46" s="11">
        <v>44774</v>
      </c>
      <c r="B46" s="5">
        <v>141808</v>
      </c>
      <c r="C46" s="5">
        <v>114106</v>
      </c>
      <c r="D46" s="5">
        <v>57548</v>
      </c>
    </row>
    <row r="47" spans="1:4" x14ac:dyDescent="0.3">
      <c r="A47" s="11">
        <v>44805</v>
      </c>
      <c r="B47" s="5">
        <v>144064</v>
      </c>
      <c r="C47" s="5">
        <v>110961</v>
      </c>
      <c r="D47" s="5">
        <v>54757</v>
      </c>
    </row>
    <row r="48" spans="1:4" x14ac:dyDescent="0.3">
      <c r="A48" s="11">
        <v>44835</v>
      </c>
      <c r="B48" s="6">
        <v>148015</v>
      </c>
      <c r="C48" s="6">
        <v>117046</v>
      </c>
      <c r="D48" s="5">
        <v>59028</v>
      </c>
    </row>
    <row r="49" spans="1:5" x14ac:dyDescent="0.3">
      <c r="A49" s="11">
        <v>44866</v>
      </c>
      <c r="B49" s="5">
        <v>148224</v>
      </c>
      <c r="C49" s="5">
        <v>101630</v>
      </c>
      <c r="D49" s="5">
        <v>55269</v>
      </c>
    </row>
    <row r="50" spans="1:5" x14ac:dyDescent="0.3">
      <c r="A50" s="11">
        <v>44896</v>
      </c>
      <c r="B50" s="5">
        <v>159382</v>
      </c>
      <c r="C50" s="5">
        <v>124149</v>
      </c>
      <c r="D50" s="5">
        <v>66575</v>
      </c>
    </row>
    <row r="51" spans="1:5" x14ac:dyDescent="0.3">
      <c r="A51" s="2">
        <v>44927</v>
      </c>
      <c r="B51" s="6">
        <v>132906</v>
      </c>
      <c r="C51" s="6">
        <v>106035</v>
      </c>
      <c r="D51" s="5">
        <v>48931</v>
      </c>
    </row>
    <row r="52" spans="1:5" x14ac:dyDescent="0.3">
      <c r="A52" s="2">
        <v>44958</v>
      </c>
      <c r="B52" s="5">
        <v>137854</v>
      </c>
      <c r="C52" s="5">
        <v>93538</v>
      </c>
      <c r="D52" s="5">
        <v>50878</v>
      </c>
    </row>
    <row r="53" spans="1:5" x14ac:dyDescent="0.3">
      <c r="A53" s="2">
        <v>44986</v>
      </c>
      <c r="B53" s="6">
        <v>156156</v>
      </c>
      <c r="C53" s="6">
        <v>125713</v>
      </c>
      <c r="D53" s="5">
        <v>62327</v>
      </c>
    </row>
    <row r="54" spans="1:5" x14ac:dyDescent="0.3">
      <c r="A54" s="2">
        <v>45017</v>
      </c>
      <c r="B54" s="5">
        <v>161269</v>
      </c>
      <c r="C54" s="6">
        <v>118330</v>
      </c>
      <c r="D54" s="5">
        <v>54875</v>
      </c>
    </row>
    <row r="55" spans="1:5" x14ac:dyDescent="0.3">
      <c r="A55" s="2">
        <v>45047</v>
      </c>
      <c r="B55" s="5">
        <v>161613.68181818182</v>
      </c>
      <c r="C55" s="5">
        <v>120224.75</v>
      </c>
      <c r="D55" s="5">
        <v>57377.599999999999</v>
      </c>
    </row>
    <row r="56" spans="1:5" x14ac:dyDescent="0.3">
      <c r="A56" s="2">
        <v>45078</v>
      </c>
      <c r="B56" s="5">
        <v>160111</v>
      </c>
      <c r="C56" s="5">
        <v>125457</v>
      </c>
      <c r="D56" s="5">
        <v>59308</v>
      </c>
    </row>
    <row r="57" spans="1:5" x14ac:dyDescent="0.3">
      <c r="A57" s="2">
        <v>45108</v>
      </c>
      <c r="B57" s="5">
        <v>157938.04761904763</v>
      </c>
      <c r="C57" s="5">
        <v>129230.8</v>
      </c>
      <c r="D57" s="5">
        <v>63018.2</v>
      </c>
    </row>
    <row r="58" spans="1:5" x14ac:dyDescent="0.3">
      <c r="A58" s="2">
        <v>45139</v>
      </c>
      <c r="B58" s="5">
        <v>161756</v>
      </c>
      <c r="C58" s="5">
        <v>131852</v>
      </c>
      <c r="D58" s="5">
        <v>65306</v>
      </c>
    </row>
    <row r="59" spans="1:5" x14ac:dyDescent="0.3">
      <c r="A59" s="2">
        <v>45170</v>
      </c>
      <c r="B59" s="5">
        <v>168041.23809523811</v>
      </c>
      <c r="C59" s="5">
        <v>131888.79999999999</v>
      </c>
      <c r="D59" s="5">
        <v>63279.25</v>
      </c>
    </row>
    <row r="60" spans="1:5" x14ac:dyDescent="0.3">
      <c r="A60" s="2">
        <v>45200</v>
      </c>
      <c r="B60" s="5">
        <v>172356.72727272726</v>
      </c>
      <c r="C60" s="5">
        <v>136062.25</v>
      </c>
      <c r="D60" s="5">
        <v>69688</v>
      </c>
    </row>
    <row r="61" spans="1:5" x14ac:dyDescent="0.3">
      <c r="A61" s="2">
        <v>45231</v>
      </c>
      <c r="B61" s="9">
        <v>164320.22222222199</v>
      </c>
      <c r="C61" s="10">
        <v>115384</v>
      </c>
      <c r="D61" s="9">
        <v>66459.625</v>
      </c>
      <c r="E61" s="9"/>
    </row>
    <row r="62" spans="1:5" x14ac:dyDescent="0.3">
      <c r="A62" s="2">
        <v>45261</v>
      </c>
      <c r="B62" s="9">
        <v>180124.77777777778</v>
      </c>
      <c r="C62" s="9">
        <v>152963.79999999999</v>
      </c>
      <c r="D62" s="9">
        <v>76894.375</v>
      </c>
      <c r="E62" s="9"/>
    </row>
    <row r="63" spans="1:5" x14ac:dyDescent="0.3">
      <c r="A63" s="11">
        <v>45292</v>
      </c>
      <c r="B63" s="6">
        <v>150453</v>
      </c>
      <c r="C63" s="6">
        <v>119006</v>
      </c>
      <c r="D63" s="6">
        <v>55159</v>
      </c>
    </row>
    <row r="64" spans="1:5" x14ac:dyDescent="0.3">
      <c r="A64" s="11">
        <v>45323</v>
      </c>
      <c r="B64" s="6">
        <v>158067.38888888888</v>
      </c>
      <c r="C64" s="6">
        <v>107802.83333333333</v>
      </c>
      <c r="D64" s="6">
        <v>57859.4</v>
      </c>
    </row>
    <row r="65" spans="1:4" x14ac:dyDescent="0.3">
      <c r="A65" s="11">
        <v>45352</v>
      </c>
      <c r="B65" s="6">
        <v>168441.45</v>
      </c>
      <c r="C65" s="6">
        <v>125509.4</v>
      </c>
      <c r="D65" s="6">
        <v>60579.5</v>
      </c>
    </row>
    <row r="66" spans="1:4" x14ac:dyDescent="0.3">
      <c r="A66" s="11">
        <v>45383</v>
      </c>
      <c r="B66" s="5">
        <v>180514</v>
      </c>
      <c r="C66" s="6">
        <v>134920</v>
      </c>
      <c r="D66" s="6">
        <v>64670</v>
      </c>
    </row>
  </sheetData>
  <mergeCells count="4">
    <mergeCell ref="A1:D1"/>
    <mergeCell ref="A2:D2"/>
    <mergeCell ref="A3:D3"/>
    <mergeCell ref="B4:D4"/>
  </mergeCells>
  <pageMargins left="0.7" right="0.7" top="0.75" bottom="0.75" header="0.3" footer="0.3"/>
  <pageSetup scale="75" orientation="portrait" verticalDpi="597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1420-06BA-408B-821B-B359DD345D51}">
  <dimension ref="A1:A2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23</v>
      </c>
    </row>
    <row r="2" spans="1:1" x14ac:dyDescent="0.3">
      <c r="A2" s="17" t="s">
        <v>24</v>
      </c>
    </row>
  </sheetData>
  <hyperlinks>
    <hyperlink ref="A2" r:id="rId1" display="https://www.datosabiertos.gob.pa/dataset/demanda-de-usuarios-y-registro-de-accidentes" xr:uid="{1A434879-5408-4CA3-B2E5-899EEB12FA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5E7F-1523-4ACA-91BB-8D103C46025D}">
  <dimension ref="A2:P32"/>
  <sheetViews>
    <sheetView workbookViewId="0">
      <selection activeCell="H3" sqref="H3:H30"/>
    </sheetView>
  </sheetViews>
  <sheetFormatPr baseColWidth="10" defaultRowHeight="14.4" x14ac:dyDescent="0.3"/>
  <sheetData>
    <row r="2" spans="1:16" ht="58.8" x14ac:dyDescent="0.35">
      <c r="A2" s="32" t="s">
        <v>33</v>
      </c>
      <c r="B2" s="33" t="s">
        <v>34</v>
      </c>
      <c r="C2" s="32" t="s">
        <v>35</v>
      </c>
      <c r="D2" s="32" t="s">
        <v>36</v>
      </c>
      <c r="E2" s="32" t="s">
        <v>37</v>
      </c>
      <c r="F2" s="32" t="s">
        <v>38</v>
      </c>
      <c r="G2" s="32" t="s">
        <v>39</v>
      </c>
      <c r="H2" s="33" t="s">
        <v>40</v>
      </c>
      <c r="I2" s="33" t="s">
        <v>41</v>
      </c>
      <c r="J2" s="33" t="s">
        <v>42</v>
      </c>
      <c r="K2" s="33" t="s">
        <v>43</v>
      </c>
      <c r="L2" s="33" t="s">
        <v>44</v>
      </c>
      <c r="M2" s="33" t="s">
        <v>45</v>
      </c>
      <c r="N2" s="33" t="s">
        <v>10</v>
      </c>
      <c r="O2" s="33" t="s">
        <v>21</v>
      </c>
      <c r="P2" s="33" t="s">
        <v>22</v>
      </c>
    </row>
    <row r="3" spans="1:16" x14ac:dyDescent="0.3">
      <c r="A3" s="23">
        <v>44562</v>
      </c>
      <c r="B3" s="22">
        <v>1</v>
      </c>
      <c r="C3" s="22">
        <f>B3^2</f>
        <v>1</v>
      </c>
      <c r="D3" s="22">
        <f>B3^3</f>
        <v>1</v>
      </c>
      <c r="E3" s="22">
        <f>B3^4</f>
        <v>1</v>
      </c>
      <c r="F3" s="22">
        <f>B3^5</f>
        <v>1</v>
      </c>
      <c r="G3" s="22">
        <f>B3^6</f>
        <v>1</v>
      </c>
      <c r="H3" s="24">
        <v>66351.399999999994</v>
      </c>
      <c r="I3" s="24">
        <f>'AD SÁBADOS'!$B$23*'REGRESIÓN SÁBADOS'!G3+'AD SÁBADOS'!$B$22*'REGRESIÓN SÁBADOS'!F3+'AD SÁBADOS'!$B$21*'REGRESIÓN SÁBADOS'!E3+'AD SÁBADOS'!$B$20*'REGRESIÓN SÁBADOS'!D3+'AD SÁBADOS'!$B$19*'REGRESIÓN SÁBADOS'!C3+'AD SÁBADOS'!$B$18*'REGRESIÓN SÁBADOS'!B3+'AD SÁBADOS'!$B$17</f>
        <v>68722.340149938493</v>
      </c>
      <c r="J3" s="24">
        <f>I3-H3</f>
        <v>2370.9401499384985</v>
      </c>
      <c r="K3" s="24">
        <f>ABS(J3)</f>
        <v>2370.9401499384985</v>
      </c>
      <c r="L3" s="24">
        <f>SUMSQ($J$3:J3)/B3</f>
        <v>5621357.1945903897</v>
      </c>
      <c r="M3" s="24">
        <f>SUM($K$3:K3)/B3</f>
        <v>2370.9401499384985</v>
      </c>
      <c r="N3" s="34">
        <f>100*(K3/H3)</f>
        <v>3.5733084003329223</v>
      </c>
      <c r="O3" s="34">
        <f>AVERAGE($N$3:N3)</f>
        <v>3.5733084003329223</v>
      </c>
      <c r="P3" s="30">
        <f>SUM($J$3:J3)/M3</f>
        <v>1</v>
      </c>
    </row>
    <row r="4" spans="1:16" x14ac:dyDescent="0.3">
      <c r="A4" s="23">
        <v>44593</v>
      </c>
      <c r="B4" s="22">
        <v>2</v>
      </c>
      <c r="C4" s="22">
        <f t="shared" ref="C4:C32" si="0">B4^2</f>
        <v>4</v>
      </c>
      <c r="D4" s="22">
        <f t="shared" ref="D4:D32" si="1">B4^3</f>
        <v>8</v>
      </c>
      <c r="E4" s="22">
        <f t="shared" ref="E4:E32" si="2">B4^4</f>
        <v>16</v>
      </c>
      <c r="F4" s="22">
        <f t="shared" ref="F4:F32" si="3">B4^5</f>
        <v>32</v>
      </c>
      <c r="G4" s="22">
        <f t="shared" ref="G4:G32" si="4">B4^6</f>
        <v>64</v>
      </c>
      <c r="H4" s="24">
        <v>80755.600000000006</v>
      </c>
      <c r="I4" s="24">
        <f>'AD SÁBADOS'!$B$23*'REGRESIÓN SÁBADOS'!G4+'AD SÁBADOS'!$B$22*'REGRESIÓN SÁBADOS'!F4+'AD SÁBADOS'!$B$21*'REGRESIÓN SÁBADOS'!E4+'AD SÁBADOS'!$B$20*'REGRESIÓN SÁBADOS'!D4+'AD SÁBADOS'!$B$19*'REGRESIÓN SÁBADOS'!C4+'AD SÁBADOS'!$B$18*'REGRESIÓN SÁBADOS'!B4+'AD SÁBADOS'!$B$17</f>
        <v>80038.321984174399</v>
      </c>
      <c r="J4" s="24">
        <f t="shared" ref="J4:J30" si="5">I4-H4</f>
        <v>-717.27801582560642</v>
      </c>
      <c r="K4" s="24">
        <f t="shared" ref="K4:K30" si="6">ABS(J4)</f>
        <v>717.27801582560642</v>
      </c>
      <c r="L4" s="24">
        <f>SUMSQ($J$3:J4)/B4</f>
        <v>3067922.4732885542</v>
      </c>
      <c r="M4" s="24">
        <f>SUM($K$3:K4)/B4</f>
        <v>1544.1090828820525</v>
      </c>
      <c r="N4" s="34">
        <f t="shared" ref="N4:N30" si="7">100*(K4/H4)</f>
        <v>0.88820839152406328</v>
      </c>
      <c r="O4" s="34">
        <f>AVERAGE($N$3:N4)</f>
        <v>2.2307583959284929</v>
      </c>
      <c r="P4" s="30">
        <f>SUM($J$3:J4)/M4</f>
        <v>1.0709490362082197</v>
      </c>
    </row>
    <row r="5" spans="1:16" x14ac:dyDescent="0.3">
      <c r="A5" s="23">
        <v>44621</v>
      </c>
      <c r="B5" s="22">
        <v>3</v>
      </c>
      <c r="C5" s="22">
        <f t="shared" si="0"/>
        <v>9</v>
      </c>
      <c r="D5" s="22">
        <f t="shared" si="1"/>
        <v>27</v>
      </c>
      <c r="E5" s="22">
        <f t="shared" si="2"/>
        <v>81</v>
      </c>
      <c r="F5" s="22">
        <f t="shared" si="3"/>
        <v>243</v>
      </c>
      <c r="G5" s="22">
        <f t="shared" si="4"/>
        <v>729</v>
      </c>
      <c r="H5" s="24">
        <v>98815</v>
      </c>
      <c r="I5" s="24">
        <f>'AD SÁBADOS'!$B$23*'REGRESIÓN SÁBADOS'!G5+'AD SÁBADOS'!$B$22*'REGRESIÓN SÁBADOS'!F5+'AD SÁBADOS'!$B$21*'REGRESIÓN SÁBADOS'!E5+'AD SÁBADOS'!$B$20*'REGRESIÓN SÁBADOS'!D5+'AD SÁBADOS'!$B$19*'REGRESIÓN SÁBADOS'!C5+'AD SÁBADOS'!$B$18*'REGRESIÓN SÁBADOS'!B5+'AD SÁBADOS'!$B$17</f>
        <v>90762.363526017623</v>
      </c>
      <c r="J5" s="24">
        <f t="shared" si="5"/>
        <v>-8052.6364739823766</v>
      </c>
      <c r="K5" s="24">
        <f t="shared" si="6"/>
        <v>8052.6364739823766</v>
      </c>
      <c r="L5" s="24">
        <f>SUMSQ($J$3:J5)/B5</f>
        <v>23660266.376229476</v>
      </c>
      <c r="M5" s="24">
        <f>SUM($K$3:K5)/B5</f>
        <v>3713.618213248827</v>
      </c>
      <c r="N5" s="34">
        <f t="shared" si="7"/>
        <v>8.1492045478746924</v>
      </c>
      <c r="O5" s="34">
        <f>AVERAGE($N$3:N5)</f>
        <v>4.2035737799105597</v>
      </c>
      <c r="P5" s="30">
        <f>SUM($J$3:J5)/M5</f>
        <v>-1.7231104471214334</v>
      </c>
    </row>
    <row r="6" spans="1:16" x14ac:dyDescent="0.3">
      <c r="A6" s="23">
        <v>44652</v>
      </c>
      <c r="B6" s="22">
        <v>4</v>
      </c>
      <c r="C6" s="22">
        <f t="shared" si="0"/>
        <v>16</v>
      </c>
      <c r="D6" s="22">
        <f t="shared" si="1"/>
        <v>64</v>
      </c>
      <c r="E6" s="22">
        <f t="shared" si="2"/>
        <v>256</v>
      </c>
      <c r="F6" s="22">
        <f t="shared" si="3"/>
        <v>1024</v>
      </c>
      <c r="G6" s="22">
        <f t="shared" si="4"/>
        <v>4096</v>
      </c>
      <c r="H6" s="24">
        <v>95755.199999999997</v>
      </c>
      <c r="I6" s="24">
        <f>'AD SÁBADOS'!$B$23*'REGRESIÓN SÁBADOS'!G6+'AD SÁBADOS'!$B$22*'REGRESIÓN SÁBADOS'!F6+'AD SÁBADOS'!$B$21*'REGRESIÓN SÁBADOS'!E6+'AD SÁBADOS'!$B$20*'REGRESIÓN SÁBADOS'!D6+'AD SÁBADOS'!$B$19*'REGRESIÓN SÁBADOS'!C6+'AD SÁBADOS'!$B$18*'REGRESIÓN SÁBADOS'!B6+'AD SÁBADOS'!$B$17</f>
        <v>99684.691600690727</v>
      </c>
      <c r="J6" s="24">
        <f t="shared" si="5"/>
        <v>3929.4916006907297</v>
      </c>
      <c r="K6" s="24">
        <f t="shared" si="6"/>
        <v>3929.4916006907297</v>
      </c>
      <c r="L6" s="24">
        <f>SUMSQ($J$3:J6)/B6</f>
        <v>21605425.842146855</v>
      </c>
      <c r="M6" s="24">
        <f>SUM($K$3:K6)/B6</f>
        <v>3767.5865601093028</v>
      </c>
      <c r="N6" s="34">
        <f t="shared" si="7"/>
        <v>4.1036848136610127</v>
      </c>
      <c r="O6" s="34">
        <f>AVERAGE($N$3:N6)</f>
        <v>4.1786015383481727</v>
      </c>
      <c r="P6" s="30">
        <f>SUM($J$3:J6)/M6</f>
        <v>-0.65545481166253861</v>
      </c>
    </row>
    <row r="7" spans="1:16" x14ac:dyDescent="0.3">
      <c r="A7" s="23">
        <v>44682</v>
      </c>
      <c r="B7" s="22">
        <v>5</v>
      </c>
      <c r="C7" s="22">
        <f t="shared" si="0"/>
        <v>25</v>
      </c>
      <c r="D7" s="22">
        <f t="shared" si="1"/>
        <v>125</v>
      </c>
      <c r="E7" s="22">
        <f t="shared" si="2"/>
        <v>625</v>
      </c>
      <c r="F7" s="22">
        <f t="shared" si="3"/>
        <v>3125</v>
      </c>
      <c r="G7" s="22">
        <f t="shared" si="4"/>
        <v>15625</v>
      </c>
      <c r="H7" s="24">
        <v>105378</v>
      </c>
      <c r="I7" s="24">
        <f>'AD SÁBADOS'!$B$23*'REGRESIÓN SÁBADOS'!G7+'AD SÁBADOS'!$B$22*'REGRESIÓN SÁBADOS'!F7+'AD SÁBADOS'!$B$21*'REGRESIÓN SÁBADOS'!E7+'AD SÁBADOS'!$B$20*'REGRESIÓN SÁBADOS'!D7+'AD SÁBADOS'!$B$19*'REGRESIÓN SÁBADOS'!C7+'AD SÁBADOS'!$B$18*'REGRESIÓN SÁBADOS'!B7+'AD SÁBADOS'!$B$17</f>
        <v>106238.76793335885</v>
      </c>
      <c r="J7" s="24">
        <f t="shared" si="5"/>
        <v>860.76793335884577</v>
      </c>
      <c r="K7" s="24">
        <f t="shared" si="6"/>
        <v>860.76793335884577</v>
      </c>
      <c r="L7" s="24">
        <f>SUMSQ($J$3:J7)/B7</f>
        <v>17432524.960737254</v>
      </c>
      <c r="M7" s="24">
        <f>SUM($K$3:K7)/B7</f>
        <v>3186.2228347592113</v>
      </c>
      <c r="N7" s="34">
        <f t="shared" si="7"/>
        <v>0.81683836603356086</v>
      </c>
      <c r="O7" s="34">
        <f>AVERAGE($N$3:N7)</f>
        <v>3.5062489038852505</v>
      </c>
      <c r="P7" s="30">
        <f>SUM($J$3:J7)/M7</f>
        <v>-0.5048971428708886</v>
      </c>
    </row>
    <row r="8" spans="1:16" x14ac:dyDescent="0.3">
      <c r="A8" s="23">
        <v>44713</v>
      </c>
      <c r="B8" s="22">
        <v>6</v>
      </c>
      <c r="C8" s="22">
        <f t="shared" si="0"/>
        <v>36</v>
      </c>
      <c r="D8" s="22">
        <f t="shared" si="1"/>
        <v>216</v>
      </c>
      <c r="E8" s="22">
        <f t="shared" si="2"/>
        <v>1296</v>
      </c>
      <c r="F8" s="22">
        <f t="shared" si="3"/>
        <v>7776</v>
      </c>
      <c r="G8" s="22">
        <f t="shared" si="4"/>
        <v>46656</v>
      </c>
      <c r="H8" s="24">
        <v>106194</v>
      </c>
      <c r="I8" s="24">
        <f>'AD SÁBADOS'!$B$23*'REGRESIÓN SÁBADOS'!G8+'AD SÁBADOS'!$B$22*'REGRESIÓN SÁBADOS'!F8+'AD SÁBADOS'!$B$21*'REGRESIÓN SÁBADOS'!E8+'AD SÁBADOS'!$B$20*'REGRESIÓN SÁBADOS'!D8+'AD SÁBADOS'!$B$19*'REGRESIÓN SÁBADOS'!C8+'AD SÁBADOS'!$B$18*'REGRESIÓN SÁBADOS'!B8+'AD SÁBADOS'!$B$17</f>
        <v>110345.76637668622</v>
      </c>
      <c r="J8" s="24">
        <f t="shared" si="5"/>
        <v>4151.7663766862242</v>
      </c>
      <c r="K8" s="24">
        <f t="shared" si="6"/>
        <v>4151.7663766862242</v>
      </c>
      <c r="L8" s="24">
        <f>SUMSQ($J$3:J8)/B8</f>
        <v>17399964.808378089</v>
      </c>
      <c r="M8" s="24">
        <f>SUM($K$3:K8)/B8</f>
        <v>3347.1467584137135</v>
      </c>
      <c r="N8" s="34">
        <f t="shared" si="7"/>
        <v>3.9096054171480725</v>
      </c>
      <c r="O8" s="34">
        <f>AVERAGE($N$3:N8)</f>
        <v>3.5734749894290538</v>
      </c>
      <c r="P8" s="30">
        <f>SUM($J$3:J8)/M8</f>
        <v>0.75976697599943999</v>
      </c>
    </row>
    <row r="9" spans="1:16" x14ac:dyDescent="0.3">
      <c r="A9" s="23">
        <v>44743</v>
      </c>
      <c r="B9" s="22">
        <v>7</v>
      </c>
      <c r="C9" s="22">
        <f t="shared" si="0"/>
        <v>49</v>
      </c>
      <c r="D9" s="22">
        <f t="shared" si="1"/>
        <v>343</v>
      </c>
      <c r="E9" s="22">
        <f t="shared" si="2"/>
        <v>2401</v>
      </c>
      <c r="F9" s="22">
        <f t="shared" si="3"/>
        <v>16807</v>
      </c>
      <c r="G9" s="22">
        <f t="shared" si="4"/>
        <v>117649</v>
      </c>
      <c r="H9" s="24">
        <v>110336</v>
      </c>
      <c r="I9" s="24">
        <f>'AD SÁBADOS'!$B$23*'REGRESIÓN SÁBADOS'!G9+'AD SÁBADOS'!$B$22*'REGRESIÓN SÁBADOS'!F9+'AD SÁBADOS'!$B$21*'REGRESIÓN SÁBADOS'!E9+'AD SÁBADOS'!$B$20*'REGRESIÓN SÁBADOS'!D9+'AD SÁBADOS'!$B$19*'REGRESIÓN SÁBADOS'!C9+'AD SÁBADOS'!$B$18*'REGRESIÓN SÁBADOS'!B9+'AD SÁBADOS'!$B$17</f>
        <v>112275.17083841242</v>
      </c>
      <c r="J9" s="24">
        <f t="shared" si="5"/>
        <v>1939.1708384124213</v>
      </c>
      <c r="K9" s="24">
        <f t="shared" si="6"/>
        <v>1939.1708384124213</v>
      </c>
      <c r="L9" s="24">
        <f>SUMSQ($J$3:J9)/B9</f>
        <v>15451453.198688239</v>
      </c>
      <c r="M9" s="24">
        <f>SUM($K$3:K9)/B9</f>
        <v>3146.007341270672</v>
      </c>
      <c r="N9" s="34">
        <f t="shared" si="7"/>
        <v>1.7575141734451325</v>
      </c>
      <c r="O9" s="34">
        <f>AVERAGE($N$3:N9)</f>
        <v>3.3140520157170648</v>
      </c>
      <c r="P9" s="30">
        <f>SUM($J$3:J9)/M9</f>
        <v>1.4247336140888875</v>
      </c>
    </row>
    <row r="10" spans="1:16" x14ac:dyDescent="0.3">
      <c r="A10" s="23">
        <v>44774</v>
      </c>
      <c r="B10" s="22">
        <v>8</v>
      </c>
      <c r="C10" s="22">
        <f t="shared" si="0"/>
        <v>64</v>
      </c>
      <c r="D10" s="22">
        <f t="shared" si="1"/>
        <v>512</v>
      </c>
      <c r="E10" s="22">
        <f t="shared" si="2"/>
        <v>4096</v>
      </c>
      <c r="F10" s="22">
        <f t="shared" si="3"/>
        <v>32768</v>
      </c>
      <c r="G10" s="22">
        <f t="shared" si="4"/>
        <v>262144</v>
      </c>
      <c r="H10" s="24">
        <v>114106</v>
      </c>
      <c r="I10" s="24">
        <f>'AD SÁBADOS'!$B$23*'REGRESIÓN SÁBADOS'!G10+'AD SÁBADOS'!$B$22*'REGRESIÓN SÁBADOS'!F10+'AD SÁBADOS'!$B$21*'REGRESIÓN SÁBADOS'!E10+'AD SÁBADOS'!$B$20*'REGRESIÓN SÁBADOS'!D10+'AD SÁBADOS'!$B$19*'REGRESIÓN SÁBADOS'!C10+'AD SÁBADOS'!$B$18*'REGRESIÓN SÁBADOS'!B10+'AD SÁBADOS'!$B$17</f>
        <v>112521.49390894805</v>
      </c>
      <c r="J10" s="24">
        <f t="shared" si="5"/>
        <v>-1584.5060910519533</v>
      </c>
      <c r="K10" s="24">
        <f t="shared" si="6"/>
        <v>1584.5060910519533</v>
      </c>
      <c r="L10" s="24">
        <f>SUMSQ($J$3:J10)/B10</f>
        <v>13833853.992924802</v>
      </c>
      <c r="M10" s="24">
        <f>SUM($K$3:K10)/B10</f>
        <v>2950.819684993332</v>
      </c>
      <c r="N10" s="34">
        <f t="shared" si="7"/>
        <v>1.388626444754836</v>
      </c>
      <c r="O10" s="34">
        <f>AVERAGE($N$3:N10)</f>
        <v>3.0733738193467861</v>
      </c>
      <c r="P10" s="30">
        <f>SUM($J$3:J10)/M10</f>
        <v>0.98200385911866761</v>
      </c>
    </row>
    <row r="11" spans="1:16" x14ac:dyDescent="0.3">
      <c r="A11" s="23">
        <v>44805</v>
      </c>
      <c r="B11" s="22">
        <v>9</v>
      </c>
      <c r="C11" s="22">
        <f t="shared" si="0"/>
        <v>81</v>
      </c>
      <c r="D11" s="22">
        <f t="shared" si="1"/>
        <v>729</v>
      </c>
      <c r="E11" s="22">
        <f t="shared" si="2"/>
        <v>6561</v>
      </c>
      <c r="F11" s="22">
        <f t="shared" si="3"/>
        <v>59049</v>
      </c>
      <c r="G11" s="22">
        <f t="shared" si="4"/>
        <v>531441</v>
      </c>
      <c r="H11" s="24">
        <v>110961</v>
      </c>
      <c r="I11" s="24">
        <f>'AD SÁBADOS'!$B$23*'REGRESIÓN SÁBADOS'!G11+'AD SÁBADOS'!$B$22*'REGRESIÓN SÁBADOS'!F11+'AD SÁBADOS'!$B$21*'REGRESIÓN SÁBADOS'!E11+'AD SÁBADOS'!$B$20*'REGRESIÓN SÁBADOS'!D11+'AD SÁBADOS'!$B$19*'REGRESIÓN SÁBADOS'!C11+'AD SÁBADOS'!$B$18*'REGRESIÓN SÁBADOS'!B11+'AD SÁBADOS'!$B$17</f>
        <v>111697.11618899014</v>
      </c>
      <c r="J11" s="24">
        <f t="shared" si="5"/>
        <v>736.11618899014138</v>
      </c>
      <c r="K11" s="24">
        <f t="shared" si="6"/>
        <v>736.11618899014138</v>
      </c>
      <c r="L11" s="24">
        <f>SUMSQ($J$3:J11)/B11</f>
        <v>12356966.554121308</v>
      </c>
      <c r="M11" s="24">
        <f>SUM($K$3:K11)/B11</f>
        <v>2704.7415187707552</v>
      </c>
      <c r="N11" s="34">
        <f t="shared" si="7"/>
        <v>0.6634008246051688</v>
      </c>
      <c r="O11" s="34">
        <f>AVERAGE($N$3:N11)</f>
        <v>2.8055990421532733</v>
      </c>
      <c r="P11" s="30">
        <f>SUM($J$3:J11)/M11</f>
        <v>1.343504538972885</v>
      </c>
    </row>
    <row r="12" spans="1:16" x14ac:dyDescent="0.3">
      <c r="A12" s="23">
        <v>44835</v>
      </c>
      <c r="B12" s="22">
        <v>10</v>
      </c>
      <c r="C12" s="22">
        <f t="shared" si="0"/>
        <v>100</v>
      </c>
      <c r="D12" s="22">
        <f t="shared" si="1"/>
        <v>1000</v>
      </c>
      <c r="E12" s="22">
        <f t="shared" si="2"/>
        <v>10000</v>
      </c>
      <c r="F12" s="22">
        <f t="shared" si="3"/>
        <v>100000</v>
      </c>
      <c r="G12" s="22">
        <f t="shared" si="4"/>
        <v>1000000</v>
      </c>
      <c r="H12" s="24">
        <v>117046</v>
      </c>
      <c r="I12" s="24">
        <f>'AD SÁBADOS'!$B$23*'REGRESIÓN SÁBADOS'!G12+'AD SÁBADOS'!$B$22*'REGRESIÓN SÁBADOS'!F12+'AD SÁBADOS'!$B$21*'REGRESIÓN SÁBADOS'!E12+'AD SÁBADOS'!$B$20*'REGRESIÓN SÁBADOS'!D12+'AD SÁBADOS'!$B$19*'REGRESIÓN SÁBADOS'!C12+'AD SÁBADOS'!$B$18*'REGRESIÓN SÁBADOS'!B12+'AD SÁBADOS'!$B$17</f>
        <v>110441.24631715752</v>
      </c>
      <c r="J12" s="24">
        <f t="shared" si="5"/>
        <v>-6604.7536828424782</v>
      </c>
      <c r="K12" s="24">
        <f t="shared" si="6"/>
        <v>6604.7536828424782</v>
      </c>
      <c r="L12" s="24">
        <f>SUMSQ($J$3:J12)/B12</f>
        <v>15483547.019811306</v>
      </c>
      <c r="M12" s="24">
        <f>SUM($K$3:K12)/B12</f>
        <v>3094.7427351779274</v>
      </c>
      <c r="N12" s="34">
        <f t="shared" si="7"/>
        <v>5.6428700535195375</v>
      </c>
      <c r="O12" s="34">
        <f>AVERAGE($N$3:N12)</f>
        <v>3.0893261432898997</v>
      </c>
      <c r="P12" s="30">
        <f>SUM($J$3:J12)/M12</f>
        <v>-0.95998970830599428</v>
      </c>
    </row>
    <row r="13" spans="1:16" x14ac:dyDescent="0.3">
      <c r="A13" s="23">
        <v>44866</v>
      </c>
      <c r="B13" s="22">
        <v>11</v>
      </c>
      <c r="C13" s="22">
        <f t="shared" si="0"/>
        <v>121</v>
      </c>
      <c r="D13" s="22">
        <f t="shared" si="1"/>
        <v>1331</v>
      </c>
      <c r="E13" s="22">
        <f t="shared" si="2"/>
        <v>14641</v>
      </c>
      <c r="F13" s="22">
        <f t="shared" si="3"/>
        <v>161051</v>
      </c>
      <c r="G13" s="22">
        <f t="shared" si="4"/>
        <v>1771561</v>
      </c>
      <c r="H13" s="24">
        <v>101630</v>
      </c>
      <c r="I13" s="24">
        <f>'AD SÁBADOS'!$B$23*'REGRESIÓN SÁBADOS'!G13+'AD SÁBADOS'!$B$22*'REGRESIÓN SÁBADOS'!F13+'AD SÁBADOS'!$B$21*'REGRESIÓN SÁBADOS'!E13+'AD SÁBADOS'!$B$20*'REGRESIÓN SÁBADOS'!D13+'AD SÁBADOS'!$B$19*'REGRESIÓN SÁBADOS'!C13+'AD SÁBADOS'!$B$18*'REGRESIÓN SÁBADOS'!B13+'AD SÁBADOS'!$B$17</f>
        <v>109345.00169764465</v>
      </c>
      <c r="J13" s="24">
        <f t="shared" si="5"/>
        <v>7715.0016976446495</v>
      </c>
      <c r="K13" s="24">
        <f t="shared" si="6"/>
        <v>7715.0016976446495</v>
      </c>
      <c r="L13" s="24">
        <f>SUMSQ($J$3:J13)/B13</f>
        <v>19486974.672070261</v>
      </c>
      <c r="M13" s="24">
        <f>SUM($K$3:K13)/B13</f>
        <v>3514.7662772203566</v>
      </c>
      <c r="N13" s="34">
        <f t="shared" si="7"/>
        <v>7.591264092929892</v>
      </c>
      <c r="O13" s="34">
        <f>AVERAGE($N$3:N13)</f>
        <v>3.4985932296208078</v>
      </c>
      <c r="P13" s="30">
        <f>SUM($J$3:J13)/M13</f>
        <v>1.3497570386873461</v>
      </c>
    </row>
    <row r="14" spans="1:16" x14ac:dyDescent="0.3">
      <c r="A14" s="23">
        <v>44896</v>
      </c>
      <c r="B14" s="22">
        <v>12</v>
      </c>
      <c r="C14" s="22">
        <f t="shared" si="0"/>
        <v>144</v>
      </c>
      <c r="D14" s="22">
        <f t="shared" si="1"/>
        <v>1728</v>
      </c>
      <c r="E14" s="22">
        <f t="shared" si="2"/>
        <v>20736</v>
      </c>
      <c r="F14" s="22">
        <f t="shared" si="3"/>
        <v>248832</v>
      </c>
      <c r="G14" s="22">
        <f t="shared" si="4"/>
        <v>2985984</v>
      </c>
      <c r="H14" s="24">
        <v>124149</v>
      </c>
      <c r="I14" s="24">
        <f>'AD SÁBADOS'!$B$23*'REGRESIÓN SÁBADOS'!G14+'AD SÁBADOS'!$B$22*'REGRESIÓN SÁBADOS'!F14+'AD SÁBADOS'!$B$21*'REGRESIÓN SÁBADOS'!E14+'AD SÁBADOS'!$B$20*'REGRESIÓN SÁBADOS'!D14+'AD SÁBADOS'!$B$19*'REGRESIÓN SÁBADOS'!C14+'AD SÁBADOS'!$B$18*'REGRESIÓN SÁBADOS'!B14+'AD SÁBADOS'!$B$17</f>
        <v>108892.60992789682</v>
      </c>
      <c r="J14" s="24">
        <f t="shared" si="5"/>
        <v>-15256.390072103182</v>
      </c>
      <c r="K14" s="24">
        <f t="shared" si="6"/>
        <v>15256.390072103182</v>
      </c>
      <c r="L14" s="24">
        <f>SUMSQ($J$3:J14)/B14</f>
        <v>37259513.285411783</v>
      </c>
      <c r="M14" s="24">
        <f>SUM($K$3:K14)/B14</f>
        <v>4493.2349267939253</v>
      </c>
      <c r="N14" s="34">
        <f t="shared" si="7"/>
        <v>12.28877403128755</v>
      </c>
      <c r="O14" s="34">
        <f>AVERAGE($N$3:N14)</f>
        <v>4.2311082964263695</v>
      </c>
      <c r="P14" s="35">
        <f>SUM($J$3:J14)/M14</f>
        <v>-2.3395860045949064</v>
      </c>
    </row>
    <row r="15" spans="1:16" x14ac:dyDescent="0.3">
      <c r="A15" s="23">
        <v>44927</v>
      </c>
      <c r="B15" s="22">
        <v>13</v>
      </c>
      <c r="C15" s="22">
        <f t="shared" si="0"/>
        <v>169</v>
      </c>
      <c r="D15" s="22">
        <f t="shared" si="1"/>
        <v>2197</v>
      </c>
      <c r="E15" s="22">
        <f t="shared" si="2"/>
        <v>28561</v>
      </c>
      <c r="F15" s="22">
        <f t="shared" si="3"/>
        <v>371293</v>
      </c>
      <c r="G15" s="22">
        <f t="shared" si="4"/>
        <v>4826809</v>
      </c>
      <c r="H15" s="24">
        <v>106035</v>
      </c>
      <c r="I15" s="24">
        <f>'AD SÁBADOS'!$B$23*'REGRESIÓN SÁBADOS'!G15+'AD SÁBADOS'!$B$22*'REGRESIÓN SÁBADOS'!F15+'AD SÁBADOS'!$B$21*'REGRESIÓN SÁBADOS'!E15+'AD SÁBADOS'!$B$20*'REGRESIÓN SÁBADOS'!D15+'AD SÁBADOS'!$B$19*'REGRESIÓN SÁBADOS'!C15+'AD SÁBADOS'!$B$18*'REGRESIÓN SÁBADOS'!B15+'AD SÁBADOS'!$B$17</f>
        <v>109418.73092630356</v>
      </c>
      <c r="J15" s="24">
        <f t="shared" si="5"/>
        <v>3383.7309263035568</v>
      </c>
      <c r="K15" s="24">
        <f t="shared" si="6"/>
        <v>3383.7309263035568</v>
      </c>
      <c r="L15" s="24">
        <f>SUMSQ($J$3:J15)/B15</f>
        <v>35274138.031274192</v>
      </c>
      <c r="M15" s="24">
        <f>SUM($K$3:K15)/B15</f>
        <v>4407.888465217743</v>
      </c>
      <c r="N15" s="34">
        <f t="shared" si="7"/>
        <v>3.191145307024621</v>
      </c>
      <c r="O15" s="34">
        <f>AVERAGE($N$3:N15)</f>
        <v>4.1511111433954664</v>
      </c>
      <c r="P15" s="30">
        <f>SUM($J$3:J15)/M15</f>
        <v>-1.617232078359403</v>
      </c>
    </row>
    <row r="16" spans="1:16" x14ac:dyDescent="0.3">
      <c r="A16" s="23">
        <v>44958</v>
      </c>
      <c r="B16" s="22">
        <v>14</v>
      </c>
      <c r="C16" s="22">
        <f t="shared" si="0"/>
        <v>196</v>
      </c>
      <c r="D16" s="22">
        <f t="shared" si="1"/>
        <v>2744</v>
      </c>
      <c r="E16" s="22">
        <f t="shared" si="2"/>
        <v>38416</v>
      </c>
      <c r="F16" s="22">
        <f t="shared" si="3"/>
        <v>537824</v>
      </c>
      <c r="G16" s="22">
        <f t="shared" si="4"/>
        <v>7529536</v>
      </c>
      <c r="H16" s="24">
        <v>93538</v>
      </c>
      <c r="I16" s="24">
        <f>'AD SÁBADOS'!$B$23*'REGRESIÓN SÁBADOS'!G16+'AD SÁBADOS'!$B$22*'REGRESIÓN SÁBADOS'!F16+'AD SÁBADOS'!$B$21*'REGRESIÓN SÁBADOS'!E16+'AD SÁBADOS'!$B$20*'REGRESIÓN SÁBADOS'!D16+'AD SÁBADOS'!$B$19*'REGRESIÓN SÁBADOS'!C16+'AD SÁBADOS'!$B$18*'REGRESIÓN SÁBADOS'!B16+'AD SÁBADOS'!$B$17</f>
        <v>111081.8997599123</v>
      </c>
      <c r="J16" s="24">
        <f t="shared" si="5"/>
        <v>17543.899759912296</v>
      </c>
      <c r="K16" s="24">
        <f t="shared" si="6"/>
        <v>17543.899759912296</v>
      </c>
      <c r="L16" s="24">
        <f>SUMSQ($J$3:J16)/B16</f>
        <v>54739443.799458228</v>
      </c>
      <c r="M16" s="24">
        <f>SUM($K$3:K16)/B16</f>
        <v>5346.1749862673541</v>
      </c>
      <c r="N16" s="34">
        <f t="shared" si="7"/>
        <v>18.755906433655088</v>
      </c>
      <c r="O16" s="34">
        <f>AVERAGE($N$3:N16)</f>
        <v>5.1943108069854391</v>
      </c>
      <c r="P16" s="30">
        <f>SUM($J$3:J16)/M16</f>
        <v>1.9481818614028643</v>
      </c>
    </row>
    <row r="17" spans="1:16" x14ac:dyDescent="0.3">
      <c r="A17" s="23">
        <v>44986</v>
      </c>
      <c r="B17" s="22">
        <v>15</v>
      </c>
      <c r="C17" s="22">
        <f t="shared" si="0"/>
        <v>225</v>
      </c>
      <c r="D17" s="22">
        <f t="shared" si="1"/>
        <v>3375</v>
      </c>
      <c r="E17" s="22">
        <f t="shared" si="2"/>
        <v>50625</v>
      </c>
      <c r="F17" s="22">
        <f t="shared" si="3"/>
        <v>759375</v>
      </c>
      <c r="G17" s="22">
        <f t="shared" si="4"/>
        <v>11390625</v>
      </c>
      <c r="H17" s="24">
        <v>125713</v>
      </c>
      <c r="I17" s="24">
        <f>'AD SÁBADOS'!$B$23*'REGRESIÓN SÁBADOS'!G17+'AD SÁBADOS'!$B$22*'REGRESIÓN SÁBADOS'!F17+'AD SÁBADOS'!$B$21*'REGRESIÓN SÁBADOS'!E17+'AD SÁBADOS'!$B$20*'REGRESIÓN SÁBADOS'!D17+'AD SÁBADOS'!$B$19*'REGRESIÓN SÁBADOS'!C17+'AD SÁBADOS'!$B$18*'REGRESIÓN SÁBADOS'!B17+'AD SÁBADOS'!$B$17</f>
        <v>113854.09017216149</v>
      </c>
      <c r="J17" s="24">
        <f t="shared" si="5"/>
        <v>-11858.909827838506</v>
      </c>
      <c r="K17" s="24">
        <f t="shared" si="6"/>
        <v>11858.909827838506</v>
      </c>
      <c r="L17" s="24">
        <f>SUMSQ($J$3:J17)/B17</f>
        <v>60465730.366481327</v>
      </c>
      <c r="M17" s="24">
        <f>SUM($K$3:K17)/B17</f>
        <v>5780.3573090387645</v>
      </c>
      <c r="N17" s="34">
        <f t="shared" si="7"/>
        <v>9.4333202038281687</v>
      </c>
      <c r="O17" s="34">
        <f>AVERAGE($N$3:N17)</f>
        <v>5.4769114334416207</v>
      </c>
      <c r="P17" s="30">
        <f>SUM($J$3:J17)/M17</f>
        <v>-0.24974039052039146</v>
      </c>
    </row>
    <row r="18" spans="1:16" x14ac:dyDescent="0.3">
      <c r="A18" s="23">
        <v>45017</v>
      </c>
      <c r="B18" s="22">
        <v>16</v>
      </c>
      <c r="C18" s="22">
        <f t="shared" si="0"/>
        <v>256</v>
      </c>
      <c r="D18" s="22">
        <f t="shared" si="1"/>
        <v>4096</v>
      </c>
      <c r="E18" s="22">
        <f t="shared" si="2"/>
        <v>65536</v>
      </c>
      <c r="F18" s="22">
        <f t="shared" si="3"/>
        <v>1048576</v>
      </c>
      <c r="G18" s="22">
        <f t="shared" si="4"/>
        <v>16777216</v>
      </c>
      <c r="H18" s="24">
        <v>118330</v>
      </c>
      <c r="I18" s="24">
        <f>'AD SÁBADOS'!$B$23*'REGRESIÓN SÁBADOS'!G18+'AD SÁBADOS'!$B$22*'REGRESIÓN SÁBADOS'!F18+'AD SÁBADOS'!$B$21*'REGRESIÓN SÁBADOS'!E18+'AD SÁBADOS'!$B$20*'REGRESIÓN SÁBADOS'!D18+'AD SÁBADOS'!$B$19*'REGRESIÓN SÁBADOS'!C18+'AD SÁBADOS'!$B$18*'REGRESIÓN SÁBADOS'!B18+'AD SÁBADOS'!$B$17</f>
        <v>117526.3988106325</v>
      </c>
      <c r="J18" s="24">
        <f t="shared" si="5"/>
        <v>-803.60118936750223</v>
      </c>
      <c r="K18" s="24">
        <f t="shared" si="6"/>
        <v>803.60118936750223</v>
      </c>
      <c r="L18" s="24">
        <f>SUMSQ($J$3:J18)/B18</f>
        <v>56726983.148048297</v>
      </c>
      <c r="M18" s="24">
        <f>SUM($K$3:K18)/B18</f>
        <v>5469.3100515593105</v>
      </c>
      <c r="N18" s="34">
        <f t="shared" si="7"/>
        <v>0.67911872675357243</v>
      </c>
      <c r="O18" s="34">
        <f>AVERAGE($N$3:N18)</f>
        <v>5.177049389273618</v>
      </c>
      <c r="P18" s="30">
        <f>SUM($J$3:J18)/M18</f>
        <v>-0.41087264387828304</v>
      </c>
    </row>
    <row r="19" spans="1:16" x14ac:dyDescent="0.3">
      <c r="A19" s="23">
        <v>45047</v>
      </c>
      <c r="B19" s="22">
        <v>17</v>
      </c>
      <c r="C19" s="22">
        <f t="shared" si="0"/>
        <v>289</v>
      </c>
      <c r="D19" s="22">
        <f t="shared" si="1"/>
        <v>4913</v>
      </c>
      <c r="E19" s="22">
        <f t="shared" si="2"/>
        <v>83521</v>
      </c>
      <c r="F19" s="22">
        <f t="shared" si="3"/>
        <v>1419857</v>
      </c>
      <c r="G19" s="22">
        <f t="shared" si="4"/>
        <v>24137569</v>
      </c>
      <c r="H19" s="24">
        <v>120224.75</v>
      </c>
      <c r="I19" s="24">
        <f>'AD SÁBADOS'!$B$23*'REGRESIÓN SÁBADOS'!G19+'AD SÁBADOS'!$B$22*'REGRESIÓN SÁBADOS'!F19+'AD SÁBADOS'!$B$21*'REGRESIÓN SÁBADOS'!E19+'AD SÁBADOS'!$B$20*'REGRESIÓN SÁBADOS'!D19+'AD SÁBADOS'!$B$19*'REGRESIÓN SÁBADOS'!C19+'AD SÁBADOS'!$B$18*'REGRESIÓN SÁBADOS'!B19+'AD SÁBADOS'!$B$17</f>
        <v>121730.85015482342</v>
      </c>
      <c r="J19" s="24">
        <f t="shared" si="5"/>
        <v>1506.1001548234199</v>
      </c>
      <c r="K19" s="24">
        <f t="shared" si="6"/>
        <v>1506.1001548234199</v>
      </c>
      <c r="L19" s="24">
        <f>SUMSQ($J$3:J19)/B19</f>
        <v>53523533.414419524</v>
      </c>
      <c r="M19" s="24">
        <f>SUM($K$3:K19)/B19</f>
        <v>5236.18005763367</v>
      </c>
      <c r="N19" s="34">
        <f t="shared" si="7"/>
        <v>1.2527371899907629</v>
      </c>
      <c r="O19" s="34">
        <f>AVERAGE($N$3:N19)</f>
        <v>4.9462074951981565</v>
      </c>
      <c r="P19" s="30">
        <f>SUM($J$3:J19)/M19</f>
        <v>-0.14153251379703988</v>
      </c>
    </row>
    <row r="20" spans="1:16" x14ac:dyDescent="0.3">
      <c r="A20" s="23">
        <v>45078</v>
      </c>
      <c r="B20" s="22">
        <v>18</v>
      </c>
      <c r="C20" s="22">
        <f t="shared" si="0"/>
        <v>324</v>
      </c>
      <c r="D20" s="22">
        <f t="shared" si="1"/>
        <v>5832</v>
      </c>
      <c r="E20" s="22">
        <f t="shared" si="2"/>
        <v>104976</v>
      </c>
      <c r="F20" s="22">
        <f t="shared" si="3"/>
        <v>1889568</v>
      </c>
      <c r="G20" s="22">
        <f t="shared" si="4"/>
        <v>34012224</v>
      </c>
      <c r="H20" s="24">
        <v>125457</v>
      </c>
      <c r="I20" s="24">
        <f>'AD SÁBADOS'!$B$23*'REGRESIÓN SÁBADOS'!G20+'AD SÁBADOS'!$B$22*'REGRESIÓN SÁBADOS'!F20+'AD SÁBADOS'!$B$21*'REGRESIÓN SÁBADOS'!E20+'AD SÁBADOS'!$B$20*'REGRESIÓN SÁBADOS'!D20+'AD SÁBADOS'!$B$19*'REGRESIÓN SÁBADOS'!C20+'AD SÁBADOS'!$B$18*'REGRESIÓN SÁBADOS'!B20+'AD SÁBADOS'!$B$17</f>
        <v>125978.32214394034</v>
      </c>
      <c r="J20" s="24">
        <f t="shared" si="5"/>
        <v>521.32214394034236</v>
      </c>
      <c r="K20" s="24">
        <f t="shared" si="6"/>
        <v>521.32214394034236</v>
      </c>
      <c r="L20" s="24">
        <f>SUMSQ($J$3:J20)/B20</f>
        <v>50565102.490160801</v>
      </c>
      <c r="M20" s="24">
        <f>SUM($K$3:K20)/B20</f>
        <v>4974.2435068729292</v>
      </c>
      <c r="N20" s="34">
        <f t="shared" si="7"/>
        <v>0.41553850637297429</v>
      </c>
      <c r="O20" s="34">
        <f>AVERAGE($N$3:N20)</f>
        <v>4.694503662485646</v>
      </c>
      <c r="P20" s="30">
        <f>SUM($J$3:J20)/M20</f>
        <v>-4.4181106535461409E-2</v>
      </c>
    </row>
    <row r="21" spans="1:16" x14ac:dyDescent="0.3">
      <c r="A21" s="23">
        <v>45108</v>
      </c>
      <c r="B21" s="22">
        <v>19</v>
      </c>
      <c r="C21" s="22">
        <f t="shared" si="0"/>
        <v>361</v>
      </c>
      <c r="D21" s="22">
        <f t="shared" si="1"/>
        <v>6859</v>
      </c>
      <c r="E21" s="22">
        <f t="shared" si="2"/>
        <v>130321</v>
      </c>
      <c r="F21" s="22">
        <f t="shared" si="3"/>
        <v>2476099</v>
      </c>
      <c r="G21" s="22">
        <f t="shared" si="4"/>
        <v>47045881</v>
      </c>
      <c r="H21" s="24">
        <v>129230.8</v>
      </c>
      <c r="I21" s="24">
        <f>'AD SÁBADOS'!$B$23*'REGRESIÓN SÁBADOS'!G21+'AD SÁBADOS'!$B$22*'REGRESIÓN SÁBADOS'!F21+'AD SÁBADOS'!$B$21*'REGRESIÓN SÁBADOS'!E21+'AD SÁBADOS'!$B$20*'REGRESIÓN SÁBADOS'!D21+'AD SÁBADOS'!$B$19*'REGRESIÓN SÁBADOS'!C21+'AD SÁBADOS'!$B$18*'REGRESIÓN SÁBADOS'!B21+'AD SÁBADOS'!$B$17</f>
        <v>129712.5925047099</v>
      </c>
      <c r="J21" s="24">
        <f t="shared" si="5"/>
        <v>481.79250470989791</v>
      </c>
      <c r="K21" s="24">
        <f t="shared" si="6"/>
        <v>481.79250470989791</v>
      </c>
      <c r="L21" s="24">
        <f>SUMSQ($J$3:J21)/B21</f>
        <v>47915998.360025741</v>
      </c>
      <c r="M21" s="24">
        <f>SUM($K$3:K21)/B21</f>
        <v>4737.7987172854018</v>
      </c>
      <c r="N21" s="34">
        <f t="shared" si="7"/>
        <v>0.3728155398789591</v>
      </c>
      <c r="O21" s="34">
        <f>AVERAGE($N$3:N21)</f>
        <v>4.4670463928747672</v>
      </c>
      <c r="P21" s="30">
        <f>SUM($J$3:J21)/M21</f>
        <v>5.5305203541772506E-2</v>
      </c>
    </row>
    <row r="22" spans="1:16" x14ac:dyDescent="0.3">
      <c r="A22" s="23">
        <v>45139</v>
      </c>
      <c r="B22" s="22">
        <v>20</v>
      </c>
      <c r="C22" s="22">
        <f t="shared" si="0"/>
        <v>400</v>
      </c>
      <c r="D22" s="22">
        <f t="shared" si="1"/>
        <v>8000</v>
      </c>
      <c r="E22" s="22">
        <f t="shared" si="2"/>
        <v>160000</v>
      </c>
      <c r="F22" s="22">
        <f t="shared" si="3"/>
        <v>3200000</v>
      </c>
      <c r="G22" s="22">
        <f t="shared" si="4"/>
        <v>64000000</v>
      </c>
      <c r="H22" s="24">
        <v>131852</v>
      </c>
      <c r="I22" s="24">
        <f>'AD SÁBADOS'!$B$23*'REGRESIÓN SÁBADOS'!G22+'AD SÁBADOS'!$B$22*'REGRESIÓN SÁBADOS'!F22+'AD SÁBADOS'!$B$21*'REGRESIÓN SÁBADOS'!E22+'AD SÁBADOS'!$B$20*'REGRESIÓN SÁBADOS'!D22+'AD SÁBADOS'!$B$19*'REGRESIÓN SÁBADOS'!C22+'AD SÁBADOS'!$B$18*'REGRESIÓN SÁBADOS'!B22+'AD SÁBADOS'!$B$17</f>
        <v>132380.50577920803</v>
      </c>
      <c r="J22" s="24">
        <f t="shared" si="5"/>
        <v>528.50577920803335</v>
      </c>
      <c r="K22" s="24">
        <f t="shared" si="6"/>
        <v>528.50577920803335</v>
      </c>
      <c r="L22" s="24">
        <f>SUMSQ($J$3:J22)/B22</f>
        <v>45534164.35995727</v>
      </c>
      <c r="M22" s="24">
        <f>SUM($K$3:K22)/B22</f>
        <v>4527.3340703815329</v>
      </c>
      <c r="N22" s="34">
        <f t="shared" si="7"/>
        <v>0.40083258441891917</v>
      </c>
      <c r="O22" s="34">
        <f>AVERAGE($N$3:N22)</f>
        <v>4.2637357024519753</v>
      </c>
      <c r="P22" s="30">
        <f>SUM($J$3:J22)/M22</f>
        <v>0.17461284926579995</v>
      </c>
    </row>
    <row r="23" spans="1:16" x14ac:dyDescent="0.3">
      <c r="A23" s="23">
        <v>45170</v>
      </c>
      <c r="B23" s="22">
        <v>21</v>
      </c>
      <c r="C23" s="22">
        <f t="shared" si="0"/>
        <v>441</v>
      </c>
      <c r="D23" s="22">
        <f t="shared" si="1"/>
        <v>9261</v>
      </c>
      <c r="E23" s="22">
        <f t="shared" si="2"/>
        <v>194481</v>
      </c>
      <c r="F23" s="22">
        <f t="shared" si="3"/>
        <v>4084101</v>
      </c>
      <c r="G23" s="22">
        <f t="shared" si="4"/>
        <v>85766121</v>
      </c>
      <c r="H23" s="24">
        <v>131888.79999999999</v>
      </c>
      <c r="I23" s="24">
        <f>'AD SÁBADOS'!$B$23*'REGRESIÓN SÁBADOS'!G23+'AD SÁBADOS'!$B$22*'REGRESIÓN SÁBADOS'!F23+'AD SÁBADOS'!$B$21*'REGRESIÓN SÁBADOS'!E23+'AD SÁBADOS'!$B$20*'REGRESIÓN SÁBADOS'!D23+'AD SÁBADOS'!$B$19*'REGRESIÓN SÁBADOS'!C23+'AD SÁBADOS'!$B$18*'REGRESIÓN SÁBADOS'!B23+'AD SÁBADOS'!$B$17</f>
        <v>133518.26105271076</v>
      </c>
      <c r="J23" s="24">
        <f t="shared" si="5"/>
        <v>1629.4610527107725</v>
      </c>
      <c r="K23" s="24">
        <f t="shared" si="6"/>
        <v>1629.4610527107725</v>
      </c>
      <c r="L23" s="24">
        <f>SUMSQ($J$3:J23)/B23</f>
        <v>43492306.215306982</v>
      </c>
      <c r="M23" s="24">
        <f>SUM($K$3:K23)/B23</f>
        <v>4389.3401171591158</v>
      </c>
      <c r="N23" s="34">
        <f t="shared" si="7"/>
        <v>1.2354809905850783</v>
      </c>
      <c r="O23" s="34">
        <f>AVERAGE($N$3:N23)</f>
        <v>4.1195330971249797</v>
      </c>
      <c r="P23" s="30">
        <f>SUM($J$3:J23)/M23</f>
        <v>0.5513338428384309</v>
      </c>
    </row>
    <row r="24" spans="1:16" x14ac:dyDescent="0.3">
      <c r="A24" s="23">
        <v>45200</v>
      </c>
      <c r="B24" s="22">
        <v>22</v>
      </c>
      <c r="C24" s="22">
        <f t="shared" si="0"/>
        <v>484</v>
      </c>
      <c r="D24" s="22">
        <f t="shared" si="1"/>
        <v>10648</v>
      </c>
      <c r="E24" s="22">
        <f t="shared" si="2"/>
        <v>234256</v>
      </c>
      <c r="F24" s="22">
        <f t="shared" si="3"/>
        <v>5153632</v>
      </c>
      <c r="G24" s="22">
        <f t="shared" si="4"/>
        <v>113379904</v>
      </c>
      <c r="H24" s="24">
        <v>136062.25</v>
      </c>
      <c r="I24" s="24">
        <f>'AD SÁBADOS'!$B$23*'REGRESIÓN SÁBADOS'!G24+'AD SÁBADOS'!$B$22*'REGRESIÓN SÁBADOS'!F24+'AD SÁBADOS'!$B$21*'REGRESIÓN SÁBADOS'!E24+'AD SÁBADOS'!$B$20*'REGRESIÓN SÁBADOS'!D24+'AD SÁBADOS'!$B$19*'REGRESIÓN SÁBADOS'!C24+'AD SÁBADOS'!$B$18*'REGRESIÓN SÁBADOS'!B24+'AD SÁBADOS'!$B$17</f>
        <v>132853.82038157037</v>
      </c>
      <c r="J24" s="24">
        <f t="shared" si="5"/>
        <v>-3208.4296184296254</v>
      </c>
      <c r="K24" s="24">
        <f t="shared" si="6"/>
        <v>3208.4296184296254</v>
      </c>
      <c r="L24" s="24">
        <f>SUMSQ($J$3:J24)/B24</f>
        <v>41983293.233539231</v>
      </c>
      <c r="M24" s="24">
        <f>SUM($K$3:K24)/B24</f>
        <v>4335.6623672168662</v>
      </c>
      <c r="N24" s="34">
        <f t="shared" si="7"/>
        <v>2.3580600926631932</v>
      </c>
      <c r="O24" s="34">
        <f>AVERAGE($N$3:N24)</f>
        <v>4.0394661423767166</v>
      </c>
      <c r="P24" s="30">
        <f>SUM($J$3:J24)/M24</f>
        <v>-0.18184946089736989</v>
      </c>
    </row>
    <row r="25" spans="1:16" x14ac:dyDescent="0.3">
      <c r="A25" s="23">
        <v>45231</v>
      </c>
      <c r="B25" s="22">
        <v>23</v>
      </c>
      <c r="C25" s="22">
        <f t="shared" si="0"/>
        <v>529</v>
      </c>
      <c r="D25" s="22">
        <f t="shared" si="1"/>
        <v>12167</v>
      </c>
      <c r="E25" s="22">
        <f t="shared" si="2"/>
        <v>279841</v>
      </c>
      <c r="F25" s="22">
        <f t="shared" si="3"/>
        <v>6436343</v>
      </c>
      <c r="G25" s="22">
        <f t="shared" si="4"/>
        <v>148035889</v>
      </c>
      <c r="H25" s="24">
        <v>115384</v>
      </c>
      <c r="I25" s="24">
        <f>'AD SÁBADOS'!$B$23*'REGRESIÓN SÁBADOS'!G25+'AD SÁBADOS'!$B$22*'REGRESIÓN SÁBADOS'!F25+'AD SÁBADOS'!$B$21*'REGRESIÓN SÁBADOS'!E25+'AD SÁBADOS'!$B$20*'REGRESIÓN SÁBADOS'!D25+'AD SÁBADOS'!$B$19*'REGRESIÓN SÁBADOS'!C25+'AD SÁBADOS'!$B$18*'REGRESIÓN SÁBADOS'!B25+'AD SÁBADOS'!$B$17</f>
        <v>130425.43792109954</v>
      </c>
      <c r="J25" s="24">
        <f t="shared" si="5"/>
        <v>15041.437921099539</v>
      </c>
      <c r="K25" s="24">
        <f t="shared" si="6"/>
        <v>15041.437921099539</v>
      </c>
      <c r="L25" s="24">
        <f>SUMSQ($J$3:J25)/B25</f>
        <v>49994665.472702369</v>
      </c>
      <c r="M25" s="24">
        <f>SUM($K$3:K25)/B25</f>
        <v>4801.1308695595917</v>
      </c>
      <c r="N25" s="34">
        <f t="shared" si="7"/>
        <v>13.03598239019235</v>
      </c>
      <c r="O25" s="34">
        <f>AVERAGE($N$3:N25)</f>
        <v>4.4306190227165265</v>
      </c>
      <c r="P25" s="35">
        <f>SUM($J$3:J25)/M25</f>
        <v>2.9686755983586774</v>
      </c>
    </row>
    <row r="26" spans="1:16" x14ac:dyDescent="0.3">
      <c r="A26" s="23">
        <v>45261</v>
      </c>
      <c r="B26" s="22">
        <v>24</v>
      </c>
      <c r="C26" s="22">
        <f t="shared" si="0"/>
        <v>576</v>
      </c>
      <c r="D26" s="22">
        <f t="shared" si="1"/>
        <v>13824</v>
      </c>
      <c r="E26" s="22">
        <f t="shared" si="2"/>
        <v>331776</v>
      </c>
      <c r="F26" s="22">
        <f t="shared" si="3"/>
        <v>7962624</v>
      </c>
      <c r="G26" s="22">
        <f t="shared" si="4"/>
        <v>191102976</v>
      </c>
      <c r="H26" s="24">
        <v>152963.79999999999</v>
      </c>
      <c r="I26" s="24">
        <f>'AD SÁBADOS'!$B$23*'REGRESIÓN SÁBADOS'!G26+'AD SÁBADOS'!$B$22*'REGRESIÓN SÁBADOS'!F26+'AD SÁBADOS'!$B$21*'REGRESIÓN SÁBADOS'!E26+'AD SÁBADOS'!$B$20*'REGRESIÓN SÁBADOS'!D26+'AD SÁBADOS'!$B$19*'REGRESIÓN SÁBADOS'!C26+'AD SÁBADOS'!$B$18*'REGRESIÓN SÁBADOS'!B26+'AD SÁBADOS'!$B$17</f>
        <v>126716.30975348048</v>
      </c>
      <c r="J26" s="24">
        <f t="shared" si="5"/>
        <v>-26247.490246519505</v>
      </c>
      <c r="K26" s="24">
        <f t="shared" si="6"/>
        <v>26247.490246519505</v>
      </c>
      <c r="L26" s="24">
        <f>SUMSQ($J$3:J26)/B26</f>
        <v>76617002.088053793</v>
      </c>
      <c r="M26" s="24">
        <f>SUM($K$3:K26)/B26</f>
        <v>5694.7291769329213</v>
      </c>
      <c r="N26" s="34">
        <f t="shared" si="7"/>
        <v>17.159282291966797</v>
      </c>
      <c r="O26" s="34">
        <f>AVERAGE($N$3:N26)</f>
        <v>4.960979992268622</v>
      </c>
      <c r="P26" s="30">
        <f>SUM($J$3:J26)/M26</f>
        <v>-2.1062441806919048</v>
      </c>
    </row>
    <row r="27" spans="1:16" x14ac:dyDescent="0.3">
      <c r="A27" s="23">
        <v>45292</v>
      </c>
      <c r="B27" s="22">
        <v>25</v>
      </c>
      <c r="C27" s="22">
        <f t="shared" si="0"/>
        <v>625</v>
      </c>
      <c r="D27" s="22">
        <f t="shared" si="1"/>
        <v>15625</v>
      </c>
      <c r="E27" s="22">
        <f t="shared" si="2"/>
        <v>390625</v>
      </c>
      <c r="F27" s="22">
        <f t="shared" si="3"/>
        <v>9765625</v>
      </c>
      <c r="G27" s="22">
        <f t="shared" si="4"/>
        <v>244140625</v>
      </c>
      <c r="H27" s="24">
        <v>119006</v>
      </c>
      <c r="I27" s="24">
        <f>'AD SÁBADOS'!$B$23*'REGRESIÓN SÁBADOS'!G27+'AD SÁBADOS'!$B$22*'REGRESIÓN SÁBADOS'!F27+'AD SÁBADOS'!$B$21*'REGRESIÓN SÁBADOS'!E27+'AD SÁBADOS'!$B$20*'REGRESIÓN SÁBADOS'!D27+'AD SÁBADOS'!$B$19*'REGRESIÓN SÁBADOS'!C27+'AD SÁBADOS'!$B$18*'REGRESIÓN SÁBADOS'!B27+'AD SÁBADOS'!$B$17</f>
        <v>122805.34441570341</v>
      </c>
      <c r="J27" s="24">
        <f t="shared" si="5"/>
        <v>3799.34441570341</v>
      </c>
      <c r="K27" s="24">
        <f t="shared" si="6"/>
        <v>3799.34441570341</v>
      </c>
      <c r="L27" s="24">
        <f>SUMSQ($J$3:J27)/B27</f>
        <v>74129722.724097103</v>
      </c>
      <c r="M27" s="24">
        <f>SUM($K$3:K27)/B27</f>
        <v>5618.9137864837412</v>
      </c>
      <c r="N27" s="34">
        <f t="shared" si="7"/>
        <v>3.1925654300652155</v>
      </c>
      <c r="O27" s="34">
        <f>AVERAGE($N$3:N27)</f>
        <v>4.890243409780485</v>
      </c>
      <c r="P27" s="30">
        <f>SUM($J$3:J27)/M27</f>
        <v>-1.4584928840768698</v>
      </c>
    </row>
    <row r="28" spans="1:16" x14ac:dyDescent="0.3">
      <c r="A28" s="23">
        <v>45323</v>
      </c>
      <c r="B28" s="22">
        <v>26</v>
      </c>
      <c r="C28" s="22">
        <f t="shared" si="0"/>
        <v>676</v>
      </c>
      <c r="D28" s="22">
        <f t="shared" si="1"/>
        <v>17576</v>
      </c>
      <c r="E28" s="22">
        <f t="shared" si="2"/>
        <v>456976</v>
      </c>
      <c r="F28" s="22">
        <f t="shared" si="3"/>
        <v>11881376</v>
      </c>
      <c r="G28" s="22">
        <f t="shared" si="4"/>
        <v>308915776</v>
      </c>
      <c r="H28" s="24">
        <v>107802.83333333333</v>
      </c>
      <c r="I28" s="24">
        <f>'AD SÁBADOS'!$B$23*'REGRESIÓN SÁBADOS'!G28+'AD SÁBADOS'!$B$22*'REGRESIÓN SÁBADOS'!F28+'AD SÁBADOS'!$B$21*'REGRESIÓN SÁBADOS'!E28+'AD SÁBADOS'!$B$20*'REGRESIÓN SÁBADOS'!D28+'AD SÁBADOS'!$B$19*'REGRESIÓN SÁBADOS'!C28+'AD SÁBADOS'!$B$18*'REGRESIÓN SÁBADOS'!B28+'AD SÁBADOS'!$B$17</f>
        <v>120534.05412749809</v>
      </c>
      <c r="J28" s="24">
        <f t="shared" si="5"/>
        <v>12731.220794164765</v>
      </c>
      <c r="K28" s="24">
        <f t="shared" si="6"/>
        <v>12731.220794164765</v>
      </c>
      <c r="L28" s="24">
        <f>SUMSQ($J$3:J28)/B28</f>
        <v>77512578.885084659</v>
      </c>
      <c r="M28" s="24">
        <f>SUM($K$3:K28)/B28</f>
        <v>5892.4640560099351</v>
      </c>
      <c r="N28" s="34">
        <f t="shared" si="7"/>
        <v>11.809727444545921</v>
      </c>
      <c r="O28" s="34">
        <f>AVERAGE($N$3:N28)</f>
        <v>5.1563774111176173</v>
      </c>
      <c r="P28" s="30">
        <f>SUM($J$3:J28)/M28</f>
        <v>0.76980953591228152</v>
      </c>
    </row>
    <row r="29" spans="1:16" x14ac:dyDescent="0.3">
      <c r="A29" s="23">
        <v>45352</v>
      </c>
      <c r="B29" s="22">
        <v>27</v>
      </c>
      <c r="C29" s="22">
        <f t="shared" si="0"/>
        <v>729</v>
      </c>
      <c r="D29" s="22">
        <f t="shared" si="1"/>
        <v>19683</v>
      </c>
      <c r="E29" s="22">
        <f t="shared" si="2"/>
        <v>531441</v>
      </c>
      <c r="F29" s="22">
        <f t="shared" si="3"/>
        <v>14348907</v>
      </c>
      <c r="G29" s="22">
        <f t="shared" si="4"/>
        <v>387420489</v>
      </c>
      <c r="H29" s="24">
        <v>125509.4</v>
      </c>
      <c r="I29" s="24">
        <f>'AD SÁBADOS'!$B$23*'REGRESIÓN SÁBADOS'!G29+'AD SÁBADOS'!$B$22*'REGRESIÓN SÁBADOS'!F29+'AD SÁBADOS'!$B$21*'REGRESIÓN SÁBADOS'!E29+'AD SÁBADOS'!$B$20*'REGRESIÓN SÁBADOS'!D29+'AD SÁBADOS'!$B$19*'REGRESIÓN SÁBADOS'!C29+'AD SÁBADOS'!$B$18*'REGRESIÓN SÁBADOS'!B29+'AD SÁBADOS'!$B$17</f>
        <v>122689.56671931988</v>
      </c>
      <c r="J29" s="24">
        <f t="shared" si="5"/>
        <v>-2819.8332806801191</v>
      </c>
      <c r="K29" s="24">
        <f t="shared" si="6"/>
        <v>2819.8332806801191</v>
      </c>
      <c r="L29" s="24">
        <f>SUMSQ($J$3:J29)/B29</f>
        <v>74936241.138630822</v>
      </c>
      <c r="M29" s="24">
        <f>SUM($K$3:K29)/B29</f>
        <v>5778.6629161829051</v>
      </c>
      <c r="N29" s="34">
        <f t="shared" si="7"/>
        <v>2.2467108285754844</v>
      </c>
      <c r="O29" s="34">
        <f>AVERAGE($N$3:N29)</f>
        <v>5.0486119821345756</v>
      </c>
      <c r="P29" s="30">
        <f>SUM($J$3:J29)/M29</f>
        <v>0.29699634059817287</v>
      </c>
    </row>
    <row r="30" spans="1:16" x14ac:dyDescent="0.3">
      <c r="A30" s="23">
        <v>45383</v>
      </c>
      <c r="B30" s="22">
        <v>28</v>
      </c>
      <c r="C30" s="22">
        <f t="shared" si="0"/>
        <v>784</v>
      </c>
      <c r="D30" s="22">
        <f t="shared" si="1"/>
        <v>21952</v>
      </c>
      <c r="E30" s="22">
        <f t="shared" si="2"/>
        <v>614656</v>
      </c>
      <c r="F30" s="22">
        <f t="shared" si="3"/>
        <v>17210368</v>
      </c>
      <c r="G30" s="22">
        <f t="shared" si="4"/>
        <v>481890304</v>
      </c>
      <c r="H30" s="24">
        <v>134920</v>
      </c>
      <c r="I30" s="24">
        <f>'AD SÁBADOS'!$B$23*'REGRESIÓN SÁBADOS'!G30+'AD SÁBADOS'!$B$22*'REGRESIÓN SÁBADOS'!F30+'AD SÁBADOS'!$B$21*'REGRESIÓN SÁBADOS'!E30+'AD SÁBADOS'!$B$20*'REGRESIÓN SÁBADOS'!D30+'AD SÁBADOS'!$B$19*'REGRESIÓN SÁBADOS'!C30+'AD SÁBADOS'!$B$18*'REGRESIÓN SÁBADOS'!B30+'AD SÁBADOS'!$B$17</f>
        <v>133203.75826033592</v>
      </c>
      <c r="J30" s="24">
        <f t="shared" si="5"/>
        <v>-1716.2417396640813</v>
      </c>
      <c r="K30" s="24">
        <f t="shared" si="6"/>
        <v>1716.2417396640813</v>
      </c>
      <c r="L30" s="24">
        <f>SUMSQ($J$3:J30)/B30</f>
        <v>72365142.730428487</v>
      </c>
      <c r="M30" s="31">
        <f>SUM($K$3:K30)/B30</f>
        <v>5633.5764455929466</v>
      </c>
      <c r="N30" s="34">
        <f t="shared" si="7"/>
        <v>1.2720439813697608</v>
      </c>
      <c r="O30" s="36">
        <f>AVERAGE($N$3:N30)</f>
        <v>4.9137345535358321</v>
      </c>
      <c r="P30" s="30">
        <f>SUM($J$3:J30)/M30</f>
        <v>-1.3121989214849994E-12</v>
      </c>
    </row>
    <row r="31" spans="1:16" x14ac:dyDescent="0.3">
      <c r="A31" s="38">
        <v>45413</v>
      </c>
      <c r="B31" s="37">
        <v>29</v>
      </c>
      <c r="C31" s="37">
        <f t="shared" si="0"/>
        <v>841</v>
      </c>
      <c r="D31" s="37">
        <f t="shared" si="1"/>
        <v>24389</v>
      </c>
      <c r="E31" s="37">
        <f t="shared" si="2"/>
        <v>707281</v>
      </c>
      <c r="F31" s="37">
        <f t="shared" si="3"/>
        <v>20511149</v>
      </c>
      <c r="G31" s="37">
        <f t="shared" si="4"/>
        <v>594823321</v>
      </c>
      <c r="I31" s="31">
        <f>'AD SÁBADOS'!$B$23*'REGRESIÓN SÁBADOS'!G31+'AD SÁBADOS'!$B$22*'REGRESIÓN SÁBADOS'!F31+'AD SÁBADOS'!$B$21*'REGRESIÓN SÁBADOS'!E31+'AD SÁBADOS'!$B$20*'REGRESIÓN SÁBADOS'!D31+'AD SÁBADOS'!$B$19*'REGRESIÓN SÁBADOS'!C31+'AD SÁBADOS'!$B$18*'REGRESIÓN SÁBADOS'!B31+'AD SÁBADOS'!$B$17</f>
        <v>157368.50638641496</v>
      </c>
    </row>
    <row r="32" spans="1:16" x14ac:dyDescent="0.3">
      <c r="A32" s="38">
        <v>45444</v>
      </c>
      <c r="B32" s="37">
        <v>30</v>
      </c>
      <c r="C32" s="37">
        <f t="shared" si="0"/>
        <v>900</v>
      </c>
      <c r="D32" s="37">
        <f t="shared" si="1"/>
        <v>27000</v>
      </c>
      <c r="E32" s="37">
        <f t="shared" si="2"/>
        <v>810000</v>
      </c>
      <c r="F32" s="37">
        <f t="shared" si="3"/>
        <v>24300000</v>
      </c>
      <c r="G32" s="37">
        <f t="shared" si="4"/>
        <v>729000000</v>
      </c>
      <c r="I32" s="31">
        <f>'AD SÁBADOS'!$B$23*'REGRESIÓN SÁBADOS'!G32+'AD SÁBADOS'!$B$22*'REGRESIÓN SÁBADOS'!F32+'AD SÁBADOS'!$B$21*'REGRESIÓN SÁBADOS'!E32+'AD SÁBADOS'!$B$20*'REGRESIÓN SÁBADOS'!D32+'AD SÁBADOS'!$B$19*'REGRESIÓN SÁBADOS'!C32+'AD SÁBADOS'!$B$18*'REGRESIÓN SÁBADOS'!B32+'AD SÁBADOS'!$B$17</f>
        <v>202067.06432818231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7816-8FD8-42D7-8F19-C0DFB3DE6BD2}">
  <dimension ref="A1:I57"/>
  <sheetViews>
    <sheetView workbookViewId="0">
      <selection activeCell="A16" sqref="A16:B23"/>
    </sheetView>
  </sheetViews>
  <sheetFormatPr baseColWidth="10"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27" t="s">
        <v>47</v>
      </c>
      <c r="B3" s="27"/>
    </row>
    <row r="4" spans="1:9" x14ac:dyDescent="0.3">
      <c r="A4" t="s">
        <v>48</v>
      </c>
      <c r="B4">
        <v>0.94603489744713509</v>
      </c>
    </row>
    <row r="5" spans="1:9" x14ac:dyDescent="0.3">
      <c r="A5" t="s">
        <v>49</v>
      </c>
      <c r="B5">
        <v>0.8949820271878115</v>
      </c>
    </row>
    <row r="6" spans="1:9" x14ac:dyDescent="0.3">
      <c r="A6" t="s">
        <v>50</v>
      </c>
      <c r="B6">
        <v>0.86497689209861472</v>
      </c>
    </row>
    <row r="7" spans="1:9" x14ac:dyDescent="0.3">
      <c r="A7" t="s">
        <v>51</v>
      </c>
      <c r="B7">
        <v>7740.3578844036674</v>
      </c>
    </row>
    <row r="8" spans="1:9" ht="15" thickBot="1" x14ac:dyDescent="0.35">
      <c r="A8" s="25" t="s">
        <v>52</v>
      </c>
      <c r="B8" s="25">
        <v>28</v>
      </c>
    </row>
    <row r="10" spans="1:9" ht="15" thickBot="1" x14ac:dyDescent="0.35">
      <c r="A10" t="s">
        <v>53</v>
      </c>
    </row>
    <row r="11" spans="1:9" x14ac:dyDescent="0.3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">
      <c r="A12" t="s">
        <v>54</v>
      </c>
      <c r="B12">
        <v>6</v>
      </c>
      <c r="C12">
        <v>10722401380.872017</v>
      </c>
      <c r="D12">
        <v>1787066896.8120029</v>
      </c>
      <c r="E12">
        <v>29.827628655138032</v>
      </c>
      <c r="F12">
        <v>3.1069166953943986E-9</v>
      </c>
    </row>
    <row r="13" spans="1:9" x14ac:dyDescent="0.3">
      <c r="A13" t="s">
        <v>55</v>
      </c>
      <c r="B13">
        <v>21</v>
      </c>
      <c r="C13">
        <v>1258175943.7516503</v>
      </c>
      <c r="D13">
        <v>59913140.178650014</v>
      </c>
    </row>
    <row r="14" spans="1:9" ht="15" thickBot="1" x14ac:dyDescent="0.35">
      <c r="A14" s="25" t="s">
        <v>8</v>
      </c>
      <c r="B14" s="25">
        <v>27</v>
      </c>
      <c r="C14" s="25">
        <v>11980577324.623667</v>
      </c>
      <c r="D14" s="25"/>
      <c r="E14" s="25"/>
      <c r="F14" s="25"/>
    </row>
    <row r="15" spans="1:9" ht="15" thickBot="1" x14ac:dyDescent="0.35"/>
    <row r="16" spans="1:9" x14ac:dyDescent="0.3">
      <c r="A16" s="28"/>
      <c r="B16" s="28" t="s">
        <v>62</v>
      </c>
      <c r="C16" s="26" t="s">
        <v>51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">
      <c r="A17" s="16" t="s">
        <v>56</v>
      </c>
      <c r="B17" s="16">
        <v>77988.634650197579</v>
      </c>
      <c r="C17">
        <v>16743.704464669994</v>
      </c>
      <c r="D17">
        <v>4.6577885326844655</v>
      </c>
      <c r="E17">
        <v>1.3496778128069208E-4</v>
      </c>
      <c r="F17">
        <v>43168.195033441189</v>
      </c>
      <c r="G17">
        <v>112809.07426695398</v>
      </c>
      <c r="H17">
        <v>43168.195033441189</v>
      </c>
      <c r="I17">
        <v>112809.07426695398</v>
      </c>
    </row>
    <row r="18" spans="1:9" x14ac:dyDescent="0.3">
      <c r="A18" s="16" t="s">
        <v>69</v>
      </c>
      <c r="B18" s="16">
        <v>13918.395353764969</v>
      </c>
      <c r="C18">
        <v>14507.115759029071</v>
      </c>
      <c r="D18">
        <v>0.95941850778314153</v>
      </c>
      <c r="E18">
        <v>0.34826486206172014</v>
      </c>
      <c r="F18">
        <v>-16250.803425778995</v>
      </c>
      <c r="G18">
        <v>44087.594133308929</v>
      </c>
      <c r="H18">
        <v>-16250.803425778995</v>
      </c>
      <c r="I18">
        <v>44087.594133308929</v>
      </c>
    </row>
    <row r="19" spans="1:9" x14ac:dyDescent="0.3">
      <c r="A19" s="16" t="s">
        <v>70</v>
      </c>
      <c r="B19" s="16">
        <v>523.6584987810138</v>
      </c>
      <c r="C19">
        <v>4077.9222737295063</v>
      </c>
      <c r="D19">
        <v>0.12841306519118534</v>
      </c>
      <c r="E19">
        <v>0.89904394626323092</v>
      </c>
      <c r="F19">
        <v>-7956.8451193902465</v>
      </c>
      <c r="G19">
        <v>9004.1621169522732</v>
      </c>
      <c r="H19">
        <v>-7956.8451193902465</v>
      </c>
      <c r="I19">
        <v>9004.1621169522732</v>
      </c>
    </row>
    <row r="20" spans="1:9" x14ac:dyDescent="0.3">
      <c r="A20" s="16" t="s">
        <v>71</v>
      </c>
      <c r="B20" s="16">
        <v>-350.26975008708621</v>
      </c>
      <c r="C20">
        <v>510.14099447629889</v>
      </c>
      <c r="D20">
        <v>-0.68661361051108338</v>
      </c>
      <c r="E20">
        <v>0.49983840715560224</v>
      </c>
      <c r="F20">
        <v>-1411.1660249631441</v>
      </c>
      <c r="G20">
        <v>710.62652478897178</v>
      </c>
      <c r="H20">
        <v>-1411.1660249631441</v>
      </c>
      <c r="I20">
        <v>710.62652478897178</v>
      </c>
    </row>
    <row r="21" spans="1:9" x14ac:dyDescent="0.3">
      <c r="A21" s="16" t="s">
        <v>72</v>
      </c>
      <c r="B21" s="16">
        <v>33.176905030209397</v>
      </c>
      <c r="C21">
        <v>31.462201618981183</v>
      </c>
      <c r="D21">
        <v>1.0545004266387299</v>
      </c>
      <c r="E21">
        <v>0.30363580603243306</v>
      </c>
      <c r="F21">
        <v>-32.252325042237501</v>
      </c>
      <c r="G21">
        <v>98.606135102656296</v>
      </c>
      <c r="H21">
        <v>-32.252325042237501</v>
      </c>
      <c r="I21">
        <v>98.606135102656296</v>
      </c>
    </row>
    <row r="22" spans="1:9" x14ac:dyDescent="0.3">
      <c r="A22" s="16" t="s">
        <v>73</v>
      </c>
      <c r="B22" s="16">
        <v>-1.2307305937489768</v>
      </c>
      <c r="C22">
        <v>0.93618138922662919</v>
      </c>
      <c r="D22">
        <v>-1.3146283486426407</v>
      </c>
      <c r="E22">
        <v>0.20281216563604632</v>
      </c>
      <c r="F22">
        <v>-3.1776263719610678</v>
      </c>
      <c r="G22">
        <v>0.71616518446311428</v>
      </c>
      <c r="H22">
        <v>-3.1776263719610678</v>
      </c>
      <c r="I22">
        <v>0.71616518446311428</v>
      </c>
    </row>
    <row r="23" spans="1:9" ht="15" thickBot="1" x14ac:dyDescent="0.35">
      <c r="A23" s="29" t="s">
        <v>74</v>
      </c>
      <c r="B23" s="29">
        <v>1.614239561646132E-2</v>
      </c>
      <c r="C23" s="25">
        <v>1.0727396731365985E-2</v>
      </c>
      <c r="D23" s="25">
        <v>1.5047821965288506</v>
      </c>
      <c r="E23" s="25">
        <v>0.14727303190562868</v>
      </c>
      <c r="F23" s="25">
        <v>-6.1664471439738452E-3</v>
      </c>
      <c r="G23" s="25">
        <v>3.8451238376896485E-2</v>
      </c>
      <c r="H23" s="25">
        <v>-6.1664471439738452E-3</v>
      </c>
      <c r="I23" s="25">
        <v>3.8451238376896485E-2</v>
      </c>
    </row>
    <row r="27" spans="1:9" x14ac:dyDescent="0.3">
      <c r="A27" t="s">
        <v>75</v>
      </c>
      <c r="F27" t="s">
        <v>79</v>
      </c>
    </row>
    <row r="28" spans="1:9" ht="15" thickBot="1" x14ac:dyDescent="0.35"/>
    <row r="29" spans="1:9" x14ac:dyDescent="0.3">
      <c r="A29" s="26" t="s">
        <v>76</v>
      </c>
      <c r="B29" s="26" t="s">
        <v>77</v>
      </c>
      <c r="C29" s="26" t="s">
        <v>55</v>
      </c>
      <c r="D29" s="26" t="s">
        <v>78</v>
      </c>
      <c r="F29" s="26" t="s">
        <v>80</v>
      </c>
      <c r="G29" s="26" t="s">
        <v>81</v>
      </c>
    </row>
    <row r="30" spans="1:9" x14ac:dyDescent="0.3">
      <c r="A30">
        <v>1</v>
      </c>
      <c r="B30">
        <v>92112.381069488561</v>
      </c>
      <c r="C30">
        <v>69.168930511441431</v>
      </c>
      <c r="D30">
        <v>1.0132631627554982E-2</v>
      </c>
      <c r="F30">
        <v>1.7857142857142858</v>
      </c>
      <c r="G30">
        <v>92181.55</v>
      </c>
    </row>
    <row r="31" spans="1:9" x14ac:dyDescent="0.3">
      <c r="A31">
        <v>2</v>
      </c>
      <c r="B31">
        <v>105610.38156695772</v>
      </c>
      <c r="C31">
        <v>-3829.1710406419297</v>
      </c>
      <c r="D31">
        <v>-0.5609394175511806</v>
      </c>
      <c r="F31">
        <v>5.3571428571428577</v>
      </c>
      <c r="G31">
        <v>101781.21052631579</v>
      </c>
    </row>
    <row r="32" spans="1:9" x14ac:dyDescent="0.3">
      <c r="A32">
        <v>3</v>
      </c>
      <c r="B32">
        <v>117399.49352774063</v>
      </c>
      <c r="C32">
        <v>4211.506472259367</v>
      </c>
      <c r="D32">
        <v>0.61694814947889065</v>
      </c>
      <c r="F32">
        <v>8.9285714285714288</v>
      </c>
      <c r="G32">
        <v>121611</v>
      </c>
    </row>
    <row r="33" spans="1:7" x14ac:dyDescent="0.3">
      <c r="A33">
        <v>4</v>
      </c>
      <c r="B33">
        <v>126922.62685235981</v>
      </c>
      <c r="C33">
        <v>4352.6231476401881</v>
      </c>
      <c r="D33">
        <v>0.63762048426224538</v>
      </c>
      <c r="F33">
        <v>12.500000000000002</v>
      </c>
      <c r="G33">
        <v>131275.25</v>
      </c>
    </row>
    <row r="34" spans="1:7" x14ac:dyDescent="0.3">
      <c r="A34">
        <v>5</v>
      </c>
      <c r="B34">
        <v>134030.11259758452</v>
      </c>
      <c r="C34">
        <v>552.8874024154793</v>
      </c>
      <c r="D34">
        <v>8.099307505217429E-2</v>
      </c>
      <c r="F34">
        <v>16.071428571428573</v>
      </c>
      <c r="G34">
        <v>132906</v>
      </c>
    </row>
    <row r="35" spans="1:7" x14ac:dyDescent="0.3">
      <c r="A35">
        <v>6</v>
      </c>
      <c r="B35">
        <v>138872.69414213422</v>
      </c>
      <c r="C35">
        <v>-2625.6941421342199</v>
      </c>
      <c r="D35">
        <v>-0.38464078180989364</v>
      </c>
      <c r="F35">
        <v>19.642857142857142</v>
      </c>
      <c r="G35">
        <v>133935</v>
      </c>
    </row>
    <row r="36" spans="1:7" x14ac:dyDescent="0.3">
      <c r="A36">
        <v>7</v>
      </c>
      <c r="B36">
        <v>141806.14087722625</v>
      </c>
      <c r="C36">
        <v>-7871.1408772262512</v>
      </c>
      <c r="D36">
        <v>-1.1530519614486594</v>
      </c>
      <c r="F36">
        <v>23.214285714285715</v>
      </c>
      <c r="G36">
        <v>134583</v>
      </c>
    </row>
    <row r="37" spans="1:7" x14ac:dyDescent="0.3">
      <c r="A37">
        <v>8</v>
      </c>
      <c r="B37">
        <v>143307.48442196695</v>
      </c>
      <c r="C37">
        <v>-1499.4844219669467</v>
      </c>
      <c r="D37">
        <v>-0.21966109880121748</v>
      </c>
      <c r="F37">
        <v>26.785714285714285</v>
      </c>
      <c r="G37">
        <v>136247</v>
      </c>
    </row>
    <row r="38" spans="1:7" x14ac:dyDescent="0.3">
      <c r="A38">
        <v>9</v>
      </c>
      <c r="B38">
        <v>143902.87736358691</v>
      </c>
      <c r="C38">
        <v>161.12263641308527</v>
      </c>
      <c r="D38">
        <v>2.3603029706585059E-2</v>
      </c>
      <c r="F38">
        <v>30.357142857142858</v>
      </c>
      <c r="G38">
        <v>137854</v>
      </c>
    </row>
    <row r="39" spans="1:7" x14ac:dyDescent="0.3">
      <c r="A39">
        <v>10</v>
      </c>
      <c r="B39">
        <v>144107.07452252004</v>
      </c>
      <c r="C39">
        <v>3907.9254774799629</v>
      </c>
      <c r="D39">
        <v>0.5724762403936754</v>
      </c>
      <c r="F39">
        <v>33.928571428571431</v>
      </c>
      <c r="G39">
        <v>141808</v>
      </c>
    </row>
    <row r="40" spans="1:7" x14ac:dyDescent="0.3">
      <c r="A40">
        <v>11</v>
      </c>
      <c r="B40">
        <v>144374.53674232631</v>
      </c>
      <c r="C40">
        <v>3849.4632576736913</v>
      </c>
      <c r="D40">
        <v>0.56391204642615245</v>
      </c>
      <c r="F40">
        <v>37.5</v>
      </c>
      <c r="G40">
        <v>144064</v>
      </c>
    </row>
    <row r="41" spans="1:7" x14ac:dyDescent="0.3">
      <c r="A41">
        <v>12</v>
      </c>
      <c r="B41">
        <v>145062.15720445849</v>
      </c>
      <c r="C41">
        <v>14319.84279554151</v>
      </c>
      <c r="D41">
        <v>2.0977292975162918</v>
      </c>
      <c r="F41">
        <v>41.071428571428569</v>
      </c>
      <c r="G41">
        <v>148015</v>
      </c>
    </row>
    <row r="42" spans="1:7" x14ac:dyDescent="0.3">
      <c r="A42">
        <v>13</v>
      </c>
      <c r="B42">
        <v>146403.61026787304</v>
      </c>
      <c r="C42">
        <v>-13497.610267873039</v>
      </c>
      <c r="D42">
        <v>-1.9772795630263258</v>
      </c>
      <c r="F42">
        <v>44.642857142857146</v>
      </c>
      <c r="G42">
        <v>148224</v>
      </c>
    </row>
    <row r="43" spans="1:7" x14ac:dyDescent="0.3">
      <c r="A43">
        <v>14</v>
      </c>
      <c r="B43">
        <v>148495.32283348346</v>
      </c>
      <c r="C43">
        <v>-10641.322833483457</v>
      </c>
      <c r="D43">
        <v>-1.5588589198114302</v>
      </c>
      <c r="F43">
        <v>48.214285714285715</v>
      </c>
      <c r="G43">
        <v>150453</v>
      </c>
    </row>
    <row r="44" spans="1:7" x14ac:dyDescent="0.3">
      <c r="A44">
        <v>15</v>
      </c>
      <c r="B44">
        <v>151294.06823346051</v>
      </c>
      <c r="C44">
        <v>4861.9317665394919</v>
      </c>
      <c r="D44">
        <v>0.71222965606651079</v>
      </c>
      <c r="F44">
        <v>51.785714285714285</v>
      </c>
      <c r="G44">
        <v>156156</v>
      </c>
    </row>
    <row r="45" spans="1:7" x14ac:dyDescent="0.3">
      <c r="A45">
        <v>16</v>
      </c>
      <c r="B45">
        <v>154626.18264537217</v>
      </c>
      <c r="C45">
        <v>6642.8173546278267</v>
      </c>
      <c r="D45">
        <v>0.97311351680418445</v>
      </c>
      <c r="F45">
        <v>55.357142857142861</v>
      </c>
      <c r="G45">
        <v>157938.04761904763</v>
      </c>
    </row>
    <row r="46" spans="1:7" x14ac:dyDescent="0.3">
      <c r="A46">
        <v>17</v>
      </c>
      <c r="B46">
        <v>158208.40403117129</v>
      </c>
      <c r="C46">
        <v>3405.2777870105347</v>
      </c>
      <c r="D46">
        <v>0.49884283521726425</v>
      </c>
      <c r="F46">
        <v>58.928571428571431</v>
      </c>
      <c r="G46">
        <v>158067.38888888888</v>
      </c>
    </row>
    <row r="47" spans="1:7" x14ac:dyDescent="0.3">
      <c r="A47">
        <v>18</v>
      </c>
      <c r="B47">
        <v>161680.33360102435</v>
      </c>
      <c r="C47">
        <v>-1569.3336010243511</v>
      </c>
      <c r="D47">
        <v>-0.22989338077583518</v>
      </c>
      <c r="F47">
        <v>62.5</v>
      </c>
      <c r="G47">
        <v>159382</v>
      </c>
    </row>
    <row r="48" spans="1:7" x14ac:dyDescent="0.3">
      <c r="A48">
        <v>19</v>
      </c>
      <c r="B48">
        <v>164648.51980198559</v>
      </c>
      <c r="C48">
        <v>-6710.4721829379559</v>
      </c>
      <c r="D48">
        <v>-0.98302434595859256</v>
      </c>
      <c r="F48">
        <v>66.071428571428584</v>
      </c>
      <c r="G48">
        <v>160111</v>
      </c>
    </row>
    <row r="49" spans="1:7" x14ac:dyDescent="0.3">
      <c r="A49">
        <v>20</v>
      </c>
      <c r="B49">
        <v>166742.16483151447</v>
      </c>
      <c r="C49">
        <v>-4986.1648315144703</v>
      </c>
      <c r="D49">
        <v>-0.73042869245533193</v>
      </c>
      <c r="F49">
        <v>69.642857142857153</v>
      </c>
      <c r="G49">
        <v>161269</v>
      </c>
    </row>
    <row r="50" spans="1:7" x14ac:dyDescent="0.3">
      <c r="A50">
        <v>21</v>
      </c>
      <c r="B50">
        <v>167680.45367583819</v>
      </c>
      <c r="C50">
        <v>360.78441939991899</v>
      </c>
      <c r="D50">
        <v>5.2851700781118498E-2</v>
      </c>
      <c r="F50">
        <v>73.214285714285722</v>
      </c>
      <c r="G50">
        <v>161613.68181818182</v>
      </c>
    </row>
    <row r="51" spans="1:7" x14ac:dyDescent="0.3">
      <c r="A51">
        <v>22</v>
      </c>
      <c r="B51">
        <v>167351.50567315496</v>
      </c>
      <c r="C51">
        <v>5005.2215995723091</v>
      </c>
      <c r="D51">
        <v>0.73322033907056905</v>
      </c>
      <c r="F51">
        <v>76.785714285714292</v>
      </c>
      <c r="G51">
        <v>161756</v>
      </c>
    </row>
    <row r="52" spans="1:7" x14ac:dyDescent="0.3">
      <c r="A52">
        <v>23</v>
      </c>
      <c r="B52">
        <v>165902.94860168267</v>
      </c>
      <c r="C52">
        <v>-1582.7263794606843</v>
      </c>
      <c r="D52">
        <v>-0.23185530341019453</v>
      </c>
      <c r="F52">
        <v>80.357142857142861</v>
      </c>
      <c r="G52">
        <v>164320.22222222199</v>
      </c>
    </row>
    <row r="53" spans="1:7" x14ac:dyDescent="0.3">
      <c r="A53">
        <v>24</v>
      </c>
      <c r="B53">
        <v>163844.11529255332</v>
      </c>
      <c r="C53">
        <v>16280.662485224457</v>
      </c>
      <c r="D53">
        <v>2.3849718998914651</v>
      </c>
      <c r="F53">
        <v>83.928571428571445</v>
      </c>
      <c r="G53">
        <v>168041.23809523811</v>
      </c>
    </row>
    <row r="54" spans="1:7" x14ac:dyDescent="0.3">
      <c r="A54">
        <v>25</v>
      </c>
      <c r="B54">
        <v>162159.86276755575</v>
      </c>
      <c r="C54">
        <v>-11706.862767555751</v>
      </c>
      <c r="D54">
        <v>-1.7149510200733802</v>
      </c>
      <c r="F54">
        <v>87.500000000000014</v>
      </c>
      <c r="G54">
        <v>168441.45</v>
      </c>
    </row>
    <row r="55" spans="1:7" x14ac:dyDescent="0.3">
      <c r="A55">
        <v>26</v>
      </c>
      <c r="B55">
        <v>162436.01390169933</v>
      </c>
      <c r="C55">
        <v>-4368.6250128104584</v>
      </c>
      <c r="D55">
        <v>-0.63996461484118106</v>
      </c>
      <c r="F55">
        <v>91.071428571428584</v>
      </c>
      <c r="G55">
        <v>172356.72727272726</v>
      </c>
    </row>
    <row r="56" spans="1:7" x14ac:dyDescent="0.3">
      <c r="A56">
        <v>27</v>
      </c>
      <c r="B56">
        <v>166996.42161065619</v>
      </c>
      <c r="C56">
        <v>1445.0283893438173</v>
      </c>
      <c r="D56">
        <v>0.21168377553789169</v>
      </c>
      <c r="F56">
        <v>94.642857142857153</v>
      </c>
      <c r="G56">
        <v>180124.77777777778</v>
      </c>
    </row>
    <row r="57" spans="1:7" ht="15" thickBot="1" x14ac:dyDescent="0.35">
      <c r="A57" s="25">
        <v>28</v>
      </c>
      <c r="B57" s="25">
        <v>179051.6555630248</v>
      </c>
      <c r="C57" s="25">
        <v>1462.344436975196</v>
      </c>
      <c r="D57" s="25">
        <v>0.21422042213046744</v>
      </c>
      <c r="F57" s="25">
        <v>98.214285714285722</v>
      </c>
      <c r="G57" s="25">
        <v>180514</v>
      </c>
    </row>
  </sheetData>
  <sortState xmlns:xlrd2="http://schemas.microsoft.com/office/spreadsheetml/2017/richdata2" ref="G30:G57">
    <sortCondition ref="G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F16B-66BC-4D57-B2F5-715F1D4AE32A}">
  <dimension ref="A2:P32"/>
  <sheetViews>
    <sheetView workbookViewId="0">
      <selection activeCell="J32" sqref="J32"/>
    </sheetView>
  </sheetViews>
  <sheetFormatPr baseColWidth="10" defaultRowHeight="14.4" x14ac:dyDescent="0.3"/>
  <sheetData>
    <row r="2" spans="1:16" ht="58.8" x14ac:dyDescent="0.35">
      <c r="A2" s="32" t="s">
        <v>33</v>
      </c>
      <c r="B2" s="33" t="s">
        <v>34</v>
      </c>
      <c r="C2" s="32" t="s">
        <v>35</v>
      </c>
      <c r="D2" s="32" t="s">
        <v>36</v>
      </c>
      <c r="E2" s="32" t="s">
        <v>37</v>
      </c>
      <c r="F2" s="32" t="s">
        <v>38</v>
      </c>
      <c r="G2" s="32" t="s">
        <v>39</v>
      </c>
      <c r="H2" s="33" t="s">
        <v>40</v>
      </c>
      <c r="I2" s="33" t="s">
        <v>41</v>
      </c>
      <c r="J2" s="33" t="s">
        <v>42</v>
      </c>
      <c r="K2" s="33" t="s">
        <v>43</v>
      </c>
      <c r="L2" s="33" t="s">
        <v>44</v>
      </c>
      <c r="M2" s="33" t="s">
        <v>45</v>
      </c>
      <c r="N2" s="33" t="s">
        <v>10</v>
      </c>
      <c r="O2" s="33" t="s">
        <v>21</v>
      </c>
      <c r="P2" s="33" t="s">
        <v>22</v>
      </c>
    </row>
    <row r="3" spans="1:16" x14ac:dyDescent="0.3">
      <c r="A3" s="23">
        <v>44562</v>
      </c>
      <c r="B3" s="22">
        <v>1</v>
      </c>
      <c r="C3" s="22">
        <f>B3^2</f>
        <v>1</v>
      </c>
      <c r="D3" s="22">
        <f>B3^3</f>
        <v>1</v>
      </c>
      <c r="E3" s="22">
        <f>B3^4</f>
        <v>1</v>
      </c>
      <c r="F3" s="22">
        <f>B3^5</f>
        <v>1</v>
      </c>
      <c r="G3" s="22">
        <f>B3^6</f>
        <v>1</v>
      </c>
      <c r="H3" s="24">
        <v>92181.55</v>
      </c>
      <c r="I3" s="24">
        <f>'AD LABORABLE'!$B$23*'REGRESIÓN LABORABLE'!G3+'AD LABORABLE'!$B$22*'REGRESIÓN LABORABLE'!F3+'AD LABORABLE'!$B$21*'REGRESIÓN LABORABLE'!E3+'AD LABORABLE'!$B$20*'REGRESIÓN LABORABLE'!D3+'AD LABORABLE'!$B$19*'REGRESIÓN LABORABLE'!C3+'AD LABORABLE'!$B$18*'REGRESIÓN LABORABLE'!B3+'AD LABORABLE'!$B$17</f>
        <v>92112.381069488547</v>
      </c>
      <c r="J3" s="24">
        <f>I3-H3</f>
        <v>-69.168930511455983</v>
      </c>
      <c r="K3" s="24">
        <f>ABS(J3)</f>
        <v>69.168930511455983</v>
      </c>
      <c r="L3" s="24">
        <f>SUMSQ($J$3:J3)/B3</f>
        <v>4784.3409480986265</v>
      </c>
      <c r="M3" s="24">
        <f>SUM($K$3:K3)/B3</f>
        <v>69.168930511455983</v>
      </c>
      <c r="N3" s="34">
        <f>100*(K3/H3)</f>
        <v>7.5035547255883614E-2</v>
      </c>
      <c r="O3" s="34">
        <f>AVERAGE($N$3:N3)</f>
        <v>7.5035547255883614E-2</v>
      </c>
      <c r="P3" s="30">
        <f>SUM($J$3:J3)/M3</f>
        <v>-1</v>
      </c>
    </row>
    <row r="4" spans="1:16" x14ac:dyDescent="0.3">
      <c r="A4" s="23">
        <v>44593</v>
      </c>
      <c r="B4" s="22">
        <v>2</v>
      </c>
      <c r="C4" s="22">
        <f t="shared" ref="C4:C32" si="0">B4^2</f>
        <v>4</v>
      </c>
      <c r="D4" s="22">
        <f t="shared" ref="D4:D30" si="1">B4^3</f>
        <v>8</v>
      </c>
      <c r="E4" s="22">
        <f t="shared" ref="E4:E30" si="2">B4^4</f>
        <v>16</v>
      </c>
      <c r="F4" s="22">
        <f t="shared" ref="F4:F30" si="3">B4^5</f>
        <v>32</v>
      </c>
      <c r="G4" s="22">
        <f t="shared" ref="G4:G30" si="4">B4^6</f>
        <v>64</v>
      </c>
      <c r="H4" s="24">
        <v>101781.21052631579</v>
      </c>
      <c r="I4" s="24">
        <f>'AD LABORABLE'!$B$23*'REGRESIÓN LABORABLE'!G4+'AD LABORABLE'!$B$22*'REGRESIÓN LABORABLE'!F4+'AD LABORABLE'!$B$21*'REGRESIÓN LABORABLE'!E4+'AD LABORABLE'!$B$20*'REGRESIÓN LABORABLE'!D4+'AD LABORABLE'!$B$19*'REGRESIÓN LABORABLE'!C4+'AD LABORABLE'!$B$18*'REGRESIÓN LABORABLE'!B4+'AD LABORABLE'!$B$17</f>
        <v>105610.38156695772</v>
      </c>
      <c r="J4" s="24">
        <f t="shared" ref="J4:J30" si="5">I4-H4</f>
        <v>3829.1710406419297</v>
      </c>
      <c r="K4" s="24">
        <f t="shared" ref="K4:K30" si="6">ABS(J4)</f>
        <v>3829.1710406419297</v>
      </c>
      <c r="L4" s="24">
        <f>SUMSQ($J$3:J4)/B4</f>
        <v>7333667.5997194489</v>
      </c>
      <c r="M4" s="24">
        <f>SUM($K$3:K4)/B4</f>
        <v>1949.1699855766929</v>
      </c>
      <c r="N4" s="34">
        <f t="shared" ref="N4:N30" si="7">100*(K4/H4)</f>
        <v>3.7621590673181151</v>
      </c>
      <c r="O4" s="34">
        <f>AVERAGE($N$3:N4)</f>
        <v>1.9185973072869993</v>
      </c>
      <c r="P4" s="30">
        <f>SUM($J$3:J4)/M4</f>
        <v>1.9290272977490044</v>
      </c>
    </row>
    <row r="5" spans="1:16" x14ac:dyDescent="0.3">
      <c r="A5" s="23">
        <v>44621</v>
      </c>
      <c r="B5" s="22">
        <v>3</v>
      </c>
      <c r="C5" s="22">
        <f t="shared" si="0"/>
        <v>9</v>
      </c>
      <c r="D5" s="22">
        <f t="shared" si="1"/>
        <v>27</v>
      </c>
      <c r="E5" s="22">
        <f t="shared" si="2"/>
        <v>81</v>
      </c>
      <c r="F5" s="22">
        <f t="shared" si="3"/>
        <v>243</v>
      </c>
      <c r="G5" s="22">
        <f t="shared" si="4"/>
        <v>729</v>
      </c>
      <c r="H5" s="24">
        <v>121611</v>
      </c>
      <c r="I5" s="24">
        <f>'AD LABORABLE'!$B$23*'REGRESIÓN LABORABLE'!G5+'AD LABORABLE'!$B$22*'REGRESIÓN LABORABLE'!F5+'AD LABORABLE'!$B$21*'REGRESIÓN LABORABLE'!E5+'AD LABORABLE'!$B$20*'REGRESIÓN LABORABLE'!D5+'AD LABORABLE'!$B$19*'REGRESIÓN LABORABLE'!C5+'AD LABORABLE'!$B$18*'REGRESIÓN LABORABLE'!B5+'AD LABORABLE'!$B$17</f>
        <v>117399.49352774065</v>
      </c>
      <c r="J5" s="24">
        <f t="shared" si="5"/>
        <v>-4211.5064722593524</v>
      </c>
      <c r="K5" s="24">
        <f t="shared" si="6"/>
        <v>4211.5064722593524</v>
      </c>
      <c r="L5" s="24">
        <f>SUMSQ($J$3:J5)/B5</f>
        <v>10801373.988440439</v>
      </c>
      <c r="M5" s="24">
        <f>SUM($K$3:K5)/B5</f>
        <v>2703.2821478042461</v>
      </c>
      <c r="N5" s="34">
        <f t="shared" si="7"/>
        <v>3.4630966542988322</v>
      </c>
      <c r="O5" s="34">
        <f>AVERAGE($N$3:N5)</f>
        <v>2.4334304229576103</v>
      </c>
      <c r="P5" s="30">
        <f>SUM($J$3:J5)/M5</f>
        <v>-0.16702080561424759</v>
      </c>
    </row>
    <row r="6" spans="1:16" x14ac:dyDescent="0.3">
      <c r="A6" s="23">
        <v>44652</v>
      </c>
      <c r="B6" s="22">
        <v>4</v>
      </c>
      <c r="C6" s="22">
        <f t="shared" si="0"/>
        <v>16</v>
      </c>
      <c r="D6" s="22">
        <f t="shared" si="1"/>
        <v>64</v>
      </c>
      <c r="E6" s="22">
        <f t="shared" si="2"/>
        <v>256</v>
      </c>
      <c r="F6" s="22">
        <f t="shared" si="3"/>
        <v>1024</v>
      </c>
      <c r="G6" s="22">
        <f t="shared" si="4"/>
        <v>4096</v>
      </c>
      <c r="H6" s="24">
        <v>131275.25</v>
      </c>
      <c r="I6" s="24">
        <f>'AD LABORABLE'!$B$23*'REGRESIÓN LABORABLE'!G6+'AD LABORABLE'!$B$22*'REGRESIÓN LABORABLE'!F6+'AD LABORABLE'!$B$21*'REGRESIÓN LABORABLE'!E6+'AD LABORABLE'!$B$20*'REGRESIÓN LABORABLE'!D6+'AD LABORABLE'!$B$19*'REGRESIÓN LABORABLE'!C6+'AD LABORABLE'!$B$18*'REGRESIÓN LABORABLE'!B6+'AD LABORABLE'!$B$17</f>
        <v>126922.62685235983</v>
      </c>
      <c r="J6" s="24">
        <f t="shared" si="5"/>
        <v>-4352.6231476401736</v>
      </c>
      <c r="K6" s="24">
        <f t="shared" si="6"/>
        <v>4352.6231476401736</v>
      </c>
      <c r="L6" s="24">
        <f>SUMSQ($J$3:J6)/B6</f>
        <v>12837362.557673592</v>
      </c>
      <c r="M6" s="24">
        <f>SUM($K$3:K6)/B6</f>
        <v>3115.6173977632279</v>
      </c>
      <c r="N6" s="34">
        <f t="shared" si="7"/>
        <v>3.3156464357448749</v>
      </c>
      <c r="O6" s="34">
        <f>AVERAGE($N$3:N6)</f>
        <v>2.6539844261544268</v>
      </c>
      <c r="P6" s="30">
        <f>SUM($J$3:J6)/M6</f>
        <v>-1.5419504054695687</v>
      </c>
    </row>
    <row r="7" spans="1:16" x14ac:dyDescent="0.3">
      <c r="A7" s="23">
        <v>44682</v>
      </c>
      <c r="B7" s="22">
        <v>5</v>
      </c>
      <c r="C7" s="22">
        <f t="shared" si="0"/>
        <v>25</v>
      </c>
      <c r="D7" s="22">
        <f t="shared" si="1"/>
        <v>125</v>
      </c>
      <c r="E7" s="22">
        <f t="shared" si="2"/>
        <v>625</v>
      </c>
      <c r="F7" s="22">
        <f t="shared" si="3"/>
        <v>3125</v>
      </c>
      <c r="G7" s="22">
        <f t="shared" si="4"/>
        <v>15625</v>
      </c>
      <c r="H7" s="24">
        <v>134583</v>
      </c>
      <c r="I7" s="24">
        <f>'AD LABORABLE'!$B$23*'REGRESIÓN LABORABLE'!G7+'AD LABORABLE'!$B$22*'REGRESIÓN LABORABLE'!F7+'AD LABORABLE'!$B$21*'REGRESIÓN LABORABLE'!E7+'AD LABORABLE'!$B$20*'REGRESIÓN LABORABLE'!D7+'AD LABORABLE'!$B$19*'REGRESIÓN LABORABLE'!C7+'AD LABORABLE'!$B$18*'REGRESIÓN LABORABLE'!B7+'AD LABORABLE'!$B$17</f>
        <v>134030.11259758452</v>
      </c>
      <c r="J7" s="24">
        <f t="shared" si="5"/>
        <v>-552.8874024154793</v>
      </c>
      <c r="K7" s="24">
        <f t="shared" si="6"/>
        <v>552.8874024154793</v>
      </c>
      <c r="L7" s="24">
        <f>SUMSQ($J$3:J7)/B7</f>
        <v>10331026.942088822</v>
      </c>
      <c r="M7" s="24">
        <f>SUM($K$3:K7)/B7</f>
        <v>2603.071398693678</v>
      </c>
      <c r="N7" s="34">
        <f t="shared" si="7"/>
        <v>0.41081518647635973</v>
      </c>
      <c r="O7" s="34">
        <f>AVERAGE($N$3:N7)</f>
        <v>2.2053505782188134</v>
      </c>
      <c r="P7" s="30">
        <f>SUM($J$3:J7)/M7</f>
        <v>-2.0579592687595465</v>
      </c>
    </row>
    <row r="8" spans="1:16" x14ac:dyDescent="0.3">
      <c r="A8" s="23">
        <v>44713</v>
      </c>
      <c r="B8" s="22">
        <v>6</v>
      </c>
      <c r="C8" s="22">
        <f t="shared" si="0"/>
        <v>36</v>
      </c>
      <c r="D8" s="22">
        <f t="shared" si="1"/>
        <v>216</v>
      </c>
      <c r="E8" s="22">
        <f t="shared" si="2"/>
        <v>1296</v>
      </c>
      <c r="F8" s="22">
        <f t="shared" si="3"/>
        <v>7776</v>
      </c>
      <c r="G8" s="22">
        <f t="shared" si="4"/>
        <v>46656</v>
      </c>
      <c r="H8" s="24">
        <v>136247</v>
      </c>
      <c r="I8" s="24">
        <f>'AD LABORABLE'!$B$23*'REGRESIÓN LABORABLE'!G8+'AD LABORABLE'!$B$22*'REGRESIÓN LABORABLE'!F8+'AD LABORABLE'!$B$21*'REGRESIÓN LABORABLE'!E8+'AD LABORABLE'!$B$20*'REGRESIÓN LABORABLE'!D8+'AD LABORABLE'!$B$19*'REGRESIÓN LABORABLE'!C8+'AD LABORABLE'!$B$18*'REGRESIÓN LABORABLE'!B8+'AD LABORABLE'!$B$17</f>
        <v>138872.69414213422</v>
      </c>
      <c r="J8" s="24">
        <f t="shared" si="5"/>
        <v>2625.6941421342199</v>
      </c>
      <c r="K8" s="24">
        <f t="shared" si="6"/>
        <v>2625.6941421342199</v>
      </c>
      <c r="L8" s="24">
        <f>SUMSQ($J$3:J8)/B8</f>
        <v>9758234.0730803441</v>
      </c>
      <c r="M8" s="24">
        <f>SUM($K$3:K8)/B8</f>
        <v>2606.8418559337683</v>
      </c>
      <c r="N8" s="34">
        <f t="shared" si="7"/>
        <v>1.9271573995274904</v>
      </c>
      <c r="O8" s="34">
        <f>AVERAGE($N$3:N8)</f>
        <v>2.1589850484369264</v>
      </c>
      <c r="P8" s="30">
        <f>SUM($J$3:J8)/M8</f>
        <v>-1.0477508498772954</v>
      </c>
    </row>
    <row r="9" spans="1:16" x14ac:dyDescent="0.3">
      <c r="A9" s="23">
        <v>44743</v>
      </c>
      <c r="B9" s="22">
        <v>7</v>
      </c>
      <c r="C9" s="22">
        <f t="shared" si="0"/>
        <v>49</v>
      </c>
      <c r="D9" s="22">
        <f t="shared" si="1"/>
        <v>343</v>
      </c>
      <c r="E9" s="22">
        <f t="shared" si="2"/>
        <v>2401</v>
      </c>
      <c r="F9" s="22">
        <f t="shared" si="3"/>
        <v>16807</v>
      </c>
      <c r="G9" s="22">
        <f t="shared" si="4"/>
        <v>117649</v>
      </c>
      <c r="H9" s="24">
        <v>133935</v>
      </c>
      <c r="I9" s="24">
        <f>'AD LABORABLE'!$B$23*'REGRESIÓN LABORABLE'!G9+'AD LABORABLE'!$B$22*'REGRESIÓN LABORABLE'!F9+'AD LABORABLE'!$B$21*'REGRESIÓN LABORABLE'!E9+'AD LABORABLE'!$B$20*'REGRESIÓN LABORABLE'!D9+'AD LABORABLE'!$B$19*'REGRESIÓN LABORABLE'!C9+'AD LABORABLE'!$B$18*'REGRESIÓN LABORABLE'!B9+'AD LABORABLE'!$B$17</f>
        <v>141806.14087722622</v>
      </c>
      <c r="J9" s="24">
        <f t="shared" si="5"/>
        <v>7871.1408772262221</v>
      </c>
      <c r="K9" s="24">
        <f t="shared" si="6"/>
        <v>7871.1408772262221</v>
      </c>
      <c r="L9" s="24">
        <f>SUMSQ($J$3:J9)/B9</f>
        <v>17214894.735374805</v>
      </c>
      <c r="M9" s="24">
        <f>SUM($K$3:K9)/B9</f>
        <v>3358.8845732612617</v>
      </c>
      <c r="N9" s="34">
        <f t="shared" si="7"/>
        <v>5.8768364335134375</v>
      </c>
      <c r="O9" s="34">
        <f>AVERAGE($N$3:N9)</f>
        <v>2.6901066748764282</v>
      </c>
      <c r="P9" s="30">
        <f>SUM($J$3:J9)/M9</f>
        <v>1.5302163545874619</v>
      </c>
    </row>
    <row r="10" spans="1:16" x14ac:dyDescent="0.3">
      <c r="A10" s="23">
        <v>44774</v>
      </c>
      <c r="B10" s="22">
        <v>8</v>
      </c>
      <c r="C10" s="22">
        <f t="shared" si="0"/>
        <v>64</v>
      </c>
      <c r="D10" s="22">
        <f t="shared" si="1"/>
        <v>512</v>
      </c>
      <c r="E10" s="22">
        <f t="shared" si="2"/>
        <v>4096</v>
      </c>
      <c r="F10" s="22">
        <f t="shared" si="3"/>
        <v>32768</v>
      </c>
      <c r="G10" s="22">
        <f t="shared" si="4"/>
        <v>262144</v>
      </c>
      <c r="H10" s="24">
        <v>141808</v>
      </c>
      <c r="I10" s="24">
        <f>'AD LABORABLE'!$B$23*'REGRESIÓN LABORABLE'!G10+'AD LABORABLE'!$B$22*'REGRESIÓN LABORABLE'!F10+'AD LABORABLE'!$B$21*'REGRESIÓN LABORABLE'!E10+'AD LABORABLE'!$B$20*'REGRESIÓN LABORABLE'!D10+'AD LABORABLE'!$B$19*'REGRESIÓN LABORABLE'!C10+'AD LABORABLE'!$B$18*'REGRESIÓN LABORABLE'!B10+'AD LABORABLE'!$B$17</f>
        <v>143307.48442196695</v>
      </c>
      <c r="J10" s="24">
        <f t="shared" si="5"/>
        <v>1499.4844219669467</v>
      </c>
      <c r="K10" s="24">
        <f t="shared" si="6"/>
        <v>1499.4844219669467</v>
      </c>
      <c r="L10" s="24">
        <f>SUMSQ($J$3:J10)/B10</f>
        <v>15344089.584918149</v>
      </c>
      <c r="M10" s="24">
        <f>SUM($K$3:K10)/B10</f>
        <v>3126.4595543494725</v>
      </c>
      <c r="N10" s="34">
        <f t="shared" si="7"/>
        <v>1.0574046753123567</v>
      </c>
      <c r="O10" s="34">
        <f>AVERAGE($N$3:N10)</f>
        <v>2.486018924930919</v>
      </c>
      <c r="P10" s="30">
        <f>SUM($J$3:J10)/M10</f>
        <v>2.1235856129679913</v>
      </c>
    </row>
    <row r="11" spans="1:16" x14ac:dyDescent="0.3">
      <c r="A11" s="23">
        <v>44805</v>
      </c>
      <c r="B11" s="22">
        <v>9</v>
      </c>
      <c r="C11" s="22">
        <f t="shared" si="0"/>
        <v>81</v>
      </c>
      <c r="D11" s="22">
        <f t="shared" si="1"/>
        <v>729</v>
      </c>
      <c r="E11" s="22">
        <f t="shared" si="2"/>
        <v>6561</v>
      </c>
      <c r="F11" s="22">
        <f t="shared" si="3"/>
        <v>59049</v>
      </c>
      <c r="G11" s="22">
        <f t="shared" si="4"/>
        <v>531441</v>
      </c>
      <c r="H11" s="24">
        <v>144064</v>
      </c>
      <c r="I11" s="24">
        <f>'AD LABORABLE'!$B$23*'REGRESIÓN LABORABLE'!G11+'AD LABORABLE'!$B$22*'REGRESIÓN LABORABLE'!F11+'AD LABORABLE'!$B$21*'REGRESIÓN LABORABLE'!E11+'AD LABORABLE'!$B$20*'REGRESIÓN LABORABLE'!D11+'AD LABORABLE'!$B$19*'REGRESIÓN LABORABLE'!C11+'AD LABORABLE'!$B$18*'REGRESIÓN LABORABLE'!B11+'AD LABORABLE'!$B$17</f>
        <v>143902.87736358691</v>
      </c>
      <c r="J11" s="24">
        <f t="shared" si="5"/>
        <v>-161.12263641308527</v>
      </c>
      <c r="K11" s="24">
        <f t="shared" si="6"/>
        <v>161.12263641308527</v>
      </c>
      <c r="L11" s="24">
        <f>SUMSQ($J$3:J11)/B11</f>
        <v>13642075.242589988</v>
      </c>
      <c r="M11" s="24">
        <f>SUM($K$3:K11)/B11</f>
        <v>2796.9776745787626</v>
      </c>
      <c r="N11" s="34">
        <f t="shared" si="7"/>
        <v>0.11184101261459162</v>
      </c>
      <c r="O11" s="34">
        <f>AVERAGE($N$3:N11)</f>
        <v>2.2222213791179937</v>
      </c>
      <c r="P11" s="35">
        <f>SUM($J$3:J11)/M11</f>
        <v>2.3161364324101781</v>
      </c>
    </row>
    <row r="12" spans="1:16" x14ac:dyDescent="0.3">
      <c r="A12" s="23">
        <v>44835</v>
      </c>
      <c r="B12" s="22">
        <v>10</v>
      </c>
      <c r="C12" s="22">
        <f t="shared" si="0"/>
        <v>100</v>
      </c>
      <c r="D12" s="22">
        <f t="shared" si="1"/>
        <v>1000</v>
      </c>
      <c r="E12" s="22">
        <f t="shared" si="2"/>
        <v>10000</v>
      </c>
      <c r="F12" s="22">
        <f t="shared" si="3"/>
        <v>100000</v>
      </c>
      <c r="G12" s="22">
        <f t="shared" si="4"/>
        <v>1000000</v>
      </c>
      <c r="H12" s="24">
        <v>148015</v>
      </c>
      <c r="I12" s="24">
        <f>'AD LABORABLE'!$B$23*'REGRESIÓN LABORABLE'!G12+'AD LABORABLE'!$B$22*'REGRESIÓN LABORABLE'!F12+'AD LABORABLE'!$B$21*'REGRESIÓN LABORABLE'!E12+'AD LABORABLE'!$B$20*'REGRESIÓN LABORABLE'!D12+'AD LABORABLE'!$B$19*'REGRESIÓN LABORABLE'!C12+'AD LABORABLE'!$B$18*'REGRESIÓN LABORABLE'!B12+'AD LABORABLE'!$B$17</f>
        <v>144107.07452252001</v>
      </c>
      <c r="J12" s="24">
        <f t="shared" si="5"/>
        <v>-3907.925477479992</v>
      </c>
      <c r="K12" s="24">
        <f t="shared" si="6"/>
        <v>3907.925477479992</v>
      </c>
      <c r="L12" s="24">
        <f>SUMSQ($J$3:J12)/B12</f>
        <v>13805055.872084713</v>
      </c>
      <c r="M12" s="24">
        <f>SUM($K$3:K12)/B12</f>
        <v>2908.0724548688859</v>
      </c>
      <c r="N12" s="34">
        <f t="shared" si="7"/>
        <v>2.6402225973583704</v>
      </c>
      <c r="O12" s="34">
        <f>AVERAGE($N$3:N12)</f>
        <v>2.2640215009420315</v>
      </c>
      <c r="P12" s="30">
        <f>SUM($J$3:J12)/M12</f>
        <v>0.88383506777710708</v>
      </c>
    </row>
    <row r="13" spans="1:16" x14ac:dyDescent="0.3">
      <c r="A13" s="23">
        <v>44866</v>
      </c>
      <c r="B13" s="22">
        <v>11</v>
      </c>
      <c r="C13" s="22">
        <f t="shared" si="0"/>
        <v>121</v>
      </c>
      <c r="D13" s="22">
        <f t="shared" si="1"/>
        <v>1331</v>
      </c>
      <c r="E13" s="22">
        <f t="shared" si="2"/>
        <v>14641</v>
      </c>
      <c r="F13" s="22">
        <f t="shared" si="3"/>
        <v>161051</v>
      </c>
      <c r="G13" s="22">
        <f t="shared" si="4"/>
        <v>1771561</v>
      </c>
      <c r="H13" s="24">
        <v>148224</v>
      </c>
      <c r="I13" s="24">
        <f>'AD LABORABLE'!$B$23*'REGRESIÓN LABORABLE'!G13+'AD LABORABLE'!$B$22*'REGRESIÓN LABORABLE'!F13+'AD LABORABLE'!$B$21*'REGRESIÓN LABORABLE'!E13+'AD LABORABLE'!$B$20*'REGRESIÓN LABORABLE'!D13+'AD LABORABLE'!$B$19*'REGRESIÓN LABORABLE'!C13+'AD LABORABLE'!$B$18*'REGRESIÓN LABORABLE'!B13+'AD LABORABLE'!$B$17</f>
        <v>144374.53674232631</v>
      </c>
      <c r="J13" s="24">
        <f t="shared" si="5"/>
        <v>-3849.4632576736913</v>
      </c>
      <c r="K13" s="24">
        <f t="shared" si="6"/>
        <v>3849.4632576736913</v>
      </c>
      <c r="L13" s="24">
        <f>SUMSQ($J$3:J13)/B13</f>
        <v>13897175.09936608</v>
      </c>
      <c r="M13" s="24">
        <f>SUM($K$3:K13)/B13</f>
        <v>2993.6534369420497</v>
      </c>
      <c r="N13" s="34">
        <f t="shared" si="7"/>
        <v>2.5970580052310632</v>
      </c>
      <c r="O13" s="34">
        <f>AVERAGE($N$3:N13)</f>
        <v>2.2942975467864888</v>
      </c>
      <c r="P13" s="30">
        <f>SUM($J$3:J13)/M13</f>
        <v>-0.42730625617459339</v>
      </c>
    </row>
    <row r="14" spans="1:16" x14ac:dyDescent="0.3">
      <c r="A14" s="23">
        <v>44896</v>
      </c>
      <c r="B14" s="22">
        <v>12</v>
      </c>
      <c r="C14" s="22">
        <f t="shared" si="0"/>
        <v>144</v>
      </c>
      <c r="D14" s="22">
        <f t="shared" si="1"/>
        <v>1728</v>
      </c>
      <c r="E14" s="22">
        <f t="shared" si="2"/>
        <v>20736</v>
      </c>
      <c r="F14" s="22">
        <f t="shared" si="3"/>
        <v>248832</v>
      </c>
      <c r="G14" s="22">
        <f t="shared" si="4"/>
        <v>2985984</v>
      </c>
      <c r="H14" s="24">
        <v>159382</v>
      </c>
      <c r="I14" s="24">
        <f>'AD LABORABLE'!$B$23*'REGRESIÓN LABORABLE'!G14+'AD LABORABLE'!$B$22*'REGRESIÓN LABORABLE'!F14+'AD LABORABLE'!$B$21*'REGRESIÓN LABORABLE'!E14+'AD LABORABLE'!$B$20*'REGRESIÓN LABORABLE'!D14+'AD LABORABLE'!$B$19*'REGRESIÓN LABORABLE'!C14+'AD LABORABLE'!$B$18*'REGRESIÓN LABORABLE'!B14+'AD LABORABLE'!$B$17</f>
        <v>145062.15720445849</v>
      </c>
      <c r="J14" s="24">
        <f t="shared" si="5"/>
        <v>-14319.84279554151</v>
      </c>
      <c r="K14" s="24">
        <f t="shared" si="6"/>
        <v>14319.84279554151</v>
      </c>
      <c r="L14" s="24">
        <f>SUMSQ($J$3:J14)/B14</f>
        <v>29827235.315170746</v>
      </c>
      <c r="M14" s="24">
        <f>SUM($K$3:K14)/B14</f>
        <v>3937.5025501586715</v>
      </c>
      <c r="N14" s="34">
        <f t="shared" si="7"/>
        <v>8.9846047831885087</v>
      </c>
      <c r="O14" s="34">
        <f>AVERAGE($N$3:N14)</f>
        <v>2.8518231498199902</v>
      </c>
      <c r="P14" s="35">
        <f>SUM($J$3:J14)/M14</f>
        <v>-3.9616608343115405</v>
      </c>
    </row>
    <row r="15" spans="1:16" x14ac:dyDescent="0.3">
      <c r="A15" s="23">
        <v>44927</v>
      </c>
      <c r="B15" s="22">
        <v>13</v>
      </c>
      <c r="C15" s="22">
        <f t="shared" si="0"/>
        <v>169</v>
      </c>
      <c r="D15" s="22">
        <f t="shared" si="1"/>
        <v>2197</v>
      </c>
      <c r="E15" s="22">
        <f t="shared" si="2"/>
        <v>28561</v>
      </c>
      <c r="F15" s="22">
        <f t="shared" si="3"/>
        <v>371293</v>
      </c>
      <c r="G15" s="22">
        <f t="shared" si="4"/>
        <v>4826809</v>
      </c>
      <c r="H15" s="24">
        <v>132906</v>
      </c>
      <c r="I15" s="24">
        <f>'AD LABORABLE'!$B$23*'REGRESIÓN LABORABLE'!G15+'AD LABORABLE'!$B$22*'REGRESIÓN LABORABLE'!F15+'AD LABORABLE'!$B$21*'REGRESIÓN LABORABLE'!E15+'AD LABORABLE'!$B$20*'REGRESIÓN LABORABLE'!D15+'AD LABORABLE'!$B$19*'REGRESIÓN LABORABLE'!C15+'AD LABORABLE'!$B$18*'REGRESIÓN LABORABLE'!B15+'AD LABORABLE'!$B$17</f>
        <v>146403.61026787304</v>
      </c>
      <c r="J15" s="24">
        <f t="shared" si="5"/>
        <v>13497.610267873039</v>
      </c>
      <c r="K15" s="24">
        <f t="shared" si="6"/>
        <v>13497.610267873039</v>
      </c>
      <c r="L15" s="24">
        <f>SUMSQ($J$3:J15)/B15</f>
        <v>41547100.517341584</v>
      </c>
      <c r="M15" s="24">
        <f>SUM($K$3:K15)/B15</f>
        <v>4672.8954515213154</v>
      </c>
      <c r="N15" s="34">
        <f t="shared" si="7"/>
        <v>10.155756901774968</v>
      </c>
      <c r="O15" s="34">
        <f>AVERAGE($N$3:N15)</f>
        <v>3.4136642076626802</v>
      </c>
      <c r="P15" s="30">
        <f>SUM($J$3:J15)/M15</f>
        <v>-0.44970819310931404</v>
      </c>
    </row>
    <row r="16" spans="1:16" x14ac:dyDescent="0.3">
      <c r="A16" s="23">
        <v>44958</v>
      </c>
      <c r="B16" s="22">
        <v>14</v>
      </c>
      <c r="C16" s="22">
        <f t="shared" si="0"/>
        <v>196</v>
      </c>
      <c r="D16" s="22">
        <f t="shared" si="1"/>
        <v>2744</v>
      </c>
      <c r="E16" s="22">
        <f t="shared" si="2"/>
        <v>38416</v>
      </c>
      <c r="F16" s="22">
        <f t="shared" si="3"/>
        <v>537824</v>
      </c>
      <c r="G16" s="22">
        <f t="shared" si="4"/>
        <v>7529536</v>
      </c>
      <c r="H16" s="24">
        <v>137854</v>
      </c>
      <c r="I16" s="24">
        <f>'AD LABORABLE'!$B$23*'REGRESIÓN LABORABLE'!G16+'AD LABORABLE'!$B$22*'REGRESIÓN LABORABLE'!F16+'AD LABORABLE'!$B$21*'REGRESIÓN LABORABLE'!E16+'AD LABORABLE'!$B$20*'REGRESIÓN LABORABLE'!D16+'AD LABORABLE'!$B$19*'REGRESIÓN LABORABLE'!C16+'AD LABORABLE'!$B$18*'REGRESIÓN LABORABLE'!B16+'AD LABORABLE'!$B$17</f>
        <v>148495.32283348343</v>
      </c>
      <c r="J16" s="24">
        <f t="shared" si="5"/>
        <v>10641.322833483428</v>
      </c>
      <c r="K16" s="24">
        <f t="shared" si="6"/>
        <v>10641.322833483428</v>
      </c>
      <c r="L16" s="24">
        <f>SUMSQ($J$3:J16)/B16</f>
        <v>46667861.312275462</v>
      </c>
      <c r="M16" s="24">
        <f>SUM($K$3:K16)/B16</f>
        <v>5099.2116930900374</v>
      </c>
      <c r="N16" s="34">
        <f t="shared" si="7"/>
        <v>7.7192702667194482</v>
      </c>
      <c r="O16" s="34">
        <f>AVERAGE($N$3:N16)</f>
        <v>3.7212074975953064</v>
      </c>
      <c r="P16" s="30">
        <f>SUM($J$3:J16)/M16</f>
        <v>1.6747458190377693</v>
      </c>
    </row>
    <row r="17" spans="1:16" x14ac:dyDescent="0.3">
      <c r="A17" s="23">
        <v>44986</v>
      </c>
      <c r="B17" s="22">
        <v>15</v>
      </c>
      <c r="C17" s="22">
        <f t="shared" si="0"/>
        <v>225</v>
      </c>
      <c r="D17" s="22">
        <f t="shared" si="1"/>
        <v>3375</v>
      </c>
      <c r="E17" s="22">
        <f t="shared" si="2"/>
        <v>50625</v>
      </c>
      <c r="F17" s="22">
        <f t="shared" si="3"/>
        <v>759375</v>
      </c>
      <c r="G17" s="22">
        <f t="shared" si="4"/>
        <v>11390625</v>
      </c>
      <c r="H17" s="24">
        <v>156156</v>
      </c>
      <c r="I17" s="24">
        <f>'AD LABORABLE'!$B$23*'REGRESIÓN LABORABLE'!G17+'AD LABORABLE'!$B$22*'REGRESIÓN LABORABLE'!F17+'AD LABORABLE'!$B$21*'REGRESIÓN LABORABLE'!E17+'AD LABORABLE'!$B$20*'REGRESIÓN LABORABLE'!D17+'AD LABORABLE'!$B$19*'REGRESIÓN LABORABLE'!C17+'AD LABORABLE'!$B$18*'REGRESIÓN LABORABLE'!B17+'AD LABORABLE'!$B$17</f>
        <v>151294.06823346057</v>
      </c>
      <c r="J17" s="24">
        <f t="shared" si="5"/>
        <v>-4861.9317665394337</v>
      </c>
      <c r="K17" s="24">
        <f t="shared" si="6"/>
        <v>4861.9317665394337</v>
      </c>
      <c r="L17" s="24">
        <f>SUMSQ($J$3:J17)/B17</f>
        <v>45132562.591622785</v>
      </c>
      <c r="M17" s="24">
        <f>SUM($K$3:K17)/B17</f>
        <v>5083.3930313199971</v>
      </c>
      <c r="N17" s="34">
        <f t="shared" si="7"/>
        <v>3.1135094178510165</v>
      </c>
      <c r="O17" s="34">
        <f>AVERAGE($N$3:N17)</f>
        <v>3.6806942922790209</v>
      </c>
      <c r="P17" s="30">
        <f>SUM($J$3:J17)/M17</f>
        <v>0.72352298439071561</v>
      </c>
    </row>
    <row r="18" spans="1:16" x14ac:dyDescent="0.3">
      <c r="A18" s="23">
        <v>45017</v>
      </c>
      <c r="B18" s="22">
        <v>16</v>
      </c>
      <c r="C18" s="22">
        <f t="shared" si="0"/>
        <v>256</v>
      </c>
      <c r="D18" s="22">
        <f t="shared" si="1"/>
        <v>4096</v>
      </c>
      <c r="E18" s="22">
        <f t="shared" si="2"/>
        <v>65536</v>
      </c>
      <c r="F18" s="22">
        <f t="shared" si="3"/>
        <v>1048576</v>
      </c>
      <c r="G18" s="22">
        <f t="shared" si="4"/>
        <v>16777216</v>
      </c>
      <c r="H18" s="24">
        <v>161269</v>
      </c>
      <c r="I18" s="24">
        <f>'AD LABORABLE'!$B$23*'REGRESIÓN LABORABLE'!G18+'AD LABORABLE'!$B$22*'REGRESIÓN LABORABLE'!F18+'AD LABORABLE'!$B$21*'REGRESIÓN LABORABLE'!E18+'AD LABORABLE'!$B$20*'REGRESIÓN LABORABLE'!D18+'AD LABORABLE'!$B$19*'REGRESIÓN LABORABLE'!C18+'AD LABORABLE'!$B$18*'REGRESIÓN LABORABLE'!B18+'AD LABORABLE'!$B$17</f>
        <v>154626.18264537217</v>
      </c>
      <c r="J18" s="24">
        <f t="shared" si="5"/>
        <v>-6642.8173546278267</v>
      </c>
      <c r="K18" s="24">
        <f t="shared" si="6"/>
        <v>6642.8173546278267</v>
      </c>
      <c r="L18" s="24">
        <f>SUMSQ($J$3:J18)/B18</f>
        <v>45069716.330080397</v>
      </c>
      <c r="M18" s="24">
        <f>SUM($K$3:K18)/B18</f>
        <v>5180.8570515267365</v>
      </c>
      <c r="N18" s="34">
        <f t="shared" si="7"/>
        <v>4.1190913037396069</v>
      </c>
      <c r="O18" s="34">
        <f>AVERAGE($N$3:N18)</f>
        <v>3.7080941054953076</v>
      </c>
      <c r="P18" s="30">
        <f>SUM($J$3:J18)/M18</f>
        <v>-0.57227320273245241</v>
      </c>
    </row>
    <row r="19" spans="1:16" x14ac:dyDescent="0.3">
      <c r="A19" s="23">
        <v>45047</v>
      </c>
      <c r="B19" s="22">
        <v>17</v>
      </c>
      <c r="C19" s="22">
        <f t="shared" si="0"/>
        <v>289</v>
      </c>
      <c r="D19" s="22">
        <f t="shared" si="1"/>
        <v>4913</v>
      </c>
      <c r="E19" s="22">
        <f t="shared" si="2"/>
        <v>83521</v>
      </c>
      <c r="F19" s="22">
        <f t="shared" si="3"/>
        <v>1419857</v>
      </c>
      <c r="G19" s="22">
        <f t="shared" si="4"/>
        <v>24137569</v>
      </c>
      <c r="H19" s="24">
        <v>161613.68181818182</v>
      </c>
      <c r="I19" s="24">
        <f>'AD LABORABLE'!$B$23*'REGRESIÓN LABORABLE'!G19+'AD LABORABLE'!$B$22*'REGRESIÓN LABORABLE'!F19+'AD LABORABLE'!$B$21*'REGRESIÓN LABORABLE'!E19+'AD LABORABLE'!$B$20*'REGRESIÓN LABORABLE'!D19+'AD LABORABLE'!$B$19*'REGRESIÓN LABORABLE'!C19+'AD LABORABLE'!$B$18*'REGRESIÓN LABORABLE'!B19+'AD LABORABLE'!$B$17</f>
        <v>158208.40403117126</v>
      </c>
      <c r="J19" s="24">
        <f t="shared" si="5"/>
        <v>-3405.2777870105638</v>
      </c>
      <c r="K19" s="24">
        <f t="shared" si="6"/>
        <v>3405.2777870105638</v>
      </c>
      <c r="L19" s="24">
        <f>SUMSQ($J$3:J19)/B19</f>
        <v>43100669.299293764</v>
      </c>
      <c r="M19" s="24">
        <f>SUM($K$3:K19)/B19</f>
        <v>5076.4112124375497</v>
      </c>
      <c r="N19" s="34">
        <f t="shared" si="7"/>
        <v>2.1070479607299335</v>
      </c>
      <c r="O19" s="34">
        <f>AVERAGE($N$3:N19)</f>
        <v>3.6139149205091092</v>
      </c>
      <c r="P19" s="30">
        <f>SUM($J$3:J19)/M19</f>
        <v>-1.2548517403750703</v>
      </c>
    </row>
    <row r="20" spans="1:16" x14ac:dyDescent="0.3">
      <c r="A20" s="23">
        <v>45078</v>
      </c>
      <c r="B20" s="22">
        <v>18</v>
      </c>
      <c r="C20" s="22">
        <f t="shared" si="0"/>
        <v>324</v>
      </c>
      <c r="D20" s="22">
        <f t="shared" si="1"/>
        <v>5832</v>
      </c>
      <c r="E20" s="22">
        <f t="shared" si="2"/>
        <v>104976</v>
      </c>
      <c r="F20" s="22">
        <f t="shared" si="3"/>
        <v>1889568</v>
      </c>
      <c r="G20" s="22">
        <f t="shared" si="4"/>
        <v>34012224</v>
      </c>
      <c r="H20" s="24">
        <v>160111</v>
      </c>
      <c r="I20" s="24">
        <f>'AD LABORABLE'!$B$23*'REGRESIÓN LABORABLE'!G20+'AD LABORABLE'!$B$22*'REGRESIÓN LABORABLE'!F20+'AD LABORABLE'!$B$21*'REGRESIÓN LABORABLE'!E20+'AD LABORABLE'!$B$20*'REGRESIÓN LABORABLE'!D20+'AD LABORABLE'!$B$19*'REGRESIÓN LABORABLE'!C20+'AD LABORABLE'!$B$18*'REGRESIÓN LABORABLE'!B20+'AD LABORABLE'!$B$17</f>
        <v>161680.33360102421</v>
      </c>
      <c r="J20" s="24">
        <f t="shared" si="5"/>
        <v>1569.3336010242056</v>
      </c>
      <c r="K20" s="24">
        <f t="shared" si="6"/>
        <v>1569.3336010242056</v>
      </c>
      <c r="L20" s="24">
        <f>SUMSQ($J$3:J20)/B20</f>
        <v>40843010.335516535</v>
      </c>
      <c r="M20" s="24">
        <f>SUM($K$3:K20)/B20</f>
        <v>4881.5735673590307</v>
      </c>
      <c r="N20" s="34">
        <f t="shared" si="7"/>
        <v>0.98015351913622772</v>
      </c>
      <c r="O20" s="34">
        <f>AVERAGE($N$3:N20)</f>
        <v>3.4675948426550605</v>
      </c>
      <c r="P20" s="30">
        <f>SUM($J$3:J20)/M20</f>
        <v>-0.98345539148759553</v>
      </c>
    </row>
    <row r="21" spans="1:16" x14ac:dyDescent="0.3">
      <c r="A21" s="23">
        <v>45108</v>
      </c>
      <c r="B21" s="22">
        <v>19</v>
      </c>
      <c r="C21" s="22">
        <f t="shared" si="0"/>
        <v>361</v>
      </c>
      <c r="D21" s="22">
        <f t="shared" si="1"/>
        <v>6859</v>
      </c>
      <c r="E21" s="22">
        <f t="shared" si="2"/>
        <v>130321</v>
      </c>
      <c r="F21" s="22">
        <f t="shared" si="3"/>
        <v>2476099</v>
      </c>
      <c r="G21" s="22">
        <f t="shared" si="4"/>
        <v>47045881</v>
      </c>
      <c r="H21" s="24">
        <v>157938.04761904763</v>
      </c>
      <c r="I21" s="24">
        <f>'AD LABORABLE'!$B$23*'REGRESIÓN LABORABLE'!G21+'AD LABORABLE'!$B$22*'REGRESIÓN LABORABLE'!F21+'AD LABORABLE'!$B$21*'REGRESIÓN LABORABLE'!E21+'AD LABORABLE'!$B$20*'REGRESIÓN LABORABLE'!D21+'AD LABORABLE'!$B$19*'REGRESIÓN LABORABLE'!C21+'AD LABORABLE'!$B$18*'REGRESIÓN LABORABLE'!B21+'AD LABORABLE'!$B$17</f>
        <v>164648.51980198562</v>
      </c>
      <c r="J21" s="24">
        <f t="shared" si="5"/>
        <v>6710.4721829379851</v>
      </c>
      <c r="K21" s="24">
        <f t="shared" si="6"/>
        <v>6710.4721829379851</v>
      </c>
      <c r="L21" s="24">
        <f>SUMSQ($J$3:J21)/B21</f>
        <v>41063401.208278</v>
      </c>
      <c r="M21" s="24">
        <f>SUM($K$3:K21)/B21</f>
        <v>4977.8313892316073</v>
      </c>
      <c r="N21" s="34">
        <f t="shared" si="7"/>
        <v>4.2488002632043989</v>
      </c>
      <c r="O21" s="34">
        <f>AVERAGE($N$3:N21)</f>
        <v>3.5087109174208151</v>
      </c>
      <c r="P21" s="30">
        <f>SUM($J$3:J21)/M21</f>
        <v>0.38363339170276561</v>
      </c>
    </row>
    <row r="22" spans="1:16" x14ac:dyDescent="0.3">
      <c r="A22" s="23">
        <v>45139</v>
      </c>
      <c r="B22" s="22">
        <v>20</v>
      </c>
      <c r="C22" s="22">
        <f t="shared" si="0"/>
        <v>400</v>
      </c>
      <c r="D22" s="22">
        <f t="shared" si="1"/>
        <v>8000</v>
      </c>
      <c r="E22" s="22">
        <f t="shared" si="2"/>
        <v>160000</v>
      </c>
      <c r="F22" s="22">
        <f t="shared" si="3"/>
        <v>3200000</v>
      </c>
      <c r="G22" s="22">
        <f t="shared" si="4"/>
        <v>64000000</v>
      </c>
      <c r="H22" s="24">
        <v>161756</v>
      </c>
      <c r="I22" s="24">
        <f>'AD LABORABLE'!$B$23*'REGRESIÓN LABORABLE'!G22+'AD LABORABLE'!$B$22*'REGRESIÓN LABORABLE'!F22+'AD LABORABLE'!$B$21*'REGRESIÓN LABORABLE'!E22+'AD LABORABLE'!$B$20*'REGRESIÓN LABORABLE'!D22+'AD LABORABLE'!$B$19*'REGRESIÓN LABORABLE'!C22+'AD LABORABLE'!$B$18*'REGRESIÓN LABORABLE'!B22+'AD LABORABLE'!$B$17</f>
        <v>166742.16483151464</v>
      </c>
      <c r="J22" s="24">
        <f t="shared" si="5"/>
        <v>4986.1648315146449</v>
      </c>
      <c r="K22" s="24">
        <f t="shared" si="6"/>
        <v>4986.1648315146449</v>
      </c>
      <c r="L22" s="24">
        <f>SUMSQ($J$3:J22)/B22</f>
        <v>40253323.13421578</v>
      </c>
      <c r="M22" s="24">
        <f>SUM($K$3:K22)/B22</f>
        <v>4978.2480613457592</v>
      </c>
      <c r="N22" s="34">
        <f t="shared" si="7"/>
        <v>3.0825223370475561</v>
      </c>
      <c r="O22" s="34">
        <f>AVERAGE($N$3:N22)</f>
        <v>3.4874014884021518</v>
      </c>
      <c r="P22" s="30">
        <f>SUM($J$3:J22)/M22</f>
        <v>1.3851915544815021</v>
      </c>
    </row>
    <row r="23" spans="1:16" x14ac:dyDescent="0.3">
      <c r="A23" s="23">
        <v>45170</v>
      </c>
      <c r="B23" s="22">
        <v>21</v>
      </c>
      <c r="C23" s="22">
        <f t="shared" si="0"/>
        <v>441</v>
      </c>
      <c r="D23" s="22">
        <f t="shared" si="1"/>
        <v>9261</v>
      </c>
      <c r="E23" s="22">
        <f t="shared" si="2"/>
        <v>194481</v>
      </c>
      <c r="F23" s="22">
        <f t="shared" si="3"/>
        <v>4084101</v>
      </c>
      <c r="G23" s="22">
        <f t="shared" si="4"/>
        <v>85766121</v>
      </c>
      <c r="H23" s="24">
        <v>168041.23809523811</v>
      </c>
      <c r="I23" s="24">
        <f>'AD LABORABLE'!$B$23*'REGRESIÓN LABORABLE'!G23+'AD LABORABLE'!$B$22*'REGRESIÓN LABORABLE'!F23+'AD LABORABLE'!$B$21*'REGRESIÓN LABORABLE'!E23+'AD LABORABLE'!$B$20*'REGRESIÓN LABORABLE'!D23+'AD LABORABLE'!$B$19*'REGRESIÓN LABORABLE'!C23+'AD LABORABLE'!$B$18*'REGRESIÓN LABORABLE'!B23+'AD LABORABLE'!$B$17</f>
        <v>167680.45367583845</v>
      </c>
      <c r="J23" s="24">
        <f t="shared" si="5"/>
        <v>-360.78441939965705</v>
      </c>
      <c r="K23" s="24">
        <f t="shared" si="6"/>
        <v>360.78441939965705</v>
      </c>
      <c r="L23" s="24">
        <f>SUMSQ($J$3:J23)/B23</f>
        <v>38342696.575314149</v>
      </c>
      <c r="M23" s="24">
        <f>SUM($K$3:K23)/B23</f>
        <v>4758.3688403007063</v>
      </c>
      <c r="N23" s="34">
        <f t="shared" si="7"/>
        <v>0.21469992930853135</v>
      </c>
      <c r="O23" s="34">
        <f>AVERAGE($N$3:N23)</f>
        <v>3.3315585570167419</v>
      </c>
      <c r="P23" s="30">
        <f>SUM($J$3:J23)/M23</f>
        <v>1.3733787713012628</v>
      </c>
    </row>
    <row r="24" spans="1:16" x14ac:dyDescent="0.3">
      <c r="A24" s="23">
        <v>45200</v>
      </c>
      <c r="B24" s="22">
        <v>22</v>
      </c>
      <c r="C24" s="22">
        <f t="shared" si="0"/>
        <v>484</v>
      </c>
      <c r="D24" s="22">
        <f t="shared" si="1"/>
        <v>10648</v>
      </c>
      <c r="E24" s="22">
        <f t="shared" si="2"/>
        <v>234256</v>
      </c>
      <c r="F24" s="22">
        <f t="shared" si="3"/>
        <v>5153632</v>
      </c>
      <c r="G24" s="22">
        <f t="shared" si="4"/>
        <v>113379904</v>
      </c>
      <c r="H24" s="24">
        <v>172356.72727272726</v>
      </c>
      <c r="I24" s="24">
        <f>'AD LABORABLE'!$B$23*'REGRESIÓN LABORABLE'!G24+'AD LABORABLE'!$B$22*'REGRESIÓN LABORABLE'!F24+'AD LABORABLE'!$B$21*'REGRESIÓN LABORABLE'!E24+'AD LABORABLE'!$B$20*'REGRESIÓN LABORABLE'!D24+'AD LABORABLE'!$B$19*'REGRESIÓN LABORABLE'!C24+'AD LABORABLE'!$B$18*'REGRESIÓN LABORABLE'!B24+'AD LABORABLE'!$B$17</f>
        <v>167351.50567315496</v>
      </c>
      <c r="J24" s="24">
        <f t="shared" si="5"/>
        <v>-5005.2215995723091</v>
      </c>
      <c r="K24" s="24">
        <f t="shared" si="6"/>
        <v>5005.2215995723091</v>
      </c>
      <c r="L24" s="24">
        <f>SUMSQ($J$3:J24)/B24</f>
        <v>37738585.06101919</v>
      </c>
      <c r="M24" s="24">
        <f>SUM($K$3:K24)/B24</f>
        <v>4769.5894202675981</v>
      </c>
      <c r="N24" s="34">
        <f t="shared" si="7"/>
        <v>2.9039896955413509</v>
      </c>
      <c r="O24" s="34">
        <f>AVERAGE($N$3:N24)</f>
        <v>3.3121236087678607</v>
      </c>
      <c r="P24" s="30">
        <f>SUM($J$3:J24)/M24</f>
        <v>0.3207448308270231</v>
      </c>
    </row>
    <row r="25" spans="1:16" x14ac:dyDescent="0.3">
      <c r="A25" s="23">
        <v>45231</v>
      </c>
      <c r="B25" s="22">
        <v>23</v>
      </c>
      <c r="C25" s="22">
        <f t="shared" si="0"/>
        <v>529</v>
      </c>
      <c r="D25" s="22">
        <f t="shared" si="1"/>
        <v>12167</v>
      </c>
      <c r="E25" s="22">
        <f t="shared" si="2"/>
        <v>279841</v>
      </c>
      <c r="F25" s="22">
        <f t="shared" si="3"/>
        <v>6436343</v>
      </c>
      <c r="G25" s="22">
        <f t="shared" si="4"/>
        <v>148035889</v>
      </c>
      <c r="H25" s="24">
        <v>164320.22222222199</v>
      </c>
      <c r="I25" s="24">
        <f>'AD LABORABLE'!$B$23*'REGRESIÓN LABORABLE'!G25+'AD LABORABLE'!$B$22*'REGRESIÓN LABORABLE'!F25+'AD LABORABLE'!$B$21*'REGRESIÓN LABORABLE'!E25+'AD LABORABLE'!$B$20*'REGRESIÓN LABORABLE'!D25+'AD LABORABLE'!$B$19*'REGRESIÓN LABORABLE'!C25+'AD LABORABLE'!$B$18*'REGRESIÓN LABORABLE'!B25+'AD LABORABLE'!$B$17</f>
        <v>165902.94860168244</v>
      </c>
      <c r="J25" s="24">
        <f t="shared" si="5"/>
        <v>1582.7263794604514</v>
      </c>
      <c r="K25" s="24">
        <f t="shared" si="6"/>
        <v>1582.7263794604514</v>
      </c>
      <c r="L25" s="24">
        <f>SUMSQ($J$3:J25)/B25</f>
        <v>36206691.04933314</v>
      </c>
      <c r="M25" s="24">
        <f>SUM($K$3:K25)/B25</f>
        <v>4631.0301576238089</v>
      </c>
      <c r="N25" s="34">
        <f t="shared" si="7"/>
        <v>0.96319634799423359</v>
      </c>
      <c r="O25" s="34">
        <f>AVERAGE($N$3:N25)</f>
        <v>3.2099963365603115</v>
      </c>
      <c r="P25" s="30">
        <f>SUM($J$3:J25)/M25</f>
        <v>0.67210694494280632</v>
      </c>
    </row>
    <row r="26" spans="1:16" x14ac:dyDescent="0.3">
      <c r="A26" s="23">
        <v>45261</v>
      </c>
      <c r="B26" s="22">
        <v>24</v>
      </c>
      <c r="C26" s="22">
        <f t="shared" si="0"/>
        <v>576</v>
      </c>
      <c r="D26" s="22">
        <f t="shared" si="1"/>
        <v>13824</v>
      </c>
      <c r="E26" s="22">
        <f t="shared" si="2"/>
        <v>331776</v>
      </c>
      <c r="F26" s="22">
        <f t="shared" si="3"/>
        <v>7962624</v>
      </c>
      <c r="G26" s="22">
        <f t="shared" si="4"/>
        <v>191102976</v>
      </c>
      <c r="H26" s="24">
        <v>180124.77777777778</v>
      </c>
      <c r="I26" s="24">
        <f>'AD LABORABLE'!$B$23*'REGRESIÓN LABORABLE'!G26+'AD LABORABLE'!$B$22*'REGRESIÓN LABORABLE'!F26+'AD LABORABLE'!$B$21*'REGRESIÓN LABORABLE'!E26+'AD LABORABLE'!$B$20*'REGRESIÓN LABORABLE'!D26+'AD LABORABLE'!$B$19*'REGRESIÓN LABORABLE'!C26+'AD LABORABLE'!$B$18*'REGRESIÓN LABORABLE'!B26+'AD LABORABLE'!$B$17</f>
        <v>163844.11529255396</v>
      </c>
      <c r="J26" s="24">
        <f t="shared" si="5"/>
        <v>-16280.662485223816</v>
      </c>
      <c r="K26" s="24">
        <f t="shared" si="6"/>
        <v>16280.662485223816</v>
      </c>
      <c r="L26" s="24">
        <f>SUMSQ($J$3:J26)/B26</f>
        <v>45742244.378851511</v>
      </c>
      <c r="M26" s="24">
        <f>SUM($K$3:K26)/B26</f>
        <v>5116.4315046071424</v>
      </c>
      <c r="N26" s="34">
        <f t="shared" si="7"/>
        <v>9.0385468818229295</v>
      </c>
      <c r="O26" s="34">
        <f>AVERAGE($N$3:N26)</f>
        <v>3.4528526092795868</v>
      </c>
      <c r="P26" s="30">
        <f>SUM($J$3:J26)/M26</f>
        <v>-2.5736912420674281</v>
      </c>
    </row>
    <row r="27" spans="1:16" x14ac:dyDescent="0.3">
      <c r="A27" s="23">
        <v>45292</v>
      </c>
      <c r="B27" s="22">
        <v>25</v>
      </c>
      <c r="C27" s="22">
        <f t="shared" si="0"/>
        <v>625</v>
      </c>
      <c r="D27" s="22">
        <f t="shared" si="1"/>
        <v>15625</v>
      </c>
      <c r="E27" s="22">
        <f t="shared" si="2"/>
        <v>390625</v>
      </c>
      <c r="F27" s="22">
        <f t="shared" si="3"/>
        <v>9765625</v>
      </c>
      <c r="G27" s="22">
        <f t="shared" si="4"/>
        <v>244140625</v>
      </c>
      <c r="H27" s="24">
        <v>150453</v>
      </c>
      <c r="I27" s="24">
        <f>'AD LABORABLE'!$B$23*'REGRESIÓN LABORABLE'!G27+'AD LABORABLE'!$B$22*'REGRESIÓN LABORABLE'!F27+'AD LABORABLE'!$B$21*'REGRESIÓN LABORABLE'!E27+'AD LABORABLE'!$B$20*'REGRESIÓN LABORABLE'!D27+'AD LABORABLE'!$B$19*'REGRESIÓN LABORABLE'!C27+'AD LABORABLE'!$B$18*'REGRESIÓN LABORABLE'!B27+'AD LABORABLE'!$B$17</f>
        <v>162159.86276755575</v>
      </c>
      <c r="J27" s="24">
        <f t="shared" si="5"/>
        <v>11706.862767555751</v>
      </c>
      <c r="K27" s="24">
        <f t="shared" si="6"/>
        <v>11706.862767555751</v>
      </c>
      <c r="L27" s="24">
        <f>SUMSQ($J$3:J27)/B27</f>
        <v>49394580.038032778</v>
      </c>
      <c r="M27" s="24">
        <f>SUM($K$3:K27)/B27</f>
        <v>5380.0487551250872</v>
      </c>
      <c r="N27" s="34">
        <f t="shared" si="7"/>
        <v>7.7810763278603616</v>
      </c>
      <c r="O27" s="34">
        <f>AVERAGE($N$3:N27)</f>
        <v>3.6259815580228176</v>
      </c>
      <c r="P27" s="30">
        <f>SUM($J$3:J27)/M27</f>
        <v>-0.27160575173180745</v>
      </c>
    </row>
    <row r="28" spans="1:16" x14ac:dyDescent="0.3">
      <c r="A28" s="23">
        <v>45323</v>
      </c>
      <c r="B28" s="22">
        <v>26</v>
      </c>
      <c r="C28" s="22">
        <f t="shared" si="0"/>
        <v>676</v>
      </c>
      <c r="D28" s="22">
        <f t="shared" si="1"/>
        <v>17576</v>
      </c>
      <c r="E28" s="22">
        <f t="shared" si="2"/>
        <v>456976</v>
      </c>
      <c r="F28" s="22">
        <f t="shared" si="3"/>
        <v>11881376</v>
      </c>
      <c r="G28" s="22">
        <f t="shared" si="4"/>
        <v>308915776</v>
      </c>
      <c r="H28" s="24">
        <v>158067.38888888888</v>
      </c>
      <c r="I28" s="24">
        <f>'AD LABORABLE'!$B$23*'REGRESIÓN LABORABLE'!G28+'AD LABORABLE'!$B$22*'REGRESIÓN LABORABLE'!F28+'AD LABORABLE'!$B$21*'REGRESIÓN LABORABLE'!E28+'AD LABORABLE'!$B$20*'REGRESIÓN LABORABLE'!D28+'AD LABORABLE'!$B$19*'REGRESIÓN LABORABLE'!C28+'AD LABORABLE'!$B$18*'REGRESIÓN LABORABLE'!B28+'AD LABORABLE'!$B$17</f>
        <v>162436.01390170061</v>
      </c>
      <c r="J28" s="24">
        <f t="shared" si="5"/>
        <v>4368.625012811739</v>
      </c>
      <c r="K28" s="24">
        <f t="shared" si="6"/>
        <v>4368.625012811739</v>
      </c>
      <c r="L28" s="24">
        <f>SUMSQ($J$3:J28)/B28</f>
        <v>48228822.517437845</v>
      </c>
      <c r="M28" s="24">
        <f>SUM($K$3:K28)/B28</f>
        <v>5341.1478419591886</v>
      </c>
      <c r="N28" s="34">
        <f t="shared" si="7"/>
        <v>2.7637737572059211</v>
      </c>
      <c r="O28" s="34">
        <f>AVERAGE($N$3:N28)</f>
        <v>3.5928197195298606</v>
      </c>
      <c r="P28" s="30">
        <f>SUM($J$3:J28)/M28</f>
        <v>0.54433483444932318</v>
      </c>
    </row>
    <row r="29" spans="1:16" x14ac:dyDescent="0.3">
      <c r="A29" s="23">
        <v>45352</v>
      </c>
      <c r="B29" s="22">
        <v>27</v>
      </c>
      <c r="C29" s="22">
        <f t="shared" si="0"/>
        <v>729</v>
      </c>
      <c r="D29" s="22">
        <f t="shared" si="1"/>
        <v>19683</v>
      </c>
      <c r="E29" s="22">
        <f t="shared" si="2"/>
        <v>531441</v>
      </c>
      <c r="F29" s="22">
        <f t="shared" si="3"/>
        <v>14348907</v>
      </c>
      <c r="G29" s="22">
        <f t="shared" si="4"/>
        <v>387420489</v>
      </c>
      <c r="H29" s="24">
        <v>168441.45</v>
      </c>
      <c r="I29" s="24">
        <f>'AD LABORABLE'!$B$23*'REGRESIÓN LABORABLE'!G29+'AD LABORABLE'!$B$22*'REGRESIÓN LABORABLE'!F29+'AD LABORABLE'!$B$21*'REGRESIÓN LABORABLE'!E29+'AD LABORABLE'!$B$20*'REGRESIÓN LABORABLE'!D29+'AD LABORABLE'!$B$19*'REGRESIÓN LABORABLE'!C29+'AD LABORABLE'!$B$18*'REGRESIÓN LABORABLE'!B29+'AD LABORABLE'!$B$17</f>
        <v>166996.42161065817</v>
      </c>
      <c r="J29" s="24">
        <f t="shared" si="5"/>
        <v>-1445.0283893418382</v>
      </c>
      <c r="K29" s="24">
        <f t="shared" si="6"/>
        <v>1445.0283893418382</v>
      </c>
      <c r="L29" s="24">
        <f>SUMSQ($J$3:J29)/B29</f>
        <v>46519907.129606955</v>
      </c>
      <c r="M29" s="24">
        <f>SUM($K$3:K29)/B29</f>
        <v>5196.8471214918791</v>
      </c>
      <c r="N29" s="34">
        <f t="shared" si="7"/>
        <v>0.85788170865415736</v>
      </c>
      <c r="O29" s="34">
        <f>AVERAGE($N$3:N29)</f>
        <v>3.4915257191270568</v>
      </c>
      <c r="P29" s="30">
        <f>SUM($J$3:J29)/M29</f>
        <v>0.28139069762755992</v>
      </c>
    </row>
    <row r="30" spans="1:16" x14ac:dyDescent="0.3">
      <c r="A30" s="23">
        <v>45383</v>
      </c>
      <c r="B30" s="22">
        <v>28</v>
      </c>
      <c r="C30" s="22">
        <f t="shared" si="0"/>
        <v>784</v>
      </c>
      <c r="D30" s="22">
        <f t="shared" si="1"/>
        <v>21952</v>
      </c>
      <c r="E30" s="22">
        <f t="shared" si="2"/>
        <v>614656</v>
      </c>
      <c r="F30" s="22">
        <f t="shared" si="3"/>
        <v>17210368</v>
      </c>
      <c r="G30" s="22">
        <f t="shared" si="4"/>
        <v>481890304</v>
      </c>
      <c r="H30" s="24">
        <v>180514</v>
      </c>
      <c r="I30" s="24">
        <f>'AD LABORABLE'!$B$23*'REGRESIÓN LABORABLE'!G30+'AD LABORABLE'!$B$22*'REGRESIÓN LABORABLE'!F30+'AD LABORABLE'!$B$21*'REGRESIÓN LABORABLE'!E30+'AD LABORABLE'!$B$20*'REGRESIÓN LABORABLE'!D30+'AD LABORABLE'!$B$19*'REGRESIÓN LABORABLE'!C30+'AD LABORABLE'!$B$18*'REGRESIÓN LABORABLE'!B30+'AD LABORABLE'!$B$17</f>
        <v>179051.65556302515</v>
      </c>
      <c r="J30" s="24">
        <f t="shared" si="5"/>
        <v>-1462.3444369748468</v>
      </c>
      <c r="K30" s="24">
        <f t="shared" si="6"/>
        <v>1462.3444369748468</v>
      </c>
      <c r="L30" s="24">
        <f>SUMSQ($J$3:J30)/B30</f>
        <v>44934855.133990683</v>
      </c>
      <c r="M30" s="31">
        <f>SUM($K$3:K30)/B30</f>
        <v>5063.4720256162709</v>
      </c>
      <c r="N30" s="34">
        <f t="shared" si="7"/>
        <v>0.81010028971428627</v>
      </c>
      <c r="O30" s="36">
        <f>AVERAGE($N$3:N30)</f>
        <v>3.3957605252194578</v>
      </c>
      <c r="P30" s="30">
        <f>SUM($J$3:J30)/M30</f>
        <v>1.0920822231868429E-12</v>
      </c>
    </row>
    <row r="31" spans="1:16" x14ac:dyDescent="0.3">
      <c r="A31" s="38">
        <v>45413</v>
      </c>
      <c r="B31" s="37">
        <v>29</v>
      </c>
      <c r="C31" s="37">
        <f t="shared" si="0"/>
        <v>841</v>
      </c>
      <c r="D31" s="37">
        <f t="shared" ref="D31:D32" si="8">B31^3</f>
        <v>24389</v>
      </c>
      <c r="E31" s="37">
        <f t="shared" ref="E31:E32" si="9">B31^4</f>
        <v>707281</v>
      </c>
      <c r="F31" s="37">
        <f t="shared" ref="F31:F32" si="10">B31^5</f>
        <v>20511149</v>
      </c>
      <c r="G31" s="37">
        <f t="shared" ref="G31:G32" si="11">B31^6</f>
        <v>594823321</v>
      </c>
      <c r="I31" s="31">
        <f>'AD LABORABLE'!$B$23*'REGRESIÓN LABORABLE'!G31+'AD LABORABLE'!$B$22*'REGRESIÓN LABORABLE'!F31+'AD LABORABLE'!$B$21*'REGRESIÓN LABORABLE'!E31+'AD LABORABLE'!$B$20*'REGRESIÓN LABORABLE'!D31+'AD LABORABLE'!$B$19*'REGRESIÓN LABORABLE'!C31+'AD LABORABLE'!$B$18*'REGRESIÓN LABORABLE'!B31+'AD LABORABLE'!$B$17</f>
        <v>202859.31141743163</v>
      </c>
    </row>
    <row r="32" spans="1:16" x14ac:dyDescent="0.3">
      <c r="A32" s="38">
        <v>45444</v>
      </c>
      <c r="B32" s="37">
        <v>30</v>
      </c>
      <c r="C32" s="37">
        <f t="shared" si="0"/>
        <v>900</v>
      </c>
      <c r="D32" s="37">
        <f t="shared" si="8"/>
        <v>27000</v>
      </c>
      <c r="E32" s="37">
        <f t="shared" si="9"/>
        <v>810000</v>
      </c>
      <c r="F32" s="37">
        <f t="shared" si="10"/>
        <v>24300000</v>
      </c>
      <c r="G32" s="37">
        <f t="shared" si="11"/>
        <v>729000000</v>
      </c>
      <c r="I32" s="31">
        <f>'AD LABORABLE'!$B$23*'REGRESIÓN LABORABLE'!G32+'AD LABORABLE'!$B$22*'REGRESIÓN LABORABLE'!F32+'AD LABORABLE'!$B$21*'REGRESIÓN LABORABLE'!E32+'AD LABORABLE'!$B$20*'REGRESIÓN LABORABLE'!D32+'AD LABORABLE'!$B$19*'REGRESIÓN LABORABLE'!C32+'AD LABORABLE'!$B$18*'REGRESIÓN LABORABLE'!B32+'AD LABORABLE'!$B$17</f>
        <v>243895.94258450833</v>
      </c>
    </row>
  </sheetData>
  <phoneticPr fontId="11" type="noConversion"/>
  <pageMargins left="0.7" right="0.7" top="0.75" bottom="0.75" header="0.3" footer="0.3"/>
  <ignoredErrors>
    <ignoredError sqref="D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A7BA-9FDF-4F31-83A5-815E8D660CC7}">
  <dimension ref="A2:O33"/>
  <sheetViews>
    <sheetView topLeftCell="F2" workbookViewId="0">
      <selection activeCell="B4" sqref="B4:C31"/>
    </sheetView>
  </sheetViews>
  <sheetFormatPr baseColWidth="10" defaultRowHeight="14.4" x14ac:dyDescent="0.3"/>
  <sheetData>
    <row r="2" spans="1:15" ht="58.8" x14ac:dyDescent="0.35">
      <c r="A2" s="32" t="s">
        <v>33</v>
      </c>
      <c r="B2" s="33" t="s">
        <v>34</v>
      </c>
      <c r="C2" s="33" t="s">
        <v>40</v>
      </c>
      <c r="D2" s="33" t="s">
        <v>98</v>
      </c>
      <c r="E2" s="33" t="s">
        <v>41</v>
      </c>
      <c r="F2" s="33" t="s">
        <v>42</v>
      </c>
      <c r="G2" s="33" t="s">
        <v>43</v>
      </c>
      <c r="H2" s="33" t="s">
        <v>44</v>
      </c>
      <c r="I2" s="33" t="s">
        <v>45</v>
      </c>
      <c r="J2" s="33" t="s">
        <v>10</v>
      </c>
      <c r="K2" s="33" t="s">
        <v>21</v>
      </c>
      <c r="L2" s="33" t="s">
        <v>22</v>
      </c>
    </row>
    <row r="3" spans="1:15" x14ac:dyDescent="0.3">
      <c r="A3" s="55"/>
      <c r="B3" s="56">
        <v>0</v>
      </c>
      <c r="C3" s="13"/>
      <c r="D3" s="59">
        <f>AVERAGE(C4:C31)</f>
        <v>114478.38690476189</v>
      </c>
      <c r="E3" s="13"/>
      <c r="F3" s="13"/>
      <c r="G3" s="13"/>
      <c r="H3" s="13"/>
      <c r="I3" s="13"/>
      <c r="J3" s="13"/>
      <c r="K3" s="13"/>
      <c r="L3" s="13"/>
    </row>
    <row r="4" spans="1:15" x14ac:dyDescent="0.3">
      <c r="A4" s="23">
        <v>44562</v>
      </c>
      <c r="B4" s="22">
        <v>1</v>
      </c>
      <c r="C4" s="24">
        <v>66351.399999999994</v>
      </c>
      <c r="D4" s="24">
        <f>$O$4*C4+(1-$O$4)*D3</f>
        <v>109665.68821428571</v>
      </c>
      <c r="E4" s="24">
        <f>D3</f>
        <v>114478.38690476189</v>
      </c>
      <c r="F4" s="24">
        <f>E4-C4</f>
        <v>48126.986904761899</v>
      </c>
      <c r="G4" s="24">
        <f>ABS(F4)</f>
        <v>48126.986904761899</v>
      </c>
      <c r="H4" s="24">
        <f>SUMSQ($F$4:F4)/B4</f>
        <v>2316206868.5311232</v>
      </c>
      <c r="I4" s="24">
        <f>SUM($G$4:G4)/B4</f>
        <v>48126.986904761899</v>
      </c>
      <c r="J4" s="34">
        <f>100*(G4/C4)</f>
        <v>72.533491237203592</v>
      </c>
      <c r="K4" s="34">
        <f>AVERAGE($J$4:J4)</f>
        <v>72.533491237203592</v>
      </c>
      <c r="L4" s="30">
        <f>SUM($F$4:F4)/I4</f>
        <v>1</v>
      </c>
      <c r="N4" t="s">
        <v>93</v>
      </c>
      <c r="O4">
        <v>0.1</v>
      </c>
    </row>
    <row r="5" spans="1:15" x14ac:dyDescent="0.3">
      <c r="A5" s="23">
        <v>44593</v>
      </c>
      <c r="B5" s="22">
        <v>2</v>
      </c>
      <c r="C5" s="24">
        <v>80755.600000000006</v>
      </c>
      <c r="D5" s="24">
        <f t="shared" ref="D5:D31" si="0">$O$4*C5+(1-$O$4)*D4</f>
        <v>106774.67939285714</v>
      </c>
      <c r="E5" s="24">
        <f t="shared" ref="E5:E30" si="1">D4</f>
        <v>109665.68821428571</v>
      </c>
      <c r="F5" s="24">
        <f t="shared" ref="F5:F31" si="2">E5-C5</f>
        <v>28910.088214285701</v>
      </c>
      <c r="G5" s="24">
        <f t="shared" ref="G5:G31" si="3">ABS(F5)</f>
        <v>28910.088214285701</v>
      </c>
      <c r="H5" s="24">
        <f>SUMSQ($F$4:F5)/B5</f>
        <v>1576000034.5444522</v>
      </c>
      <c r="I5" s="24">
        <f>SUM($G$4:G5)/B5</f>
        <v>38518.5375595238</v>
      </c>
      <c r="J5" s="34">
        <f t="shared" ref="J5:J31" si="4">100*(G5/C5)</f>
        <v>35.799484140153375</v>
      </c>
      <c r="K5" s="34">
        <f>AVERAGE($J$4:J5)</f>
        <v>54.166487688678487</v>
      </c>
      <c r="L5" s="30">
        <f>SUM($F$4:F5)/I5</f>
        <v>2</v>
      </c>
    </row>
    <row r="6" spans="1:15" x14ac:dyDescent="0.3">
      <c r="A6" s="23">
        <v>44621</v>
      </c>
      <c r="B6" s="22">
        <v>3</v>
      </c>
      <c r="C6" s="24">
        <v>98815</v>
      </c>
      <c r="D6" s="24">
        <f t="shared" si="0"/>
        <v>105978.71145357144</v>
      </c>
      <c r="E6" s="24">
        <f t="shared" si="1"/>
        <v>106774.67939285714</v>
      </c>
      <c r="F6" s="24">
        <f t="shared" si="2"/>
        <v>7959.6793928571424</v>
      </c>
      <c r="G6" s="24">
        <f t="shared" si="3"/>
        <v>7959.6793928571424</v>
      </c>
      <c r="H6" s="24">
        <f>SUMSQ($F$4:F6)/B6</f>
        <v>1071785521.7086596</v>
      </c>
      <c r="I6" s="24">
        <f>SUM($G$4:G6)/B6</f>
        <v>28332.251503968248</v>
      </c>
      <c r="J6" s="34">
        <f t="shared" si="4"/>
        <v>8.0551327155362458</v>
      </c>
      <c r="K6" s="34">
        <f>AVERAGE($J$4:J6)</f>
        <v>38.796036030964409</v>
      </c>
      <c r="L6" s="30">
        <f>SUM($F$4:F6)/I6</f>
        <v>3</v>
      </c>
    </row>
    <row r="7" spans="1:15" x14ac:dyDescent="0.3">
      <c r="A7" s="23">
        <v>44652</v>
      </c>
      <c r="B7" s="22">
        <v>4</v>
      </c>
      <c r="C7" s="24">
        <v>95755.199999999997</v>
      </c>
      <c r="D7" s="24">
        <f t="shared" si="0"/>
        <v>104956.36030821429</v>
      </c>
      <c r="E7" s="24">
        <f t="shared" si="1"/>
        <v>105978.71145357144</v>
      </c>
      <c r="F7" s="24">
        <f t="shared" si="2"/>
        <v>10223.511453571438</v>
      </c>
      <c r="G7" s="24">
        <f t="shared" si="3"/>
        <v>10223.511453571438</v>
      </c>
      <c r="H7" s="24">
        <f>SUMSQ($F$4:F7)/B7</f>
        <v>829969187.89182138</v>
      </c>
      <c r="I7" s="24">
        <f>SUM($G$4:G7)/B7</f>
        <v>23805.066491369045</v>
      </c>
      <c r="J7" s="34">
        <f t="shared" si="4"/>
        <v>10.676716725119304</v>
      </c>
      <c r="K7" s="34">
        <f>AVERAGE($J$4:J7)</f>
        <v>31.766206204503131</v>
      </c>
      <c r="L7" s="30">
        <f>SUM($F$4:F7)/I7</f>
        <v>4</v>
      </c>
    </row>
    <row r="8" spans="1:15" x14ac:dyDescent="0.3">
      <c r="A8" s="23">
        <v>44682</v>
      </c>
      <c r="B8" s="22">
        <v>5</v>
      </c>
      <c r="C8" s="24">
        <v>105378</v>
      </c>
      <c r="D8" s="24">
        <f t="shared" si="0"/>
        <v>104998.52427739288</v>
      </c>
      <c r="E8" s="24">
        <f t="shared" si="1"/>
        <v>104956.36030821429</v>
      </c>
      <c r="F8" s="24">
        <f t="shared" si="2"/>
        <v>-421.63969178570551</v>
      </c>
      <c r="G8" s="24">
        <f t="shared" si="3"/>
        <v>421.63969178570551</v>
      </c>
      <c r="H8" s="24">
        <f>SUMSQ($F$4:F8)/B8</f>
        <v>664010906.31939495</v>
      </c>
      <c r="I8" s="24">
        <f>SUM($G$4:G8)/B8</f>
        <v>19128.381131452377</v>
      </c>
      <c r="J8" s="34">
        <f t="shared" si="4"/>
        <v>0.40012117499450123</v>
      </c>
      <c r="K8" s="34">
        <f>AVERAGE($J$4:J8)</f>
        <v>25.492989198601403</v>
      </c>
      <c r="L8" s="30">
        <f>SUM($F$4:F8)/I8</f>
        <v>4.9559147542190685</v>
      </c>
    </row>
    <row r="9" spans="1:15" x14ac:dyDescent="0.3">
      <c r="A9" s="23">
        <v>44713</v>
      </c>
      <c r="B9" s="22">
        <v>6</v>
      </c>
      <c r="C9" s="24">
        <v>106194</v>
      </c>
      <c r="D9" s="24">
        <f t="shared" si="0"/>
        <v>105118.07184965358</v>
      </c>
      <c r="E9" s="24">
        <f t="shared" si="1"/>
        <v>104998.52427739288</v>
      </c>
      <c r="F9" s="24">
        <f t="shared" si="2"/>
        <v>-1195.4757226071233</v>
      </c>
      <c r="G9" s="24">
        <f t="shared" si="3"/>
        <v>1195.4757226071233</v>
      </c>
      <c r="H9" s="24">
        <f>SUMSQ($F$4:F9)/B9</f>
        <v>553580615.63338625</v>
      </c>
      <c r="I9" s="24">
        <f>SUM($G$4:G9)/B9</f>
        <v>16139.563563311502</v>
      </c>
      <c r="J9" s="34">
        <f t="shared" si="4"/>
        <v>1.1257469561435893</v>
      </c>
      <c r="K9" s="34">
        <f>AVERAGE($J$4:J9)</f>
        <v>21.431782158191769</v>
      </c>
      <c r="L9" s="30">
        <f>SUM($F$4:F9)/I9</f>
        <v>5.7996085324055651</v>
      </c>
    </row>
    <row r="10" spans="1:15" x14ac:dyDescent="0.3">
      <c r="A10" s="23">
        <v>44743</v>
      </c>
      <c r="B10" s="22">
        <v>7</v>
      </c>
      <c r="C10" s="24">
        <v>110336</v>
      </c>
      <c r="D10" s="24">
        <f t="shared" si="0"/>
        <v>105639.86466468824</v>
      </c>
      <c r="E10" s="24">
        <f t="shared" si="1"/>
        <v>105118.07184965358</v>
      </c>
      <c r="F10" s="24">
        <f t="shared" si="2"/>
        <v>-5217.9281503464154</v>
      </c>
      <c r="G10" s="24">
        <f t="shared" si="3"/>
        <v>5217.9281503464154</v>
      </c>
      <c r="H10" s="24">
        <f>SUMSQ($F$4:F10)/B10</f>
        <v>478387209.71178502</v>
      </c>
      <c r="I10" s="24">
        <f>SUM($G$4:G10)/B10</f>
        <v>14579.329932887918</v>
      </c>
      <c r="J10" s="34">
        <f t="shared" si="4"/>
        <v>4.7291257163087437</v>
      </c>
      <c r="K10" s="34">
        <f>AVERAGE($J$4:J10)</f>
        <v>19.045688380779911</v>
      </c>
      <c r="L10" s="30">
        <f>SUM($F$4:F10)/I10</f>
        <v>6.0623651983729623</v>
      </c>
    </row>
    <row r="11" spans="1:15" x14ac:dyDescent="0.3">
      <c r="A11" s="23">
        <v>44774</v>
      </c>
      <c r="B11" s="22">
        <v>8</v>
      </c>
      <c r="C11" s="24">
        <v>114106</v>
      </c>
      <c r="D11" s="24">
        <f t="shared" si="0"/>
        <v>106486.47819821943</v>
      </c>
      <c r="E11" s="24">
        <f t="shared" si="1"/>
        <v>105639.86466468824</v>
      </c>
      <c r="F11" s="24">
        <f t="shared" si="2"/>
        <v>-8466.1353353117593</v>
      </c>
      <c r="G11" s="24">
        <f t="shared" si="3"/>
        <v>8466.1353353117593</v>
      </c>
      <c r="H11" s="24">
        <f>SUMSQ($F$4:F11)/B11</f>
        <v>427548239.4372887</v>
      </c>
      <c r="I11" s="24">
        <f>SUM($G$4:G11)/B11</f>
        <v>13815.180608190898</v>
      </c>
      <c r="J11" s="34">
        <f t="shared" si="4"/>
        <v>7.4195356381888411</v>
      </c>
      <c r="K11" s="34">
        <f>AVERAGE($J$4:J11)</f>
        <v>17.592419287956027</v>
      </c>
      <c r="L11" s="30">
        <f>SUM($F$4:F11)/I11</f>
        <v>5.7848745761631131</v>
      </c>
    </row>
    <row r="12" spans="1:15" x14ac:dyDescent="0.3">
      <c r="A12" s="23">
        <v>44805</v>
      </c>
      <c r="B12" s="22">
        <v>9</v>
      </c>
      <c r="C12" s="24">
        <v>110961</v>
      </c>
      <c r="D12" s="24">
        <f t="shared" si="0"/>
        <v>106933.93037839749</v>
      </c>
      <c r="E12" s="24">
        <f t="shared" si="1"/>
        <v>106486.47819821943</v>
      </c>
      <c r="F12" s="24">
        <f t="shared" si="2"/>
        <v>-4474.5218017805746</v>
      </c>
      <c r="G12" s="24">
        <f t="shared" si="3"/>
        <v>4474.5218017805746</v>
      </c>
      <c r="H12" s="24">
        <f>SUMSQ($F$4:F12)/B12</f>
        <v>382267473.42810214</v>
      </c>
      <c r="I12" s="24">
        <f>SUM($G$4:G12)/B12</f>
        <v>12777.329629700862</v>
      </c>
      <c r="J12" s="34">
        <f t="shared" si="4"/>
        <v>4.0325175528163717</v>
      </c>
      <c r="K12" s="34">
        <f>AVERAGE($J$4:J12)</f>
        <v>16.085763539607175</v>
      </c>
      <c r="L12" s="30">
        <f>SUM($F$4:F12)/I12</f>
        <v>5.9045643690896066</v>
      </c>
    </row>
    <row r="13" spans="1:15" x14ac:dyDescent="0.3">
      <c r="A13" s="23">
        <v>44835</v>
      </c>
      <c r="B13" s="22">
        <v>10</v>
      </c>
      <c r="C13" s="24">
        <v>117046</v>
      </c>
      <c r="D13" s="24">
        <f t="shared" si="0"/>
        <v>107945.13734055775</v>
      </c>
      <c r="E13" s="24">
        <f t="shared" si="1"/>
        <v>106933.93037839749</v>
      </c>
      <c r="F13" s="24">
        <f t="shared" si="2"/>
        <v>-10112.06962160251</v>
      </c>
      <c r="G13" s="24">
        <f t="shared" si="3"/>
        <v>10112.06962160251</v>
      </c>
      <c r="H13" s="24">
        <f>SUMSQ($F$4:F13)/B13</f>
        <v>354266121.28850555</v>
      </c>
      <c r="I13" s="24">
        <f>SUM($G$4:G13)/B13</f>
        <v>12510.803628891026</v>
      </c>
      <c r="J13" s="34">
        <f t="shared" si="4"/>
        <v>8.6393978620392922</v>
      </c>
      <c r="K13" s="34">
        <f>AVERAGE($J$4:J13)</f>
        <v>15.341126971850386</v>
      </c>
      <c r="L13" s="30">
        <f>SUM($F$4:F13)/I13</f>
        <v>5.2220862528103842</v>
      </c>
    </row>
    <row r="14" spans="1:15" x14ac:dyDescent="0.3">
      <c r="A14" s="23">
        <v>44866</v>
      </c>
      <c r="B14" s="22">
        <v>11</v>
      </c>
      <c r="C14" s="24">
        <v>101630</v>
      </c>
      <c r="D14" s="24">
        <f t="shared" si="0"/>
        <v>107313.62360650198</v>
      </c>
      <c r="E14" s="24">
        <f t="shared" si="1"/>
        <v>107945.13734055775</v>
      </c>
      <c r="F14" s="24">
        <f t="shared" si="2"/>
        <v>6315.1373405577469</v>
      </c>
      <c r="G14" s="24">
        <f t="shared" si="3"/>
        <v>6315.1373405577469</v>
      </c>
      <c r="H14" s="24">
        <f>SUMSQ($F$4:F14)/B14</f>
        <v>325685652.04683298</v>
      </c>
      <c r="I14" s="24">
        <f>SUM($G$4:G14)/B14</f>
        <v>11947.561239042547</v>
      </c>
      <c r="J14" s="34">
        <f t="shared" si="4"/>
        <v>6.213851560127666</v>
      </c>
      <c r="K14" s="34">
        <f>AVERAGE($J$4:J14)</f>
        <v>14.511374661693775</v>
      </c>
      <c r="L14" s="30">
        <f>SUM($F$4:F14)/I14</f>
        <v>5.9968416607456145</v>
      </c>
    </row>
    <row r="15" spans="1:15" x14ac:dyDescent="0.3">
      <c r="A15" s="23">
        <v>44896</v>
      </c>
      <c r="B15" s="22">
        <v>12</v>
      </c>
      <c r="C15" s="24">
        <v>124149</v>
      </c>
      <c r="D15" s="24">
        <f t="shared" si="0"/>
        <v>108997.16124585178</v>
      </c>
      <c r="E15" s="24">
        <f t="shared" si="1"/>
        <v>107313.62360650198</v>
      </c>
      <c r="F15" s="24">
        <f t="shared" si="2"/>
        <v>-16835.376393498023</v>
      </c>
      <c r="G15" s="24">
        <f t="shared" si="3"/>
        <v>16835.376393498023</v>
      </c>
      <c r="H15" s="24">
        <f>SUMSQ($F$4:F15)/B15</f>
        <v>322164339.23549277</v>
      </c>
      <c r="I15" s="24">
        <f>SUM($G$4:G15)/B15</f>
        <v>12354.879168580504</v>
      </c>
      <c r="J15" s="34">
        <f t="shared" si="4"/>
        <v>13.560621828204839</v>
      </c>
      <c r="K15" s="34">
        <f>AVERAGE($J$4:J15)</f>
        <v>14.432145258903029</v>
      </c>
      <c r="L15" s="30">
        <f>SUM($F$4:F15)/I15</f>
        <v>4.4364866577160855</v>
      </c>
    </row>
    <row r="16" spans="1:15" x14ac:dyDescent="0.3">
      <c r="A16" s="23">
        <v>44927</v>
      </c>
      <c r="B16" s="22">
        <v>13</v>
      </c>
      <c r="C16" s="24">
        <v>106035</v>
      </c>
      <c r="D16" s="24">
        <f t="shared" si="0"/>
        <v>108700.9451212666</v>
      </c>
      <c r="E16" s="24">
        <f t="shared" si="1"/>
        <v>108997.16124585178</v>
      </c>
      <c r="F16" s="24">
        <f t="shared" si="2"/>
        <v>2962.1612458517775</v>
      </c>
      <c r="G16" s="24">
        <f t="shared" si="3"/>
        <v>2962.1612458517775</v>
      </c>
      <c r="H16" s="24">
        <f>SUMSQ($F$4:F16)/B16</f>
        <v>298057420.77479529</v>
      </c>
      <c r="I16" s="24">
        <f>SUM($G$4:G16)/B16</f>
        <v>11632.362405293679</v>
      </c>
      <c r="J16" s="34">
        <f t="shared" si="4"/>
        <v>2.7935693364000356</v>
      </c>
      <c r="K16" s="34">
        <f>AVERAGE($J$4:J16)</f>
        <v>13.536870187941259</v>
      </c>
      <c r="L16" s="30">
        <f>SUM($F$4:F16)/I16</f>
        <v>4.9666968601890789</v>
      </c>
    </row>
    <row r="17" spans="1:12" x14ac:dyDescent="0.3">
      <c r="A17" s="23">
        <v>44958</v>
      </c>
      <c r="B17" s="22">
        <v>14</v>
      </c>
      <c r="C17" s="24">
        <v>93538</v>
      </c>
      <c r="D17" s="24">
        <f t="shared" si="0"/>
        <v>107184.65060913995</v>
      </c>
      <c r="E17" s="24">
        <f t="shared" si="1"/>
        <v>108700.9451212666</v>
      </c>
      <c r="F17" s="24">
        <f t="shared" si="2"/>
        <v>15162.945121266603</v>
      </c>
      <c r="G17" s="24">
        <f t="shared" si="3"/>
        <v>15162.945121266603</v>
      </c>
      <c r="H17" s="24">
        <f>SUMSQ($F$4:F17)/B17</f>
        <v>293190098.20163441</v>
      </c>
      <c r="I17" s="24">
        <f>SUM($G$4:G17)/B17</f>
        <v>11884.54688500603</v>
      </c>
      <c r="J17" s="34">
        <f t="shared" si="4"/>
        <v>16.210465395097824</v>
      </c>
      <c r="K17" s="34">
        <f>AVERAGE($J$4:J17)</f>
        <v>13.72784127416673</v>
      </c>
      <c r="L17" s="35">
        <f>SUM($F$4:F17)/I17</f>
        <v>6.1371597640159585</v>
      </c>
    </row>
    <row r="18" spans="1:12" x14ac:dyDescent="0.3">
      <c r="A18" s="23">
        <v>44986</v>
      </c>
      <c r="B18" s="22">
        <v>15</v>
      </c>
      <c r="C18" s="24">
        <v>125713</v>
      </c>
      <c r="D18" s="24">
        <f t="shared" si="0"/>
        <v>109037.48554822596</v>
      </c>
      <c r="E18" s="24">
        <f t="shared" si="1"/>
        <v>107184.65060913995</v>
      </c>
      <c r="F18" s="24">
        <f t="shared" si="2"/>
        <v>-18528.34939086005</v>
      </c>
      <c r="G18" s="24">
        <f t="shared" si="3"/>
        <v>18528.34939086005</v>
      </c>
      <c r="H18" s="24">
        <f>SUMSQ($F$4:F18)/B18</f>
        <v>296530740.39817774</v>
      </c>
      <c r="I18" s="24">
        <f>SUM($G$4:G18)/B18</f>
        <v>12327.467052062966</v>
      </c>
      <c r="J18" s="34">
        <f t="shared" si="4"/>
        <v>14.738610478518572</v>
      </c>
      <c r="K18" s="34">
        <f>AVERAGE($J$4:J18)</f>
        <v>13.795225887790187</v>
      </c>
      <c r="L18" s="30">
        <f>SUM($F$4:F18)/I18</f>
        <v>4.4136409641634335</v>
      </c>
    </row>
    <row r="19" spans="1:12" x14ac:dyDescent="0.3">
      <c r="A19" s="23">
        <v>45017</v>
      </c>
      <c r="B19" s="22">
        <v>16</v>
      </c>
      <c r="C19" s="24">
        <v>118330</v>
      </c>
      <c r="D19" s="24">
        <f t="shared" si="0"/>
        <v>109966.73699340336</v>
      </c>
      <c r="E19" s="24">
        <f t="shared" si="1"/>
        <v>109037.48554822596</v>
      </c>
      <c r="F19" s="24">
        <f t="shared" si="2"/>
        <v>-9292.5144517740409</v>
      </c>
      <c r="G19" s="24">
        <f t="shared" si="3"/>
        <v>9292.5144517740409</v>
      </c>
      <c r="H19" s="24">
        <f>SUMSQ($F$4:F19)/B19</f>
        <v>283394495.67556846</v>
      </c>
      <c r="I19" s="24">
        <f>SUM($G$4:G19)/B19</f>
        <v>12137.782514544908</v>
      </c>
      <c r="J19" s="34">
        <f t="shared" si="4"/>
        <v>7.8530503268605099</v>
      </c>
      <c r="K19" s="34">
        <f>AVERAGE($J$4:J19)</f>
        <v>13.423839915232081</v>
      </c>
      <c r="L19" s="30">
        <f>SUM($F$4:F19)/I19</f>
        <v>3.7170297836134605</v>
      </c>
    </row>
    <row r="20" spans="1:12" x14ac:dyDescent="0.3">
      <c r="A20" s="23">
        <v>45047</v>
      </c>
      <c r="B20" s="22">
        <v>17</v>
      </c>
      <c r="C20" s="24">
        <v>120224.75</v>
      </c>
      <c r="D20" s="24">
        <f t="shared" si="0"/>
        <v>110992.53829406304</v>
      </c>
      <c r="E20" s="24">
        <f t="shared" si="1"/>
        <v>109966.73699340336</v>
      </c>
      <c r="F20" s="24">
        <f t="shared" si="2"/>
        <v>-10258.013006596637</v>
      </c>
      <c r="G20" s="24">
        <f t="shared" si="3"/>
        <v>10258.013006596637</v>
      </c>
      <c r="H20" s="24">
        <f>SUMSQ($F$4:F20)/B20</f>
        <v>272914044.80309421</v>
      </c>
      <c r="I20" s="24">
        <f>SUM($G$4:G20)/B20</f>
        <v>12027.207837606773</v>
      </c>
      <c r="J20" s="34">
        <f t="shared" si="4"/>
        <v>8.5323637658607208</v>
      </c>
      <c r="K20" s="34">
        <f>AVERAGE($J$4:J20)</f>
        <v>13.136106024092589</v>
      </c>
      <c r="L20" s="30">
        <f>SUM($F$4:F20)/I20</f>
        <v>2.8983024636851842</v>
      </c>
    </row>
    <row r="21" spans="1:12" x14ac:dyDescent="0.3">
      <c r="A21" s="23">
        <v>45078</v>
      </c>
      <c r="B21" s="22">
        <v>18</v>
      </c>
      <c r="C21" s="24">
        <v>125457</v>
      </c>
      <c r="D21" s="24">
        <f t="shared" si="0"/>
        <v>112438.98446465674</v>
      </c>
      <c r="E21" s="24">
        <f t="shared" si="1"/>
        <v>110992.53829406304</v>
      </c>
      <c r="F21" s="24">
        <f t="shared" si="2"/>
        <v>-14464.461705936963</v>
      </c>
      <c r="G21" s="24">
        <f t="shared" si="3"/>
        <v>14464.461705936963</v>
      </c>
      <c r="H21" s="24">
        <f>SUMSQ($F$4:F21)/B21</f>
        <v>269375523.00528437</v>
      </c>
      <c r="I21" s="24">
        <f>SUM($G$4:G21)/B21</f>
        <v>12162.610830291784</v>
      </c>
      <c r="J21" s="34">
        <f t="shared" si="4"/>
        <v>11.529417813224422</v>
      </c>
      <c r="K21" s="34">
        <f>AVERAGE($J$4:J21)</f>
        <v>13.046845567933246</v>
      </c>
      <c r="L21" s="30">
        <f>SUM($F$4:F21)/I21</f>
        <v>1.6767801490663372</v>
      </c>
    </row>
    <row r="22" spans="1:12" x14ac:dyDescent="0.3">
      <c r="A22" s="23">
        <v>45108</v>
      </c>
      <c r="B22" s="22">
        <v>19</v>
      </c>
      <c r="C22" s="24">
        <v>129230.8</v>
      </c>
      <c r="D22" s="24">
        <f t="shared" si="0"/>
        <v>114118.16601819107</v>
      </c>
      <c r="E22" s="24">
        <f t="shared" si="1"/>
        <v>112438.98446465674</v>
      </c>
      <c r="F22" s="24">
        <f t="shared" si="2"/>
        <v>-16791.815535343267</v>
      </c>
      <c r="G22" s="24">
        <f t="shared" si="3"/>
        <v>16791.815535343267</v>
      </c>
      <c r="H22" s="24">
        <f>SUMSQ($F$4:F22)/B22</f>
        <v>270038130.68779546</v>
      </c>
      <c r="I22" s="24">
        <f>SUM($G$4:G22)/B22</f>
        <v>12406.253183189232</v>
      </c>
      <c r="J22" s="34">
        <f t="shared" si="4"/>
        <v>12.993663689571889</v>
      </c>
      <c r="K22" s="34">
        <f>AVERAGE($J$4:J22)</f>
        <v>13.0440465217037</v>
      </c>
      <c r="L22" s="30">
        <f>SUM($F$4:F22)/I22</f>
        <v>0.29035429251035416</v>
      </c>
    </row>
    <row r="23" spans="1:12" x14ac:dyDescent="0.3">
      <c r="A23" s="23">
        <v>45139</v>
      </c>
      <c r="B23" s="22">
        <v>20</v>
      </c>
      <c r="C23" s="24">
        <v>131852</v>
      </c>
      <c r="D23" s="24">
        <f t="shared" si="0"/>
        <v>115891.54941637196</v>
      </c>
      <c r="E23" s="24">
        <f t="shared" si="1"/>
        <v>114118.16601819107</v>
      </c>
      <c r="F23" s="24">
        <f t="shared" si="2"/>
        <v>-17733.83398180893</v>
      </c>
      <c r="G23" s="24">
        <f t="shared" si="3"/>
        <v>17733.83398180893</v>
      </c>
      <c r="H23" s="24">
        <f>SUMSQ($F$4:F23)/B23</f>
        <v>272260667.53812373</v>
      </c>
      <c r="I23" s="24">
        <f>SUM($G$4:G23)/B23</f>
        <v>12672.632223120216</v>
      </c>
      <c r="J23" s="34">
        <f t="shared" si="4"/>
        <v>13.449802795413742</v>
      </c>
      <c r="K23" s="34">
        <f>AVERAGE($J$4:J23)</f>
        <v>13.064334335389201</v>
      </c>
      <c r="L23" s="30">
        <f>SUM($F$4:F23)/I23</f>
        <v>-1.1151294275168546</v>
      </c>
    </row>
    <row r="24" spans="1:12" x14ac:dyDescent="0.3">
      <c r="A24" s="23">
        <v>45170</v>
      </c>
      <c r="B24" s="22">
        <v>21</v>
      </c>
      <c r="C24" s="24">
        <v>131888.79999999999</v>
      </c>
      <c r="D24" s="24">
        <f t="shared" si="0"/>
        <v>117491.27447473476</v>
      </c>
      <c r="E24" s="24">
        <f t="shared" si="1"/>
        <v>115891.54941637196</v>
      </c>
      <c r="F24" s="24">
        <f t="shared" si="2"/>
        <v>-15997.250583628032</v>
      </c>
      <c r="G24" s="24">
        <f t="shared" si="3"/>
        <v>15997.250583628032</v>
      </c>
      <c r="H24" s="24">
        <f>SUMSQ($F$4:F24)/B24</f>
        <v>271482160.80942202</v>
      </c>
      <c r="I24" s="24">
        <f>SUM($G$4:G24)/B24</f>
        <v>12830.947383144396</v>
      </c>
      <c r="J24" s="34">
        <f t="shared" si="4"/>
        <v>12.129347286219932</v>
      </c>
      <c r="K24" s="34">
        <f>AVERAGE($J$4:J24)</f>
        <v>13.019811142571617</v>
      </c>
      <c r="L24" s="30">
        <f>SUM($F$4:F24)/I24</f>
        <v>-2.348141162148873</v>
      </c>
    </row>
    <row r="25" spans="1:12" x14ac:dyDescent="0.3">
      <c r="A25" s="23">
        <v>45200</v>
      </c>
      <c r="B25" s="22">
        <v>22</v>
      </c>
      <c r="C25" s="24">
        <v>136062.25</v>
      </c>
      <c r="D25" s="24">
        <f t="shared" si="0"/>
        <v>119348.3720272613</v>
      </c>
      <c r="E25" s="24">
        <f t="shared" si="1"/>
        <v>117491.27447473476</v>
      </c>
      <c r="F25" s="24">
        <f t="shared" si="2"/>
        <v>-18570.975525265239</v>
      </c>
      <c r="G25" s="24">
        <f t="shared" si="3"/>
        <v>18570.975525265239</v>
      </c>
      <c r="H25" s="24">
        <f>SUMSQ($F$4:F25)/B25</f>
        <v>274818477.67990285</v>
      </c>
      <c r="I25" s="24">
        <f>SUM($G$4:G25)/B25</f>
        <v>13091.8577532408</v>
      </c>
      <c r="J25" s="34">
        <f t="shared" si="4"/>
        <v>13.648881688539797</v>
      </c>
      <c r="K25" s="34">
        <f>AVERAGE($J$4:J25)</f>
        <v>13.048405258297443</v>
      </c>
      <c r="L25" s="30">
        <f>SUM($F$4:F25)/I25</f>
        <v>-3.7198579562123371</v>
      </c>
    </row>
    <row r="26" spans="1:12" x14ac:dyDescent="0.3">
      <c r="A26" s="23">
        <v>45231</v>
      </c>
      <c r="B26" s="22">
        <v>23</v>
      </c>
      <c r="C26" s="24">
        <v>115384</v>
      </c>
      <c r="D26" s="24">
        <f t="shared" si="0"/>
        <v>118951.93482453519</v>
      </c>
      <c r="E26" s="24">
        <f t="shared" si="1"/>
        <v>119348.3720272613</v>
      </c>
      <c r="F26" s="24">
        <f t="shared" si="2"/>
        <v>3964.3720272612991</v>
      </c>
      <c r="G26" s="24">
        <f t="shared" si="3"/>
        <v>3964.3720272612991</v>
      </c>
      <c r="H26" s="24">
        <f>SUMSQ($F$4:F26)/B26</f>
        <v>263553163.240365</v>
      </c>
      <c r="I26" s="24">
        <f>SUM($G$4:G26)/B26</f>
        <v>12695.01054776343</v>
      </c>
      <c r="J26" s="34">
        <f t="shared" si="4"/>
        <v>3.4358074145993371</v>
      </c>
      <c r="K26" s="34">
        <f>AVERAGE($J$4:J26)</f>
        <v>12.630466221614915</v>
      </c>
      <c r="L26" s="30">
        <f>SUM($F$4:F26)/I26</f>
        <v>-3.5238630979800982</v>
      </c>
    </row>
    <row r="27" spans="1:12" x14ac:dyDescent="0.3">
      <c r="A27" s="23">
        <v>45261</v>
      </c>
      <c r="B27" s="22">
        <v>24</v>
      </c>
      <c r="C27" s="24">
        <v>152963.79999999999</v>
      </c>
      <c r="D27" s="24">
        <f t="shared" si="0"/>
        <v>122353.12134208168</v>
      </c>
      <c r="E27" s="24">
        <f t="shared" si="1"/>
        <v>118951.93482453519</v>
      </c>
      <c r="F27" s="24">
        <f t="shared" si="2"/>
        <v>-34011.865175464802</v>
      </c>
      <c r="G27" s="24">
        <f t="shared" si="3"/>
        <v>34011.865175464802</v>
      </c>
      <c r="H27" s="24">
        <f>SUMSQ($F$4:F27)/B27</f>
        <v>300772071.9684329</v>
      </c>
      <c r="I27" s="24">
        <f>SUM($G$4:G27)/B27</f>
        <v>13583.212823917653</v>
      </c>
      <c r="J27" s="34">
        <f t="shared" si="4"/>
        <v>22.235238125271994</v>
      </c>
      <c r="K27" s="34">
        <f>AVERAGE($J$4:J27)</f>
        <v>13.030665050933962</v>
      </c>
      <c r="L27" s="30">
        <f>SUM($F$4:F27)/I27</f>
        <v>-5.797401939733744</v>
      </c>
    </row>
    <row r="28" spans="1:12" x14ac:dyDescent="0.3">
      <c r="A28" s="23">
        <v>45292</v>
      </c>
      <c r="B28" s="22">
        <v>25</v>
      </c>
      <c r="C28" s="24">
        <v>119006</v>
      </c>
      <c r="D28" s="24">
        <f t="shared" si="0"/>
        <v>122018.40920787351</v>
      </c>
      <c r="E28" s="24">
        <f t="shared" si="1"/>
        <v>122353.12134208168</v>
      </c>
      <c r="F28" s="24">
        <f t="shared" si="2"/>
        <v>3347.1213420816784</v>
      </c>
      <c r="G28" s="24">
        <f t="shared" si="3"/>
        <v>3347.1213420816784</v>
      </c>
      <c r="H28" s="24">
        <f>SUMSQ($F$4:F28)/B28</f>
        <v>289189317.94084036</v>
      </c>
      <c r="I28" s="24">
        <f>SUM($G$4:G28)/B28</f>
        <v>13173.769164644214</v>
      </c>
      <c r="J28" s="34">
        <f t="shared" si="4"/>
        <v>2.8125652001425796</v>
      </c>
      <c r="K28" s="34">
        <f>AVERAGE($J$4:J28)</f>
        <v>12.621941056902306</v>
      </c>
      <c r="L28" s="30">
        <f>SUM($F$4:F28)/I28</f>
        <v>-5.7235117822979653</v>
      </c>
    </row>
    <row r="29" spans="1:12" x14ac:dyDescent="0.3">
      <c r="A29" s="23">
        <v>45323</v>
      </c>
      <c r="B29" s="22">
        <v>26</v>
      </c>
      <c r="C29" s="24">
        <v>107802.83333333333</v>
      </c>
      <c r="D29" s="24">
        <f t="shared" si="0"/>
        <v>120596.8516204195</v>
      </c>
      <c r="E29" s="24">
        <f t="shared" si="1"/>
        <v>122018.40920787351</v>
      </c>
      <c r="F29" s="24">
        <f t="shared" si="2"/>
        <v>14215.575874540184</v>
      </c>
      <c r="G29" s="24">
        <f t="shared" si="3"/>
        <v>14215.575874540184</v>
      </c>
      <c r="H29" s="24">
        <f>SUMSQ($F$4:F29)/B29</f>
        <v>285839059.46022373</v>
      </c>
      <c r="I29" s="24">
        <f>SUM($G$4:G29)/B29</f>
        <v>13213.838653486368</v>
      </c>
      <c r="J29" s="34">
        <f t="shared" si="4"/>
        <v>13.186644019443072</v>
      </c>
      <c r="K29" s="34">
        <f>AVERAGE($J$4:J29)</f>
        <v>12.643660401615412</v>
      </c>
      <c r="L29" s="30">
        <f>SUM($F$4:F29)/I29</f>
        <v>-4.6303461667008863</v>
      </c>
    </row>
    <row r="30" spans="1:12" x14ac:dyDescent="0.3">
      <c r="A30" s="23">
        <v>45352</v>
      </c>
      <c r="B30" s="22">
        <v>27</v>
      </c>
      <c r="C30" s="24">
        <v>125509.4</v>
      </c>
      <c r="D30" s="24">
        <f t="shared" si="0"/>
        <v>121088.10645837756</v>
      </c>
      <c r="E30" s="24">
        <f t="shared" si="1"/>
        <v>120596.8516204195</v>
      </c>
      <c r="F30" s="24">
        <f t="shared" si="2"/>
        <v>-4912.5483795804903</v>
      </c>
      <c r="G30" s="24">
        <f t="shared" si="3"/>
        <v>4912.5483795804903</v>
      </c>
      <c r="H30" s="24">
        <f>SUMSQ($F$4:F30)/B30</f>
        <v>276146247.31657541</v>
      </c>
      <c r="I30" s="24">
        <f>SUM($G$4:G30)/B30</f>
        <v>12906.383458156521</v>
      </c>
      <c r="J30" s="34">
        <f t="shared" si="4"/>
        <v>3.9140880121970865</v>
      </c>
      <c r="K30" s="34">
        <f>AVERAGE($J$4:J30)</f>
        <v>12.32034290571103</v>
      </c>
      <c r="L30" s="30">
        <f>SUM($F$4:F30)/I30</f>
        <v>-5.1212793847670222</v>
      </c>
    </row>
    <row r="31" spans="1:12" x14ac:dyDescent="0.3">
      <c r="A31" s="23">
        <v>45383</v>
      </c>
      <c r="B31" s="22">
        <v>28</v>
      </c>
      <c r="C31" s="24">
        <v>134920</v>
      </c>
      <c r="D31" s="24">
        <f t="shared" si="0"/>
        <v>122471.2958125398</v>
      </c>
      <c r="E31" s="24">
        <f>D30</f>
        <v>121088.10645837756</v>
      </c>
      <c r="F31" s="24">
        <f t="shared" si="2"/>
        <v>-13831.893541622441</v>
      </c>
      <c r="G31" s="24">
        <f t="shared" si="3"/>
        <v>13831.893541622441</v>
      </c>
      <c r="H31" s="58">
        <f>SUMSQ($F$4:F31)/B31</f>
        <v>273116784.16051114</v>
      </c>
      <c r="I31" s="31">
        <f>SUM($G$4:G31)/B31</f>
        <v>12939.437389708875</v>
      </c>
      <c r="J31" s="34">
        <f t="shared" si="4"/>
        <v>10.251922281072073</v>
      </c>
      <c r="K31" s="36">
        <f>AVERAGE($J$4:J31)</f>
        <v>12.246470740545353</v>
      </c>
      <c r="L31" s="35">
        <f>SUM($F$4:F31)/I31</f>
        <v>-6.1771688111685252</v>
      </c>
    </row>
    <row r="32" spans="1:12" x14ac:dyDescent="0.3">
      <c r="A32" s="38">
        <v>45413</v>
      </c>
      <c r="B32" s="37">
        <v>29</v>
      </c>
      <c r="E32" s="31">
        <f>D31</f>
        <v>122471.2958125398</v>
      </c>
    </row>
    <row r="33" spans="1:5" x14ac:dyDescent="0.3">
      <c r="A33" s="38">
        <v>45444</v>
      </c>
      <c r="B33" s="37">
        <v>30</v>
      </c>
      <c r="E33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0C3D-DEBA-4457-AAC6-8D4C70CC8B5A}">
  <dimension ref="A2:O33"/>
  <sheetViews>
    <sheetView topLeftCell="F2" workbookViewId="0">
      <selection activeCell="P2" sqref="P2"/>
    </sheetView>
  </sheetViews>
  <sheetFormatPr baseColWidth="10" defaultRowHeight="14.4" x14ac:dyDescent="0.3"/>
  <sheetData>
    <row r="2" spans="1:15" ht="58.8" x14ac:dyDescent="0.35">
      <c r="A2" s="32" t="s">
        <v>33</v>
      </c>
      <c r="B2" s="33" t="s">
        <v>34</v>
      </c>
      <c r="C2" s="33" t="s">
        <v>40</v>
      </c>
      <c r="D2" s="33" t="s">
        <v>98</v>
      </c>
      <c r="E2" s="33" t="s">
        <v>41</v>
      </c>
      <c r="F2" s="33" t="s">
        <v>42</v>
      </c>
      <c r="G2" s="33" t="s">
        <v>43</v>
      </c>
      <c r="H2" s="33" t="s">
        <v>44</v>
      </c>
      <c r="I2" s="33" t="s">
        <v>45</v>
      </c>
      <c r="J2" s="33" t="s">
        <v>10</v>
      </c>
      <c r="K2" s="33" t="s">
        <v>21</v>
      </c>
      <c r="L2" s="33" t="s">
        <v>22</v>
      </c>
    </row>
    <row r="3" spans="1:15" x14ac:dyDescent="0.3">
      <c r="A3" s="55"/>
      <c r="B3" s="56">
        <v>0</v>
      </c>
      <c r="C3" s="13"/>
      <c r="D3" s="59">
        <f>AVERAGE(C4:C31)</f>
        <v>148751.05515072856</v>
      </c>
      <c r="E3" s="13"/>
      <c r="F3" s="13"/>
      <c r="G3" s="13"/>
      <c r="H3" s="13"/>
      <c r="I3" s="13"/>
      <c r="J3" s="13"/>
      <c r="K3" s="13"/>
      <c r="L3" s="13"/>
    </row>
    <row r="4" spans="1:15" x14ac:dyDescent="0.3">
      <c r="A4" s="23">
        <v>44562</v>
      </c>
      <c r="B4" s="22">
        <v>1</v>
      </c>
      <c r="C4" s="24">
        <v>92181.55</v>
      </c>
      <c r="D4" s="24">
        <f>$O$4*C4+(1-$O$4)*D3</f>
        <v>148242.01587424678</v>
      </c>
      <c r="E4" s="24">
        <f>D3</f>
        <v>148751.05515072856</v>
      </c>
      <c r="F4" s="24">
        <f>E4-C4</f>
        <v>56569.505150728553</v>
      </c>
      <c r="G4" s="24">
        <f>ABS(F4)</f>
        <v>56569.505150728553</v>
      </c>
      <c r="H4" s="24">
        <f>SUMSQ($F$4:F4)/B4</f>
        <v>3200108912.9983044</v>
      </c>
      <c r="I4" s="24">
        <f>SUM($G$4:G4)/B4</f>
        <v>56569.505150728553</v>
      </c>
      <c r="J4" s="34">
        <f>100*(G4/C4)</f>
        <v>61.367491814499267</v>
      </c>
      <c r="K4" s="34">
        <f>AVERAGE($J$4:J4)</f>
        <v>61.367491814499267</v>
      </c>
      <c r="L4" s="30">
        <f>SUM($F$4:F4)/I4</f>
        <v>1</v>
      </c>
      <c r="N4" t="s">
        <v>93</v>
      </c>
      <c r="O4">
        <v>8.9984749756153136E-3</v>
      </c>
    </row>
    <row r="5" spans="1:15" x14ac:dyDescent="0.3">
      <c r="A5" s="23">
        <v>44593</v>
      </c>
      <c r="B5" s="22">
        <v>2</v>
      </c>
      <c r="C5" s="24">
        <v>101781.21052631579</v>
      </c>
      <c r="D5" s="24">
        <f t="shared" ref="D5:D31" si="0">$O$4*C5+(1-$O$4)*D4</f>
        <v>147823.93947997649</v>
      </c>
      <c r="E5" s="24">
        <f t="shared" ref="E5:E30" si="1">D4</f>
        <v>148242.01587424678</v>
      </c>
      <c r="F5" s="24">
        <f t="shared" ref="F5:F31" si="2">E5-C5</f>
        <v>46460.805347930989</v>
      </c>
      <c r="G5" s="24">
        <f t="shared" ref="G5:G31" si="3">ABS(F5)</f>
        <v>46460.805347930989</v>
      </c>
      <c r="H5" s="24">
        <f>SUMSQ($F$4:F5)/B5</f>
        <v>2679357673.2883186</v>
      </c>
      <c r="I5" s="24">
        <f>SUM($G$4:G5)/B5</f>
        <v>51515.155249329771</v>
      </c>
      <c r="J5" s="34">
        <f t="shared" ref="J5:J31" si="4">100*(G5/C5)</f>
        <v>45.647723295566848</v>
      </c>
      <c r="K5" s="34">
        <f>AVERAGE($J$4:J5)</f>
        <v>53.507607555033061</v>
      </c>
      <c r="L5" s="30">
        <f>SUM($F$4:F5)/I5</f>
        <v>2</v>
      </c>
    </row>
    <row r="6" spans="1:15" x14ac:dyDescent="0.3">
      <c r="A6" s="23">
        <v>44621</v>
      </c>
      <c r="B6" s="22">
        <v>3</v>
      </c>
      <c r="C6" s="24">
        <v>121611</v>
      </c>
      <c r="D6" s="24">
        <f t="shared" si="0"/>
        <v>147588.0630000286</v>
      </c>
      <c r="E6" s="24">
        <f t="shared" si="1"/>
        <v>147823.93947997649</v>
      </c>
      <c r="F6" s="24">
        <f t="shared" si="2"/>
        <v>26212.939479976485</v>
      </c>
      <c r="G6" s="24">
        <f t="shared" si="3"/>
        <v>26212.939479976485</v>
      </c>
      <c r="H6" s="24">
        <f>SUMSQ($F$4:F6)/B6</f>
        <v>2015277847.585849</v>
      </c>
      <c r="I6" s="24">
        <f>SUM($G$4:G6)/B6</f>
        <v>43081.083326212007</v>
      </c>
      <c r="J6" s="34">
        <f t="shared" si="4"/>
        <v>21.554743797827896</v>
      </c>
      <c r="K6" s="34">
        <f>AVERAGE($J$4:J6)</f>
        <v>42.856652969298011</v>
      </c>
      <c r="L6" s="30">
        <f>SUM($F$4:F6)/I6</f>
        <v>3</v>
      </c>
    </row>
    <row r="7" spans="1:15" x14ac:dyDescent="0.3">
      <c r="A7" s="23">
        <v>44652</v>
      </c>
      <c r="B7" s="22">
        <v>4</v>
      </c>
      <c r="C7" s="24">
        <v>131275.25</v>
      </c>
      <c r="D7" s="24">
        <f t="shared" si="0"/>
        <v>147441.27256046596</v>
      </c>
      <c r="E7" s="24">
        <f t="shared" si="1"/>
        <v>147588.0630000286</v>
      </c>
      <c r="F7" s="24">
        <f t="shared" si="2"/>
        <v>16312.813000028604</v>
      </c>
      <c r="G7" s="24">
        <f t="shared" si="3"/>
        <v>16312.813000028604</v>
      </c>
      <c r="H7" s="24">
        <f>SUMSQ($F$4:F7)/B7</f>
        <v>1577985352.6828623</v>
      </c>
      <c r="I7" s="24">
        <f>SUM($G$4:G7)/B7</f>
        <v>36389.015744666161</v>
      </c>
      <c r="J7" s="34">
        <f t="shared" si="4"/>
        <v>12.426419298404385</v>
      </c>
      <c r="K7" s="34">
        <f>AVERAGE($J$4:J7)</f>
        <v>35.249094551574608</v>
      </c>
      <c r="L7" s="30">
        <f>SUM($F$4:F7)/I7</f>
        <v>4</v>
      </c>
    </row>
    <row r="8" spans="1:15" x14ac:dyDescent="0.3">
      <c r="A8" s="23">
        <v>44682</v>
      </c>
      <c r="B8" s="22">
        <v>5</v>
      </c>
      <c r="C8" s="24">
        <v>134583</v>
      </c>
      <c r="D8" s="24">
        <f t="shared" si="0"/>
        <v>147325.56771660096</v>
      </c>
      <c r="E8" s="24">
        <f t="shared" si="1"/>
        <v>147441.27256046596</v>
      </c>
      <c r="F8" s="24">
        <f t="shared" si="2"/>
        <v>12858.272560465964</v>
      </c>
      <c r="G8" s="24">
        <f t="shared" si="3"/>
        <v>12858.272560465964</v>
      </c>
      <c r="H8" s="24">
        <f>SUMSQ($F$4:F8)/B8</f>
        <v>1295455316.7941363</v>
      </c>
      <c r="I8" s="24">
        <f>SUM($G$4:G8)/B8</f>
        <v>31682.867107826121</v>
      </c>
      <c r="J8" s="34">
        <f t="shared" si="4"/>
        <v>9.5541580738027569</v>
      </c>
      <c r="K8" s="34">
        <f>AVERAGE($J$4:J8)</f>
        <v>30.110107256020239</v>
      </c>
      <c r="L8" s="30">
        <f>SUM($F$4:F8)/I8</f>
        <v>5</v>
      </c>
    </row>
    <row r="9" spans="1:15" x14ac:dyDescent="0.3">
      <c r="A9" s="23">
        <v>44713</v>
      </c>
      <c r="B9" s="22">
        <v>6</v>
      </c>
      <c r="C9" s="24">
        <v>136247</v>
      </c>
      <c r="D9" s="24">
        <f t="shared" si="0"/>
        <v>147225.87750223745</v>
      </c>
      <c r="E9" s="24">
        <f t="shared" si="1"/>
        <v>147325.56771660096</v>
      </c>
      <c r="F9" s="24">
        <f t="shared" si="2"/>
        <v>11078.567716600955</v>
      </c>
      <c r="G9" s="24">
        <f t="shared" si="3"/>
        <v>11078.567716600955</v>
      </c>
      <c r="H9" s="24">
        <f>SUMSQ($F$4:F9)/B9</f>
        <v>1100001874.4369991</v>
      </c>
      <c r="I9" s="24">
        <f>SUM($G$4:G9)/B9</f>
        <v>28248.817209288594</v>
      </c>
      <c r="J9" s="34">
        <f t="shared" si="4"/>
        <v>8.131237911000575</v>
      </c>
      <c r="K9" s="34">
        <f>AVERAGE($J$4:J9)</f>
        <v>26.446962365183627</v>
      </c>
      <c r="L9" s="30">
        <f>SUM($F$4:F9)/I9</f>
        <v>6</v>
      </c>
    </row>
    <row r="10" spans="1:15" x14ac:dyDescent="0.3">
      <c r="A10" s="23">
        <v>44743</v>
      </c>
      <c r="B10" s="22">
        <v>7</v>
      </c>
      <c r="C10" s="24">
        <v>133935</v>
      </c>
      <c r="D10" s="24">
        <f t="shared" si="0"/>
        <v>147106.2798736296</v>
      </c>
      <c r="E10" s="24">
        <f t="shared" si="1"/>
        <v>147225.87750223745</v>
      </c>
      <c r="F10" s="24">
        <f t="shared" si="2"/>
        <v>13290.877502237447</v>
      </c>
      <c r="G10" s="24">
        <f t="shared" si="3"/>
        <v>13290.877502237447</v>
      </c>
      <c r="H10" s="24">
        <f>SUMSQ($F$4:F10)/B10</f>
        <v>968094095.91449654</v>
      </c>
      <c r="I10" s="24">
        <f>SUM($G$4:G10)/B10</f>
        <v>26111.968679709858</v>
      </c>
      <c r="J10" s="34">
        <f t="shared" si="4"/>
        <v>9.9233788794844102</v>
      </c>
      <c r="K10" s="34">
        <f>AVERAGE($J$4:J10)</f>
        <v>24.086450438655167</v>
      </c>
      <c r="L10" s="30">
        <f>SUM($F$4:F10)/I10</f>
        <v>7</v>
      </c>
    </row>
    <row r="11" spans="1:15" x14ac:dyDescent="0.3">
      <c r="A11" s="23">
        <v>44774</v>
      </c>
      <c r="B11" s="22">
        <v>8</v>
      </c>
      <c r="C11" s="24">
        <v>141808</v>
      </c>
      <c r="D11" s="24">
        <f t="shared" si="0"/>
        <v>147058.60343477293</v>
      </c>
      <c r="E11" s="24">
        <f t="shared" si="1"/>
        <v>147106.2798736296</v>
      </c>
      <c r="F11" s="24">
        <f t="shared" si="2"/>
        <v>5298.2798736295954</v>
      </c>
      <c r="G11" s="24">
        <f t="shared" si="3"/>
        <v>5298.2798736295954</v>
      </c>
      <c r="H11" s="24">
        <f>SUMSQ($F$4:F11)/B11</f>
        <v>850591305.12759805</v>
      </c>
      <c r="I11" s="24">
        <f>SUM($G$4:G11)/B11</f>
        <v>23510.257578949826</v>
      </c>
      <c r="J11" s="34">
        <f t="shared" si="4"/>
        <v>3.7362348200592317</v>
      </c>
      <c r="K11" s="34">
        <f>AVERAGE($J$4:J11)</f>
        <v>21.542673486330674</v>
      </c>
      <c r="L11" s="30">
        <f>SUM($F$4:F11)/I11</f>
        <v>8</v>
      </c>
    </row>
    <row r="12" spans="1:15" x14ac:dyDescent="0.3">
      <c r="A12" s="23">
        <v>44805</v>
      </c>
      <c r="B12" s="22">
        <v>9</v>
      </c>
      <c r="C12" s="24">
        <v>144064</v>
      </c>
      <c r="D12" s="24">
        <f t="shared" si="0"/>
        <v>147031.65657070323</v>
      </c>
      <c r="E12" s="24">
        <f t="shared" si="1"/>
        <v>147058.60343477293</v>
      </c>
      <c r="F12" s="24">
        <f t="shared" si="2"/>
        <v>2994.6034347729292</v>
      </c>
      <c r="G12" s="24">
        <f t="shared" si="3"/>
        <v>2994.6034347729292</v>
      </c>
      <c r="H12" s="24">
        <f>SUMSQ($F$4:F12)/B12</f>
        <v>757077565.63914871</v>
      </c>
      <c r="I12" s="24">
        <f>SUM($G$4:G12)/B12</f>
        <v>21230.74045181906</v>
      </c>
      <c r="J12" s="34">
        <f t="shared" si="4"/>
        <v>2.0786618688728131</v>
      </c>
      <c r="K12" s="34">
        <f>AVERAGE($J$4:J12)</f>
        <v>19.380005528835355</v>
      </c>
      <c r="L12" s="30">
        <f>SUM($F$4:F12)/I12</f>
        <v>9</v>
      </c>
    </row>
    <row r="13" spans="1:15" x14ac:dyDescent="0.3">
      <c r="A13" s="23">
        <v>44835</v>
      </c>
      <c r="B13" s="22">
        <v>10</v>
      </c>
      <c r="C13" s="24">
        <v>148015</v>
      </c>
      <c r="D13" s="24">
        <f t="shared" si="0"/>
        <v>147040.50516194417</v>
      </c>
      <c r="E13" s="24">
        <f t="shared" si="1"/>
        <v>147031.65657070323</v>
      </c>
      <c r="F13" s="24">
        <f t="shared" si="2"/>
        <v>-983.34342929677223</v>
      </c>
      <c r="G13" s="24">
        <f t="shared" si="3"/>
        <v>983.34342929677223</v>
      </c>
      <c r="H13" s="24">
        <f>SUMSQ($F$4:F13)/B13</f>
        <v>681466505.50522792</v>
      </c>
      <c r="I13" s="24">
        <f>SUM($G$4:G13)/B13</f>
        <v>19206.000749566832</v>
      </c>
      <c r="J13" s="34">
        <f t="shared" si="4"/>
        <v>0.66435390284550366</v>
      </c>
      <c r="K13" s="34">
        <f>AVERAGE($J$4:J13)</f>
        <v>17.508440366236371</v>
      </c>
      <c r="L13" s="30">
        <f>SUM($F$4:F13)/I13</f>
        <v>9.8976003966553048</v>
      </c>
    </row>
    <row r="14" spans="1:15" x14ac:dyDescent="0.3">
      <c r="A14" s="23">
        <v>44866</v>
      </c>
      <c r="B14" s="22">
        <v>11</v>
      </c>
      <c r="C14" s="24">
        <v>148224</v>
      </c>
      <c r="D14" s="24">
        <f t="shared" si="0"/>
        <v>147051.15481062818</v>
      </c>
      <c r="E14" s="24">
        <f t="shared" si="1"/>
        <v>147040.50516194417</v>
      </c>
      <c r="F14" s="24">
        <f t="shared" si="2"/>
        <v>-1183.4948380558344</v>
      </c>
      <c r="G14" s="24">
        <f t="shared" si="3"/>
        <v>1183.4948380558344</v>
      </c>
      <c r="H14" s="24">
        <f>SUMSQ($F$4:F14)/B14</f>
        <v>619642337.73490763</v>
      </c>
      <c r="I14" s="24">
        <f>SUM($G$4:G14)/B14</f>
        <v>17567.591121247649</v>
      </c>
      <c r="J14" s="34">
        <f t="shared" si="4"/>
        <v>0.79845020918058784</v>
      </c>
      <c r="K14" s="34">
        <f>AVERAGE($J$4:J14)</f>
        <v>15.989350351958574</v>
      </c>
      <c r="L14" s="30">
        <f>SUM($F$4:F14)/I14</f>
        <v>10.753314127998816</v>
      </c>
    </row>
    <row r="15" spans="1:15" x14ac:dyDescent="0.3">
      <c r="A15" s="23">
        <v>44896</v>
      </c>
      <c r="B15" s="22">
        <v>12</v>
      </c>
      <c r="C15" s="24">
        <v>159382</v>
      </c>
      <c r="D15" s="24">
        <f t="shared" si="0"/>
        <v>147162.11361249292</v>
      </c>
      <c r="E15" s="24">
        <f t="shared" si="1"/>
        <v>147051.15481062818</v>
      </c>
      <c r="F15" s="24">
        <f t="shared" si="2"/>
        <v>-12330.845189371816</v>
      </c>
      <c r="G15" s="24">
        <f t="shared" si="3"/>
        <v>12330.845189371816</v>
      </c>
      <c r="H15" s="24">
        <f>SUMSQ($F$4:F15)/B15</f>
        <v>580676288.18068659</v>
      </c>
      <c r="I15" s="24">
        <f>SUM($G$4:G15)/B15</f>
        <v>17131.195626924662</v>
      </c>
      <c r="J15" s="34">
        <f t="shared" si="4"/>
        <v>7.7366610968439442</v>
      </c>
      <c r="K15" s="34">
        <f>AVERAGE($J$4:J15)</f>
        <v>15.301626247365688</v>
      </c>
      <c r="L15" s="30">
        <f>SUM($F$4:F15)/I15</f>
        <v>10.307452232471297</v>
      </c>
    </row>
    <row r="16" spans="1:15" x14ac:dyDescent="0.3">
      <c r="A16" s="23">
        <v>44927</v>
      </c>
      <c r="B16" s="22">
        <v>13</v>
      </c>
      <c r="C16" s="24">
        <v>132906</v>
      </c>
      <c r="D16" s="24">
        <f t="shared" si="0"/>
        <v>147033.83033090137</v>
      </c>
      <c r="E16" s="24">
        <f t="shared" si="1"/>
        <v>147162.11361249292</v>
      </c>
      <c r="F16" s="24">
        <f t="shared" si="2"/>
        <v>14256.113612492918</v>
      </c>
      <c r="G16" s="24">
        <f t="shared" si="3"/>
        <v>14256.113612492918</v>
      </c>
      <c r="H16" s="24">
        <f>SUMSQ($F$4:F16)/B16</f>
        <v>551642479.50004184</v>
      </c>
      <c r="I16" s="24">
        <f>SUM($G$4:G16)/B16</f>
        <v>16910.035471968375</v>
      </c>
      <c r="J16" s="34">
        <f t="shared" si="4"/>
        <v>10.726463524967208</v>
      </c>
      <c r="K16" s="34">
        <f>AVERAGE($J$4:J16)</f>
        <v>14.949690653335036</v>
      </c>
      <c r="L16" s="30">
        <f>SUM($F$4:F16)/I16</f>
        <v>11.285316020684036</v>
      </c>
    </row>
    <row r="17" spans="1:12" x14ac:dyDescent="0.3">
      <c r="A17" s="23">
        <v>44958</v>
      </c>
      <c r="B17" s="22">
        <v>14</v>
      </c>
      <c r="C17" s="24">
        <v>137854</v>
      </c>
      <c r="D17" s="24">
        <f t="shared" si="0"/>
        <v>146951.22585738834</v>
      </c>
      <c r="E17" s="24">
        <f t="shared" si="1"/>
        <v>147033.83033090137</v>
      </c>
      <c r="F17" s="24">
        <f t="shared" si="2"/>
        <v>9179.8303309013718</v>
      </c>
      <c r="G17" s="24">
        <f t="shared" si="3"/>
        <v>9179.8303309013718</v>
      </c>
      <c r="H17" s="24">
        <f>SUMSQ($F$4:F17)/B17</f>
        <v>518258679.88604867</v>
      </c>
      <c r="I17" s="24">
        <f>SUM($G$4:G17)/B17</f>
        <v>16357.87796189216</v>
      </c>
      <c r="J17" s="34">
        <f t="shared" si="4"/>
        <v>6.6590960950725915</v>
      </c>
      <c r="K17" s="34">
        <f>AVERAGE($J$4:J17)</f>
        <v>14.35750532774486</v>
      </c>
      <c r="L17" s="35">
        <f>SUM($F$4:F17)/I17</f>
        <v>12.227437141847043</v>
      </c>
    </row>
    <row r="18" spans="1:12" x14ac:dyDescent="0.3">
      <c r="A18" s="23">
        <v>44986</v>
      </c>
      <c r="B18" s="22">
        <v>15</v>
      </c>
      <c r="C18" s="24">
        <v>156156</v>
      </c>
      <c r="D18" s="24">
        <f t="shared" si="0"/>
        <v>147034.05478716682</v>
      </c>
      <c r="E18" s="24">
        <f t="shared" si="1"/>
        <v>146951.22585738834</v>
      </c>
      <c r="F18" s="24">
        <f t="shared" si="2"/>
        <v>-9204.7741426116554</v>
      </c>
      <c r="G18" s="24">
        <f t="shared" si="3"/>
        <v>9204.7741426116554</v>
      </c>
      <c r="H18" s="24">
        <f>SUMSQ($F$4:F18)/B18</f>
        <v>489356625.69474488</v>
      </c>
      <c r="I18" s="24">
        <f>SUM($G$4:G18)/B18</f>
        <v>15881.004373940126</v>
      </c>
      <c r="J18" s="34">
        <f t="shared" si="4"/>
        <v>5.8946016436202608</v>
      </c>
      <c r="K18" s="34">
        <f>AVERAGE($J$4:J18)</f>
        <v>13.793311748803221</v>
      </c>
      <c r="L18" s="30">
        <f>SUM($F$4:F18)/I18</f>
        <v>12.014992623737259</v>
      </c>
    </row>
    <row r="19" spans="1:12" x14ac:dyDescent="0.3">
      <c r="A19" s="23">
        <v>45017</v>
      </c>
      <c r="B19" s="22">
        <v>16</v>
      </c>
      <c r="C19" s="24">
        <v>161269</v>
      </c>
      <c r="D19" s="24">
        <f t="shared" si="0"/>
        <v>147162.14758544374</v>
      </c>
      <c r="E19" s="24">
        <f t="shared" si="1"/>
        <v>147034.05478716682</v>
      </c>
      <c r="F19" s="24">
        <f t="shared" si="2"/>
        <v>-14234.945212833176</v>
      </c>
      <c r="G19" s="24">
        <f t="shared" si="3"/>
        <v>14234.945212833176</v>
      </c>
      <c r="H19" s="24">
        <f>SUMSQ($F$4:F19)/B19</f>
        <v>471436440.66459596</v>
      </c>
      <c r="I19" s="24">
        <f>SUM($G$4:G19)/B19</f>
        <v>15778.125676370943</v>
      </c>
      <c r="J19" s="34">
        <f t="shared" si="4"/>
        <v>8.8268329392711404</v>
      </c>
      <c r="K19" s="34">
        <f>AVERAGE($J$4:J19)</f>
        <v>13.482906823207465</v>
      </c>
      <c r="L19" s="30">
        <f>SUM($F$4:F19)/I19</f>
        <v>11.191139481290396</v>
      </c>
    </row>
    <row r="20" spans="1:12" x14ac:dyDescent="0.3">
      <c r="A20" s="23">
        <v>45047</v>
      </c>
      <c r="B20" s="22">
        <v>17</v>
      </c>
      <c r="C20" s="24">
        <v>161613.68181818182</v>
      </c>
      <c r="D20" s="24">
        <f t="shared" si="0"/>
        <v>147292.18935459628</v>
      </c>
      <c r="E20" s="24">
        <f t="shared" si="1"/>
        <v>147162.14758544374</v>
      </c>
      <c r="F20" s="24">
        <f t="shared" si="2"/>
        <v>-14451.534232738079</v>
      </c>
      <c r="G20" s="24">
        <f t="shared" si="3"/>
        <v>14451.534232738079</v>
      </c>
      <c r="H20" s="24">
        <f>SUMSQ($F$4:F20)/B20</f>
        <v>455989993.66550207</v>
      </c>
      <c r="I20" s="24">
        <f>SUM($G$4:G20)/B20</f>
        <v>15700.090885569009</v>
      </c>
      <c r="J20" s="34">
        <f t="shared" si="4"/>
        <v>8.9420240106876001</v>
      </c>
      <c r="K20" s="34">
        <f>AVERAGE($J$4:J20)</f>
        <v>13.215796069529825</v>
      </c>
      <c r="L20" s="30">
        <f>SUM($F$4:F20)/I20</f>
        <v>10.32628869135255</v>
      </c>
    </row>
    <row r="21" spans="1:12" x14ac:dyDescent="0.3">
      <c r="A21" s="23">
        <v>45078</v>
      </c>
      <c r="B21" s="22">
        <v>18</v>
      </c>
      <c r="C21" s="24">
        <v>160111</v>
      </c>
      <c r="D21" s="24">
        <f t="shared" si="0"/>
        <v>147407.53910140609</v>
      </c>
      <c r="E21" s="24">
        <f t="shared" si="1"/>
        <v>147292.18935459628</v>
      </c>
      <c r="F21" s="24">
        <f t="shared" si="2"/>
        <v>-12818.810645403719</v>
      </c>
      <c r="G21" s="24">
        <f t="shared" si="3"/>
        <v>12818.810645403719</v>
      </c>
      <c r="H21" s="24">
        <f>SUMSQ($F$4:F21)/B21</f>
        <v>439786211.03756952</v>
      </c>
      <c r="I21" s="24">
        <f>SUM($G$4:G21)/B21</f>
        <v>15540.019761115384</v>
      </c>
      <c r="J21" s="34">
        <f t="shared" si="4"/>
        <v>8.0062023504966682</v>
      </c>
      <c r="K21" s="34">
        <f>AVERAGE($J$4:J21)</f>
        <v>12.926374196250205</v>
      </c>
      <c r="L21" s="30">
        <f>SUM($F$4:F21)/I21</f>
        <v>9.6077651518210452</v>
      </c>
    </row>
    <row r="22" spans="1:12" x14ac:dyDescent="0.3">
      <c r="A22" s="23">
        <v>45108</v>
      </c>
      <c r="B22" s="22">
        <v>19</v>
      </c>
      <c r="C22" s="24">
        <v>157938.04761904763</v>
      </c>
      <c r="D22" s="24">
        <f t="shared" si="0"/>
        <v>147502.29761878258</v>
      </c>
      <c r="E22" s="24">
        <f t="shared" si="1"/>
        <v>147407.53910140609</v>
      </c>
      <c r="F22" s="24">
        <f t="shared" si="2"/>
        <v>-10530.508517641545</v>
      </c>
      <c r="G22" s="24">
        <f t="shared" si="3"/>
        <v>10530.508517641545</v>
      </c>
      <c r="H22" s="24">
        <f>SUMSQ($F$4:F22)/B22</f>
        <v>422475968.85875648</v>
      </c>
      <c r="I22" s="24">
        <f>SUM($G$4:G22)/B22</f>
        <v>15276.361274616762</v>
      </c>
      <c r="J22" s="34">
        <f t="shared" si="4"/>
        <v>6.6674931572166312</v>
      </c>
      <c r="K22" s="34">
        <f>AVERAGE($J$4:J22)</f>
        <v>12.596959404722122</v>
      </c>
      <c r="L22" s="30">
        <f>SUM($F$4:F22)/I22</f>
        <v>9.0842543788487795</v>
      </c>
    </row>
    <row r="23" spans="1:12" x14ac:dyDescent="0.3">
      <c r="A23" s="23">
        <v>45139</v>
      </c>
      <c r="B23" s="22">
        <v>20</v>
      </c>
      <c r="C23" s="24">
        <v>161756</v>
      </c>
      <c r="D23" s="24">
        <f t="shared" si="0"/>
        <v>147630.55920296983</v>
      </c>
      <c r="E23" s="24">
        <f t="shared" si="1"/>
        <v>147502.29761878258</v>
      </c>
      <c r="F23" s="24">
        <f t="shared" si="2"/>
        <v>-14253.702381217416</v>
      </c>
      <c r="G23" s="24">
        <f t="shared" si="3"/>
        <v>14253.702381217416</v>
      </c>
      <c r="H23" s="24">
        <f>SUMSQ($F$4:F23)/B23</f>
        <v>411510571.99443477</v>
      </c>
      <c r="I23" s="24">
        <f>SUM($G$4:G23)/B23</f>
        <v>15225.228329946793</v>
      </c>
      <c r="J23" s="34">
        <f t="shared" si="4"/>
        <v>8.811853891798398</v>
      </c>
      <c r="K23" s="34">
        <f>AVERAGE($J$4:J23)</f>
        <v>12.407704129075935</v>
      </c>
      <c r="L23" s="30">
        <f>SUM($F$4:F23)/I23</f>
        <v>8.178573530859552</v>
      </c>
    </row>
    <row r="24" spans="1:12" x14ac:dyDescent="0.3">
      <c r="A24" s="23">
        <v>45170</v>
      </c>
      <c r="B24" s="22">
        <v>21</v>
      </c>
      <c r="C24" s="24">
        <v>168041.23809523811</v>
      </c>
      <c r="D24" s="24">
        <f t="shared" si="0"/>
        <v>147814.22418621724</v>
      </c>
      <c r="E24" s="24">
        <f t="shared" si="1"/>
        <v>147630.55920296983</v>
      </c>
      <c r="F24" s="24">
        <f t="shared" si="2"/>
        <v>-20410.678892268275</v>
      </c>
      <c r="G24" s="24">
        <f t="shared" si="3"/>
        <v>20410.678892268275</v>
      </c>
      <c r="H24" s="24">
        <f>SUMSQ($F$4:F24)/B24</f>
        <v>411752726.32057053</v>
      </c>
      <c r="I24" s="24">
        <f>SUM($G$4:G24)/B24</f>
        <v>15472.154547200198</v>
      </c>
      <c r="J24" s="34">
        <f t="shared" si="4"/>
        <v>12.146232153264922</v>
      </c>
      <c r="K24" s="34">
        <f>AVERAGE($J$4:J24)</f>
        <v>12.395253082608743</v>
      </c>
      <c r="L24" s="30">
        <f>SUM($F$4:F24)/I24</f>
        <v>6.7288605611276688</v>
      </c>
    </row>
    <row r="25" spans="1:12" x14ac:dyDescent="0.3">
      <c r="A25" s="23">
        <v>45200</v>
      </c>
      <c r="B25" s="22">
        <v>22</v>
      </c>
      <c r="C25" s="24">
        <v>172356.72727272726</v>
      </c>
      <c r="D25" s="24">
        <f t="shared" si="0"/>
        <v>148035.06928608014</v>
      </c>
      <c r="E25" s="24">
        <f t="shared" si="1"/>
        <v>147814.22418621724</v>
      </c>
      <c r="F25" s="24">
        <f t="shared" si="2"/>
        <v>-24542.503086510027</v>
      </c>
      <c r="G25" s="24">
        <f t="shared" si="3"/>
        <v>24542.503086510027</v>
      </c>
      <c r="H25" s="24">
        <f>SUMSQ($F$4:F25)/B25</f>
        <v>420415532.29469705</v>
      </c>
      <c r="I25" s="24">
        <f>SUM($G$4:G25)/B25</f>
        <v>15884.443117168827</v>
      </c>
      <c r="J25" s="34">
        <f t="shared" si="4"/>
        <v>14.239364761014169</v>
      </c>
      <c r="K25" s="34">
        <f>AVERAGE($J$4:J25)</f>
        <v>12.47907634071808</v>
      </c>
      <c r="L25" s="30">
        <f>SUM($F$4:F25)/I25</f>
        <v>5.009144283806612</v>
      </c>
    </row>
    <row r="26" spans="1:12" x14ac:dyDescent="0.3">
      <c r="A26" s="23">
        <v>45231</v>
      </c>
      <c r="B26" s="22">
        <v>23</v>
      </c>
      <c r="C26" s="24">
        <v>164320.22222222199</v>
      </c>
      <c r="D26" s="24">
        <f t="shared" si="0"/>
        <v>148181.61082725006</v>
      </c>
      <c r="E26" s="24">
        <f t="shared" si="1"/>
        <v>148035.06928608014</v>
      </c>
      <c r="F26" s="24">
        <f t="shared" si="2"/>
        <v>-16285.152936141851</v>
      </c>
      <c r="G26" s="24">
        <f t="shared" si="3"/>
        <v>16285.152936141851</v>
      </c>
      <c r="H26" s="24">
        <f>SUMSQ($F$4:F26)/B26</f>
        <v>413667300.723342</v>
      </c>
      <c r="I26" s="24">
        <f>SUM($G$4:G26)/B26</f>
        <v>15901.865283211131</v>
      </c>
      <c r="J26" s="34">
        <f t="shared" si="4"/>
        <v>9.9106200782264473</v>
      </c>
      <c r="K26" s="34">
        <f>AVERAGE($J$4:J26)</f>
        <v>12.367404329305399</v>
      </c>
      <c r="L26" s="30">
        <f>SUM($F$4:F26)/I26</f>
        <v>3.9795529253091999</v>
      </c>
    </row>
    <row r="27" spans="1:12" x14ac:dyDescent="0.3">
      <c r="A27" s="23">
        <v>45261</v>
      </c>
      <c r="B27" s="22">
        <v>24</v>
      </c>
      <c r="C27" s="24">
        <v>180124.77777777778</v>
      </c>
      <c r="D27" s="24">
        <f t="shared" si="0"/>
        <v>148469.05061569627</v>
      </c>
      <c r="E27" s="24">
        <f t="shared" si="1"/>
        <v>148181.61082725006</v>
      </c>
      <c r="F27" s="24">
        <f t="shared" si="2"/>
        <v>-31943.166950527724</v>
      </c>
      <c r="G27" s="24">
        <f t="shared" si="3"/>
        <v>31943.166950527724</v>
      </c>
      <c r="H27" s="24">
        <f>SUMSQ($F$4:F27)/B27</f>
        <v>438946409.64442301</v>
      </c>
      <c r="I27" s="24">
        <f>SUM($G$4:G27)/B27</f>
        <v>16570.252852682654</v>
      </c>
      <c r="J27" s="34">
        <f t="shared" si="4"/>
        <v>17.733910539468596</v>
      </c>
      <c r="K27" s="34">
        <f>AVERAGE($J$4:J27)</f>
        <v>12.591008754728866</v>
      </c>
      <c r="L27" s="30">
        <f>SUM($F$4:F27)/I27</f>
        <v>1.8912896401622661</v>
      </c>
    </row>
    <row r="28" spans="1:12" x14ac:dyDescent="0.3">
      <c r="A28" s="23">
        <v>45292</v>
      </c>
      <c r="B28" s="22">
        <v>25</v>
      </c>
      <c r="C28" s="24">
        <v>150453</v>
      </c>
      <c r="D28" s="24">
        <f t="shared" si="0"/>
        <v>148486.90313458382</v>
      </c>
      <c r="E28" s="24">
        <f t="shared" si="1"/>
        <v>148469.05061569627</v>
      </c>
      <c r="F28" s="24">
        <f t="shared" si="2"/>
        <v>-1983.9493843037344</v>
      </c>
      <c r="G28" s="24">
        <f t="shared" si="3"/>
        <v>1983.9493843037344</v>
      </c>
      <c r="H28" s="24">
        <f>SUMSQ($F$4:F28)/B28</f>
        <v>421545995.46502525</v>
      </c>
      <c r="I28" s="24">
        <f>SUM($G$4:G28)/B28</f>
        <v>15986.800713947499</v>
      </c>
      <c r="J28" s="34">
        <f t="shared" si="4"/>
        <v>1.3186505980630059</v>
      </c>
      <c r="K28" s="34">
        <f>AVERAGE($J$4:J28)</f>
        <v>12.140114428462232</v>
      </c>
      <c r="L28" s="30">
        <f>SUM($F$4:F28)/I28</f>
        <v>1.8362146808544126</v>
      </c>
    </row>
    <row r="29" spans="1:12" x14ac:dyDescent="0.3">
      <c r="A29" s="23">
        <v>45323</v>
      </c>
      <c r="B29" s="22">
        <v>26</v>
      </c>
      <c r="C29" s="24">
        <v>158067.38888888888</v>
      </c>
      <c r="D29" s="24">
        <f t="shared" si="0"/>
        <v>148573.11289589817</v>
      </c>
      <c r="E29" s="24">
        <f t="shared" si="1"/>
        <v>148486.90313458382</v>
      </c>
      <c r="F29" s="24">
        <f t="shared" si="2"/>
        <v>-9580.4857543050603</v>
      </c>
      <c r="G29" s="24">
        <f t="shared" si="3"/>
        <v>9580.4857543050603</v>
      </c>
      <c r="H29" s="24">
        <f>SUMSQ($F$4:F29)/B29</f>
        <v>408862907.45823359</v>
      </c>
      <c r="I29" s="24">
        <f>SUM($G$4:G29)/B29</f>
        <v>15740.403984730481</v>
      </c>
      <c r="J29" s="34">
        <f t="shared" si="4"/>
        <v>6.061013483963805</v>
      </c>
      <c r="K29" s="34">
        <f>AVERAGE($J$4:J29)</f>
        <v>11.90630285367383</v>
      </c>
      <c r="L29" s="30">
        <f>SUM($F$4:F29)/I29</f>
        <v>1.2563027248679437</v>
      </c>
    </row>
    <row r="30" spans="1:12" x14ac:dyDescent="0.3">
      <c r="A30" s="23">
        <v>45352</v>
      </c>
      <c r="B30" s="22">
        <v>27</v>
      </c>
      <c r="C30" s="24">
        <v>168441.45</v>
      </c>
      <c r="D30" s="24">
        <f t="shared" si="0"/>
        <v>148751.89763013652</v>
      </c>
      <c r="E30" s="24">
        <f t="shared" si="1"/>
        <v>148573.11289589817</v>
      </c>
      <c r="F30" s="24">
        <f t="shared" si="2"/>
        <v>-19868.33710410184</v>
      </c>
      <c r="G30" s="24">
        <f t="shared" si="3"/>
        <v>19868.33710410184</v>
      </c>
      <c r="H30" s="24">
        <f>SUMSQ($F$4:F30)/B30</f>
        <v>408340237.52578902</v>
      </c>
      <c r="I30" s="24">
        <f>SUM($G$4:G30)/B30</f>
        <v>15893.29039655905</v>
      </c>
      <c r="J30" s="34">
        <f t="shared" si="4"/>
        <v>11.795396622447644</v>
      </c>
      <c r="K30" s="34">
        <f>AVERAGE($J$4:J30)</f>
        <v>11.902195215480267</v>
      </c>
      <c r="L30" s="30">
        <f>SUM($F$4:F30)/I30</f>
        <v>-5.8908309875824513E-3</v>
      </c>
    </row>
    <row r="31" spans="1:12" x14ac:dyDescent="0.3">
      <c r="A31" s="23">
        <v>45383</v>
      </c>
      <c r="B31" s="22">
        <v>28</v>
      </c>
      <c r="C31" s="24">
        <v>180514</v>
      </c>
      <c r="D31" s="24">
        <f t="shared" si="0"/>
        <v>149037.70811348467</v>
      </c>
      <c r="E31" s="24">
        <f>D30</f>
        <v>148751.89763013652</v>
      </c>
      <c r="F31" s="24">
        <f t="shared" si="2"/>
        <v>-31762.102369863482</v>
      </c>
      <c r="G31" s="24">
        <f t="shared" si="3"/>
        <v>31762.102369863482</v>
      </c>
      <c r="H31" s="58">
        <f>SUMSQ($F$4:F31)/B31</f>
        <v>429786341.43392831</v>
      </c>
      <c r="I31" s="31">
        <f>SUM($G$4:G31)/B31</f>
        <v>16460.033681319921</v>
      </c>
      <c r="J31" s="34">
        <f t="shared" si="4"/>
        <v>17.59536787720813</v>
      </c>
      <c r="K31" s="36">
        <f>AVERAGE($J$4:J31)</f>
        <v>12.105522810541975</v>
      </c>
      <c r="L31" s="35">
        <f>SUM($F$4:F31)/I31</f>
        <v>-1.9353379023506156</v>
      </c>
    </row>
    <row r="32" spans="1:12" x14ac:dyDescent="0.3">
      <c r="A32" s="38">
        <v>45413</v>
      </c>
      <c r="B32" s="37">
        <v>29</v>
      </c>
      <c r="E32" s="31">
        <f>D31</f>
        <v>149037.70811348467</v>
      </c>
    </row>
    <row r="33" spans="1:5" x14ac:dyDescent="0.3">
      <c r="A33" s="38">
        <v>45444</v>
      </c>
      <c r="B33" s="37">
        <v>30</v>
      </c>
      <c r="E33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74FC-7A18-45CB-A9F2-F874F65E1AC5}">
  <dimension ref="A1:I52"/>
  <sheetViews>
    <sheetView workbookViewId="0">
      <selection activeCell="A16" sqref="A16:B18"/>
    </sheetView>
  </sheetViews>
  <sheetFormatPr baseColWidth="10" defaultRowHeight="14.4" x14ac:dyDescent="0.3"/>
  <sheetData>
    <row r="1" spans="1:9" x14ac:dyDescent="0.3">
      <c r="A1" t="s">
        <v>46</v>
      </c>
    </row>
    <row r="2" spans="1:9" ht="15" thickBot="1" x14ac:dyDescent="0.35"/>
    <row r="3" spans="1:9" x14ac:dyDescent="0.3">
      <c r="A3" s="27" t="s">
        <v>47</v>
      </c>
      <c r="B3" s="27"/>
    </row>
    <row r="4" spans="1:9" x14ac:dyDescent="0.3">
      <c r="A4" t="s">
        <v>48</v>
      </c>
      <c r="B4">
        <v>0.74078473308202752</v>
      </c>
    </row>
    <row r="5" spans="1:9" x14ac:dyDescent="0.3">
      <c r="A5" t="s">
        <v>49</v>
      </c>
      <c r="B5">
        <v>0.54876202076741076</v>
      </c>
    </row>
    <row r="6" spans="1:9" x14ac:dyDescent="0.3">
      <c r="A6" t="s">
        <v>50</v>
      </c>
      <c r="B6">
        <v>0.53140671387384963</v>
      </c>
    </row>
    <row r="7" spans="1:9" x14ac:dyDescent="0.3">
      <c r="A7" t="s">
        <v>51</v>
      </c>
      <c r="B7">
        <v>12270.215499385011</v>
      </c>
    </row>
    <row r="8" spans="1:9" ht="15" thickBot="1" x14ac:dyDescent="0.35">
      <c r="A8" s="25" t="s">
        <v>52</v>
      </c>
      <c r="B8" s="25">
        <v>28</v>
      </c>
    </row>
    <row r="10" spans="1:9" ht="15" thickBot="1" x14ac:dyDescent="0.35">
      <c r="A10" t="s">
        <v>53</v>
      </c>
    </row>
    <row r="11" spans="1:9" x14ac:dyDescent="0.3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">
      <c r="A12" t="s">
        <v>54</v>
      </c>
      <c r="B12">
        <v>1</v>
      </c>
      <c r="C12">
        <v>4760539022.2662592</v>
      </c>
      <c r="D12">
        <v>4760539022.2662592</v>
      </c>
      <c r="E12">
        <v>31.619263441028703</v>
      </c>
      <c r="F12">
        <v>6.5444775447471903E-6</v>
      </c>
    </row>
    <row r="13" spans="1:9" x14ac:dyDescent="0.3">
      <c r="A13" t="s">
        <v>55</v>
      </c>
      <c r="B13">
        <v>26</v>
      </c>
      <c r="C13">
        <v>3914512898.4350519</v>
      </c>
      <c r="D13">
        <v>150558188.40134814</v>
      </c>
    </row>
    <row r="14" spans="1:9" ht="15" thickBot="1" x14ac:dyDescent="0.35">
      <c r="A14" s="25" t="s">
        <v>8</v>
      </c>
      <c r="B14" s="25">
        <v>27</v>
      </c>
      <c r="C14" s="25">
        <v>8675051920.7013111</v>
      </c>
      <c r="D14" s="25"/>
      <c r="E14" s="25"/>
      <c r="F14" s="25"/>
    </row>
    <row r="15" spans="1:9" ht="15" thickBot="1" x14ac:dyDescent="0.35"/>
    <row r="16" spans="1:9" x14ac:dyDescent="0.3">
      <c r="A16" s="28"/>
      <c r="B16" s="28" t="s">
        <v>62</v>
      </c>
      <c r="C16" s="26" t="s">
        <v>51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">
      <c r="A17" s="16" t="s">
        <v>56</v>
      </c>
      <c r="B17" s="16">
        <v>91072.408862433862</v>
      </c>
      <c r="C17">
        <v>4764.789490199707</v>
      </c>
      <c r="D17">
        <v>19.113626960803412</v>
      </c>
      <c r="E17">
        <v>7.8648774486459715E-17</v>
      </c>
      <c r="F17">
        <v>81278.243796392198</v>
      </c>
      <c r="G17">
        <v>100866.57392847553</v>
      </c>
      <c r="H17">
        <v>81278.243796392198</v>
      </c>
      <c r="I17">
        <v>100866.57392847553</v>
      </c>
    </row>
    <row r="18" spans="1:9" ht="15" thickBot="1" x14ac:dyDescent="0.35">
      <c r="A18" s="29" t="s">
        <v>69</v>
      </c>
      <c r="B18" s="29">
        <v>1614.20538222952</v>
      </c>
      <c r="C18" s="25">
        <v>287.06676589176192</v>
      </c>
      <c r="D18" s="25">
        <v>5.6231008741644217</v>
      </c>
      <c r="E18" s="25">
        <v>6.544477544747225E-6</v>
      </c>
      <c r="F18" s="25">
        <v>1024.1311940830014</v>
      </c>
      <c r="G18" s="25">
        <v>2204.2795703760385</v>
      </c>
      <c r="H18" s="25">
        <v>1024.1311940830014</v>
      </c>
      <c r="I18" s="25">
        <v>2204.2795703760385</v>
      </c>
    </row>
    <row r="22" spans="1:9" x14ac:dyDescent="0.3">
      <c r="A22" t="s">
        <v>75</v>
      </c>
      <c r="F22" t="s">
        <v>79</v>
      </c>
    </row>
    <row r="23" spans="1:9" ht="15" thickBot="1" x14ac:dyDescent="0.35"/>
    <row r="24" spans="1:9" x14ac:dyDescent="0.3">
      <c r="A24" s="26" t="s">
        <v>76</v>
      </c>
      <c r="B24" s="26" t="s">
        <v>77</v>
      </c>
      <c r="C24" s="26" t="s">
        <v>55</v>
      </c>
      <c r="D24" s="26" t="s">
        <v>78</v>
      </c>
      <c r="F24" s="26" t="s">
        <v>80</v>
      </c>
      <c r="G24" s="26" t="s">
        <v>81</v>
      </c>
    </row>
    <row r="25" spans="1:9" x14ac:dyDescent="0.3">
      <c r="A25">
        <v>1</v>
      </c>
      <c r="B25">
        <v>92686.614244663375</v>
      </c>
      <c r="C25">
        <v>-26335.214244663381</v>
      </c>
      <c r="D25">
        <v>-2.1871565704778413</v>
      </c>
      <c r="F25">
        <v>1.7857142857142858</v>
      </c>
      <c r="G25">
        <v>66351.399999999994</v>
      </c>
    </row>
    <row r="26" spans="1:9" x14ac:dyDescent="0.3">
      <c r="A26">
        <v>2</v>
      </c>
      <c r="B26">
        <v>94300.819626892902</v>
      </c>
      <c r="C26">
        <v>-13545.219626892896</v>
      </c>
      <c r="D26">
        <v>-1.1249392478941986</v>
      </c>
      <c r="F26">
        <v>5.3571428571428577</v>
      </c>
      <c r="G26">
        <v>80755.600000000006</v>
      </c>
    </row>
    <row r="27" spans="1:9" x14ac:dyDescent="0.3">
      <c r="A27">
        <v>3</v>
      </c>
      <c r="B27">
        <v>95915.025009122415</v>
      </c>
      <c r="C27">
        <v>2899.9749908775848</v>
      </c>
      <c r="D27">
        <v>0.24084479801809944</v>
      </c>
      <c r="F27">
        <v>8.9285714285714288</v>
      </c>
      <c r="G27">
        <v>93538</v>
      </c>
    </row>
    <row r="28" spans="1:9" x14ac:dyDescent="0.3">
      <c r="A28">
        <v>4</v>
      </c>
      <c r="B28">
        <v>97529.230391351943</v>
      </c>
      <c r="C28">
        <v>-1774.0303913519456</v>
      </c>
      <c r="D28">
        <v>-0.14733437102981045</v>
      </c>
      <c r="F28">
        <v>12.500000000000002</v>
      </c>
      <c r="G28">
        <v>95755.199999999997</v>
      </c>
    </row>
    <row r="29" spans="1:9" x14ac:dyDescent="0.3">
      <c r="A29">
        <v>5</v>
      </c>
      <c r="B29">
        <v>99143.435773581456</v>
      </c>
      <c r="C29">
        <v>6234.5642264185444</v>
      </c>
      <c r="D29">
        <v>0.51778459006235866</v>
      </c>
      <c r="F29">
        <v>16.071428571428573</v>
      </c>
      <c r="G29">
        <v>98815</v>
      </c>
    </row>
    <row r="30" spans="1:9" x14ac:dyDescent="0.3">
      <c r="A30">
        <v>6</v>
      </c>
      <c r="B30">
        <v>100757.64115581098</v>
      </c>
      <c r="C30">
        <v>5436.358844189017</v>
      </c>
      <c r="D30">
        <v>0.45149311697560152</v>
      </c>
      <c r="F30">
        <v>19.642857142857142</v>
      </c>
      <c r="G30">
        <v>101630</v>
      </c>
    </row>
    <row r="31" spans="1:9" x14ac:dyDescent="0.3">
      <c r="A31">
        <v>7</v>
      </c>
      <c r="B31">
        <v>102371.8465380405</v>
      </c>
      <c r="C31">
        <v>7964.1534619595041</v>
      </c>
      <c r="D31">
        <v>0.66142809436791894</v>
      </c>
      <c r="F31">
        <v>23.214285714285715</v>
      </c>
      <c r="G31">
        <v>105378</v>
      </c>
    </row>
    <row r="32" spans="1:9" x14ac:dyDescent="0.3">
      <c r="A32">
        <v>8</v>
      </c>
      <c r="B32">
        <v>103986.05192027002</v>
      </c>
      <c r="C32">
        <v>10119.948079729977</v>
      </c>
      <c r="D32">
        <v>0.84046823123762093</v>
      </c>
      <c r="F32">
        <v>26.785714285714285</v>
      </c>
      <c r="G32">
        <v>106035</v>
      </c>
    </row>
    <row r="33" spans="1:7" x14ac:dyDescent="0.3">
      <c r="A33">
        <v>9</v>
      </c>
      <c r="B33">
        <v>105600.25730249954</v>
      </c>
      <c r="C33">
        <v>5360.7426975004637</v>
      </c>
      <c r="D33">
        <v>0.445213147102275</v>
      </c>
      <c r="F33">
        <v>30.357142857142858</v>
      </c>
      <c r="G33">
        <v>106194</v>
      </c>
    </row>
    <row r="34" spans="1:7" x14ac:dyDescent="0.3">
      <c r="A34">
        <v>10</v>
      </c>
      <c r="B34">
        <v>107214.46268472906</v>
      </c>
      <c r="C34">
        <v>9831.5373152709362</v>
      </c>
      <c r="D34">
        <v>0.81651553077265493</v>
      </c>
      <c r="F34">
        <v>33.928571428571431</v>
      </c>
      <c r="G34">
        <v>107802.83333333333</v>
      </c>
    </row>
    <row r="35" spans="1:7" x14ac:dyDescent="0.3">
      <c r="A35">
        <v>11</v>
      </c>
      <c r="B35">
        <v>108828.66806695858</v>
      </c>
      <c r="C35">
        <v>-7198.6680669585767</v>
      </c>
      <c r="D35">
        <v>-0.59785403737613374</v>
      </c>
      <c r="F35">
        <v>37.5</v>
      </c>
      <c r="G35">
        <v>110336</v>
      </c>
    </row>
    <row r="36" spans="1:7" x14ac:dyDescent="0.3">
      <c r="A36">
        <v>12</v>
      </c>
      <c r="B36">
        <v>110442.8734491881</v>
      </c>
      <c r="C36">
        <v>13706.126550811896</v>
      </c>
      <c r="D36">
        <v>1.1383026719626448</v>
      </c>
      <c r="F36">
        <v>41.071428571428569</v>
      </c>
      <c r="G36">
        <v>110961</v>
      </c>
    </row>
    <row r="37" spans="1:7" x14ac:dyDescent="0.3">
      <c r="A37">
        <v>13</v>
      </c>
      <c r="B37">
        <v>112057.07883141762</v>
      </c>
      <c r="C37">
        <v>-6022.078831417617</v>
      </c>
      <c r="D37">
        <v>-0.50013754062166416</v>
      </c>
      <c r="F37">
        <v>44.642857142857146</v>
      </c>
      <c r="G37">
        <v>114106</v>
      </c>
    </row>
    <row r="38" spans="1:7" x14ac:dyDescent="0.3">
      <c r="A38">
        <v>14</v>
      </c>
      <c r="B38">
        <v>113671.28421364714</v>
      </c>
      <c r="C38">
        <v>-20133.284213647144</v>
      </c>
      <c r="D38">
        <v>-1.6720822714438108</v>
      </c>
      <c r="F38">
        <v>48.214285714285715</v>
      </c>
      <c r="G38">
        <v>115384</v>
      </c>
    </row>
    <row r="39" spans="1:7" x14ac:dyDescent="0.3">
      <c r="A39">
        <v>15</v>
      </c>
      <c r="B39">
        <v>115285.48959587666</v>
      </c>
      <c r="C39">
        <v>10427.510404123343</v>
      </c>
      <c r="D39">
        <v>0.86601148113788329</v>
      </c>
      <c r="F39">
        <v>51.785714285714285</v>
      </c>
      <c r="G39">
        <v>117046</v>
      </c>
    </row>
    <row r="40" spans="1:7" x14ac:dyDescent="0.3">
      <c r="A40">
        <v>16</v>
      </c>
      <c r="B40">
        <v>116899.69497810618</v>
      </c>
      <c r="C40">
        <v>1430.3050218938151</v>
      </c>
      <c r="D40">
        <v>0.11878775685511787</v>
      </c>
      <c r="F40">
        <v>55.357142857142861</v>
      </c>
      <c r="G40">
        <v>118330</v>
      </c>
    </row>
    <row r="41" spans="1:7" x14ac:dyDescent="0.3">
      <c r="A41">
        <v>17</v>
      </c>
      <c r="B41">
        <v>118513.9003603357</v>
      </c>
      <c r="C41">
        <v>1710.8496396643022</v>
      </c>
      <c r="D41">
        <v>0.14208716875161517</v>
      </c>
      <c r="F41">
        <v>58.928571428571431</v>
      </c>
      <c r="G41">
        <v>119006</v>
      </c>
    </row>
    <row r="42" spans="1:7" x14ac:dyDescent="0.3">
      <c r="A42">
        <v>18</v>
      </c>
      <c r="B42">
        <v>120128.10574256523</v>
      </c>
      <c r="C42">
        <v>5328.8942574347748</v>
      </c>
      <c r="D42">
        <v>0.44256811356269565</v>
      </c>
      <c r="F42">
        <v>62.5</v>
      </c>
      <c r="G42">
        <v>120224.75</v>
      </c>
    </row>
    <row r="43" spans="1:7" x14ac:dyDescent="0.3">
      <c r="A43">
        <v>19</v>
      </c>
      <c r="B43">
        <v>121742.31112479474</v>
      </c>
      <c r="C43">
        <v>7488.4888752052648</v>
      </c>
      <c r="D43">
        <v>0.62192384288935043</v>
      </c>
      <c r="F43">
        <v>66.071428571428584</v>
      </c>
      <c r="G43">
        <v>124149</v>
      </c>
    </row>
    <row r="44" spans="1:7" x14ac:dyDescent="0.3">
      <c r="A44">
        <v>20</v>
      </c>
      <c r="B44">
        <v>123356.51650702427</v>
      </c>
      <c r="C44">
        <v>8495.4834929757344</v>
      </c>
      <c r="D44">
        <v>0.70555539698383885</v>
      </c>
      <c r="F44">
        <v>69.642857142857153</v>
      </c>
      <c r="G44">
        <v>125457</v>
      </c>
    </row>
    <row r="45" spans="1:7" x14ac:dyDescent="0.3">
      <c r="A45">
        <v>21</v>
      </c>
      <c r="B45">
        <v>124970.72188925378</v>
      </c>
      <c r="C45">
        <v>6918.0781107462099</v>
      </c>
      <c r="D45">
        <v>0.57455086009272405</v>
      </c>
      <c r="F45">
        <v>73.214285714285722</v>
      </c>
      <c r="G45">
        <v>125509.4</v>
      </c>
    </row>
    <row r="46" spans="1:7" x14ac:dyDescent="0.3">
      <c r="A46">
        <v>22</v>
      </c>
      <c r="B46">
        <v>126584.92727148329</v>
      </c>
      <c r="C46">
        <v>9477.3227285167086</v>
      </c>
      <c r="D46">
        <v>0.78709778031954847</v>
      </c>
      <c r="F46">
        <v>76.785714285714292</v>
      </c>
      <c r="G46">
        <v>125713</v>
      </c>
    </row>
    <row r="47" spans="1:7" x14ac:dyDescent="0.3">
      <c r="A47">
        <v>23</v>
      </c>
      <c r="B47">
        <v>128199.13265371282</v>
      </c>
      <c r="C47">
        <v>-12815.132653712819</v>
      </c>
      <c r="D47">
        <v>-1.064305052722057</v>
      </c>
      <c r="F47">
        <v>80.357142857142861</v>
      </c>
      <c r="G47">
        <v>129230.8</v>
      </c>
    </row>
    <row r="48" spans="1:7" x14ac:dyDescent="0.3">
      <c r="A48">
        <v>24</v>
      </c>
      <c r="B48">
        <v>129813.33803594235</v>
      </c>
      <c r="C48">
        <v>23150.461964057642</v>
      </c>
      <c r="D48">
        <v>1.9226608344204577</v>
      </c>
      <c r="F48">
        <v>83.928571428571445</v>
      </c>
      <c r="G48">
        <v>131852</v>
      </c>
    </row>
    <row r="49" spans="1:7" x14ac:dyDescent="0.3">
      <c r="A49">
        <v>25</v>
      </c>
      <c r="B49">
        <v>131427.54341817187</v>
      </c>
      <c r="C49">
        <v>-12421.543418171874</v>
      </c>
      <c r="D49">
        <v>-1.0316172122288978</v>
      </c>
      <c r="F49">
        <v>87.500000000000014</v>
      </c>
      <c r="G49">
        <v>131888.79999999999</v>
      </c>
    </row>
    <row r="50" spans="1:7" x14ac:dyDescent="0.3">
      <c r="A50">
        <v>26</v>
      </c>
      <c r="B50">
        <v>133041.74880040137</v>
      </c>
      <c r="C50">
        <v>-25238.915467068044</v>
      </c>
      <c r="D50">
        <v>-2.0961082481688491</v>
      </c>
      <c r="F50">
        <v>91.071428571428584</v>
      </c>
      <c r="G50">
        <v>134920</v>
      </c>
    </row>
    <row r="51" spans="1:7" x14ac:dyDescent="0.3">
      <c r="A51">
        <v>27</v>
      </c>
      <c r="B51">
        <v>134655.9541826309</v>
      </c>
      <c r="C51">
        <v>-9146.5541826309054</v>
      </c>
      <c r="D51">
        <v>-0.75962723871998139</v>
      </c>
      <c r="F51">
        <v>94.642857142857153</v>
      </c>
      <c r="G51">
        <v>136062.25</v>
      </c>
    </row>
    <row r="52" spans="1:7" ht="15" thickBot="1" x14ac:dyDescent="0.35">
      <c r="A52" s="25">
        <v>28</v>
      </c>
      <c r="B52" s="25">
        <v>136270.15956486043</v>
      </c>
      <c r="C52" s="25">
        <v>-1350.1595648604271</v>
      </c>
      <c r="D52" s="25">
        <v>-0.11213162482915398</v>
      </c>
      <c r="F52" s="25">
        <v>98.214285714285722</v>
      </c>
      <c r="G52" s="25">
        <v>152963.79999999999</v>
      </c>
    </row>
  </sheetData>
  <sortState xmlns:xlrd2="http://schemas.microsoft.com/office/spreadsheetml/2017/richdata2" ref="G25:G52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EBC7-E8D5-42B7-B98C-1468FB2A3F45}">
  <dimension ref="A2:P39"/>
  <sheetViews>
    <sheetView workbookViewId="0">
      <selection activeCell="O4" sqref="O4"/>
    </sheetView>
  </sheetViews>
  <sheetFormatPr baseColWidth="10" defaultRowHeight="14.4" x14ac:dyDescent="0.3"/>
  <sheetData>
    <row r="2" spans="1:16" ht="58.8" x14ac:dyDescent="0.35">
      <c r="A2" s="32" t="s">
        <v>33</v>
      </c>
      <c r="B2" s="33" t="s">
        <v>97</v>
      </c>
      <c r="C2" s="33" t="s">
        <v>40</v>
      </c>
      <c r="D2" s="33" t="s">
        <v>98</v>
      </c>
      <c r="E2" s="33" t="s">
        <v>99</v>
      </c>
      <c r="F2" s="33" t="s">
        <v>41</v>
      </c>
      <c r="G2" s="33" t="s">
        <v>42</v>
      </c>
      <c r="H2" s="33" t="s">
        <v>43</v>
      </c>
      <c r="I2" s="33" t="s">
        <v>44</v>
      </c>
      <c r="J2" s="33" t="s">
        <v>45</v>
      </c>
      <c r="K2" s="33" t="s">
        <v>10</v>
      </c>
      <c r="L2" s="33" t="s">
        <v>21</v>
      </c>
      <c r="M2" s="33" t="s">
        <v>22</v>
      </c>
    </row>
    <row r="3" spans="1:16" x14ac:dyDescent="0.3">
      <c r="A3" s="55"/>
      <c r="B3" s="56">
        <v>0</v>
      </c>
      <c r="C3" s="13"/>
      <c r="D3" s="57">
        <f>'AD HOLT SÁBADOS'!B17</f>
        <v>91072.408862433862</v>
      </c>
      <c r="E3" s="57">
        <f>'AD HOLT SÁBADOS'!B18</f>
        <v>1614.20538222952</v>
      </c>
      <c r="F3" s="13"/>
      <c r="G3" s="13"/>
      <c r="H3" s="13"/>
      <c r="I3" s="13"/>
      <c r="J3" s="13"/>
      <c r="K3" s="13"/>
      <c r="L3" s="13"/>
      <c r="M3" s="13"/>
    </row>
    <row r="4" spans="1:16" x14ac:dyDescent="0.3">
      <c r="A4" s="23">
        <v>44562</v>
      </c>
      <c r="B4" s="22">
        <v>1</v>
      </c>
      <c r="C4" s="24">
        <v>66351.399999999994</v>
      </c>
      <c r="D4" s="24">
        <f>$P$4*C4+(1-$P$4)*(D3+E3)</f>
        <v>92686.614244663375</v>
      </c>
      <c r="E4" s="24">
        <f>P5*(D4-D3)+(1-P5)*E3</f>
        <v>1614.20538222952</v>
      </c>
      <c r="F4" s="24">
        <f>D3+E3</f>
        <v>92686.614244663375</v>
      </c>
      <c r="G4" s="24">
        <f>F4-C4</f>
        <v>26335.214244663381</v>
      </c>
      <c r="H4" s="24">
        <f>ABS(G4)</f>
        <v>26335.214244663381</v>
      </c>
      <c r="I4" s="24">
        <f>SUMSQ($G$4:G4)/B4</f>
        <v>693543509.31232107</v>
      </c>
      <c r="J4" s="24">
        <f>SUM($H$4:H4)/B4</f>
        <v>26335.214244663381</v>
      </c>
      <c r="K4" s="34">
        <f>100*(H4/C4)</f>
        <v>39.69051782579325</v>
      </c>
      <c r="L4" s="34">
        <f>AVERAGE($K$4:K4)</f>
        <v>39.69051782579325</v>
      </c>
      <c r="M4" s="30">
        <f>SUM($G$4:G4)/J4</f>
        <v>1</v>
      </c>
      <c r="O4" t="s">
        <v>93</v>
      </c>
      <c r="P4">
        <v>0</v>
      </c>
    </row>
    <row r="5" spans="1:16" x14ac:dyDescent="0.3">
      <c r="A5" s="23">
        <v>44593</v>
      </c>
      <c r="B5" s="22">
        <v>2</v>
      </c>
      <c r="C5" s="24">
        <v>80755.600000000006</v>
      </c>
      <c r="D5" s="24">
        <f t="shared" ref="D5:D31" si="0">$P$4*C5+(1-$P$4)*(D4+E4)</f>
        <v>94300.819626892888</v>
      </c>
      <c r="E5" s="24">
        <f t="shared" ref="E5:E31" si="1">P6*(D5-D4)+(1-P6)*E4</f>
        <v>1614.20538222952</v>
      </c>
      <c r="F5" s="24">
        <f t="shared" ref="F5:F31" si="2">D4+E4</f>
        <v>94300.819626892888</v>
      </c>
      <c r="G5" s="24">
        <f t="shared" ref="G5:G31" si="3">F5-C5</f>
        <v>13545.219626892882</v>
      </c>
      <c r="H5" s="24">
        <f t="shared" ref="H5:H31" si="4">ABS(G5)</f>
        <v>13545.219626892882</v>
      </c>
      <c r="I5" s="24">
        <f>SUMSQ($G$4:G5)/B5</f>
        <v>438508242.0265426</v>
      </c>
      <c r="J5" s="24">
        <f>SUM($H$4:H5)/B5</f>
        <v>19940.216935778131</v>
      </c>
      <c r="K5" s="34">
        <f t="shared" ref="K5:K31" si="5">100*(H5/C5)</f>
        <v>16.773102579750361</v>
      </c>
      <c r="L5" s="34">
        <f>AVERAGE($K$4:K5)</f>
        <v>28.231810202771804</v>
      </c>
      <c r="M5" s="30">
        <f>SUM($G$4:G5)/J5</f>
        <v>2</v>
      </c>
      <c r="O5" t="s">
        <v>94</v>
      </c>
      <c r="P5">
        <v>0</v>
      </c>
    </row>
    <row r="6" spans="1:16" x14ac:dyDescent="0.3">
      <c r="A6" s="23">
        <v>44621</v>
      </c>
      <c r="B6" s="22">
        <v>3</v>
      </c>
      <c r="C6" s="24">
        <v>98815</v>
      </c>
      <c r="D6" s="24">
        <f t="shared" si="0"/>
        <v>95915.025009122401</v>
      </c>
      <c r="E6" s="24">
        <f t="shared" si="1"/>
        <v>1614.20538222952</v>
      </c>
      <c r="F6" s="24">
        <f t="shared" si="2"/>
        <v>95915.025009122401</v>
      </c>
      <c r="G6" s="24">
        <f t="shared" si="3"/>
        <v>-2899.9749908775993</v>
      </c>
      <c r="H6" s="24">
        <f t="shared" si="4"/>
        <v>2899.9749908775993</v>
      </c>
      <c r="I6" s="24">
        <f>SUMSQ($G$4:G6)/B6</f>
        <v>295142113.00026691</v>
      </c>
      <c r="J6" s="24">
        <f>SUM($H$4:H6)/B6</f>
        <v>14260.136287477953</v>
      </c>
      <c r="K6" s="34">
        <f t="shared" si="5"/>
        <v>2.9347517997040931</v>
      </c>
      <c r="L6" s="34">
        <f>AVERAGE($K$4:K6)</f>
        <v>19.799457401749233</v>
      </c>
      <c r="M6" s="30">
        <f>SUM($G$4:G6)/J6</f>
        <v>2.5932752769797704</v>
      </c>
    </row>
    <row r="7" spans="1:16" x14ac:dyDescent="0.3">
      <c r="A7" s="23">
        <v>44652</v>
      </c>
      <c r="B7" s="22">
        <v>4</v>
      </c>
      <c r="C7" s="24">
        <v>95755.199999999997</v>
      </c>
      <c r="D7" s="24">
        <f t="shared" si="0"/>
        <v>97529.230391351914</v>
      </c>
      <c r="E7" s="24">
        <f t="shared" si="1"/>
        <v>1614.20538222952</v>
      </c>
      <c r="F7" s="24">
        <f t="shared" si="2"/>
        <v>97529.230391351914</v>
      </c>
      <c r="G7" s="24">
        <f t="shared" si="3"/>
        <v>1774.0303913519165</v>
      </c>
      <c r="H7" s="24">
        <f t="shared" si="4"/>
        <v>1774.0303913519165</v>
      </c>
      <c r="I7" s="24">
        <f>SUMSQ($G$4:G7)/B7</f>
        <v>222143380.70756024</v>
      </c>
      <c r="J7" s="24">
        <f>SUM($H$4:H7)/B7</f>
        <v>11138.609813446445</v>
      </c>
      <c r="K7" s="34">
        <f t="shared" si="5"/>
        <v>1.8526726395557802</v>
      </c>
      <c r="L7" s="34">
        <f>AVERAGE($K$4:K7)</f>
        <v>15.31276121120087</v>
      </c>
      <c r="M7" s="35">
        <f>SUM($G$4:G7)/J7</f>
        <v>3.4792931901830744</v>
      </c>
    </row>
    <row r="8" spans="1:16" x14ac:dyDescent="0.3">
      <c r="A8" s="23">
        <v>44682</v>
      </c>
      <c r="B8" s="22">
        <v>5</v>
      </c>
      <c r="C8" s="24">
        <v>105378</v>
      </c>
      <c r="D8" s="24">
        <f t="shared" si="0"/>
        <v>99143.435773581426</v>
      </c>
      <c r="E8" s="24">
        <f t="shared" si="1"/>
        <v>1614.20538222952</v>
      </c>
      <c r="F8" s="24">
        <f t="shared" si="2"/>
        <v>99143.435773581426</v>
      </c>
      <c r="G8" s="24">
        <f t="shared" si="3"/>
        <v>-6234.5642264185735</v>
      </c>
      <c r="H8" s="24">
        <f t="shared" si="4"/>
        <v>6234.5642264185735</v>
      </c>
      <c r="I8" s="24">
        <f>SUMSQ($G$4:G8)/B8</f>
        <v>185488662.78471583</v>
      </c>
      <c r="J8" s="24">
        <f>SUM($H$4:H8)/B8</f>
        <v>10157.800696040871</v>
      </c>
      <c r="K8" s="34">
        <f t="shared" si="5"/>
        <v>5.9163812431613563</v>
      </c>
      <c r="L8" s="34">
        <f>AVERAGE($K$4:K8)</f>
        <v>13.433485217592969</v>
      </c>
      <c r="M8" s="30">
        <f>SUM($G$4:G8)/J8</f>
        <v>3.2014730371985984</v>
      </c>
    </row>
    <row r="9" spans="1:16" x14ac:dyDescent="0.3">
      <c r="A9" s="23">
        <v>44713</v>
      </c>
      <c r="B9" s="22">
        <v>6</v>
      </c>
      <c r="C9" s="24">
        <v>106194</v>
      </c>
      <c r="D9" s="24">
        <f t="shared" si="0"/>
        <v>100757.64115581094</v>
      </c>
      <c r="E9" s="24">
        <f t="shared" si="1"/>
        <v>1614.20538222952</v>
      </c>
      <c r="F9" s="24">
        <f t="shared" si="2"/>
        <v>100757.64115581094</v>
      </c>
      <c r="G9" s="24">
        <f t="shared" si="3"/>
        <v>-5436.3588441890606</v>
      </c>
      <c r="H9" s="24">
        <f t="shared" si="4"/>
        <v>5436.3588441890606</v>
      </c>
      <c r="I9" s="24">
        <f>SUMSQ($G$4:G9)/B9</f>
        <v>159499551.90106198</v>
      </c>
      <c r="J9" s="24">
        <f>SUM($H$4:H9)/B9</f>
        <v>9370.893720732236</v>
      </c>
      <c r="K9" s="34">
        <f t="shared" si="5"/>
        <v>5.1192711868740801</v>
      </c>
      <c r="L9" s="34">
        <f>AVERAGE($K$4:K9)</f>
        <v>12.047782879139822</v>
      </c>
      <c r="M9" s="30">
        <f>SUM($G$4:G9)/J9</f>
        <v>2.8901796358551222</v>
      </c>
    </row>
    <row r="10" spans="1:16" x14ac:dyDescent="0.3">
      <c r="A10" s="23">
        <v>44743</v>
      </c>
      <c r="B10" s="22">
        <v>7</v>
      </c>
      <c r="C10" s="24">
        <v>110336</v>
      </c>
      <c r="D10" s="24">
        <f t="shared" si="0"/>
        <v>102371.84653804045</v>
      </c>
      <c r="E10" s="24">
        <f t="shared" si="1"/>
        <v>1614.20538222952</v>
      </c>
      <c r="F10" s="24">
        <f t="shared" si="2"/>
        <v>102371.84653804045</v>
      </c>
      <c r="G10" s="24">
        <f t="shared" si="3"/>
        <v>-7964.1534619595477</v>
      </c>
      <c r="H10" s="24">
        <f t="shared" si="4"/>
        <v>7964.1534619595477</v>
      </c>
      <c r="I10" s="24">
        <f>SUMSQ($G$4:G10)/B10</f>
        <v>145775007.39600202</v>
      </c>
      <c r="J10" s="24">
        <f>SUM($H$4:H10)/B10</f>
        <v>9169.9308266218522</v>
      </c>
      <c r="K10" s="34">
        <f t="shared" si="5"/>
        <v>7.2180915222226183</v>
      </c>
      <c r="L10" s="34">
        <f>AVERAGE($K$4:K10)</f>
        <v>11.357826971008793</v>
      </c>
      <c r="M10" s="30">
        <f>SUM($G$4:G10)/J10</f>
        <v>2.085011664859731</v>
      </c>
    </row>
    <row r="11" spans="1:16" x14ac:dyDescent="0.3">
      <c r="A11" s="23">
        <v>44774</v>
      </c>
      <c r="B11" s="22">
        <v>8</v>
      </c>
      <c r="C11" s="24">
        <v>114106</v>
      </c>
      <c r="D11" s="24">
        <f t="shared" si="0"/>
        <v>103986.05192026997</v>
      </c>
      <c r="E11" s="24">
        <f t="shared" si="1"/>
        <v>1614.20538222952</v>
      </c>
      <c r="F11" s="24">
        <f t="shared" si="2"/>
        <v>103986.05192026997</v>
      </c>
      <c r="G11" s="24">
        <f t="shared" si="3"/>
        <v>-10119.948079730035</v>
      </c>
      <c r="H11" s="24">
        <f t="shared" si="4"/>
        <v>10119.948079730035</v>
      </c>
      <c r="I11" s="24">
        <f>SUMSQ($G$4:G11)/B11</f>
        <v>140354800.11355573</v>
      </c>
      <c r="J11" s="24">
        <f>SUM($H$4:H11)/B11</f>
        <v>9288.6829832603744</v>
      </c>
      <c r="K11" s="34">
        <f t="shared" si="5"/>
        <v>8.8689009164549049</v>
      </c>
      <c r="L11" s="34">
        <f>AVERAGE($K$4:K11)</f>
        <v>11.046711214189557</v>
      </c>
      <c r="M11" s="30">
        <f>SUM($G$4:G11)/J11</f>
        <v>0.96886336587778621</v>
      </c>
    </row>
    <row r="12" spans="1:16" x14ac:dyDescent="0.3">
      <c r="A12" s="23">
        <v>44805</v>
      </c>
      <c r="B12" s="22">
        <v>9</v>
      </c>
      <c r="C12" s="24">
        <v>110961</v>
      </c>
      <c r="D12" s="24">
        <f t="shared" si="0"/>
        <v>105600.25730249948</v>
      </c>
      <c r="E12" s="24">
        <f t="shared" si="1"/>
        <v>1614.20538222952</v>
      </c>
      <c r="F12" s="24">
        <f t="shared" si="2"/>
        <v>105600.25730249948</v>
      </c>
      <c r="G12" s="24">
        <f t="shared" si="3"/>
        <v>-5360.7426975005219</v>
      </c>
      <c r="H12" s="24">
        <f t="shared" si="4"/>
        <v>5360.7426975005219</v>
      </c>
      <c r="I12" s="24">
        <f>SUMSQ($G$4:G12)/B12</f>
        <v>127952884.79747234</v>
      </c>
      <c r="J12" s="24">
        <f>SUM($H$4:H12)/B12</f>
        <v>8852.2451737315023</v>
      </c>
      <c r="K12" s="34">
        <f t="shared" si="5"/>
        <v>4.8311953726989865</v>
      </c>
      <c r="L12" s="34">
        <f>AVERAGE($K$4:K12)</f>
        <v>10.356098342912826</v>
      </c>
      <c r="M12" s="30">
        <f>SUM($G$4:G12)/J12</f>
        <v>0.41105074371759681</v>
      </c>
    </row>
    <row r="13" spans="1:16" x14ac:dyDescent="0.3">
      <c r="A13" s="23">
        <v>44835</v>
      </c>
      <c r="B13" s="22">
        <v>10</v>
      </c>
      <c r="C13" s="24">
        <v>117046</v>
      </c>
      <c r="D13" s="24">
        <f t="shared" si="0"/>
        <v>107214.46268472899</v>
      </c>
      <c r="E13" s="24">
        <f t="shared" si="1"/>
        <v>1614.20538222952</v>
      </c>
      <c r="F13" s="24">
        <f t="shared" si="2"/>
        <v>107214.46268472899</v>
      </c>
      <c r="G13" s="24">
        <f t="shared" si="3"/>
        <v>-9831.537315271009</v>
      </c>
      <c r="H13" s="24">
        <f t="shared" si="4"/>
        <v>9831.537315271009</v>
      </c>
      <c r="I13" s="24">
        <f>SUMSQ($G$4:G13)/B13</f>
        <v>124823508.91588172</v>
      </c>
      <c r="J13" s="24">
        <f>SUM($H$4:H13)/B13</f>
        <v>8950.1743878854522</v>
      </c>
      <c r="K13" s="34">
        <f t="shared" si="5"/>
        <v>8.399720892017676</v>
      </c>
      <c r="L13" s="34">
        <f>AVERAGE($K$4:K13)</f>
        <v>10.160460597823311</v>
      </c>
      <c r="M13" s="30">
        <f>SUM($G$4:G13)/J13</f>
        <v>-0.69192119445409694</v>
      </c>
    </row>
    <row r="14" spans="1:16" x14ac:dyDescent="0.3">
      <c r="A14" s="23">
        <v>44866</v>
      </c>
      <c r="B14" s="22">
        <v>11</v>
      </c>
      <c r="C14" s="24">
        <v>101630</v>
      </c>
      <c r="D14" s="24">
        <f t="shared" si="0"/>
        <v>108828.6680669585</v>
      </c>
      <c r="E14" s="24">
        <f t="shared" si="1"/>
        <v>1614.20538222952</v>
      </c>
      <c r="F14" s="24">
        <f t="shared" si="2"/>
        <v>108828.6680669585</v>
      </c>
      <c r="G14" s="24">
        <f t="shared" si="3"/>
        <v>7198.6680669585039</v>
      </c>
      <c r="H14" s="24">
        <f t="shared" si="4"/>
        <v>7198.6680669585039</v>
      </c>
      <c r="I14" s="24">
        <f>SUMSQ($G$4:G14)/B14</f>
        <v>118186901.00882412</v>
      </c>
      <c r="J14" s="24">
        <f>SUM($H$4:H14)/B14</f>
        <v>8790.9465405284573</v>
      </c>
      <c r="K14" s="34">
        <f t="shared" si="5"/>
        <v>7.0832117159879013</v>
      </c>
      <c r="L14" s="34">
        <f>AVERAGE($K$4:K14)</f>
        <v>9.880710699474637</v>
      </c>
      <c r="M14" s="30">
        <f>SUM($G$4:G14)/J14</f>
        <v>0.1144191594480872</v>
      </c>
    </row>
    <row r="15" spans="1:16" x14ac:dyDescent="0.3">
      <c r="A15" s="23">
        <v>44896</v>
      </c>
      <c r="B15" s="22">
        <v>12</v>
      </c>
      <c r="C15" s="24">
        <v>124149</v>
      </c>
      <c r="D15" s="24">
        <f t="shared" si="0"/>
        <v>110442.87344918802</v>
      </c>
      <c r="E15" s="24">
        <f t="shared" si="1"/>
        <v>1614.20538222952</v>
      </c>
      <c r="F15" s="24">
        <f t="shared" si="2"/>
        <v>110442.87344918802</v>
      </c>
      <c r="G15" s="24">
        <f t="shared" si="3"/>
        <v>-13706.126550811983</v>
      </c>
      <c r="H15" s="24">
        <f t="shared" si="4"/>
        <v>13706.126550811983</v>
      </c>
      <c r="I15" s="24">
        <f>SUMSQ($G$4:G15)/B15</f>
        <v>123992818.01032822</v>
      </c>
      <c r="J15" s="24">
        <f>SUM($H$4:H15)/B15</f>
        <v>9200.5448747187511</v>
      </c>
      <c r="K15" s="34">
        <f t="shared" si="5"/>
        <v>11.040061982627314</v>
      </c>
      <c r="L15" s="34">
        <f>AVERAGE($K$4:K15)</f>
        <v>9.9773233064040259</v>
      </c>
      <c r="M15" s="30">
        <f>SUM($G$4:G15)/J15</f>
        <v>-1.3803827936092621</v>
      </c>
    </row>
    <row r="16" spans="1:16" x14ac:dyDescent="0.3">
      <c r="A16" s="23">
        <v>44927</v>
      </c>
      <c r="B16" s="22">
        <v>13</v>
      </c>
      <c r="C16" s="24">
        <v>106035</v>
      </c>
      <c r="D16" s="24">
        <f t="shared" si="0"/>
        <v>112057.07883141753</v>
      </c>
      <c r="E16" s="24">
        <f t="shared" si="1"/>
        <v>1614.20538222952</v>
      </c>
      <c r="F16" s="24">
        <f t="shared" si="2"/>
        <v>112057.07883141753</v>
      </c>
      <c r="G16" s="24">
        <f t="shared" si="3"/>
        <v>6022.0788314175297</v>
      </c>
      <c r="H16" s="24">
        <f t="shared" si="4"/>
        <v>6022.0788314175297</v>
      </c>
      <c r="I16" s="24">
        <f>SUMSQ($G$4:G16)/B16</f>
        <v>117244557.65967274</v>
      </c>
      <c r="J16" s="24">
        <f>SUM($H$4:H16)/B16</f>
        <v>8956.0474867725025</v>
      </c>
      <c r="K16" s="34">
        <f t="shared" si="5"/>
        <v>5.6793311938676192</v>
      </c>
      <c r="L16" s="34">
        <f>AVERAGE($K$4:K16)</f>
        <v>9.6467085285166103</v>
      </c>
      <c r="M16" s="30">
        <f>SUM($G$4:G16)/J16</f>
        <v>-0.74566319744701837</v>
      </c>
    </row>
    <row r="17" spans="1:13" x14ac:dyDescent="0.3">
      <c r="A17" s="23">
        <v>44958</v>
      </c>
      <c r="B17" s="22">
        <v>14</v>
      </c>
      <c r="C17" s="24">
        <v>93538</v>
      </c>
      <c r="D17" s="24">
        <f t="shared" si="0"/>
        <v>113671.28421364704</v>
      </c>
      <c r="E17" s="24">
        <f t="shared" si="1"/>
        <v>1614.20538222952</v>
      </c>
      <c r="F17" s="24">
        <f t="shared" si="2"/>
        <v>113671.28421364704</v>
      </c>
      <c r="G17" s="24">
        <f t="shared" si="3"/>
        <v>20133.284213647043</v>
      </c>
      <c r="H17" s="24">
        <f t="shared" si="4"/>
        <v>20133.284213647043</v>
      </c>
      <c r="I17" s="24">
        <f>SUMSQ($G$4:G17)/B17</f>
        <v>137823455.91451678</v>
      </c>
      <c r="J17" s="24">
        <f>SUM($H$4:H17)/B17</f>
        <v>9754.4215386921132</v>
      </c>
      <c r="K17" s="34">
        <f t="shared" si="5"/>
        <v>21.524176499013279</v>
      </c>
      <c r="L17" s="34">
        <f>AVERAGE($K$4:K17)</f>
        <v>10.495099097837803</v>
      </c>
      <c r="M17" s="30">
        <f>SUM($G$4:G17)/J17</f>
        <v>1.3793836112989026</v>
      </c>
    </row>
    <row r="18" spans="1:13" x14ac:dyDescent="0.3">
      <c r="A18" s="23">
        <v>44986</v>
      </c>
      <c r="B18" s="22">
        <v>15</v>
      </c>
      <c r="C18" s="24">
        <v>125713</v>
      </c>
      <c r="D18" s="24">
        <f t="shared" si="0"/>
        <v>115285.48959587656</v>
      </c>
      <c r="E18" s="24">
        <f t="shared" si="1"/>
        <v>1614.20538222952</v>
      </c>
      <c r="F18" s="24">
        <f t="shared" si="2"/>
        <v>115285.48959587656</v>
      </c>
      <c r="G18" s="24">
        <f t="shared" si="3"/>
        <v>-10427.510404123444</v>
      </c>
      <c r="H18" s="24">
        <f t="shared" si="4"/>
        <v>10427.510404123444</v>
      </c>
      <c r="I18" s="24">
        <f>SUMSQ($G$4:G18)/B18</f>
        <v>135884090.40208918</v>
      </c>
      <c r="J18" s="24">
        <f>SUM($H$4:H18)/B18</f>
        <v>9799.294129720869</v>
      </c>
      <c r="K18" s="34">
        <f t="shared" si="5"/>
        <v>8.2946953808464077</v>
      </c>
      <c r="L18" s="34">
        <f>AVERAGE($K$4:K18)</f>
        <v>10.348405516705043</v>
      </c>
      <c r="M18" s="30">
        <f>SUM($G$4:G18)/J18</f>
        <v>0.30895886621740998</v>
      </c>
    </row>
    <row r="19" spans="1:13" x14ac:dyDescent="0.3">
      <c r="A19" s="23">
        <v>45017</v>
      </c>
      <c r="B19" s="22">
        <v>16</v>
      </c>
      <c r="C19" s="24">
        <v>118330</v>
      </c>
      <c r="D19" s="24">
        <f t="shared" si="0"/>
        <v>116899.69497810607</v>
      </c>
      <c r="E19" s="24">
        <f t="shared" si="1"/>
        <v>1614.20538222952</v>
      </c>
      <c r="F19" s="24">
        <f t="shared" si="2"/>
        <v>116899.69497810607</v>
      </c>
      <c r="G19" s="24">
        <f t="shared" si="3"/>
        <v>-1430.3050218939316</v>
      </c>
      <c r="H19" s="24">
        <f t="shared" si="4"/>
        <v>1430.3050218939316</v>
      </c>
      <c r="I19" s="24">
        <f>SUMSQ($G$4:G19)/B19</f>
        <v>127519195.53043704</v>
      </c>
      <c r="J19" s="24">
        <f>SUM($H$4:H19)/B19</f>
        <v>9276.232310481686</v>
      </c>
      <c r="K19" s="34">
        <f t="shared" si="5"/>
        <v>1.2087425182911617</v>
      </c>
      <c r="L19" s="34">
        <f>AVERAGE($K$4:K19)</f>
        <v>9.7771765793041752</v>
      </c>
      <c r="M19" s="30">
        <f>SUM($G$4:G19)/J19</f>
        <v>0.17218992891658272</v>
      </c>
    </row>
    <row r="20" spans="1:13" x14ac:dyDescent="0.3">
      <c r="A20" s="23">
        <v>45047</v>
      </c>
      <c r="B20" s="22">
        <v>17</v>
      </c>
      <c r="C20" s="24">
        <v>120224.75</v>
      </c>
      <c r="D20" s="24">
        <f t="shared" si="0"/>
        <v>118513.90036033558</v>
      </c>
      <c r="E20" s="24">
        <f t="shared" si="1"/>
        <v>1614.20538222952</v>
      </c>
      <c r="F20" s="24">
        <f t="shared" si="2"/>
        <v>118513.90036033558</v>
      </c>
      <c r="G20" s="24">
        <f t="shared" si="3"/>
        <v>-1710.8496396644186</v>
      </c>
      <c r="H20" s="24">
        <f t="shared" si="4"/>
        <v>1710.8496396644186</v>
      </c>
      <c r="I20" s="24">
        <f>SUMSQ($G$4:G20)/B20</f>
        <v>120190243.23391367</v>
      </c>
      <c r="J20" s="24">
        <f>SUM($H$4:H20)/B20</f>
        <v>8831.2098004336112</v>
      </c>
      <c r="K20" s="34">
        <f t="shared" si="5"/>
        <v>1.4230427924902473</v>
      </c>
      <c r="L20" s="34">
        <f>AVERAGE($K$4:K20)</f>
        <v>9.2857569447857085</v>
      </c>
      <c r="M20" s="30">
        <f>SUM($G$4:G20)/J20</f>
        <v>-1.2860735966582156E-2</v>
      </c>
    </row>
    <row r="21" spans="1:13" x14ac:dyDescent="0.3">
      <c r="A21" s="23">
        <v>45078</v>
      </c>
      <c r="B21" s="22">
        <v>18</v>
      </c>
      <c r="C21" s="24">
        <v>125457</v>
      </c>
      <c r="D21" s="24">
        <f t="shared" si="0"/>
        <v>120128.10574256509</v>
      </c>
      <c r="E21" s="24">
        <f t="shared" si="1"/>
        <v>1614.20538222952</v>
      </c>
      <c r="F21" s="24">
        <f t="shared" si="2"/>
        <v>120128.10574256509</v>
      </c>
      <c r="G21" s="24">
        <f t="shared" si="3"/>
        <v>-5328.8942574349057</v>
      </c>
      <c r="H21" s="24">
        <f t="shared" si="4"/>
        <v>5328.8942574349057</v>
      </c>
      <c r="I21" s="24">
        <f>SUMSQ($G$4:G21)/B21</f>
        <v>115090624.94352528</v>
      </c>
      <c r="J21" s="24">
        <f>SUM($H$4:H21)/B21</f>
        <v>8636.6367147114597</v>
      </c>
      <c r="K21" s="34">
        <f t="shared" si="5"/>
        <v>4.247586230688527</v>
      </c>
      <c r="L21" s="34">
        <f>AVERAGE($K$4:K21)</f>
        <v>9.0058585717803101</v>
      </c>
      <c r="M21" s="30">
        <f>SUM($G$4:G21)/J21</f>
        <v>-0.630160824719325</v>
      </c>
    </row>
    <row r="22" spans="1:13" x14ac:dyDescent="0.3">
      <c r="A22" s="23">
        <v>45108</v>
      </c>
      <c r="B22" s="22">
        <v>19</v>
      </c>
      <c r="C22" s="24">
        <v>129230.8</v>
      </c>
      <c r="D22" s="24">
        <f t="shared" si="0"/>
        <v>121742.31112479461</v>
      </c>
      <c r="E22" s="24">
        <f t="shared" si="1"/>
        <v>1614.20538222952</v>
      </c>
      <c r="F22" s="24">
        <f t="shared" si="2"/>
        <v>121742.31112479461</v>
      </c>
      <c r="G22" s="24">
        <f t="shared" si="3"/>
        <v>-7488.4888752053957</v>
      </c>
      <c r="H22" s="24">
        <f t="shared" si="4"/>
        <v>7488.4888752053957</v>
      </c>
      <c r="I22" s="24">
        <f>SUMSQ($G$4:G22)/B22</f>
        <v>111984669.19039632</v>
      </c>
      <c r="J22" s="24">
        <f>SUM($H$4:H22)/B22</f>
        <v>8576.2078810532457</v>
      </c>
      <c r="K22" s="34">
        <f t="shared" si="5"/>
        <v>5.7946626308940248</v>
      </c>
      <c r="L22" s="34">
        <f>AVERAGE($K$4:K22)</f>
        <v>8.8368482591020854</v>
      </c>
      <c r="M22" s="30">
        <f>SUM($G$4:G22)/J22</f>
        <v>-1.5077711699032554</v>
      </c>
    </row>
    <row r="23" spans="1:13" x14ac:dyDescent="0.3">
      <c r="A23" s="23">
        <v>45139</v>
      </c>
      <c r="B23" s="22">
        <v>20</v>
      </c>
      <c r="C23" s="24">
        <v>131852</v>
      </c>
      <c r="D23" s="24">
        <f t="shared" si="0"/>
        <v>123356.51650702412</v>
      </c>
      <c r="E23" s="24">
        <f t="shared" si="1"/>
        <v>1614.20538222952</v>
      </c>
      <c r="F23" s="24">
        <f t="shared" si="2"/>
        <v>123356.51650702412</v>
      </c>
      <c r="G23" s="24">
        <f t="shared" si="3"/>
        <v>-8495.4834929758799</v>
      </c>
      <c r="H23" s="24">
        <f t="shared" si="4"/>
        <v>8495.4834929758799</v>
      </c>
      <c r="I23" s="24">
        <f>SUMSQ($G$4:G23)/B23</f>
        <v>109994097.7198478</v>
      </c>
      <c r="J23" s="24">
        <f>SUM($H$4:H23)/B23</f>
        <v>8572.1716616493777</v>
      </c>
      <c r="K23" s="34">
        <f t="shared" si="5"/>
        <v>6.4431965332159393</v>
      </c>
      <c r="L23" s="34">
        <f>AVERAGE($K$4:K23)</f>
        <v>8.7171656728077771</v>
      </c>
      <c r="M23" s="30">
        <f>SUM($G$4:G23)/J23</f>
        <v>-2.4995349287023463</v>
      </c>
    </row>
    <row r="24" spans="1:13" x14ac:dyDescent="0.3">
      <c r="A24" s="23">
        <v>45170</v>
      </c>
      <c r="B24" s="22">
        <v>21</v>
      </c>
      <c r="C24" s="24">
        <v>131888.79999999999</v>
      </c>
      <c r="D24" s="24">
        <f t="shared" si="0"/>
        <v>124970.72188925363</v>
      </c>
      <c r="E24" s="24">
        <f t="shared" si="1"/>
        <v>1614.20538222952</v>
      </c>
      <c r="F24" s="24">
        <f t="shared" si="2"/>
        <v>124970.72188925363</v>
      </c>
      <c r="G24" s="24">
        <f t="shared" si="3"/>
        <v>-6918.0781107463554</v>
      </c>
      <c r="H24" s="24">
        <f t="shared" si="4"/>
        <v>6918.0781107463554</v>
      </c>
      <c r="I24" s="24">
        <f>SUMSQ($G$4:G24)/B24</f>
        <v>107035321.86396876</v>
      </c>
      <c r="J24" s="24">
        <f>SUM($H$4:H24)/B24</f>
        <v>8493.4053020825686</v>
      </c>
      <c r="K24" s="34">
        <f t="shared" si="5"/>
        <v>5.2453871069767528</v>
      </c>
      <c r="L24" s="34">
        <f>AVERAGE($K$4:K24)</f>
        <v>8.5518428839586811</v>
      </c>
      <c r="M24" s="30">
        <f>SUM($G$4:G24)/J24</f>
        <v>-3.3372386676191441</v>
      </c>
    </row>
    <row r="25" spans="1:13" x14ac:dyDescent="0.3">
      <c r="A25" s="23">
        <v>45200</v>
      </c>
      <c r="B25" s="22">
        <v>22</v>
      </c>
      <c r="C25" s="24">
        <v>136062.25</v>
      </c>
      <c r="D25" s="24">
        <f t="shared" si="0"/>
        <v>126584.92727148315</v>
      </c>
      <c r="E25" s="24">
        <f t="shared" si="1"/>
        <v>1614.20538222952</v>
      </c>
      <c r="F25" s="24">
        <f t="shared" si="2"/>
        <v>126584.92727148315</v>
      </c>
      <c r="G25" s="24">
        <f t="shared" si="3"/>
        <v>-9477.3227285168541</v>
      </c>
      <c r="H25" s="24">
        <f t="shared" si="4"/>
        <v>9477.3227285168541</v>
      </c>
      <c r="I25" s="24">
        <f>SUMSQ($G$4:G25)/B25</f>
        <v>106252791.14744572</v>
      </c>
      <c r="J25" s="24">
        <f>SUM($H$4:H25)/B25</f>
        <v>8538.1288214659453</v>
      </c>
      <c r="K25" s="34">
        <f t="shared" si="5"/>
        <v>6.9654314319488719</v>
      </c>
      <c r="L25" s="34">
        <f>AVERAGE($K$4:K25)</f>
        <v>8.4797332725036902</v>
      </c>
      <c r="M25" s="30">
        <f>SUM($G$4:G25)/J25</f>
        <v>-4.429757867707421</v>
      </c>
    </row>
    <row r="26" spans="1:13" x14ac:dyDescent="0.3">
      <c r="A26" s="23">
        <v>45231</v>
      </c>
      <c r="B26" s="22">
        <v>23</v>
      </c>
      <c r="C26" s="24">
        <v>115384</v>
      </c>
      <c r="D26" s="24">
        <f t="shared" si="0"/>
        <v>128199.13265371266</v>
      </c>
      <c r="E26" s="24">
        <f t="shared" si="1"/>
        <v>1614.20538222952</v>
      </c>
      <c r="F26" s="24">
        <f t="shared" si="2"/>
        <v>128199.13265371266</v>
      </c>
      <c r="G26" s="24">
        <f t="shared" si="3"/>
        <v>12815.132653712659</v>
      </c>
      <c r="H26" s="24">
        <f t="shared" si="4"/>
        <v>12815.132653712659</v>
      </c>
      <c r="I26" s="24">
        <f>SUMSQ($G$4:G26)/B26</f>
        <v>108773436.09461123</v>
      </c>
      <c r="J26" s="24">
        <f>SUM($H$4:H26)/B26</f>
        <v>8724.0855098244974</v>
      </c>
      <c r="K26" s="34">
        <f t="shared" si="5"/>
        <v>11.106507534591154</v>
      </c>
      <c r="L26" s="34">
        <f>AVERAGE($K$4:K26)</f>
        <v>8.5939408491161888</v>
      </c>
      <c r="M26" s="30">
        <f>SUM($G$4:G26)/J26</f>
        <v>-2.8663990787933784</v>
      </c>
    </row>
    <row r="27" spans="1:13" x14ac:dyDescent="0.3">
      <c r="A27" s="23">
        <v>45261</v>
      </c>
      <c r="B27" s="22">
        <v>24</v>
      </c>
      <c r="C27" s="24">
        <v>152963.79999999999</v>
      </c>
      <c r="D27" s="24">
        <f t="shared" si="0"/>
        <v>129813.33803594217</v>
      </c>
      <c r="E27" s="24">
        <f t="shared" si="1"/>
        <v>1614.20538222952</v>
      </c>
      <c r="F27" s="24">
        <f t="shared" si="2"/>
        <v>129813.33803594217</v>
      </c>
      <c r="G27" s="24">
        <f t="shared" si="3"/>
        <v>-23150.461964057817</v>
      </c>
      <c r="H27" s="24">
        <f t="shared" si="4"/>
        <v>23150.461964057817</v>
      </c>
      <c r="I27" s="24">
        <f>SUMSQ($G$4:G27)/B27</f>
        <v>126572204.97188942</v>
      </c>
      <c r="J27" s="24">
        <f>SUM($H$4:H27)/B27</f>
        <v>9325.1845287508859</v>
      </c>
      <c r="K27" s="34">
        <f t="shared" si="5"/>
        <v>15.134601758100818</v>
      </c>
      <c r="L27" s="34">
        <f>AVERAGE($K$4:K27)</f>
        <v>8.8664683869905474</v>
      </c>
      <c r="M27" s="35">
        <f>SUM($G$4:G27)/J27</f>
        <v>-5.1642058646944653</v>
      </c>
    </row>
    <row r="28" spans="1:13" x14ac:dyDescent="0.3">
      <c r="A28" s="23">
        <v>45292</v>
      </c>
      <c r="B28" s="22">
        <v>25</v>
      </c>
      <c r="C28" s="24">
        <v>119006</v>
      </c>
      <c r="D28" s="24">
        <f t="shared" si="0"/>
        <v>131427.5434181717</v>
      </c>
      <c r="E28" s="24">
        <f t="shared" si="1"/>
        <v>1614.20538222952</v>
      </c>
      <c r="F28" s="24">
        <f t="shared" si="2"/>
        <v>131427.5434181717</v>
      </c>
      <c r="G28" s="24">
        <f t="shared" si="3"/>
        <v>12421.543418171699</v>
      </c>
      <c r="H28" s="24">
        <f t="shared" si="4"/>
        <v>12421.543418171699</v>
      </c>
      <c r="I28" s="24">
        <f>SUMSQ($G$4:G28)/B28</f>
        <v>127681106.40859482</v>
      </c>
      <c r="J28" s="24">
        <f>SUM($H$4:H28)/B28</f>
        <v>9449.0388843277196</v>
      </c>
      <c r="K28" s="34">
        <f t="shared" si="5"/>
        <v>10.437745507093506</v>
      </c>
      <c r="L28" s="34">
        <f>AVERAGE($K$4:K28)</f>
        <v>8.9293194717946651</v>
      </c>
      <c r="M28" s="30">
        <f>SUM($G$4:G28)/J28</f>
        <v>-3.781932707868652</v>
      </c>
    </row>
    <row r="29" spans="1:13" x14ac:dyDescent="0.3">
      <c r="A29" s="23">
        <v>45323</v>
      </c>
      <c r="B29" s="22">
        <v>26</v>
      </c>
      <c r="C29" s="24">
        <v>107802.83333333333</v>
      </c>
      <c r="D29" s="24">
        <f t="shared" si="0"/>
        <v>133041.74880040123</v>
      </c>
      <c r="E29" s="24">
        <f t="shared" si="1"/>
        <v>1614.20538222952</v>
      </c>
      <c r="F29" s="24">
        <f t="shared" si="2"/>
        <v>133041.74880040123</v>
      </c>
      <c r="G29" s="24">
        <f t="shared" si="3"/>
        <v>25238.915467067898</v>
      </c>
      <c r="H29" s="24">
        <f t="shared" si="4"/>
        <v>25238.915467067898</v>
      </c>
      <c r="I29" s="24">
        <f>SUMSQ($G$4:G29)/B29</f>
        <v>147270404.39110267</v>
      </c>
      <c r="J29" s="24">
        <f>SUM($H$4:H29)/B29</f>
        <v>10056.341829817726</v>
      </c>
      <c r="K29" s="34">
        <f t="shared" si="5"/>
        <v>23.412107721721505</v>
      </c>
      <c r="L29" s="34">
        <f>AVERAGE($K$4:K29)</f>
        <v>9.4863497890995436</v>
      </c>
      <c r="M29" s="30">
        <f>SUM($G$4:G29)/J29</f>
        <v>-1.0437904682565944</v>
      </c>
    </row>
    <row r="30" spans="1:13" x14ac:dyDescent="0.3">
      <c r="A30" s="23">
        <v>45352</v>
      </c>
      <c r="B30" s="22">
        <v>27</v>
      </c>
      <c r="C30" s="24">
        <v>125509.4</v>
      </c>
      <c r="D30" s="24">
        <f t="shared" si="0"/>
        <v>134655.95418263075</v>
      </c>
      <c r="E30" s="24">
        <f t="shared" si="1"/>
        <v>1614.20538222952</v>
      </c>
      <c r="F30" s="24">
        <f t="shared" si="2"/>
        <v>134655.95418263075</v>
      </c>
      <c r="G30" s="24">
        <f t="shared" si="3"/>
        <v>9146.5541826307599</v>
      </c>
      <c r="H30" s="24">
        <f t="shared" si="4"/>
        <v>9146.5541826307599</v>
      </c>
      <c r="I30" s="24">
        <f>SUMSQ($G$4:G30)/B30</f>
        <v>144914443.24386925</v>
      </c>
      <c r="J30" s="24">
        <f>SUM($H$4:H30)/B30</f>
        <v>10022.645991033025</v>
      </c>
      <c r="K30" s="34">
        <f t="shared" si="5"/>
        <v>7.2875451421413535</v>
      </c>
      <c r="L30" s="34">
        <f>AVERAGE($K$4:K30)</f>
        <v>9.4049125799529438</v>
      </c>
      <c r="M30" s="30">
        <f>SUM($G$4:G30)/J30</f>
        <v>-0.13471089032487132</v>
      </c>
    </row>
    <row r="31" spans="1:13" x14ac:dyDescent="0.3">
      <c r="A31" s="23">
        <v>45383</v>
      </c>
      <c r="B31" s="22">
        <v>28</v>
      </c>
      <c r="C31" s="24">
        <v>134920</v>
      </c>
      <c r="D31" s="24">
        <f t="shared" si="0"/>
        <v>136270.15956486028</v>
      </c>
      <c r="E31" s="24">
        <f t="shared" si="1"/>
        <v>1614.20538222952</v>
      </c>
      <c r="F31" s="24">
        <f t="shared" si="2"/>
        <v>136270.15956486028</v>
      </c>
      <c r="G31" s="24">
        <f t="shared" si="3"/>
        <v>1350.1595648602815</v>
      </c>
      <c r="H31" s="24">
        <f t="shared" si="4"/>
        <v>1350.1595648602815</v>
      </c>
      <c r="I31" s="58">
        <f>SUMSQ($G$4:G31)/B31</f>
        <v>139804032.08696619</v>
      </c>
      <c r="J31" s="31">
        <f>SUM($H$4:H31)/B31</f>
        <v>9712.9143329554263</v>
      </c>
      <c r="K31" s="34">
        <f t="shared" si="5"/>
        <v>1.0007112102433158</v>
      </c>
      <c r="L31" s="36">
        <f>AVERAGE($K$4:K31)</f>
        <v>9.1047625310347424</v>
      </c>
      <c r="M31" s="30">
        <f>SUM($G$4:G31)/J31</f>
        <v>-2.8615673044573775E-13</v>
      </c>
    </row>
    <row r="32" spans="1:13" x14ac:dyDescent="0.3">
      <c r="A32" s="38">
        <v>45413</v>
      </c>
      <c r="B32" s="37">
        <v>29</v>
      </c>
      <c r="F32" s="31">
        <f>$D$31+$E$31</f>
        <v>137884.36494708981</v>
      </c>
    </row>
    <row r="33" spans="1:6" x14ac:dyDescent="0.3">
      <c r="A33" s="38">
        <v>45444</v>
      </c>
      <c r="B33" s="37">
        <v>30</v>
      </c>
      <c r="F33" s="31">
        <f>$D$31+$E$31*B5</f>
        <v>139498.57032931931</v>
      </c>
    </row>
    <row r="34" spans="1:6" x14ac:dyDescent="0.3">
      <c r="A34" s="38">
        <v>45474</v>
      </c>
      <c r="B34" s="37">
        <v>31</v>
      </c>
      <c r="F34" s="31">
        <f>$D$31+$E$31*B6</f>
        <v>141112.77571154883</v>
      </c>
    </row>
    <row r="35" spans="1:6" x14ac:dyDescent="0.3">
      <c r="A35" s="38">
        <v>45505</v>
      </c>
      <c r="B35" s="37">
        <v>32</v>
      </c>
      <c r="F35" s="31">
        <f t="shared" ref="F35:F38" si="6">$D$31+$E$31*B7</f>
        <v>142726.98109377836</v>
      </c>
    </row>
    <row r="36" spans="1:6" x14ac:dyDescent="0.3">
      <c r="A36" s="38">
        <v>45536</v>
      </c>
      <c r="B36" s="37">
        <v>33</v>
      </c>
      <c r="F36" s="31">
        <f t="shared" si="6"/>
        <v>144341.18647600789</v>
      </c>
    </row>
    <row r="37" spans="1:6" x14ac:dyDescent="0.3">
      <c r="A37" s="38">
        <v>45566</v>
      </c>
      <c r="B37" s="37">
        <v>34</v>
      </c>
      <c r="F37" s="31">
        <f t="shared" si="6"/>
        <v>145955.39185823739</v>
      </c>
    </row>
    <row r="38" spans="1:6" x14ac:dyDescent="0.3">
      <c r="A38" s="38">
        <v>45597</v>
      </c>
      <c r="B38" s="37">
        <v>35</v>
      </c>
      <c r="F38" s="31">
        <f t="shared" si="6"/>
        <v>147569.59724046692</v>
      </c>
    </row>
    <row r="39" spans="1:6" x14ac:dyDescent="0.3">
      <c r="A39" s="38">
        <v>45627</v>
      </c>
      <c r="B39" s="37">
        <v>36</v>
      </c>
      <c r="F39" s="31">
        <f>$D$31+$E$31*B11</f>
        <v>149183.80262269644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77C35E971AB648AE2BFB676411BD55" ma:contentTypeVersion="1" ma:contentTypeDescription="Crear nuevo documento." ma:contentTypeScope="" ma:versionID="262face8b73d15babec24b84545da5c6">
  <xsd:schema xmlns:xsd="http://www.w3.org/2001/XMLSchema" xmlns:xs="http://www.w3.org/2001/XMLSchema" xmlns:p="http://schemas.microsoft.com/office/2006/metadata/properties" xmlns:ns2="3274d72c-c84b-4b5e-9820-6437cb41d0e9" targetNamespace="http://schemas.microsoft.com/office/2006/metadata/properties" ma:root="true" ma:fieldsID="fad099a81402a302b5948ba5a9b2adf9" ns2:_="">
    <xsd:import namespace="3274d72c-c84b-4b5e-9820-6437cb41d0e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d72c-c84b-4b5e-9820-6437cb41d0e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274d72c-c84b-4b5e-9820-6437cb41d0e9">VJ3SXCAANZWF-1272381888-286</_dlc_DocId>
    <_dlc_DocIdUrl xmlns="3274d72c-c84b-4b5e-9820-6437cb41d0e9">
      <Url>http://linea1.elmetrodepanama.com:8083/operaciones/_layouts/15/DocIdRedir.aspx?ID=VJ3SXCAANZWF-1272381888-286</Url>
      <Description>VJ3SXCAANZWF-1272381888-286</Description>
    </_dlc_DocIdUrl>
  </documentManagement>
</p:properties>
</file>

<file path=customXml/itemProps1.xml><?xml version="1.0" encoding="utf-8"?>
<ds:datastoreItem xmlns:ds="http://schemas.openxmlformats.org/officeDocument/2006/customXml" ds:itemID="{864B7B04-683C-4502-9AF4-82D7A6146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74d72c-c84b-4b5e-9820-6437cb41d0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426BF3-9829-4EF2-8A95-FDCF4D0A4D7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89B6D6D-719B-47DD-BAB3-7B40035CCB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7EDACF4-7B92-47E0-B95D-8DF3DCA0965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3274d72c-c84b-4b5e-9820-6437cb41d0e9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RESUMEN</vt:lpstr>
      <vt:lpstr>AD SÁBADOS</vt:lpstr>
      <vt:lpstr>REGRESIÓN SÁBADOS</vt:lpstr>
      <vt:lpstr>AD LABORABLE</vt:lpstr>
      <vt:lpstr>REGRESIÓN LABORABLE</vt:lpstr>
      <vt:lpstr>SUAVIZACIÓN SÁBADOS</vt:lpstr>
      <vt:lpstr>SUAVIZACIÓN LABORABLE</vt:lpstr>
      <vt:lpstr>AD HOLT SÁBADOS</vt:lpstr>
      <vt:lpstr>M. HOLT SÁBADOS</vt:lpstr>
      <vt:lpstr>AD HOLT LABORABLE</vt:lpstr>
      <vt:lpstr>M. HOLT LABORABLE</vt:lpstr>
      <vt:lpstr>AD WINTER SÁBADOS</vt:lpstr>
      <vt:lpstr>M. WINTER SÁBADOS</vt:lpstr>
      <vt:lpstr>AD WINTER LABORABLE</vt:lpstr>
      <vt:lpstr>M. WINTER LABORABLE</vt:lpstr>
      <vt:lpstr>LABORABLE</vt:lpstr>
      <vt:lpstr>SÁBADOS</vt:lpstr>
      <vt:lpstr>DATOS DE DEMANDA L2 2022-2024</vt:lpstr>
      <vt:lpstr>DATOS DE DEMANDA L2 Total</vt:lpstr>
      <vt:lpstr>DATOS DE DEMANDA L2</vt:lpstr>
      <vt:lpstr>FUENTE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Perez</dc:creator>
  <cp:lastModifiedBy>America Weng</cp:lastModifiedBy>
  <cp:lastPrinted>2024-03-25T20:10:26Z</cp:lastPrinted>
  <dcterms:created xsi:type="dcterms:W3CDTF">2016-02-25T14:29:31Z</dcterms:created>
  <dcterms:modified xsi:type="dcterms:W3CDTF">2024-06-19T01:00:32Z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0x0101008277C35E971AB648AE2BFB676411BD55</vt:lpwstr>
  </property>
  <property fmtid="{D5CDD505-2E9C-101B-9397-08002B2CF9AE}" pid="3" name="_dlc_DocIdItemGuid">
    <vt:lpwstr>b911401b-a35f-4e41-ab3d-336095a56b96</vt:lpwstr>
  </property>
</Properties>
</file>