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Table 1_ Vegetable Co" sheetId="1" r:id="rId4"/>
    <sheet state="visible" name="Sheet 2 Trial Table 1_ Vegetabl" sheetId="2" r:id="rId5"/>
  </sheets>
  <definedNames>
    <definedName hidden="1" localSheetId="0" name="_xlnm._FilterDatabase">'Sheet 1 - Table 1_ Vegetable Co'!$A$1:$AF$1</definedName>
  </definedNames>
  <calcPr/>
  <extLst>
    <ext uri="GoogleSheetsCustomDataVersion2">
      <go:sheetsCustomData xmlns:go="http://customooxmlschemas.google.com/" r:id="rId6" roundtripDataChecksum="TTJQsGOzR5Zyg+BrJrdotUZMqpyeCrE+jYYTQRJfzNY="/>
    </ext>
  </extLst>
</workbook>
</file>

<file path=xl/sharedStrings.xml><?xml version="1.0" encoding="utf-8"?>
<sst xmlns="http://schemas.openxmlformats.org/spreadsheetml/2006/main" count="1917" uniqueCount="553">
  <si>
    <t>Numbering</t>
  </si>
  <si>
    <t>Item</t>
  </si>
  <si>
    <t>Common Name</t>
  </si>
  <si>
    <t>English Name</t>
  </si>
  <si>
    <t>Technical Name</t>
  </si>
  <si>
    <t>Requirement Of Consumable Weight, kg</t>
  </si>
  <si>
    <t>Important Notes</t>
  </si>
  <si>
    <t>Life cycles</t>
  </si>
  <si>
    <t>Spacing in meters</t>
  </si>
  <si>
    <t>Spacing Considered, as area in sq m</t>
  </si>
  <si>
    <t>Units Per ha (10,000 sq m)/Plant area</t>
  </si>
  <si>
    <t>Productivity over 1 life cycle, kg per ha</t>
  </si>
  <si>
    <t>Productivity Considered</t>
  </si>
  <si>
    <t>Productivity per plant or unit</t>
  </si>
  <si>
    <t>Nos. of plants required for family of 5</t>
  </si>
  <si>
    <t>Nos. of plants required on ground perpetually</t>
  </si>
  <si>
    <t>Improved Lifespan, Months</t>
  </si>
  <si>
    <t xml:space="preserve">Number of cycles per year </t>
  </si>
  <si>
    <t>Number of plants required per cycle</t>
  </si>
  <si>
    <t>Area required per crop</t>
  </si>
  <si>
    <t>Class</t>
  </si>
  <si>
    <t>Main</t>
  </si>
  <si>
    <t>Sub</t>
  </si>
  <si>
    <t>Sub2</t>
  </si>
  <si>
    <t>Daily Per Person</t>
  </si>
  <si>
    <t>Daily For 5</t>
  </si>
  <si>
    <t>Annually For 5</t>
  </si>
  <si>
    <t>Life Span/ harvest, Months</t>
  </si>
  <si>
    <t>Life Span, Months</t>
  </si>
  <si>
    <t>Season for cultivation</t>
  </si>
  <si>
    <t>Spacing</t>
  </si>
  <si>
    <t>Special</t>
  </si>
  <si>
    <t>Nos. Per year</t>
  </si>
  <si>
    <t>Lower End</t>
  </si>
  <si>
    <t>Medium</t>
  </si>
  <si>
    <t>High End</t>
  </si>
  <si>
    <t>Which</t>
  </si>
  <si>
    <t>Spacing Area</t>
  </si>
  <si>
    <t>10,000/V</t>
  </si>
  <si>
    <t>Higher End</t>
  </si>
  <si>
    <t>Kg per ha</t>
  </si>
  <si>
    <t>Kg per plant</t>
  </si>
  <si>
    <t>L - 21 days or L - 0.69 month</t>
  </si>
  <si>
    <t>12/AF</t>
  </si>
  <si>
    <t>AD/AG</t>
  </si>
  <si>
    <t>AIxAG</t>
  </si>
  <si>
    <t>AB/W</t>
  </si>
  <si>
    <t>K/AC</t>
  </si>
  <si>
    <t>AC/Q</t>
  </si>
  <si>
    <t>I</t>
  </si>
  <si>
    <t>Vegetables</t>
  </si>
  <si>
    <t>Salad</t>
  </si>
  <si>
    <t>Green Leafy</t>
  </si>
  <si>
    <t>Lettuce</t>
  </si>
  <si>
    <t>Lactuca Sativa</t>
  </si>
  <si>
    <t>3</t>
  </si>
  <si>
    <t>mid Sept - mid Nov</t>
  </si>
  <si>
    <t>45 * 45 cm - 45 * 30 cm</t>
  </si>
  <si>
    <t xml:space="preserve">in nursery then seedlings transplanted </t>
  </si>
  <si>
    <t>0.45X0.30</t>
  </si>
  <si>
    <t>NA</t>
  </si>
  <si>
    <t>0.45X0.45</t>
  </si>
  <si>
    <t>higher end</t>
  </si>
  <si>
    <t>Total</t>
  </si>
  <si>
    <t>For</t>
  </si>
  <si>
    <t>1.1.1</t>
  </si>
  <si>
    <t>Area</t>
  </si>
  <si>
    <t>Other</t>
  </si>
  <si>
    <t>Gajar</t>
  </si>
  <si>
    <t>Gajjar</t>
  </si>
  <si>
    <t>Carrot</t>
  </si>
  <si>
    <t>Daucus Carota</t>
  </si>
  <si>
    <t>biennial / 3 months</t>
  </si>
  <si>
    <t>6</t>
  </si>
  <si>
    <t>July - Feb</t>
  </si>
  <si>
    <t>30 * 30 cm</t>
  </si>
  <si>
    <t>0.3X0.3</t>
  </si>
  <si>
    <t>Mula</t>
  </si>
  <si>
    <t>Mooli</t>
  </si>
  <si>
    <t>Radish</t>
  </si>
  <si>
    <t>Raphanus Sativus</t>
  </si>
  <si>
    <t>biennial</t>
  </si>
  <si>
    <t>Jun - July &amp; Sept</t>
  </si>
  <si>
    <t>30*30 cm</t>
  </si>
  <si>
    <t>0.3x0.3</t>
  </si>
  <si>
    <t>Beet Root</t>
  </si>
  <si>
    <t>Chukander</t>
  </si>
  <si>
    <t>Beta Vulgaris</t>
  </si>
  <si>
    <t>July - Aug</t>
  </si>
  <si>
    <t>Kakdi</t>
  </si>
  <si>
    <t>Cucumber</t>
  </si>
  <si>
    <t>Cucumis Sativus</t>
  </si>
  <si>
    <t>1.5 months</t>
  </si>
  <si>
    <t>Jan-Feb</t>
  </si>
  <si>
    <t>90 * 90 cm</t>
  </si>
  <si>
    <t>0.9X0.9</t>
  </si>
  <si>
    <t>1.1.2</t>
  </si>
  <si>
    <t>Aalu</t>
  </si>
  <si>
    <t>Arabi</t>
  </si>
  <si>
    <t>Colocasia Leaves</t>
  </si>
  <si>
    <t>Colocasia Esculenta</t>
  </si>
  <si>
    <t>6 - 8 months</t>
  </si>
  <si>
    <t>May - Jun to Oct - Nov</t>
  </si>
  <si>
    <t>45 cm</t>
  </si>
  <si>
    <t xml:space="preserve">propagation by side tubers </t>
  </si>
  <si>
    <t>Shepu</t>
  </si>
  <si>
    <t>Sowa</t>
  </si>
  <si>
    <t xml:space="preserve">Dill </t>
  </si>
  <si>
    <t>Anethum Graveolens</t>
  </si>
  <si>
    <t>4 - 5  months</t>
  </si>
  <si>
    <t>4</t>
  </si>
  <si>
    <t>Aug - Sept</t>
  </si>
  <si>
    <t>40 - 60 cm</t>
  </si>
  <si>
    <t>0.4X0.4</t>
  </si>
  <si>
    <t>0.6X0.6</t>
  </si>
  <si>
    <t>Methi</t>
  </si>
  <si>
    <t>Fenugreek</t>
  </si>
  <si>
    <t>Trigonella Foenumgraecum</t>
  </si>
  <si>
    <t>1.5 month</t>
  </si>
  <si>
    <t>1.5</t>
  </si>
  <si>
    <t>Jun - July &amp; Oct - Nov</t>
  </si>
  <si>
    <t>20 * 15 cm</t>
  </si>
  <si>
    <t>0.2X0.15</t>
  </si>
  <si>
    <t>Chakvat</t>
  </si>
  <si>
    <t>Chandril</t>
  </si>
  <si>
    <t>Goosefoot</t>
  </si>
  <si>
    <t>Chenopodium</t>
  </si>
  <si>
    <t>annual</t>
  </si>
  <si>
    <t>12</t>
  </si>
  <si>
    <t>Oct - Dec</t>
  </si>
  <si>
    <t>Chaulai-Rajgira</t>
  </si>
  <si>
    <t>Green Amaranthus</t>
  </si>
  <si>
    <t>Amaranthus Virdis</t>
  </si>
  <si>
    <t>1 month</t>
  </si>
  <si>
    <t>1</t>
  </si>
  <si>
    <t>throughout year</t>
  </si>
  <si>
    <t>15 - 20 cm</t>
  </si>
  <si>
    <t>0.15X0.15</t>
  </si>
  <si>
    <t>0.2X0.2</t>
  </si>
  <si>
    <t>Ambadi</t>
  </si>
  <si>
    <t xml:space="preserve">Pitva Kotrum </t>
  </si>
  <si>
    <t>Red Sorrel / Kenaf Leaves</t>
  </si>
  <si>
    <t>Hibiscus Sabdariffa</t>
  </si>
  <si>
    <t>5 - 6 months</t>
  </si>
  <si>
    <t>mid April</t>
  </si>
  <si>
    <t>15 * 30 cm</t>
  </si>
  <si>
    <t>0.15X0.3</t>
  </si>
  <si>
    <t>Mayalu</t>
  </si>
  <si>
    <t>Poee</t>
  </si>
  <si>
    <t>Malabar Spinach</t>
  </si>
  <si>
    <t>Basella Alba</t>
  </si>
  <si>
    <t>3 months</t>
  </si>
  <si>
    <t>July &amp; Oct - Nov</t>
  </si>
  <si>
    <t>45 * 45 cm</t>
  </si>
  <si>
    <t>propagation by seeds and vine cuttings</t>
  </si>
  <si>
    <t>Lal Math</t>
  </si>
  <si>
    <t>Lal Bhaji</t>
  </si>
  <si>
    <t>Red Amaranthus</t>
  </si>
  <si>
    <t>Amaranthus Cruentus</t>
  </si>
  <si>
    <t>May - June or Oct - Nov</t>
  </si>
  <si>
    <t>Kardai</t>
  </si>
  <si>
    <t xml:space="preserve">Karadi </t>
  </si>
  <si>
    <t>Safflower</t>
  </si>
  <si>
    <t>CarthamusTinctorius</t>
  </si>
  <si>
    <t>Oct - Nov</t>
  </si>
  <si>
    <t>45 -50 cm * 20 -25 cm</t>
  </si>
  <si>
    <t>0.45X0.2</t>
  </si>
  <si>
    <t>0.5X0.25</t>
  </si>
  <si>
    <t>Palak</t>
  </si>
  <si>
    <t xml:space="preserve">Spinach </t>
  </si>
  <si>
    <t>Spinacia Oleracea</t>
  </si>
  <si>
    <t>30 cm</t>
  </si>
  <si>
    <t>Ambat Chuka</t>
  </si>
  <si>
    <t>Khatta Palak</t>
  </si>
  <si>
    <t>Green Sorrel</t>
  </si>
  <si>
    <t>Rumex Vesicarius</t>
  </si>
  <si>
    <t>perennial</t>
  </si>
  <si>
    <t>winter</t>
  </si>
  <si>
    <t>weed</t>
  </si>
  <si>
    <t>0.3*0.3</t>
  </si>
  <si>
    <t>medium</t>
  </si>
  <si>
    <t>Ghol</t>
  </si>
  <si>
    <t>Kulfa</t>
  </si>
  <si>
    <t>Purslane Leaves</t>
  </si>
  <si>
    <t>Portulaca Oleracea</t>
  </si>
  <si>
    <t>2 months</t>
  </si>
  <si>
    <t xml:space="preserve">early summer </t>
  </si>
  <si>
    <t>8-10 inches</t>
  </si>
  <si>
    <t>no info about cultivation in India</t>
  </si>
  <si>
    <t>0.2X0.25</t>
  </si>
  <si>
    <t>Paticha Kanda</t>
  </si>
  <si>
    <t>Hare Pyaz Ke Patte</t>
  </si>
  <si>
    <t>Spring Onion Scallions</t>
  </si>
  <si>
    <t>Allium Fistulosum</t>
  </si>
  <si>
    <t>20 cm</t>
  </si>
  <si>
    <t>Sulphur Conraining</t>
  </si>
  <si>
    <t>Broccoli</t>
  </si>
  <si>
    <t>biennial / 3-4 months</t>
  </si>
  <si>
    <t>Sept - Nov</t>
  </si>
  <si>
    <t>45 * 30 cm</t>
  </si>
  <si>
    <t>0.45X0.3</t>
  </si>
  <si>
    <t>Medi7m</t>
  </si>
  <si>
    <t>Kobi</t>
  </si>
  <si>
    <t>Patta Gobi</t>
  </si>
  <si>
    <t>Cabbage</t>
  </si>
  <si>
    <t>Brassica Oleracea</t>
  </si>
  <si>
    <t>biennial / 2 - 4 months</t>
  </si>
  <si>
    <t>Oct - Jan</t>
  </si>
  <si>
    <t>45 * 45 cm - 60 * 45 cm</t>
  </si>
  <si>
    <t>0.45X0.6</t>
  </si>
  <si>
    <t>Flower</t>
  </si>
  <si>
    <t>Phool Gobi</t>
  </si>
  <si>
    <t>Cauliflower</t>
  </si>
  <si>
    <t>Brassicaceae Oleracea, Variety Botrytis</t>
  </si>
  <si>
    <t>biennial / 2 - 3 months</t>
  </si>
  <si>
    <t>May &amp; Aug - Sept</t>
  </si>
  <si>
    <t>60 * 30 cm - 60 * 45 cm</t>
  </si>
  <si>
    <t>0.6X0.3</t>
  </si>
  <si>
    <t>0.6X0.45</t>
  </si>
  <si>
    <t>Kale</t>
  </si>
  <si>
    <t xml:space="preserve">Mar- June </t>
  </si>
  <si>
    <t>18-24 inches apart</t>
  </si>
  <si>
    <r>
      <rPr>
        <rFont val="&quot;Google Sans&quot;, Roboto, sans-serif"/>
        <color rgb="FF1F1F1F"/>
        <sz val="9.0"/>
      </rPr>
      <t>0.45*0.6</t>
    </r>
  </si>
  <si>
    <t>Sulgam</t>
  </si>
  <si>
    <t>Shalgam</t>
  </si>
  <si>
    <t>Turnip</t>
  </si>
  <si>
    <t>Brassica Rapa</t>
  </si>
  <si>
    <t>binennial</t>
  </si>
  <si>
    <t>oct/nov</t>
  </si>
  <si>
    <t xml:space="preserve"> 8 - 45 cm</t>
  </si>
  <si>
    <t>0.08*0.45</t>
  </si>
  <si>
    <t>Navalkole</t>
  </si>
  <si>
    <t>Gaanth Gobi</t>
  </si>
  <si>
    <t>Kohlrabi</t>
  </si>
  <si>
    <t>Brassica Oleracea, Variety Gongylodes</t>
  </si>
  <si>
    <t>mid april- early may, also july</t>
  </si>
  <si>
    <t>30 - 45 cm</t>
  </si>
  <si>
    <t>0.3*0.45</t>
  </si>
  <si>
    <t>Coloured</t>
  </si>
  <si>
    <t>Lal Dhobli Mirchi</t>
  </si>
  <si>
    <t>Lal Shimla Mirch</t>
  </si>
  <si>
    <t>Red Pepper</t>
  </si>
  <si>
    <t>Capsicum Annuum</t>
  </si>
  <si>
    <t>5 months</t>
  </si>
  <si>
    <t>Sept - Feb</t>
  </si>
  <si>
    <t>45 * 60 cm</t>
  </si>
  <si>
    <t>low temp. for color development</t>
  </si>
  <si>
    <t>Lal Kobi</t>
  </si>
  <si>
    <t>Lal Gobi</t>
  </si>
  <si>
    <t>Red Cabbage</t>
  </si>
  <si>
    <t>Brassica Oleracea L., Variety Capitata F., Rudra</t>
  </si>
  <si>
    <t>binnial</t>
  </si>
  <si>
    <t>aug-nov</t>
  </si>
  <si>
    <t>30 *45 cm</t>
  </si>
  <si>
    <t>Lal Bhendi</t>
  </si>
  <si>
    <t>Lal Bhindi</t>
  </si>
  <si>
    <t>Red Okra</t>
  </si>
  <si>
    <t>Abelmoschus Esculentus</t>
  </si>
  <si>
    <t>annual / 1 - 2 months</t>
  </si>
  <si>
    <t>Jun - Aug &amp; Feb</t>
  </si>
  <si>
    <t>30 * 45 cm</t>
  </si>
  <si>
    <t>0.3X0.45</t>
  </si>
  <si>
    <t>Piwali Dhobli Mirchi</t>
  </si>
  <si>
    <t>Peeli Shimla Mirch</t>
  </si>
  <si>
    <t>Yellow Pepper</t>
  </si>
  <si>
    <t>60 * 45 cm</t>
  </si>
  <si>
    <t xml:space="preserve">Lal Bhopala </t>
  </si>
  <si>
    <t>Kaddu / Kumhda</t>
  </si>
  <si>
    <t>Pumpkin</t>
  </si>
  <si>
    <t>Cucurbita Pepo</t>
  </si>
  <si>
    <t>6 months</t>
  </si>
  <si>
    <t>jun- july , dec- jan</t>
  </si>
  <si>
    <t>60 cm</t>
  </si>
  <si>
    <t>0.6*0.6</t>
  </si>
  <si>
    <t>P9.l</t>
  </si>
  <si>
    <t>Of Choice</t>
  </si>
  <si>
    <t>Gawar</t>
  </si>
  <si>
    <t>Cluster Beans</t>
  </si>
  <si>
    <t>Cyamopsis Tetragonoloba</t>
  </si>
  <si>
    <t>4 months</t>
  </si>
  <si>
    <t>june/july</t>
  </si>
  <si>
    <t>45-60 *20 -30 cm</t>
  </si>
  <si>
    <t>0.2x0.45</t>
  </si>
  <si>
    <t>0.3*0.6</t>
  </si>
  <si>
    <t>Shenga-Hirvya-Ghevda</t>
  </si>
  <si>
    <t>Semi</t>
  </si>
  <si>
    <t>Beans</t>
  </si>
  <si>
    <t>march/april</t>
  </si>
  <si>
    <t xml:space="preserve">20-30 cm </t>
  </si>
  <si>
    <t>0.2*0.3</t>
  </si>
  <si>
    <t>Wanga</t>
  </si>
  <si>
    <t>Baingan</t>
  </si>
  <si>
    <t>Egg Plant</t>
  </si>
  <si>
    <t>Solanum Melongens</t>
  </si>
  <si>
    <t>july/aug</t>
  </si>
  <si>
    <t>50-60 cm</t>
  </si>
  <si>
    <t>0.5*0.6</t>
  </si>
  <si>
    <t>Kohla</t>
  </si>
  <si>
    <t xml:space="preserve">Rakh Louki </t>
  </si>
  <si>
    <t>Ash Gourd</t>
  </si>
  <si>
    <t>Benincasa Hispida</t>
  </si>
  <si>
    <t>feb/mar &amp; jun/jul</t>
  </si>
  <si>
    <t>75 - 90 cm</t>
  </si>
  <si>
    <t>0.75*0.9</t>
  </si>
  <si>
    <t>Dodka</t>
  </si>
  <si>
    <t>Shiral / Torai</t>
  </si>
  <si>
    <t>Ridge Gourd</t>
  </si>
  <si>
    <t>Cucumis Acutangulus</t>
  </si>
  <si>
    <t>3-4 months</t>
  </si>
  <si>
    <t>year round</t>
  </si>
  <si>
    <t>3-4 ft</t>
  </si>
  <si>
    <t>0.9*1.2</t>
  </si>
  <si>
    <t>Ghosala</t>
  </si>
  <si>
    <t>Torai</t>
  </si>
  <si>
    <t>Sponge Gourd</t>
  </si>
  <si>
    <t>early monsoon</t>
  </si>
  <si>
    <t>1.5 * 1.5 m</t>
  </si>
  <si>
    <t>1.5*1.5</t>
  </si>
  <si>
    <t>Karla</t>
  </si>
  <si>
    <t>Karela</t>
  </si>
  <si>
    <t>Bitter Gourd</t>
  </si>
  <si>
    <t>Momordica Charantia</t>
  </si>
  <si>
    <t>4 -5 months</t>
  </si>
  <si>
    <t>kharif and summer</t>
  </si>
  <si>
    <t>1.5 * 1 m</t>
  </si>
  <si>
    <r>
      <rPr>
        <rFont val="&quot;docs-Helvetica Neue&quot;"/>
        <color rgb="FF000000"/>
        <sz val="10.0"/>
      </rPr>
      <t>1.5 * 1</t>
    </r>
  </si>
  <si>
    <t>Hirve Dhobli Mirchi</t>
  </si>
  <si>
    <t>Shimla Mirch</t>
  </si>
  <si>
    <t>Green Bell Peppee</t>
  </si>
  <si>
    <t xml:space="preserve">kharif </t>
  </si>
  <si>
    <t xml:space="preserve"> 60 * 45 cm</t>
  </si>
  <si>
    <t>0.6*0.45</t>
  </si>
  <si>
    <t>Suran</t>
  </si>
  <si>
    <t xml:space="preserve">Suran </t>
  </si>
  <si>
    <t>Yam</t>
  </si>
  <si>
    <t>Dioscirea</t>
  </si>
  <si>
    <t>9-10 months</t>
  </si>
  <si>
    <t>0.9*0.9</t>
  </si>
  <si>
    <t>Dudhi Bhopala</t>
  </si>
  <si>
    <t xml:space="preserve">Lauki </t>
  </si>
  <si>
    <t>Bottle Gourd</t>
  </si>
  <si>
    <t>Lagenaria Siceraria</t>
  </si>
  <si>
    <t>summer and kharif</t>
  </si>
  <si>
    <t>1.5 *1.5 m</t>
  </si>
  <si>
    <t>Aalu Kanda</t>
  </si>
  <si>
    <t>Arbi</t>
  </si>
  <si>
    <t>Taro</t>
  </si>
  <si>
    <t>summer &amp; kharif</t>
  </si>
  <si>
    <t>45 - 20 cm</t>
  </si>
  <si>
    <t>0.45*0.2</t>
  </si>
  <si>
    <t>Tondli</t>
  </si>
  <si>
    <t xml:space="preserve">Kundru </t>
  </si>
  <si>
    <t>Tendali</t>
  </si>
  <si>
    <t xml:space="preserve">CoccinIa Grandis </t>
  </si>
  <si>
    <t>kahrif</t>
  </si>
  <si>
    <t>2 * 2 m</t>
  </si>
  <si>
    <t>2*2</t>
  </si>
  <si>
    <t>Mattar</t>
  </si>
  <si>
    <t>Green Peas</t>
  </si>
  <si>
    <t>Pisum sativum</t>
  </si>
  <si>
    <t>3 - 4 months</t>
  </si>
  <si>
    <t>rabi</t>
  </si>
  <si>
    <t>30 * 10 cm</t>
  </si>
  <si>
    <t>0.3*0.1</t>
  </si>
  <si>
    <t>Padwal</t>
  </si>
  <si>
    <t>Chchinda</t>
  </si>
  <si>
    <t>Snake Gourd</t>
  </si>
  <si>
    <t>Trichosanthes Cucumerina</t>
  </si>
  <si>
    <t>60-65 days</t>
  </si>
  <si>
    <t>jan/mar &amp; sep/dec</t>
  </si>
  <si>
    <t>120-150 cm</t>
  </si>
  <si>
    <t>1.2*1.5</t>
  </si>
  <si>
    <t>Bhendi</t>
  </si>
  <si>
    <t>Bhindi</t>
  </si>
  <si>
    <t>Okra</t>
  </si>
  <si>
    <t>4 - 5 months</t>
  </si>
  <si>
    <t xml:space="preserve"> 45 * 30 cm</t>
  </si>
  <si>
    <t>0.45*0.3</t>
  </si>
  <si>
    <t>Up To</t>
  </si>
  <si>
    <t>Staples</t>
  </si>
  <si>
    <t>Onion</t>
  </si>
  <si>
    <t>Pyaz</t>
  </si>
  <si>
    <t>Allium Cepa</t>
  </si>
  <si>
    <t>Apr - May &amp; Oct - Nov</t>
  </si>
  <si>
    <t>Tomato</t>
  </si>
  <si>
    <t>Tamatar</t>
  </si>
  <si>
    <t>Tomatoes</t>
  </si>
  <si>
    <t>Solanum Lycopersicum</t>
  </si>
  <si>
    <t>Jun - July &amp; Nov</t>
  </si>
  <si>
    <t>Batata</t>
  </si>
  <si>
    <t>Potato</t>
  </si>
  <si>
    <t>late june&amp; mid oct/nov</t>
  </si>
  <si>
    <t xml:space="preserve">8-12 inches </t>
  </si>
  <si>
    <t>1.6.1</t>
  </si>
  <si>
    <t>Spicy</t>
  </si>
  <si>
    <t>Lasun</t>
  </si>
  <si>
    <t>Lahsun</t>
  </si>
  <si>
    <t>Garlic</t>
  </si>
  <si>
    <t>Allium Sativum</t>
  </si>
  <si>
    <t>15 * 10 cm</t>
  </si>
  <si>
    <t>0.15X0.1</t>
  </si>
  <si>
    <t>Alle</t>
  </si>
  <si>
    <t>Adrak</t>
  </si>
  <si>
    <t>Ginger</t>
  </si>
  <si>
    <t xml:space="preserve"> 210-240 days</t>
  </si>
  <si>
    <t>apr/may to dec/jan</t>
  </si>
  <si>
    <t>20-25 cm</t>
  </si>
  <si>
    <r>
      <rPr>
        <rFont val="&quot;docs-Helvetica Neue&quot;"/>
        <color rgb="FF000000"/>
        <sz val="10.0"/>
      </rPr>
      <t>0.2*0.25</t>
    </r>
  </si>
  <si>
    <t>1.6.2</t>
  </si>
  <si>
    <t>Occasional</t>
  </si>
  <si>
    <t>Ratale</t>
  </si>
  <si>
    <t>Shakkar Kand</t>
  </si>
  <si>
    <t>Sweet Potato</t>
  </si>
  <si>
    <t>Ipomoea Batatas</t>
  </si>
  <si>
    <t xml:space="preserve">6 months </t>
  </si>
  <si>
    <t>aug/nov</t>
  </si>
  <si>
    <t>12 - 18 inches</t>
  </si>
  <si>
    <t>Rajgira</t>
  </si>
  <si>
    <t>Amaranth</t>
  </si>
  <si>
    <t>Makka</t>
  </si>
  <si>
    <t>Makai</t>
  </si>
  <si>
    <t>Corm</t>
  </si>
  <si>
    <t>throughout year except Dec - Jan</t>
  </si>
  <si>
    <t>20 - 25 cm</t>
  </si>
  <si>
    <t xml:space="preserve">Total </t>
  </si>
  <si>
    <t>1.6.3</t>
  </si>
  <si>
    <t>Perennial</t>
  </si>
  <si>
    <t>Shewga</t>
  </si>
  <si>
    <t>Sahajan Ke Patte</t>
  </si>
  <si>
    <t>Drum Stick Leaves</t>
  </si>
  <si>
    <t>Moringa Oleifera</t>
  </si>
  <si>
    <t>mar/may or july/oct</t>
  </si>
  <si>
    <t>200-250 cm</t>
  </si>
  <si>
    <t>2*2.5</t>
  </si>
  <si>
    <t>1.6-1.7</t>
  </si>
  <si>
    <t>Pulses</t>
  </si>
  <si>
    <t>Chana</t>
  </si>
  <si>
    <t>Garbanzo / Bengal Gram</t>
  </si>
  <si>
    <t>Cicer Arietinum</t>
  </si>
  <si>
    <t>annual / 3 - 4 months</t>
  </si>
  <si>
    <t>03X0.1</t>
  </si>
  <si>
    <t>Chavli</t>
  </si>
  <si>
    <t>Lobia</t>
  </si>
  <si>
    <t>Black Eyed Beans</t>
  </si>
  <si>
    <t>annual / 2 months</t>
  </si>
  <si>
    <t>mid June - July</t>
  </si>
  <si>
    <t>0.3X0.1</t>
  </si>
  <si>
    <t>Matki</t>
  </si>
  <si>
    <t>Moth</t>
  </si>
  <si>
    <t>Dew Gram</t>
  </si>
  <si>
    <t>annual / 2 - 3 months</t>
  </si>
  <si>
    <t>July</t>
  </si>
  <si>
    <t>Rajma</t>
  </si>
  <si>
    <t>Kidney Beans</t>
  </si>
  <si>
    <t>annual / 75 -90 days</t>
  </si>
  <si>
    <t>July - Sept &amp; Jan - Feb</t>
  </si>
  <si>
    <t>Dried Peas</t>
  </si>
  <si>
    <t>Mutter</t>
  </si>
  <si>
    <t>annual / 75 days</t>
  </si>
  <si>
    <t>Udid</t>
  </si>
  <si>
    <t>Black Gram Beans</t>
  </si>
  <si>
    <t>annual / 100 days</t>
  </si>
  <si>
    <t>July &amp; Feb - Apr</t>
  </si>
  <si>
    <t>Vaal</t>
  </si>
  <si>
    <t>Field Beans</t>
  </si>
  <si>
    <t>July - Aug &amp; Nov - Dec</t>
  </si>
  <si>
    <t>45 * 15 cm</t>
  </si>
  <si>
    <t>0.45X0.15</t>
  </si>
  <si>
    <t>Kulith</t>
  </si>
  <si>
    <t xml:space="preserve">Kulthi </t>
  </si>
  <si>
    <t>Horse Gram</t>
  </si>
  <si>
    <t>Aug - Nov</t>
  </si>
  <si>
    <t>Pavta</t>
  </si>
  <si>
    <t>Lima Beans</t>
  </si>
  <si>
    <t>annual/biennial</t>
  </si>
  <si>
    <t>jul/aug &amp; sept/nov</t>
  </si>
  <si>
    <t>25-30 cm</t>
  </si>
  <si>
    <t>0.25*0.3</t>
  </si>
  <si>
    <t>Soybean</t>
  </si>
  <si>
    <t>June</t>
  </si>
  <si>
    <t>Papdi</t>
  </si>
  <si>
    <t>Surti Papdi</t>
  </si>
  <si>
    <t>Broad Beans</t>
  </si>
  <si>
    <t xml:space="preserve"> </t>
  </si>
  <si>
    <t>mid summer</t>
  </si>
  <si>
    <t>25- 50 cm</t>
  </si>
  <si>
    <t>0.25*0.5</t>
  </si>
  <si>
    <t>Oil</t>
  </si>
  <si>
    <t>Bhooimug</t>
  </si>
  <si>
    <t>Mungphali</t>
  </si>
  <si>
    <t>Groundnut</t>
  </si>
  <si>
    <t>4-5 months</t>
  </si>
  <si>
    <t>kharif, rabi and summer</t>
  </si>
  <si>
    <t>30 - 70 cm</t>
  </si>
  <si>
    <t>0.3*0.7</t>
  </si>
  <si>
    <t>Lentils</t>
  </si>
  <si>
    <t>Tur</t>
  </si>
  <si>
    <t>Arhar</t>
  </si>
  <si>
    <t>Yellow Pegion Peas</t>
  </si>
  <si>
    <t>1 - 5 yrs</t>
  </si>
  <si>
    <t>Moong Green</t>
  </si>
  <si>
    <t>Green Gram</t>
  </si>
  <si>
    <t>June - July &amp; Mar</t>
  </si>
  <si>
    <t>Moong Yellow</t>
  </si>
  <si>
    <t>kharif</t>
  </si>
  <si>
    <t xml:space="preserve">45 cm </t>
  </si>
  <si>
    <t>0.45*0.45</t>
  </si>
  <si>
    <t>Masur</t>
  </si>
  <si>
    <t>Red Lentils</t>
  </si>
  <si>
    <t>Nov - Dec</t>
  </si>
  <si>
    <t>20 - 30 cm</t>
  </si>
  <si>
    <t>0.2X0.3</t>
  </si>
  <si>
    <t>Carbohydrates</t>
  </si>
  <si>
    <t>Rice</t>
  </si>
  <si>
    <t>Tandul</t>
  </si>
  <si>
    <t>Chawal</t>
  </si>
  <si>
    <t>2 - 3 months</t>
  </si>
  <si>
    <t>Sept - Dec</t>
  </si>
  <si>
    <t>25 * 10 cm</t>
  </si>
  <si>
    <t>0.25X0.1</t>
  </si>
  <si>
    <t>Cereals</t>
  </si>
  <si>
    <t>Jowar</t>
  </si>
  <si>
    <t>Sorghum</t>
  </si>
  <si>
    <t>Bajri</t>
  </si>
  <si>
    <t>Bajra</t>
  </si>
  <si>
    <t>Pearl Millet</t>
  </si>
  <si>
    <t>annual / 3 months</t>
  </si>
  <si>
    <t>Mar - Apr &amp; Oct - Nov</t>
  </si>
  <si>
    <t>Nachani</t>
  </si>
  <si>
    <t>Rashi</t>
  </si>
  <si>
    <t>Finger Millet</t>
  </si>
  <si>
    <t>annual / 4 - 5 months</t>
  </si>
  <si>
    <t>25 * 15 cm</t>
  </si>
  <si>
    <t>0.25X0.15</t>
  </si>
  <si>
    <t xml:space="preserve">Wheat </t>
  </si>
  <si>
    <t>Genhu</t>
  </si>
  <si>
    <t>Wheat</t>
  </si>
  <si>
    <t>4 - 6 months</t>
  </si>
  <si>
    <t>25 - 30 cm</t>
  </si>
  <si>
    <t>0.25X0.3</t>
  </si>
  <si>
    <t>Maiden.</t>
  </si>
  <si>
    <t>2 to 5</t>
  </si>
  <si>
    <t>Grand</t>
  </si>
  <si>
    <t>1 to 5</t>
  </si>
  <si>
    <t xml:space="preserve">Improved Spacing </t>
  </si>
  <si>
    <t>smaller value in spacing x (same value + 60)</t>
  </si>
  <si>
    <t>AD/AH</t>
  </si>
  <si>
    <t>M</t>
  </si>
  <si>
    <r>
      <rPr>
        <rFont val="&quot;Google Sans&quot;, Roboto, sans-serif"/>
        <color rgb="FF1F1F1F"/>
        <sz val="9.0"/>
      </rPr>
      <t>0.45*0.6</t>
    </r>
  </si>
  <si>
    <t>0.2*0.45</t>
  </si>
  <si>
    <t>Low</t>
  </si>
  <si>
    <r>
      <rPr>
        <rFont val="&quot;docs-Helvetica Neue&quot;"/>
        <color rgb="FF000000"/>
        <sz val="10.0"/>
      </rPr>
      <t>1.5 * 1</t>
    </r>
  </si>
  <si>
    <r>
      <rPr>
        <rFont val="&quot;docs-Helvetica Neue&quot;"/>
        <color rgb="FF000000"/>
        <sz val="10.0"/>
      </rPr>
      <t>0.2*0.25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</si>
</sst>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Helvetica Neue"/>
      <scheme val="minor"/>
    </font>
    <font>
      <b/>
      <sz val="14.0"/>
      <color rgb="FF000000"/>
      <name val="Helvetica Neue"/>
    </font>
    <font/>
    <font>
      <b/>
      <sz val="12.0"/>
      <color rgb="FF000000"/>
      <name val="Helvetica Neue"/>
    </font>
    <font>
      <b/>
      <sz val="10.0"/>
      <color rgb="FF000000"/>
      <name val="Helvetica Neue"/>
    </font>
    <font>
      <b/>
      <sz val="11.0"/>
      <color rgb="FF000000"/>
      <name val="Helvetica Neue"/>
    </font>
    <font>
      <b/>
      <sz val="12.0"/>
      <color rgb="FF000000"/>
      <name val="Arial"/>
    </font>
    <font>
      <sz val="10.0"/>
      <color rgb="FF000000"/>
      <name val="Helvetica Neue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DC0BF"/>
        <bgColor rgb="FFBDC0BF"/>
      </patternFill>
    </fill>
    <fill>
      <patternFill patternType="solid">
        <fgColor rgb="FFC2C2C2"/>
        <bgColor rgb="FFC2C2C2"/>
      </patternFill>
    </fill>
    <fill>
      <patternFill patternType="solid">
        <fgColor rgb="FFEBEBEB"/>
        <bgColor rgb="FFEBEBEB"/>
      </patternFill>
    </fill>
    <fill>
      <patternFill patternType="solid">
        <fgColor rgb="FFFF8C82"/>
        <bgColor rgb="FFFF8C82"/>
      </patternFill>
    </fill>
    <fill>
      <patternFill patternType="solid">
        <fgColor rgb="FFDBDBDB"/>
        <bgColor rgb="FFDBDBDB"/>
      </patternFill>
    </fill>
    <fill>
      <patternFill patternType="solid">
        <fgColor rgb="FFFFF994"/>
        <bgColor rgb="FFFFF994"/>
      </patternFill>
    </fill>
    <fill>
      <patternFill patternType="solid">
        <fgColor rgb="FF74A7FF"/>
        <bgColor rgb="FF74A7FF"/>
      </patternFill>
    </fill>
    <fill>
      <patternFill patternType="solid">
        <fgColor rgb="FFCBF0FF"/>
        <bgColor rgb="FFCBF0FF"/>
      </patternFill>
    </fill>
    <fill>
      <patternFill patternType="solid">
        <fgColor rgb="FFD6D6D6"/>
        <bgColor rgb="FFD6D6D6"/>
      </patternFill>
    </fill>
  </fills>
  <borders count="35">
    <border/>
    <border>
      <left/>
      <top/>
      <bottom style="dotted">
        <color rgb="FF000000"/>
      </bottom>
    </border>
    <border>
      <top/>
      <bottom style="dotted">
        <color rgb="FF000000"/>
      </bottom>
    </border>
    <border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 style="thin">
        <color rgb="FF00374A"/>
      </left>
      <top style="thin">
        <color rgb="FF00374A"/>
      </top>
      <bottom style="thin">
        <color rgb="FF00374A"/>
      </bottom>
    </border>
    <border>
      <top style="thin">
        <color rgb="FF00374A"/>
      </top>
      <bottom style="thin">
        <color rgb="FF00374A"/>
      </bottom>
    </border>
    <border>
      <right style="thin">
        <color rgb="FF00374A"/>
      </right>
      <top style="thin">
        <color rgb="FF00374A"/>
      </top>
      <bottom style="thin">
        <color rgb="FF00374A"/>
      </bottom>
    </border>
    <border>
      <left style="thin">
        <color rgb="FF00374A"/>
      </left>
      <right style="thin">
        <color rgb="FF00374A"/>
      </right>
      <top style="thin">
        <color rgb="FF00374A"/>
      </top>
      <bottom style="thin">
        <color rgb="FF00374A"/>
      </bottom>
    </border>
    <border>
      <left style="thin">
        <color rgb="FF00374A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tted">
        <color rgb="FF000000"/>
      </right>
      <top style="thin">
        <color rgb="FFA5A5A5"/>
      </top>
      <bottom style="thin">
        <color rgb="FFA5A5A5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374A"/>
      </left>
      <right style="thin">
        <color rgb="FFA5A5A5"/>
      </right>
      <top style="thin">
        <color rgb="FF00374A"/>
      </top>
      <bottom style="thin">
        <color rgb="FF00374A"/>
      </bottom>
    </border>
    <border>
      <left style="thin">
        <color rgb="FFA5A5A5"/>
      </left>
      <right style="thin">
        <color rgb="FFA5A5A5"/>
      </right>
      <top style="thin">
        <color rgb="FF00374A"/>
      </top>
      <bottom style="thin">
        <color rgb="FF00374A"/>
      </bottom>
    </border>
    <border>
      <left style="thin">
        <color rgb="FFA5A5A5"/>
      </left>
      <right style="thin">
        <color rgb="FF00374A"/>
      </right>
      <top style="thin">
        <color rgb="FF00374A"/>
      </top>
      <bottom style="thin">
        <color rgb="FF00374A"/>
      </bottom>
    </border>
    <border>
      <left style="thin">
        <color rgb="FF00374A"/>
      </left>
      <right style="thin">
        <color rgb="FFA5A5A5"/>
      </right>
      <top style="thin">
        <color rgb="FF00374A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00374A"/>
      </top>
      <bottom style="thin">
        <color rgb="FFA5A5A5"/>
      </bottom>
    </border>
    <border>
      <left style="thin">
        <color rgb="FF00374A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dotted">
        <color rgb="FF000000"/>
      </right>
      <top style="thin">
        <color rgb="FFA5A5A5"/>
      </top>
      <bottom style="thin">
        <color rgb="FF3F3F3F"/>
      </bottom>
    </border>
    <border>
      <left style="thin">
        <color rgb="FF00374A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dotted">
        <color rgb="FF000000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 style="thin">
        <color rgb="FF00374A"/>
      </top>
      <bottom/>
    </border>
    <border>
      <top style="thin">
        <color rgb="FF00374A"/>
      </top>
    </border>
    <border>
      <top style="thin">
        <color rgb="FFA5A5A5"/>
      </top>
    </border>
    <border>
      <top style="dotted">
        <color rgb="FF000000"/>
      </top>
    </border>
    <border>
      <right style="thin">
        <color rgb="FFAAAAAA"/>
      </right>
      <top style="dotted">
        <color rgb="FF000000"/>
      </top>
    </border>
    <border>
      <left/>
      <right/>
      <top/>
      <bottom/>
    </border>
    <border>
      <right style="thin">
        <color rgb="FFAAAAAA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4" fillId="2" fontId="1" numFmtId="0" xfId="0" applyAlignment="1" applyBorder="1" applyFont="1">
      <alignment horizontal="center" shrinkToFit="0" vertical="center" wrapText="0"/>
    </xf>
    <xf borderId="5" fillId="3" fontId="3" numFmtId="49" xfId="0" applyAlignment="1" applyBorder="1" applyFill="1" applyFont="1" applyNumberFormat="1">
      <alignment horizontal="center" shrinkToFit="0" vertical="center" wrapText="1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8" fillId="3" fontId="3" numFmtId="49" xfId="0" applyAlignment="1" applyBorder="1" applyFont="1" applyNumberFormat="1">
      <alignment horizontal="center" shrinkToFit="0" vertical="center" wrapText="1"/>
    </xf>
    <xf borderId="5" fillId="4" fontId="4" numFmtId="49" xfId="0" applyAlignment="1" applyBorder="1" applyFill="1" applyFont="1" applyNumberFormat="1">
      <alignment shrinkToFit="0" vertical="top" wrapText="1"/>
    </xf>
    <xf borderId="9" fillId="4" fontId="4" numFmtId="49" xfId="0" applyAlignment="1" applyBorder="1" applyFont="1" applyNumberFormat="1">
      <alignment shrinkToFit="0" vertical="top" wrapText="1"/>
    </xf>
    <xf borderId="10" fillId="4" fontId="4" numFmtId="49" xfId="0" applyAlignment="1" applyBorder="1" applyFont="1" applyNumberFormat="1">
      <alignment shrinkToFit="0" vertical="top" wrapText="1"/>
    </xf>
    <xf borderId="11" fillId="0" fontId="2" numFmtId="0" xfId="0" applyAlignment="1" applyBorder="1" applyFont="1">
      <alignment shrinkToFit="0" vertical="top" wrapText="1"/>
    </xf>
    <xf borderId="12" fillId="0" fontId="2" numFmtId="0" xfId="0" applyAlignment="1" applyBorder="1" applyFont="1">
      <alignment shrinkToFit="0" vertical="top" wrapText="1"/>
    </xf>
    <xf borderId="13" fillId="4" fontId="4" numFmtId="49" xfId="0" applyAlignment="1" applyBorder="1" applyFont="1" applyNumberFormat="1">
      <alignment shrinkToFit="0" vertical="top" wrapText="1"/>
    </xf>
    <xf borderId="14" fillId="4" fontId="4" numFmtId="49" xfId="0" applyAlignment="1" applyBorder="1" applyFont="1" applyNumberFormat="1">
      <alignment shrinkToFit="0" vertical="top" wrapText="1"/>
    </xf>
    <xf borderId="15" fillId="4" fontId="4" numFmtId="49" xfId="0" applyAlignment="1" applyBorder="1" applyFont="1" applyNumberFormat="1">
      <alignment shrinkToFit="0" vertical="top" wrapText="1"/>
    </xf>
    <xf borderId="15" fillId="4" fontId="4" numFmtId="0" xfId="0" applyAlignment="1" applyBorder="1" applyFont="1">
      <alignment shrinkToFit="0" vertical="top" wrapText="1"/>
    </xf>
    <xf borderId="8" fillId="5" fontId="5" numFmtId="49" xfId="0" applyAlignment="1" applyBorder="1" applyFill="1" applyFont="1" applyNumberFormat="1">
      <alignment horizontal="center" shrinkToFit="0" vertical="center" wrapText="1"/>
    </xf>
    <xf borderId="8" fillId="5" fontId="5" numFmtId="0" xfId="0" applyAlignment="1" applyBorder="1" applyFont="1">
      <alignment horizontal="center" shrinkToFit="0" vertical="center" wrapText="1"/>
    </xf>
    <xf borderId="16" fillId="4" fontId="6" numFmtId="49" xfId="0" applyAlignment="1" applyBorder="1" applyFont="1" applyNumberFormat="1">
      <alignment shrinkToFit="0" vertical="top" wrapText="1"/>
    </xf>
    <xf borderId="17" fillId="4" fontId="6" numFmtId="49" xfId="0" applyAlignment="1" applyBorder="1" applyFont="1" applyNumberFormat="1">
      <alignment shrinkToFit="0" vertical="top" wrapText="1"/>
    </xf>
    <xf borderId="18" fillId="4" fontId="6" numFmtId="49" xfId="0" applyAlignment="1" applyBorder="1" applyFont="1" applyNumberFormat="1">
      <alignment shrinkToFit="0" vertical="top" wrapText="1"/>
    </xf>
    <xf borderId="13" fillId="4" fontId="4" numFmtId="0" xfId="0" applyAlignment="1" applyBorder="1" applyFont="1">
      <alignment shrinkToFit="0" vertical="top" wrapText="1"/>
    </xf>
    <xf borderId="14" fillId="4" fontId="4" numFmtId="0" xfId="0" applyAlignment="1" applyBorder="1" applyFont="1">
      <alignment shrinkToFit="0" vertical="top" wrapText="1"/>
    </xf>
    <xf borderId="8" fillId="6" fontId="4" numFmtId="0" xfId="0" applyAlignment="1" applyBorder="1" applyFill="1" applyFont="1">
      <alignment horizontal="center" shrinkToFit="0" vertical="center" wrapText="1"/>
    </xf>
    <xf borderId="8" fillId="6" fontId="4" numFmtId="164" xfId="0" applyAlignment="1" applyBorder="1" applyFont="1" applyNumberFormat="1">
      <alignment horizontal="center" shrinkToFit="0" vertical="center" wrapText="1"/>
    </xf>
    <xf borderId="19" fillId="4" fontId="4" numFmtId="0" xfId="0" applyAlignment="1" applyBorder="1" applyFont="1">
      <alignment shrinkToFit="0" vertical="top" wrapText="1"/>
    </xf>
    <xf borderId="20" fillId="4" fontId="4" numFmtId="0" xfId="0" applyAlignment="1" applyBorder="1" applyFont="1">
      <alignment shrinkToFit="0" vertical="top" wrapText="1"/>
    </xf>
    <xf borderId="8" fillId="4" fontId="4" numFmtId="0" xfId="0" applyAlignment="1" applyBorder="1" applyFont="1">
      <alignment horizontal="center" shrinkToFit="0" vertical="center" wrapText="1"/>
    </xf>
    <xf borderId="8" fillId="4" fontId="4" numFmtId="164" xfId="0" applyAlignment="1" applyBorder="1" applyFont="1" applyNumberFormat="1">
      <alignment horizontal="center" shrinkToFit="0" vertical="center" wrapText="1"/>
    </xf>
    <xf borderId="21" fillId="4" fontId="4" numFmtId="0" xfId="0" applyAlignment="1" applyBorder="1" applyFont="1">
      <alignment shrinkToFit="0" vertical="top" wrapText="1"/>
    </xf>
    <xf borderId="22" fillId="4" fontId="4" numFmtId="0" xfId="0" applyAlignment="1" applyBorder="1" applyFont="1">
      <alignment shrinkToFit="0" vertical="top" wrapText="1"/>
    </xf>
    <xf borderId="23" fillId="4" fontId="4" numFmtId="0" xfId="0" applyAlignment="1" applyBorder="1" applyFont="1">
      <alignment shrinkToFit="0" vertical="top" wrapText="1"/>
    </xf>
    <xf borderId="8" fillId="7" fontId="4" numFmtId="49" xfId="0" applyAlignment="1" applyBorder="1" applyFill="1" applyFont="1" applyNumberFormat="1">
      <alignment shrinkToFit="0" vertical="top" wrapText="1"/>
    </xf>
    <xf borderId="8" fillId="7" fontId="4" numFmtId="0" xfId="0" applyAlignment="1" applyBorder="1" applyFont="1">
      <alignment shrinkToFit="0" vertical="top" wrapText="1"/>
    </xf>
    <xf borderId="8" fillId="7" fontId="7" numFmtId="164" xfId="0" applyAlignment="1" applyBorder="1" applyFont="1" applyNumberFormat="1">
      <alignment shrinkToFit="0" vertical="top" wrapText="1"/>
    </xf>
    <xf borderId="8" fillId="7" fontId="7" numFmtId="0" xfId="0" applyAlignment="1" applyBorder="1" applyFont="1">
      <alignment shrinkToFit="0" vertical="top" wrapText="1"/>
    </xf>
    <xf borderId="24" fillId="0" fontId="7" numFmtId="0" xfId="0" applyAlignment="1" applyBorder="1" applyFont="1">
      <alignment shrinkToFit="0" vertical="top" wrapText="1"/>
    </xf>
    <xf borderId="25" fillId="0" fontId="7" numFmtId="0" xfId="0" applyAlignment="1" applyBorder="1" applyFont="1">
      <alignment shrinkToFit="0" vertical="top" wrapText="1"/>
    </xf>
    <xf borderId="26" fillId="0" fontId="7" numFmtId="0" xfId="0" applyAlignment="1" applyBorder="1" applyFont="1">
      <alignment shrinkToFit="0" vertical="top" wrapText="1"/>
    </xf>
    <xf borderId="15" fillId="0" fontId="7" numFmtId="0" xfId="0" applyAlignment="1" applyBorder="1" applyFont="1">
      <alignment shrinkToFit="0" vertical="top" wrapText="1"/>
    </xf>
    <xf borderId="8" fillId="8" fontId="4" numFmtId="0" xfId="0" applyAlignment="1" applyBorder="1" applyFill="1" applyFont="1">
      <alignment shrinkToFit="0" vertical="top" wrapText="1"/>
    </xf>
    <xf borderId="8" fillId="9" fontId="4" numFmtId="0" xfId="0" applyAlignment="1" applyBorder="1" applyFill="1" applyFont="1">
      <alignment shrinkToFit="0" vertical="top" wrapText="1"/>
    </xf>
    <xf borderId="8" fillId="9" fontId="4" numFmtId="49" xfId="0" applyAlignment="1" applyBorder="1" applyFont="1" applyNumberFormat="1">
      <alignment shrinkToFit="0" vertical="top" wrapText="1"/>
    </xf>
    <xf borderId="8" fillId="9" fontId="7" numFmtId="164" xfId="0" applyAlignment="1" applyBorder="1" applyFont="1" applyNumberFormat="1">
      <alignment shrinkToFit="0" vertical="top" wrapText="1"/>
    </xf>
    <xf borderId="8" fillId="9" fontId="7" numFmtId="0" xfId="0" applyAlignment="1" applyBorder="1" applyFont="1">
      <alignment shrinkToFit="0" vertical="top" wrapText="1"/>
    </xf>
    <xf borderId="9" fillId="0" fontId="7" numFmtId="0" xfId="0" applyAlignment="1" applyBorder="1" applyFont="1">
      <alignment shrinkToFit="0" vertical="top" wrapText="1"/>
    </xf>
    <xf borderId="13" fillId="0" fontId="7" numFmtId="0" xfId="0" applyAlignment="1" applyBorder="1" applyFont="1">
      <alignment shrinkToFit="0" vertical="top" wrapText="1"/>
    </xf>
    <xf borderId="14" fillId="0" fontId="7" numFmtId="0" xfId="0" applyAlignment="1" applyBorder="1" applyFont="1">
      <alignment shrinkToFit="0" vertical="top" wrapText="1"/>
    </xf>
    <xf borderId="8" fillId="10" fontId="4" numFmtId="0" xfId="0" applyAlignment="1" applyBorder="1" applyFill="1" applyFont="1">
      <alignment shrinkToFit="0" vertical="top" wrapText="1"/>
    </xf>
    <xf borderId="8" fillId="10" fontId="4" numFmtId="49" xfId="0" applyAlignment="1" applyBorder="1" applyFont="1" applyNumberFormat="1">
      <alignment shrinkToFit="0" vertical="top" wrapText="1"/>
    </xf>
    <xf borderId="8" fillId="10" fontId="7" numFmtId="164" xfId="0" applyAlignment="1" applyBorder="1" applyFont="1" applyNumberFormat="1">
      <alignment shrinkToFit="0" vertical="top" wrapText="1"/>
    </xf>
    <xf borderId="8" fillId="10" fontId="7" numFmtId="0" xfId="0" applyAlignment="1" applyBorder="1" applyFont="1">
      <alignment shrinkToFit="0" vertical="top" wrapText="1"/>
    </xf>
    <xf borderId="8" fillId="8" fontId="4" numFmtId="49" xfId="0" applyAlignment="1" applyBorder="1" applyFont="1" applyNumberFormat="1">
      <alignment shrinkToFit="0" vertical="top" wrapText="1"/>
    </xf>
    <xf borderId="8" fillId="0" fontId="7" numFmtId="49" xfId="0" applyAlignment="1" applyBorder="1" applyFont="1" applyNumberFormat="1">
      <alignment shrinkToFit="0" vertical="top" wrapText="1"/>
    </xf>
    <xf borderId="8" fillId="0" fontId="7" numFmtId="164" xfId="0" applyAlignment="1" applyBorder="1" applyFont="1" applyNumberFormat="1">
      <alignment shrinkToFit="0" vertical="top" wrapText="1"/>
    </xf>
    <xf borderId="8" fillId="0" fontId="7" numFmtId="0" xfId="0" applyAlignment="1" applyBorder="1" applyFont="1">
      <alignment shrinkToFit="0" vertical="top" wrapText="1"/>
    </xf>
    <xf borderId="9" fillId="0" fontId="7" numFmtId="49" xfId="0" applyAlignment="1" applyBorder="1" applyFont="1" applyNumberFormat="1">
      <alignment shrinkToFit="0" vertical="top" wrapText="1"/>
    </xf>
    <xf borderId="13" fillId="0" fontId="7" numFmtId="49" xfId="0" applyAlignment="1" applyBorder="1" applyFont="1" applyNumberFormat="1">
      <alignment shrinkToFit="0" vertical="top" wrapText="1"/>
    </xf>
    <xf borderId="13" fillId="11" fontId="7" numFmtId="0" xfId="0" applyAlignment="1" applyBorder="1" applyFill="1" applyFont="1">
      <alignment shrinkToFit="0" vertical="top" wrapText="1"/>
    </xf>
    <xf borderId="15" fillId="0" fontId="7" numFmtId="49" xfId="0" applyAlignment="1" applyBorder="1" applyFont="1" applyNumberFormat="1">
      <alignment shrinkToFit="0" vertical="top" wrapText="1"/>
    </xf>
    <xf borderId="8" fillId="12" fontId="4" numFmtId="49" xfId="0" applyAlignment="1" applyBorder="1" applyFill="1" applyFont="1" applyNumberFormat="1">
      <alignment shrinkToFit="0" vertical="top" wrapText="1"/>
    </xf>
    <xf borderId="8" fillId="12" fontId="4" numFmtId="0" xfId="0" applyAlignment="1" applyBorder="1" applyFont="1">
      <alignment shrinkToFit="0" vertical="top" wrapText="1"/>
    </xf>
    <xf borderId="27" fillId="0" fontId="7" numFmtId="0" xfId="0" applyAlignment="1" applyBorder="1" applyFont="1">
      <alignment shrinkToFit="0" vertical="top" wrapText="1"/>
    </xf>
    <xf borderId="13" fillId="0" fontId="7" numFmtId="164" xfId="0" applyAlignment="1" applyBorder="1" applyFont="1" applyNumberFormat="1">
      <alignment shrinkToFit="0" vertical="top" wrapText="1"/>
    </xf>
    <xf borderId="9" fillId="2" fontId="7" numFmtId="49" xfId="0" applyAlignment="1" applyBorder="1" applyFont="1" applyNumberFormat="1">
      <alignment shrinkToFit="0" vertical="bottom" wrapText="1"/>
    </xf>
    <xf borderId="13" fillId="2" fontId="7" numFmtId="0" xfId="0" applyAlignment="1" applyBorder="1" applyFont="1">
      <alignment shrinkToFit="0" vertical="bottom" wrapText="1"/>
    </xf>
    <xf borderId="13" fillId="2" fontId="7" numFmtId="49" xfId="0" applyAlignment="1" applyBorder="1" applyFont="1" applyNumberFormat="1">
      <alignment shrinkToFit="0" vertical="bottom" wrapText="1"/>
    </xf>
    <xf borderId="13" fillId="0" fontId="7" numFmtId="49" xfId="0" applyAlignment="1" applyBorder="1" applyFont="1" applyNumberFormat="1">
      <alignment horizontal="left" shrinkToFit="0" vertical="top" wrapText="1"/>
    </xf>
    <xf borderId="15" fillId="0" fontId="7" numFmtId="164" xfId="0" applyAlignment="1" applyBorder="1" applyFont="1" applyNumberFormat="1">
      <alignment shrinkToFit="0" vertical="top" wrapText="1"/>
    </xf>
    <xf borderId="21" fillId="0" fontId="7" numFmtId="0" xfId="0" applyAlignment="1" applyBorder="1" applyFont="1">
      <alignment shrinkToFit="0" vertical="top" wrapText="1"/>
    </xf>
    <xf borderId="22" fillId="0" fontId="7" numFmtId="0" xfId="0" applyAlignment="1" applyBorder="1" applyFont="1">
      <alignment shrinkToFit="0" vertical="top" wrapText="1"/>
    </xf>
    <xf borderId="22" fillId="11" fontId="7" numFmtId="0" xfId="0" applyAlignment="1" applyBorder="1" applyFont="1">
      <alignment shrinkToFit="0" vertical="top" wrapText="1"/>
    </xf>
    <xf borderId="23" fillId="0" fontId="7" numFmtId="0" xfId="0" applyAlignment="1" applyBorder="1" applyFont="1">
      <alignment shrinkToFit="0" vertical="top" wrapText="1"/>
    </xf>
    <xf borderId="8" fillId="0" fontId="4" numFmtId="164" xfId="0" applyAlignment="1" applyBorder="1" applyFont="1" applyNumberForma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25" fillId="0" fontId="4" numFmtId="0" xfId="0" applyAlignment="1" applyBorder="1" applyFont="1">
      <alignment shrinkToFit="0" vertical="top" wrapText="1"/>
    </xf>
    <xf borderId="25" fillId="11" fontId="4" numFmtId="0" xfId="0" applyAlignment="1" applyBorder="1" applyFont="1">
      <alignment shrinkToFit="0" vertical="top" wrapText="1"/>
    </xf>
    <xf borderId="26" fillId="0" fontId="4" numFmtId="0" xfId="0" applyAlignment="1" applyBorder="1" applyFont="1">
      <alignment shrinkToFit="0" vertical="top" wrapText="1"/>
    </xf>
    <xf borderId="15" fillId="0" fontId="4" numFmtId="0" xfId="0" applyAlignment="1" applyBorder="1" applyFont="1">
      <alignment shrinkToFit="0" vertical="top" wrapText="1"/>
    </xf>
    <xf borderId="9" fillId="0" fontId="4" numFmtId="0" xfId="0" applyAlignment="1" applyBorder="1" applyFont="1">
      <alignment shrinkToFit="0" vertical="top" wrapText="1"/>
    </xf>
    <xf borderId="13" fillId="0" fontId="4" numFmtId="0" xfId="0" applyAlignment="1" applyBorder="1" applyFont="1">
      <alignment shrinkToFit="0" vertical="top" wrapText="1"/>
    </xf>
    <xf borderId="13" fillId="11" fontId="4" numFmtId="0" xfId="0" applyAlignment="1" applyBorder="1" applyFont="1">
      <alignment shrinkToFit="0" vertical="top" wrapText="1"/>
    </xf>
    <xf borderId="14" fillId="0" fontId="4" numFmtId="0" xfId="0" applyAlignment="1" applyBorder="1" applyFont="1">
      <alignment shrinkToFit="0" vertical="top" wrapText="1"/>
    </xf>
    <xf borderId="28" fillId="8" fontId="4" numFmtId="0" xfId="0" applyAlignment="1" applyBorder="1" applyFont="1">
      <alignment shrinkToFit="0" vertical="top" wrapText="1"/>
    </xf>
    <xf borderId="29" fillId="0" fontId="7" numFmtId="0" xfId="0" applyAlignment="1" applyBorder="1" applyFont="1">
      <alignment shrinkToFit="0" vertical="top" wrapText="1"/>
    </xf>
    <xf borderId="30" fillId="0" fontId="7" numFmtId="0" xfId="0" applyAlignment="1" applyBorder="1" applyFont="1">
      <alignment shrinkToFit="0" vertical="top" wrapText="1"/>
    </xf>
    <xf borderId="31" fillId="0" fontId="7" numFmtId="0" xfId="0" applyAlignment="1" applyBorder="1" applyFont="1">
      <alignment shrinkToFit="0" vertical="top" wrapText="1"/>
    </xf>
    <xf borderId="32" fillId="0" fontId="7" numFmtId="0" xfId="0" applyAlignment="1" applyBorder="1" applyFont="1">
      <alignment shrinkToFit="0" vertical="top" wrapText="1"/>
    </xf>
    <xf borderId="33" fillId="8" fontId="4" numFmtId="0" xfId="0" applyAlignment="1" applyBorder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34" fillId="0" fontId="7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4" width="7.43"/>
    <col customWidth="1" min="5" max="5" width="21.14"/>
    <col customWidth="1" min="6" max="6" width="17.14"/>
    <col customWidth="1" min="7" max="7" width="16.29"/>
    <col customWidth="1" min="8" max="8" width="16.86"/>
    <col customWidth="1" min="9" max="9" width="16.29"/>
    <col customWidth="1" min="10" max="10" width="17.71"/>
    <col customWidth="1" min="11" max="37" width="16.29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4"/>
      <c r="AI1" s="4"/>
      <c r="AJ1" s="4"/>
      <c r="AK1" s="4"/>
    </row>
    <row r="2" ht="56.25" customHeight="1">
      <c r="A2" s="5" t="s">
        <v>0</v>
      </c>
      <c r="B2" s="6"/>
      <c r="C2" s="6"/>
      <c r="D2" s="7"/>
      <c r="E2" s="8" t="s">
        <v>1</v>
      </c>
      <c r="F2" s="8" t="s">
        <v>2</v>
      </c>
      <c r="G2" s="8" t="s">
        <v>3</v>
      </c>
      <c r="H2" s="8" t="s">
        <v>4</v>
      </c>
      <c r="I2" s="5" t="s">
        <v>5</v>
      </c>
      <c r="J2" s="6"/>
      <c r="K2" s="7"/>
      <c r="L2" s="9" t="s">
        <v>6</v>
      </c>
      <c r="M2" s="6"/>
      <c r="N2" s="6"/>
      <c r="O2" s="6"/>
      <c r="P2" s="7"/>
      <c r="Q2" s="10" t="s">
        <v>7</v>
      </c>
      <c r="R2" s="11" t="s">
        <v>8</v>
      </c>
      <c r="S2" s="12"/>
      <c r="T2" s="13"/>
      <c r="U2" s="11" t="s">
        <v>9</v>
      </c>
      <c r="V2" s="13"/>
      <c r="W2" s="14" t="s">
        <v>10</v>
      </c>
      <c r="X2" s="11" t="s">
        <v>11</v>
      </c>
      <c r="Y2" s="12"/>
      <c r="Z2" s="13"/>
      <c r="AA2" s="11" t="s">
        <v>12</v>
      </c>
      <c r="AB2" s="13"/>
      <c r="AC2" s="14" t="s">
        <v>13</v>
      </c>
      <c r="AD2" s="14" t="s">
        <v>14</v>
      </c>
      <c r="AE2" s="15" t="s">
        <v>15</v>
      </c>
      <c r="AF2" s="16" t="s">
        <v>16</v>
      </c>
      <c r="AG2" s="16" t="s">
        <v>17</v>
      </c>
      <c r="AH2" s="16" t="s">
        <v>18</v>
      </c>
      <c r="AI2" s="16" t="s">
        <v>19</v>
      </c>
      <c r="AJ2" s="17"/>
      <c r="AK2" s="17"/>
    </row>
    <row r="3" ht="36.0" customHeight="1">
      <c r="A3" s="18" t="s">
        <v>20</v>
      </c>
      <c r="B3" s="18" t="s">
        <v>21</v>
      </c>
      <c r="C3" s="18" t="s">
        <v>22</v>
      </c>
      <c r="D3" s="18" t="s">
        <v>23</v>
      </c>
      <c r="E3" s="19"/>
      <c r="F3" s="19"/>
      <c r="G3" s="19"/>
      <c r="H3" s="19"/>
      <c r="I3" s="18" t="s">
        <v>24</v>
      </c>
      <c r="J3" s="18" t="s">
        <v>25</v>
      </c>
      <c r="K3" s="18" t="s">
        <v>26</v>
      </c>
      <c r="L3" s="20" t="s">
        <v>27</v>
      </c>
      <c r="M3" s="21" t="s">
        <v>28</v>
      </c>
      <c r="N3" s="21" t="s">
        <v>29</v>
      </c>
      <c r="O3" s="21" t="s">
        <v>30</v>
      </c>
      <c r="P3" s="22" t="s">
        <v>31</v>
      </c>
      <c r="Q3" s="10" t="s">
        <v>32</v>
      </c>
      <c r="R3" s="14" t="s">
        <v>33</v>
      </c>
      <c r="S3" s="14" t="s">
        <v>34</v>
      </c>
      <c r="T3" s="14" t="s">
        <v>35</v>
      </c>
      <c r="U3" s="14" t="s">
        <v>36</v>
      </c>
      <c r="V3" s="14" t="s">
        <v>37</v>
      </c>
      <c r="W3" s="14" t="s">
        <v>38</v>
      </c>
      <c r="X3" s="14" t="s">
        <v>33</v>
      </c>
      <c r="Y3" s="14" t="s">
        <v>34</v>
      </c>
      <c r="Z3" s="14" t="s">
        <v>39</v>
      </c>
      <c r="AA3" s="14" t="s">
        <v>36</v>
      </c>
      <c r="AB3" s="14" t="s">
        <v>40</v>
      </c>
      <c r="AC3" s="14" t="s">
        <v>41</v>
      </c>
      <c r="AD3" s="23"/>
      <c r="AE3" s="24"/>
      <c r="AF3" s="16" t="s">
        <v>42</v>
      </c>
      <c r="AG3" s="16" t="s">
        <v>43</v>
      </c>
      <c r="AH3" s="16" t="s">
        <v>44</v>
      </c>
      <c r="AI3" s="16" t="s">
        <v>45</v>
      </c>
      <c r="AJ3" s="17"/>
      <c r="AK3" s="17"/>
    </row>
    <row r="4" ht="20.25" customHeight="1">
      <c r="A4" s="25"/>
      <c r="B4" s="25"/>
      <c r="C4" s="25"/>
      <c r="D4" s="25"/>
      <c r="E4" s="25"/>
      <c r="F4" s="26"/>
      <c r="G4" s="26"/>
      <c r="H4" s="26"/>
      <c r="I4" s="26"/>
      <c r="J4" s="26"/>
      <c r="K4" s="25"/>
      <c r="L4" s="27"/>
      <c r="M4" s="28"/>
      <c r="N4" s="28"/>
      <c r="O4" s="28"/>
      <c r="P4" s="28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14" t="s">
        <v>46</v>
      </c>
      <c r="AD4" s="14" t="s">
        <v>47</v>
      </c>
      <c r="AE4" s="15" t="s">
        <v>48</v>
      </c>
      <c r="AF4" s="17"/>
      <c r="AG4" s="17"/>
      <c r="AH4" s="17"/>
      <c r="AI4" s="17"/>
      <c r="AJ4" s="17"/>
      <c r="AK4" s="17"/>
    </row>
    <row r="5" ht="20.25" customHeight="1">
      <c r="A5" s="29"/>
      <c r="B5" s="29"/>
      <c r="C5" s="29"/>
      <c r="D5" s="29"/>
      <c r="E5" s="29"/>
      <c r="F5" s="30"/>
      <c r="G5" s="30"/>
      <c r="H5" s="30"/>
      <c r="I5" s="30"/>
      <c r="J5" s="30"/>
      <c r="K5" s="29"/>
      <c r="L5" s="31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3"/>
      <c r="AF5" s="17"/>
      <c r="AG5" s="17"/>
      <c r="AH5" s="17"/>
      <c r="AI5" s="17"/>
      <c r="AJ5" s="17"/>
      <c r="AK5" s="17"/>
    </row>
    <row r="6" ht="20.25" customHeight="1">
      <c r="A6" s="34" t="s">
        <v>49</v>
      </c>
      <c r="B6" s="35"/>
      <c r="C6" s="35"/>
      <c r="D6" s="35"/>
      <c r="E6" s="34" t="s">
        <v>50</v>
      </c>
      <c r="F6" s="36"/>
      <c r="G6" s="36"/>
      <c r="H6" s="36"/>
      <c r="I6" s="36">
        <v>0.51</v>
      </c>
      <c r="J6" s="36">
        <f>I6*5</f>
        <v>2.55</v>
      </c>
      <c r="K6" s="37">
        <f t="shared" ref="K6:K9" si="1">J6*365</f>
        <v>930.75</v>
      </c>
      <c r="L6" s="38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41"/>
      <c r="AG6" s="41"/>
      <c r="AH6" s="41"/>
      <c r="AI6" s="41"/>
      <c r="AJ6" s="41"/>
      <c r="AK6" s="41"/>
    </row>
    <row r="7" ht="20.25" customHeight="1">
      <c r="A7" s="42"/>
      <c r="B7" s="43">
        <v>1.0</v>
      </c>
      <c r="C7" s="43"/>
      <c r="D7" s="43"/>
      <c r="E7" s="44" t="s">
        <v>51</v>
      </c>
      <c r="F7" s="45"/>
      <c r="G7" s="45"/>
      <c r="H7" s="45"/>
      <c r="I7" s="45">
        <v>0.1</v>
      </c>
      <c r="J7" s="45">
        <v>0.5</v>
      </c>
      <c r="K7" s="46">
        <f t="shared" si="1"/>
        <v>182.5</v>
      </c>
      <c r="L7" s="4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1"/>
      <c r="AG7" s="41"/>
      <c r="AH7" s="41"/>
      <c r="AI7" s="41"/>
      <c r="AJ7" s="41"/>
      <c r="AK7" s="41"/>
    </row>
    <row r="8" ht="20.25" customHeight="1">
      <c r="A8" s="42"/>
      <c r="B8" s="42"/>
      <c r="C8" s="50">
        <v>1.0</v>
      </c>
      <c r="D8" s="50"/>
      <c r="E8" s="51" t="s">
        <v>52</v>
      </c>
      <c r="F8" s="52"/>
      <c r="G8" s="52"/>
      <c r="H8" s="52"/>
      <c r="I8" s="52">
        <v>0.01</v>
      </c>
      <c r="J8" s="53">
        <f t="shared" ref="J8:J9" si="2">I8*5</f>
        <v>0.05</v>
      </c>
      <c r="K8" s="53">
        <f t="shared" si="1"/>
        <v>18.25</v>
      </c>
      <c r="L8" s="47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9"/>
      <c r="AF8" s="41"/>
      <c r="AG8" s="41"/>
      <c r="AH8" s="41"/>
      <c r="AI8" s="41"/>
      <c r="AJ8" s="41"/>
      <c r="AK8" s="41"/>
    </row>
    <row r="9" ht="44.25" customHeight="1">
      <c r="A9" s="42"/>
      <c r="B9" s="42"/>
      <c r="C9" s="42"/>
      <c r="D9" s="42">
        <v>1.0</v>
      </c>
      <c r="E9" s="54" t="s">
        <v>53</v>
      </c>
      <c r="F9" s="55" t="s">
        <v>53</v>
      </c>
      <c r="G9" s="55" t="s">
        <v>53</v>
      </c>
      <c r="H9" s="55" t="s">
        <v>54</v>
      </c>
      <c r="I9" s="56">
        <f>I8/$E10</f>
        <v>0.01</v>
      </c>
      <c r="J9" s="57">
        <f t="shared" si="2"/>
        <v>0.05</v>
      </c>
      <c r="K9" s="57">
        <f t="shared" si="1"/>
        <v>18.25</v>
      </c>
      <c r="L9" s="58" t="s">
        <v>55</v>
      </c>
      <c r="M9" s="59" t="s">
        <v>55</v>
      </c>
      <c r="N9" s="59" t="s">
        <v>56</v>
      </c>
      <c r="O9" s="59" t="s">
        <v>57</v>
      </c>
      <c r="P9" s="59" t="s">
        <v>58</v>
      </c>
      <c r="Q9" s="60">
        <f>12/M9</f>
        <v>4</v>
      </c>
      <c r="R9" s="59" t="s">
        <v>59</v>
      </c>
      <c r="S9" s="59" t="s">
        <v>60</v>
      </c>
      <c r="T9" s="59" t="s">
        <v>61</v>
      </c>
      <c r="U9" s="59" t="s">
        <v>33</v>
      </c>
      <c r="V9" s="48">
        <f>0.45*0.3</f>
        <v>0.135</v>
      </c>
      <c r="W9" s="48">
        <f>10000/V9</f>
        <v>74074.07407</v>
      </c>
      <c r="X9" s="48">
        <v>15000.0</v>
      </c>
      <c r="Y9" s="48">
        <v>25000.0</v>
      </c>
      <c r="Z9" s="48">
        <v>30000.0</v>
      </c>
      <c r="AA9" s="59" t="s">
        <v>62</v>
      </c>
      <c r="AB9" s="48">
        <v>30000.0</v>
      </c>
      <c r="AC9" s="48">
        <f>AB9/W9</f>
        <v>0.405</v>
      </c>
      <c r="AD9" s="48">
        <f>K9/AC9/AG9</f>
        <v>8.674382716</v>
      </c>
      <c r="AE9" s="49">
        <f>AD9/Q9</f>
        <v>2.168595679</v>
      </c>
      <c r="AF9" s="61">
        <f>M9-0.69</f>
        <v>2.31</v>
      </c>
      <c r="AG9" s="41">
        <f>12/AF9</f>
        <v>5.194805195</v>
      </c>
      <c r="AH9" s="41">
        <f>AD9/AG9</f>
        <v>1.669818673</v>
      </c>
      <c r="AI9" s="41">
        <f>AH9*V9</f>
        <v>0.2254255208</v>
      </c>
      <c r="AJ9" s="41">
        <v>0.0</v>
      </c>
      <c r="AK9" s="41"/>
    </row>
    <row r="10" ht="20.25" customHeight="1">
      <c r="A10" s="54" t="s">
        <v>63</v>
      </c>
      <c r="B10" s="54" t="s">
        <v>64</v>
      </c>
      <c r="C10" s="42"/>
      <c r="D10" s="54" t="s">
        <v>65</v>
      </c>
      <c r="E10" s="42">
        <f>$D9</f>
        <v>1</v>
      </c>
      <c r="F10" s="56"/>
      <c r="G10" s="56"/>
      <c r="H10" s="56"/>
      <c r="I10" s="56"/>
      <c r="J10" s="56"/>
      <c r="K10" s="57"/>
      <c r="L10" s="47"/>
      <c r="M10" s="48"/>
      <c r="N10" s="48"/>
      <c r="O10" s="48"/>
      <c r="P10" s="48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9"/>
      <c r="AF10" s="41"/>
      <c r="AG10" s="41"/>
      <c r="AH10" s="41"/>
      <c r="AI10" s="41"/>
      <c r="AJ10" s="41"/>
      <c r="AK10" s="41"/>
    </row>
    <row r="11" ht="20.25" customHeight="1">
      <c r="A11" s="54" t="s">
        <v>63</v>
      </c>
      <c r="B11" s="54" t="s">
        <v>66</v>
      </c>
      <c r="C11" s="51" t="s">
        <v>64</v>
      </c>
      <c r="D11" s="51" t="s">
        <v>65</v>
      </c>
      <c r="E11" s="51"/>
      <c r="F11" s="52"/>
      <c r="G11" s="52"/>
      <c r="H11" s="52"/>
      <c r="I11" s="52"/>
      <c r="J11" s="52">
        <f t="shared" ref="J11:J17" si="3">I11*5</f>
        <v>0</v>
      </c>
      <c r="K11" s="53">
        <f t="shared" ref="K11:K17" si="4">J11*365</f>
        <v>0</v>
      </c>
      <c r="L11" s="47"/>
      <c r="M11" s="48"/>
      <c r="N11" s="48"/>
      <c r="O11" s="48"/>
      <c r="P11" s="48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9"/>
      <c r="AF11" s="41"/>
      <c r="AG11" s="41"/>
      <c r="AH11" s="41"/>
      <c r="AI11" s="41">
        <f>AI9</f>
        <v>0.2254255208</v>
      </c>
      <c r="AJ11" s="41">
        <f>SUM(AJ9)</f>
        <v>0</v>
      </c>
      <c r="AK11" s="41"/>
    </row>
    <row r="12" ht="20.25" customHeight="1">
      <c r="A12" s="42"/>
      <c r="B12" s="42"/>
      <c r="C12" s="50"/>
      <c r="D12" s="50"/>
      <c r="E12" s="51"/>
      <c r="F12" s="52"/>
      <c r="G12" s="52"/>
      <c r="H12" s="52"/>
      <c r="I12" s="52"/>
      <c r="J12" s="52">
        <f t="shared" si="3"/>
        <v>0</v>
      </c>
      <c r="K12" s="53">
        <f t="shared" si="4"/>
        <v>0</v>
      </c>
      <c r="L12" s="47"/>
      <c r="M12" s="48"/>
      <c r="N12" s="48"/>
      <c r="O12" s="48"/>
      <c r="P12" s="48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9"/>
      <c r="AF12" s="41"/>
      <c r="AG12" s="41"/>
      <c r="AH12" s="41"/>
      <c r="AI12" s="41"/>
      <c r="AJ12" s="41"/>
      <c r="AK12" s="41"/>
    </row>
    <row r="13" ht="20.25" customHeight="1">
      <c r="A13" s="42"/>
      <c r="B13" s="42"/>
      <c r="C13" s="50">
        <v>2.0</v>
      </c>
      <c r="D13" s="50"/>
      <c r="E13" s="51" t="s">
        <v>67</v>
      </c>
      <c r="F13" s="52"/>
      <c r="G13" s="52"/>
      <c r="H13" s="52"/>
      <c r="I13" s="52">
        <v>0.09</v>
      </c>
      <c r="J13" s="52">
        <f t="shared" si="3"/>
        <v>0.45</v>
      </c>
      <c r="K13" s="53">
        <f t="shared" si="4"/>
        <v>164.25</v>
      </c>
      <c r="L13" s="47"/>
      <c r="M13" s="48"/>
      <c r="N13" s="48"/>
      <c r="O13" s="48"/>
      <c r="P13" s="48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9"/>
      <c r="AF13" s="41"/>
      <c r="AG13" s="41"/>
      <c r="AH13" s="41"/>
      <c r="AI13" s="41"/>
      <c r="AJ13" s="41"/>
      <c r="AK13" s="41"/>
    </row>
    <row r="14" ht="20.25" customHeight="1">
      <c r="A14" s="42"/>
      <c r="B14" s="42"/>
      <c r="C14" s="42"/>
      <c r="D14" s="42">
        <v>1.0</v>
      </c>
      <c r="E14" s="54" t="s">
        <v>68</v>
      </c>
      <c r="F14" s="55" t="s">
        <v>69</v>
      </c>
      <c r="G14" s="55" t="s">
        <v>70</v>
      </c>
      <c r="H14" s="55" t="s">
        <v>71</v>
      </c>
      <c r="I14" s="56">
        <f>I13/$E18</f>
        <v>0.0225</v>
      </c>
      <c r="J14" s="56">
        <f t="shared" si="3"/>
        <v>0.1125</v>
      </c>
      <c r="K14" s="57">
        <f t="shared" si="4"/>
        <v>41.0625</v>
      </c>
      <c r="L14" s="58" t="s">
        <v>72</v>
      </c>
      <c r="M14" s="59" t="s">
        <v>73</v>
      </c>
      <c r="N14" s="59" t="s">
        <v>74</v>
      </c>
      <c r="O14" s="59" t="s">
        <v>75</v>
      </c>
      <c r="P14" s="48"/>
      <c r="Q14" s="60">
        <f t="shared" ref="Q14:Q17" si="5">12/M14</f>
        <v>2</v>
      </c>
      <c r="R14" s="48"/>
      <c r="S14" s="59" t="s">
        <v>76</v>
      </c>
      <c r="T14" s="48"/>
      <c r="U14" s="59" t="s">
        <v>34</v>
      </c>
      <c r="V14" s="48">
        <f t="shared" ref="V14:V16" si="6">0.3*0.3</f>
        <v>0.09</v>
      </c>
      <c r="W14" s="48">
        <f t="shared" ref="W14:W17" si="7">10000/V14</f>
        <v>111111.1111</v>
      </c>
      <c r="X14" s="48">
        <v>20000.0</v>
      </c>
      <c r="Y14" s="48">
        <v>25000.0</v>
      </c>
      <c r="Z14" s="48">
        <v>30000.0</v>
      </c>
      <c r="AA14" s="59" t="s">
        <v>62</v>
      </c>
      <c r="AB14" s="48">
        <v>30000.0</v>
      </c>
      <c r="AC14" s="48">
        <f t="shared" ref="AC14:AC17" si="8">AB14/W14</f>
        <v>0.27</v>
      </c>
      <c r="AD14" s="48">
        <f t="shared" ref="AD14:AD17" si="9">K14/AC14</f>
        <v>152.0833333</v>
      </c>
      <c r="AE14" s="49">
        <f t="shared" ref="AE14:AE17" si="10">AD14/Q14</f>
        <v>76.04166667</v>
      </c>
      <c r="AF14" s="61">
        <f t="shared" ref="AF14:AF17" si="11">M14-0.69</f>
        <v>5.31</v>
      </c>
      <c r="AG14" s="41">
        <f t="shared" ref="AG14:AG17" si="12">12/AF14</f>
        <v>2.259887006</v>
      </c>
      <c r="AH14" s="41">
        <f t="shared" ref="AH14:AH17" si="13">AD14/AG14</f>
        <v>67.296875</v>
      </c>
      <c r="AI14" s="41">
        <f t="shared" ref="AI14:AI17" si="14">AH14*V14</f>
        <v>6.05671875</v>
      </c>
      <c r="AJ14" s="41">
        <f t="shared" ref="AJ14:AJ16" si="15">AI14</f>
        <v>6.05671875</v>
      </c>
      <c r="AK14" s="41"/>
    </row>
    <row r="15" ht="20.25" customHeight="1">
      <c r="A15" s="42"/>
      <c r="B15" s="42"/>
      <c r="C15" s="42"/>
      <c r="D15" s="42">
        <v>2.0</v>
      </c>
      <c r="E15" s="54" t="s">
        <v>77</v>
      </c>
      <c r="F15" s="55" t="s">
        <v>78</v>
      </c>
      <c r="G15" s="55" t="s">
        <v>79</v>
      </c>
      <c r="H15" s="55" t="s">
        <v>80</v>
      </c>
      <c r="I15" s="56">
        <f>I13/$E18</f>
        <v>0.0225</v>
      </c>
      <c r="J15" s="56">
        <f t="shared" si="3"/>
        <v>0.1125</v>
      </c>
      <c r="K15" s="57">
        <f t="shared" si="4"/>
        <v>41.0625</v>
      </c>
      <c r="L15" s="58" t="s">
        <v>81</v>
      </c>
      <c r="M15" s="59" t="s">
        <v>73</v>
      </c>
      <c r="N15" s="59" t="s">
        <v>82</v>
      </c>
      <c r="O15" s="59" t="s">
        <v>83</v>
      </c>
      <c r="P15" s="48"/>
      <c r="Q15" s="60">
        <f t="shared" si="5"/>
        <v>2</v>
      </c>
      <c r="R15" s="48"/>
      <c r="S15" s="59" t="s">
        <v>84</v>
      </c>
      <c r="T15" s="48"/>
      <c r="U15" s="59" t="s">
        <v>34</v>
      </c>
      <c r="V15" s="48">
        <f t="shared" si="6"/>
        <v>0.09</v>
      </c>
      <c r="W15" s="48">
        <f t="shared" si="7"/>
        <v>111111.1111</v>
      </c>
      <c r="X15" s="48">
        <v>8000.0</v>
      </c>
      <c r="Y15" s="48">
        <v>12000.0</v>
      </c>
      <c r="Z15" s="48">
        <v>18000.0</v>
      </c>
      <c r="AA15" s="59" t="s">
        <v>62</v>
      </c>
      <c r="AB15" s="48">
        <v>18000.0</v>
      </c>
      <c r="AC15" s="48">
        <f t="shared" si="8"/>
        <v>0.162</v>
      </c>
      <c r="AD15" s="48">
        <f t="shared" si="9"/>
        <v>253.4722222</v>
      </c>
      <c r="AE15" s="49">
        <f t="shared" si="10"/>
        <v>126.7361111</v>
      </c>
      <c r="AF15" s="61">
        <f t="shared" si="11"/>
        <v>5.31</v>
      </c>
      <c r="AG15" s="41">
        <f t="shared" si="12"/>
        <v>2.259887006</v>
      </c>
      <c r="AH15" s="41">
        <f t="shared" si="13"/>
        <v>112.1614583</v>
      </c>
      <c r="AI15" s="41">
        <f t="shared" si="14"/>
        <v>10.09453125</v>
      </c>
      <c r="AJ15" s="41">
        <f t="shared" si="15"/>
        <v>10.09453125</v>
      </c>
      <c r="AK15" s="41"/>
    </row>
    <row r="16" ht="20.25" customHeight="1">
      <c r="A16" s="42"/>
      <c r="B16" s="42"/>
      <c r="C16" s="42"/>
      <c r="D16" s="42">
        <v>3.0</v>
      </c>
      <c r="E16" s="54" t="s">
        <v>85</v>
      </c>
      <c r="F16" s="55" t="s">
        <v>86</v>
      </c>
      <c r="G16" s="55" t="s">
        <v>85</v>
      </c>
      <c r="H16" s="55" t="s">
        <v>87</v>
      </c>
      <c r="I16" s="56">
        <f>I13/$E18</f>
        <v>0.0225</v>
      </c>
      <c r="J16" s="56">
        <f t="shared" si="3"/>
        <v>0.1125</v>
      </c>
      <c r="K16" s="57">
        <f t="shared" si="4"/>
        <v>41.0625</v>
      </c>
      <c r="L16" s="58" t="s">
        <v>81</v>
      </c>
      <c r="M16" s="59" t="s">
        <v>73</v>
      </c>
      <c r="N16" s="59" t="s">
        <v>88</v>
      </c>
      <c r="O16" s="59" t="s">
        <v>75</v>
      </c>
      <c r="P16" s="48"/>
      <c r="Q16" s="60">
        <f t="shared" si="5"/>
        <v>2</v>
      </c>
      <c r="R16" s="48"/>
      <c r="S16" s="59" t="s">
        <v>76</v>
      </c>
      <c r="T16" s="48"/>
      <c r="U16" s="59" t="s">
        <v>34</v>
      </c>
      <c r="V16" s="48">
        <f t="shared" si="6"/>
        <v>0.09</v>
      </c>
      <c r="W16" s="48">
        <f t="shared" si="7"/>
        <v>111111.1111</v>
      </c>
      <c r="X16" s="48">
        <v>15000.0</v>
      </c>
      <c r="Y16" s="48">
        <v>20000.0</v>
      </c>
      <c r="Z16" s="48">
        <v>25000.0</v>
      </c>
      <c r="AA16" s="59" t="s">
        <v>62</v>
      </c>
      <c r="AB16" s="48">
        <v>25000.0</v>
      </c>
      <c r="AC16" s="48">
        <f t="shared" si="8"/>
        <v>0.225</v>
      </c>
      <c r="AD16" s="48">
        <f t="shared" si="9"/>
        <v>182.5</v>
      </c>
      <c r="AE16" s="49">
        <f t="shared" si="10"/>
        <v>91.25</v>
      </c>
      <c r="AF16" s="61">
        <f t="shared" si="11"/>
        <v>5.31</v>
      </c>
      <c r="AG16" s="41">
        <f t="shared" si="12"/>
        <v>2.259887006</v>
      </c>
      <c r="AH16" s="41">
        <f t="shared" si="13"/>
        <v>80.75625</v>
      </c>
      <c r="AI16" s="41">
        <f t="shared" si="14"/>
        <v>7.2680625</v>
      </c>
      <c r="AJ16" s="41">
        <f t="shared" si="15"/>
        <v>7.2680625</v>
      </c>
      <c r="AK16" s="41"/>
    </row>
    <row r="17" ht="20.25" customHeight="1">
      <c r="A17" s="42"/>
      <c r="B17" s="42"/>
      <c r="C17" s="42"/>
      <c r="D17" s="42">
        <v>4.0</v>
      </c>
      <c r="E17" s="54" t="s">
        <v>89</v>
      </c>
      <c r="F17" s="55" t="s">
        <v>89</v>
      </c>
      <c r="G17" s="55" t="s">
        <v>90</v>
      </c>
      <c r="H17" s="55" t="s">
        <v>91</v>
      </c>
      <c r="I17" s="56">
        <f>I13/$E18</f>
        <v>0.0225</v>
      </c>
      <c r="J17" s="56">
        <f t="shared" si="3"/>
        <v>0.1125</v>
      </c>
      <c r="K17" s="57">
        <f t="shared" si="4"/>
        <v>41.0625</v>
      </c>
      <c r="L17" s="58" t="s">
        <v>92</v>
      </c>
      <c r="M17" s="48">
        <v>1.5</v>
      </c>
      <c r="N17" s="59" t="s">
        <v>93</v>
      </c>
      <c r="O17" s="59" t="s">
        <v>94</v>
      </c>
      <c r="P17" s="48"/>
      <c r="Q17" s="60">
        <f t="shared" si="5"/>
        <v>8</v>
      </c>
      <c r="R17" s="48"/>
      <c r="S17" s="59" t="s">
        <v>95</v>
      </c>
      <c r="T17" s="48"/>
      <c r="U17" s="59" t="s">
        <v>34</v>
      </c>
      <c r="V17" s="48">
        <f>0.9*0.9</f>
        <v>0.81</v>
      </c>
      <c r="W17" s="48">
        <f t="shared" si="7"/>
        <v>12345.67901</v>
      </c>
      <c r="X17" s="48">
        <v>8000.0</v>
      </c>
      <c r="Y17" s="48">
        <v>12000.0</v>
      </c>
      <c r="Z17" s="48">
        <v>16000.0</v>
      </c>
      <c r="AA17" s="59" t="s">
        <v>62</v>
      </c>
      <c r="AB17" s="48">
        <v>16000.0</v>
      </c>
      <c r="AC17" s="48">
        <f t="shared" si="8"/>
        <v>1.296</v>
      </c>
      <c r="AD17" s="48">
        <f t="shared" si="9"/>
        <v>31.68402778</v>
      </c>
      <c r="AE17" s="49">
        <f t="shared" si="10"/>
        <v>3.960503472</v>
      </c>
      <c r="AF17" s="41">
        <f t="shared" si="11"/>
        <v>0.81</v>
      </c>
      <c r="AG17" s="41">
        <f t="shared" si="12"/>
        <v>14.81481481</v>
      </c>
      <c r="AH17" s="41">
        <f t="shared" si="13"/>
        <v>2.138671875</v>
      </c>
      <c r="AI17" s="41">
        <f t="shared" si="14"/>
        <v>1.732324219</v>
      </c>
      <c r="AJ17" s="41">
        <f>0</f>
        <v>0</v>
      </c>
      <c r="AK17" s="41"/>
    </row>
    <row r="18" ht="20.25" customHeight="1">
      <c r="A18" s="54" t="s">
        <v>63</v>
      </c>
      <c r="B18" s="54" t="s">
        <v>64</v>
      </c>
      <c r="C18" s="42"/>
      <c r="D18" s="54" t="s">
        <v>96</v>
      </c>
      <c r="E18" s="42">
        <f>$D17</f>
        <v>4</v>
      </c>
      <c r="F18" s="56"/>
      <c r="G18" s="56"/>
      <c r="H18" s="56"/>
      <c r="I18" s="56"/>
      <c r="J18" s="56"/>
      <c r="K18" s="57"/>
      <c r="L18" s="47"/>
      <c r="M18" s="48"/>
      <c r="N18" s="48"/>
      <c r="O18" s="48"/>
      <c r="P18" s="48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9"/>
      <c r="AF18" s="41"/>
      <c r="AG18" s="41"/>
      <c r="AH18" s="41"/>
      <c r="AI18" s="41"/>
      <c r="AJ18" s="41"/>
      <c r="AK18" s="41"/>
    </row>
    <row r="19" ht="20.25" customHeight="1">
      <c r="A19" s="54" t="s">
        <v>63</v>
      </c>
      <c r="B19" s="54" t="s">
        <v>66</v>
      </c>
      <c r="C19" s="54" t="s">
        <v>64</v>
      </c>
      <c r="D19" s="54" t="s">
        <v>96</v>
      </c>
      <c r="E19" s="42">
        <f>$E10+$E18</f>
        <v>5</v>
      </c>
      <c r="F19" s="56"/>
      <c r="G19" s="56"/>
      <c r="H19" s="56"/>
      <c r="I19" s="56"/>
      <c r="J19" s="56"/>
      <c r="K19" s="57"/>
      <c r="L19" s="47"/>
      <c r="M19" s="48"/>
      <c r="N19" s="48"/>
      <c r="O19" s="48"/>
      <c r="P19" s="48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9"/>
      <c r="AF19" s="41"/>
      <c r="AG19" s="41"/>
      <c r="AH19" s="41"/>
      <c r="AI19" s="41">
        <f>SUM(AI14,AI15,AI16,AI17)</f>
        <v>25.15163672</v>
      </c>
      <c r="AJ19" s="41">
        <f>SUM(AJ14:AJ17)</f>
        <v>23.4193125</v>
      </c>
      <c r="AK19" s="41"/>
    </row>
    <row r="20" ht="20.25" customHeight="1">
      <c r="A20" s="62" t="s">
        <v>63</v>
      </c>
      <c r="B20" s="62" t="s">
        <v>66</v>
      </c>
      <c r="C20" s="62" t="s">
        <v>64</v>
      </c>
      <c r="D20" s="63">
        <v>1.1</v>
      </c>
      <c r="E20" s="63"/>
      <c r="F20" s="56"/>
      <c r="G20" s="56"/>
      <c r="H20" s="56"/>
      <c r="I20" s="56"/>
      <c r="J20" s="56"/>
      <c r="K20" s="57"/>
      <c r="L20" s="47"/>
      <c r="M20" s="48"/>
      <c r="N20" s="48"/>
      <c r="O20" s="48"/>
      <c r="P20" s="48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1"/>
      <c r="AG20" s="41"/>
      <c r="AH20" s="41"/>
      <c r="AI20" s="41">
        <f t="shared" ref="AI20:AJ20" si="16">AI11+AI19</f>
        <v>25.37706224</v>
      </c>
      <c r="AJ20" s="41">
        <f t="shared" si="16"/>
        <v>23.4193125</v>
      </c>
      <c r="AK20" s="41"/>
    </row>
    <row r="21" ht="20.25" customHeight="1">
      <c r="A21" s="42"/>
      <c r="B21" s="43"/>
      <c r="C21" s="43"/>
      <c r="D21" s="43"/>
      <c r="E21" s="44"/>
      <c r="F21" s="45"/>
      <c r="G21" s="45"/>
      <c r="H21" s="45"/>
      <c r="I21" s="45"/>
      <c r="J21" s="45">
        <f t="shared" ref="J21:J35" si="17">I21*5</f>
        <v>0</v>
      </c>
      <c r="K21" s="46">
        <f t="shared" ref="K21:K35" si="18">J21*365</f>
        <v>0</v>
      </c>
      <c r="L21" s="47"/>
      <c r="M21" s="48"/>
      <c r="N21" s="48"/>
      <c r="O21" s="48"/>
      <c r="P21" s="48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9"/>
      <c r="AF21" s="41"/>
      <c r="AG21" s="41"/>
      <c r="AH21" s="41"/>
      <c r="AI21" s="41"/>
      <c r="AJ21" s="41"/>
      <c r="AK21" s="41"/>
    </row>
    <row r="22" ht="20.25" customHeight="1">
      <c r="A22" s="42"/>
      <c r="B22" s="43">
        <v>2.0</v>
      </c>
      <c r="C22" s="43"/>
      <c r="D22" s="43"/>
      <c r="E22" s="44" t="s">
        <v>52</v>
      </c>
      <c r="F22" s="45"/>
      <c r="G22" s="45"/>
      <c r="H22" s="45"/>
      <c r="I22" s="45">
        <v>0.1</v>
      </c>
      <c r="J22" s="45">
        <f t="shared" si="17"/>
        <v>0.5</v>
      </c>
      <c r="K22" s="46">
        <f t="shared" si="18"/>
        <v>182.5</v>
      </c>
      <c r="L22" s="47"/>
      <c r="M22" s="48"/>
      <c r="N22" s="48"/>
      <c r="O22" s="48"/>
      <c r="P22" s="48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9"/>
      <c r="AF22" s="41"/>
      <c r="AG22" s="41"/>
      <c r="AH22" s="41"/>
      <c r="AI22" s="41"/>
      <c r="AJ22" s="41"/>
      <c r="AK22" s="41"/>
    </row>
    <row r="23" ht="32.25" customHeight="1">
      <c r="A23" s="42"/>
      <c r="B23" s="42"/>
      <c r="C23" s="42"/>
      <c r="D23" s="42">
        <v>1.0</v>
      </c>
      <c r="E23" s="54" t="s">
        <v>97</v>
      </c>
      <c r="F23" s="55" t="s">
        <v>98</v>
      </c>
      <c r="G23" s="55" t="s">
        <v>99</v>
      </c>
      <c r="H23" s="55" t="s">
        <v>100</v>
      </c>
      <c r="I23" s="56">
        <f>I22/$E36</f>
        <v>0.007692307692</v>
      </c>
      <c r="J23" s="56">
        <f t="shared" si="17"/>
        <v>0.03846153846</v>
      </c>
      <c r="K23" s="57">
        <f t="shared" si="18"/>
        <v>14.03846154</v>
      </c>
      <c r="L23" s="58" t="s">
        <v>101</v>
      </c>
      <c r="M23" s="59" t="s">
        <v>73</v>
      </c>
      <c r="N23" s="59" t="s">
        <v>102</v>
      </c>
      <c r="O23" s="59" t="s">
        <v>103</v>
      </c>
      <c r="P23" s="59" t="s">
        <v>104</v>
      </c>
      <c r="Q23" s="60">
        <v>2.0</v>
      </c>
      <c r="R23" s="48"/>
      <c r="S23" s="59" t="s">
        <v>61</v>
      </c>
      <c r="T23" s="48"/>
      <c r="U23" s="59" t="s">
        <v>34</v>
      </c>
      <c r="V23" s="48">
        <f>0.45*0.45</f>
        <v>0.2025</v>
      </c>
      <c r="W23" s="48">
        <f t="shared" ref="W23:W35" si="19">10000/V23</f>
        <v>49382.71605</v>
      </c>
      <c r="X23" s="48">
        <v>15000.0</v>
      </c>
      <c r="Y23" s="48">
        <v>20000.0</v>
      </c>
      <c r="Z23" s="48">
        <v>30000.0</v>
      </c>
      <c r="AA23" s="59" t="s">
        <v>62</v>
      </c>
      <c r="AB23" s="48">
        <v>30000.0</v>
      </c>
      <c r="AC23" s="48">
        <f t="shared" ref="AC23:AC35" si="20">AB23/W23</f>
        <v>0.6075</v>
      </c>
      <c r="AD23" s="48">
        <f t="shared" ref="AD23:AD35" si="21">K23/AC23</f>
        <v>23.10857866</v>
      </c>
      <c r="AE23" s="48">
        <f t="shared" ref="AE23:AE35" si="22">AD23/Q23</f>
        <v>11.55428933</v>
      </c>
      <c r="AF23" s="64">
        <v>5.81</v>
      </c>
      <c r="AG23" s="41">
        <f t="shared" ref="AG23:AG35" si="23">12/AF23</f>
        <v>2.065404475</v>
      </c>
      <c r="AH23" s="41">
        <f t="shared" ref="AH23:AH35" si="24">AD23/AG23</f>
        <v>11.1884035</v>
      </c>
      <c r="AI23" s="41">
        <f t="shared" ref="AI23:AI35" si="25">AH23*V23</f>
        <v>2.265651709</v>
      </c>
      <c r="AJ23" s="41">
        <v>0.0</v>
      </c>
      <c r="AK23" s="41"/>
    </row>
    <row r="24" ht="32.25" customHeight="1">
      <c r="A24" s="42"/>
      <c r="B24" s="42"/>
      <c r="C24" s="42"/>
      <c r="D24" s="42">
        <v>2.0</v>
      </c>
      <c r="E24" s="54" t="s">
        <v>105</v>
      </c>
      <c r="F24" s="55" t="s">
        <v>106</v>
      </c>
      <c r="G24" s="55" t="s">
        <v>107</v>
      </c>
      <c r="H24" s="55" t="s">
        <v>108</v>
      </c>
      <c r="I24" s="56">
        <f>I22/$E36</f>
        <v>0.007692307692</v>
      </c>
      <c r="J24" s="56">
        <f t="shared" si="17"/>
        <v>0.03846153846</v>
      </c>
      <c r="K24" s="57">
        <f t="shared" si="18"/>
        <v>14.03846154</v>
      </c>
      <c r="L24" s="58" t="s">
        <v>109</v>
      </c>
      <c r="M24" s="59" t="s">
        <v>110</v>
      </c>
      <c r="N24" s="59" t="s">
        <v>111</v>
      </c>
      <c r="O24" s="59" t="s">
        <v>112</v>
      </c>
      <c r="P24" s="48"/>
      <c r="Q24" s="60">
        <v>3.0</v>
      </c>
      <c r="R24" s="59" t="s">
        <v>113</v>
      </c>
      <c r="S24" s="48"/>
      <c r="T24" s="59" t="s">
        <v>114</v>
      </c>
      <c r="U24" s="59" t="s">
        <v>33</v>
      </c>
      <c r="V24" s="48">
        <f>0.4*0.4</f>
        <v>0.16</v>
      </c>
      <c r="W24" s="48">
        <f t="shared" si="19"/>
        <v>62500</v>
      </c>
      <c r="X24" s="48">
        <v>2000.0</v>
      </c>
      <c r="Y24" s="48">
        <v>5000.0</v>
      </c>
      <c r="Z24" s="48">
        <v>8000.0</v>
      </c>
      <c r="AA24" s="59" t="s">
        <v>62</v>
      </c>
      <c r="AB24" s="48">
        <v>8000.0</v>
      </c>
      <c r="AC24" s="48">
        <f t="shared" si="20"/>
        <v>0.128</v>
      </c>
      <c r="AD24" s="48">
        <f t="shared" si="21"/>
        <v>109.6754808</v>
      </c>
      <c r="AE24" s="48">
        <f t="shared" si="22"/>
        <v>36.55849359</v>
      </c>
      <c r="AF24" s="64">
        <v>4.01</v>
      </c>
      <c r="AG24" s="41">
        <f t="shared" si="23"/>
        <v>2.992518703</v>
      </c>
      <c r="AH24" s="41">
        <f t="shared" si="24"/>
        <v>36.64988982</v>
      </c>
      <c r="AI24" s="41">
        <f t="shared" si="25"/>
        <v>5.863982372</v>
      </c>
      <c r="AJ24" s="41">
        <v>0.0</v>
      </c>
      <c r="AK24" s="41"/>
    </row>
    <row r="25" ht="32.25" customHeight="1">
      <c r="A25" s="42"/>
      <c r="B25" s="42"/>
      <c r="C25" s="42"/>
      <c r="D25" s="42">
        <v>3.0</v>
      </c>
      <c r="E25" s="54" t="s">
        <v>115</v>
      </c>
      <c r="F25" s="55" t="s">
        <v>115</v>
      </c>
      <c r="G25" s="55" t="s">
        <v>116</v>
      </c>
      <c r="H25" s="55" t="s">
        <v>117</v>
      </c>
      <c r="I25" s="56">
        <f>I22/$E36</f>
        <v>0.007692307692</v>
      </c>
      <c r="J25" s="56">
        <f t="shared" si="17"/>
        <v>0.03846153846</v>
      </c>
      <c r="K25" s="57">
        <f t="shared" si="18"/>
        <v>14.03846154</v>
      </c>
      <c r="L25" s="58" t="s">
        <v>118</v>
      </c>
      <c r="M25" s="59" t="s">
        <v>119</v>
      </c>
      <c r="N25" s="59" t="s">
        <v>120</v>
      </c>
      <c r="O25" s="59" t="s">
        <v>121</v>
      </c>
      <c r="P25" s="48"/>
      <c r="Q25" s="60">
        <v>6.0</v>
      </c>
      <c r="R25" s="48"/>
      <c r="S25" s="59" t="s">
        <v>122</v>
      </c>
      <c r="T25" s="48"/>
      <c r="U25" s="59" t="s">
        <v>34</v>
      </c>
      <c r="V25" s="48">
        <f>0.2*0.15</f>
        <v>0.03</v>
      </c>
      <c r="W25" s="48">
        <f t="shared" si="19"/>
        <v>333333.3333</v>
      </c>
      <c r="X25" s="48">
        <v>1500.0</v>
      </c>
      <c r="Y25" s="48">
        <v>2000.0</v>
      </c>
      <c r="Z25" s="48">
        <v>3500.0</v>
      </c>
      <c r="AA25" s="59" t="s">
        <v>62</v>
      </c>
      <c r="AB25" s="48">
        <v>3500.0</v>
      </c>
      <c r="AC25" s="48">
        <f t="shared" si="20"/>
        <v>0.0105</v>
      </c>
      <c r="AD25" s="65">
        <f t="shared" si="21"/>
        <v>1336.996337</v>
      </c>
      <c r="AE25" s="48">
        <f t="shared" si="22"/>
        <v>222.8327228</v>
      </c>
      <c r="AF25" s="64">
        <v>0.81</v>
      </c>
      <c r="AG25" s="41">
        <f t="shared" si="23"/>
        <v>14.81481481</v>
      </c>
      <c r="AH25" s="41">
        <f t="shared" si="24"/>
        <v>90.24725275</v>
      </c>
      <c r="AI25" s="41">
        <f t="shared" si="25"/>
        <v>2.707417582</v>
      </c>
      <c r="AJ25" s="41">
        <v>0.0</v>
      </c>
      <c r="AK25" s="41"/>
    </row>
    <row r="26" ht="20.25" customHeight="1">
      <c r="A26" s="42"/>
      <c r="B26" s="42"/>
      <c r="C26" s="42"/>
      <c r="D26" s="42">
        <v>4.0</v>
      </c>
      <c r="E26" s="54" t="s">
        <v>123</v>
      </c>
      <c r="F26" s="55" t="s">
        <v>124</v>
      </c>
      <c r="G26" s="55" t="s">
        <v>125</v>
      </c>
      <c r="H26" s="55" t="s">
        <v>126</v>
      </c>
      <c r="I26" s="56">
        <f>I22/$E36</f>
        <v>0.007692307692</v>
      </c>
      <c r="J26" s="56">
        <f t="shared" si="17"/>
        <v>0.03846153846</v>
      </c>
      <c r="K26" s="57">
        <f t="shared" si="18"/>
        <v>14.03846154</v>
      </c>
      <c r="L26" s="58" t="s">
        <v>127</v>
      </c>
      <c r="M26" s="59" t="s">
        <v>128</v>
      </c>
      <c r="N26" s="59" t="s">
        <v>129</v>
      </c>
      <c r="O26" s="59" t="s">
        <v>75</v>
      </c>
      <c r="P26" s="48"/>
      <c r="Q26" s="60">
        <v>2.0</v>
      </c>
      <c r="R26" s="48"/>
      <c r="S26" s="59" t="s">
        <v>76</v>
      </c>
      <c r="T26" s="48"/>
      <c r="U26" s="59" t="s">
        <v>34</v>
      </c>
      <c r="V26" s="48">
        <f>0.3*0.3</f>
        <v>0.09</v>
      </c>
      <c r="W26" s="48">
        <f t="shared" si="19"/>
        <v>111111.1111</v>
      </c>
      <c r="X26" s="48">
        <v>1000.0</v>
      </c>
      <c r="Y26" s="48">
        <v>2000.0</v>
      </c>
      <c r="Z26" s="48">
        <v>3000.0</v>
      </c>
      <c r="AA26" s="59" t="s">
        <v>62</v>
      </c>
      <c r="AB26" s="48">
        <v>3000.0</v>
      </c>
      <c r="AC26" s="48">
        <f t="shared" si="20"/>
        <v>0.027</v>
      </c>
      <c r="AD26" s="48">
        <f t="shared" si="21"/>
        <v>519.9430199</v>
      </c>
      <c r="AE26" s="48">
        <f t="shared" si="22"/>
        <v>259.97151</v>
      </c>
      <c r="AF26" s="64">
        <v>0.93</v>
      </c>
      <c r="AG26" s="41">
        <f t="shared" si="23"/>
        <v>12.90322581</v>
      </c>
      <c r="AH26" s="41">
        <f t="shared" si="24"/>
        <v>40.29558405</v>
      </c>
      <c r="AI26" s="41">
        <f t="shared" si="25"/>
        <v>3.626602564</v>
      </c>
      <c r="AJ26" s="41">
        <v>0.0</v>
      </c>
      <c r="AK26" s="41"/>
    </row>
    <row r="27" ht="20.25" customHeight="1">
      <c r="A27" s="42"/>
      <c r="B27" s="42"/>
      <c r="C27" s="42"/>
      <c r="D27" s="42">
        <v>5.0</v>
      </c>
      <c r="E27" s="54" t="s">
        <v>130</v>
      </c>
      <c r="F27" s="55" t="s">
        <v>130</v>
      </c>
      <c r="G27" s="55" t="s">
        <v>131</v>
      </c>
      <c r="H27" s="55" t="s">
        <v>132</v>
      </c>
      <c r="I27" s="56">
        <f>I22/$E36</f>
        <v>0.007692307692</v>
      </c>
      <c r="J27" s="56">
        <f t="shared" si="17"/>
        <v>0.03846153846</v>
      </c>
      <c r="K27" s="57">
        <f t="shared" si="18"/>
        <v>14.03846154</v>
      </c>
      <c r="L27" s="58" t="s">
        <v>133</v>
      </c>
      <c r="M27" s="59" t="s">
        <v>134</v>
      </c>
      <c r="N27" s="59" t="s">
        <v>135</v>
      </c>
      <c r="O27" s="59" t="s">
        <v>136</v>
      </c>
      <c r="P27" s="48"/>
      <c r="Q27" s="60">
        <v>6.0</v>
      </c>
      <c r="R27" s="59" t="s">
        <v>137</v>
      </c>
      <c r="S27" s="48"/>
      <c r="T27" s="59" t="s">
        <v>138</v>
      </c>
      <c r="U27" s="59" t="s">
        <v>39</v>
      </c>
      <c r="V27" s="48">
        <f>0.15*0.15</f>
        <v>0.0225</v>
      </c>
      <c r="W27" s="48">
        <f t="shared" si="19"/>
        <v>444444.4444</v>
      </c>
      <c r="X27" s="48">
        <v>1500.0</v>
      </c>
      <c r="Y27" s="48">
        <v>3000.0</v>
      </c>
      <c r="Z27" s="48">
        <v>5000.0</v>
      </c>
      <c r="AA27" s="59" t="s">
        <v>62</v>
      </c>
      <c r="AB27" s="48">
        <v>5000.0</v>
      </c>
      <c r="AC27" s="48">
        <f t="shared" si="20"/>
        <v>0.01125</v>
      </c>
      <c r="AD27" s="65">
        <f t="shared" si="21"/>
        <v>1247.863248</v>
      </c>
      <c r="AE27" s="48">
        <f t="shared" si="22"/>
        <v>207.977208</v>
      </c>
      <c r="AF27" s="64">
        <v>0.31</v>
      </c>
      <c r="AG27" s="41">
        <f t="shared" si="23"/>
        <v>38.70967742</v>
      </c>
      <c r="AH27" s="41">
        <f t="shared" si="24"/>
        <v>32.23646724</v>
      </c>
      <c r="AI27" s="41">
        <f t="shared" si="25"/>
        <v>0.7253205128</v>
      </c>
      <c r="AJ27" s="41">
        <v>0.0</v>
      </c>
      <c r="AK27" s="41"/>
    </row>
    <row r="28" ht="32.25" customHeight="1">
      <c r="A28" s="42"/>
      <c r="B28" s="42"/>
      <c r="C28" s="42"/>
      <c r="D28" s="42">
        <v>6.0</v>
      </c>
      <c r="E28" s="54" t="s">
        <v>139</v>
      </c>
      <c r="F28" s="55" t="s">
        <v>140</v>
      </c>
      <c r="G28" s="55" t="s">
        <v>141</v>
      </c>
      <c r="H28" s="55" t="s">
        <v>142</v>
      </c>
      <c r="I28" s="56">
        <f>I22/$E36</f>
        <v>0.007692307692</v>
      </c>
      <c r="J28" s="56">
        <f t="shared" si="17"/>
        <v>0.03846153846</v>
      </c>
      <c r="K28" s="57">
        <f t="shared" si="18"/>
        <v>14.03846154</v>
      </c>
      <c r="L28" s="58" t="s">
        <v>143</v>
      </c>
      <c r="M28" s="59" t="s">
        <v>73</v>
      </c>
      <c r="N28" s="59" t="s">
        <v>144</v>
      </c>
      <c r="O28" s="59" t="s">
        <v>145</v>
      </c>
      <c r="P28" s="48"/>
      <c r="Q28" s="60">
        <v>1.0</v>
      </c>
      <c r="R28" s="48"/>
      <c r="S28" s="59" t="s">
        <v>146</v>
      </c>
      <c r="T28" s="48"/>
      <c r="U28" s="59" t="s">
        <v>34</v>
      </c>
      <c r="V28" s="48">
        <f>0.15*0.3</f>
        <v>0.045</v>
      </c>
      <c r="W28" s="48">
        <f t="shared" si="19"/>
        <v>222222.2222</v>
      </c>
      <c r="X28" s="48">
        <v>2000.0</v>
      </c>
      <c r="Y28" s="48">
        <v>3000.0</v>
      </c>
      <c r="Z28" s="48">
        <v>4000.0</v>
      </c>
      <c r="AA28" s="59" t="s">
        <v>62</v>
      </c>
      <c r="AB28" s="48">
        <v>4000.0</v>
      </c>
      <c r="AC28" s="48">
        <f t="shared" si="20"/>
        <v>0.018</v>
      </c>
      <c r="AD28" s="48">
        <f t="shared" si="21"/>
        <v>779.9145299</v>
      </c>
      <c r="AE28" s="48">
        <f t="shared" si="22"/>
        <v>779.9145299</v>
      </c>
      <c r="AF28" s="64">
        <v>5.5</v>
      </c>
      <c r="AG28" s="41">
        <f t="shared" si="23"/>
        <v>2.181818182</v>
      </c>
      <c r="AH28" s="41">
        <f t="shared" si="24"/>
        <v>357.4608262</v>
      </c>
      <c r="AI28" s="41">
        <f t="shared" si="25"/>
        <v>16.08573718</v>
      </c>
      <c r="AJ28" s="41">
        <v>0.0</v>
      </c>
      <c r="AK28" s="41"/>
    </row>
    <row r="29" ht="44.25" customHeight="1">
      <c r="A29" s="42"/>
      <c r="B29" s="42"/>
      <c r="C29" s="42"/>
      <c r="D29" s="42">
        <v>7.0</v>
      </c>
      <c r="E29" s="54" t="s">
        <v>147</v>
      </c>
      <c r="F29" s="55" t="s">
        <v>148</v>
      </c>
      <c r="G29" s="55" t="s">
        <v>149</v>
      </c>
      <c r="H29" s="55" t="s">
        <v>150</v>
      </c>
      <c r="I29" s="56">
        <f>I22/$E36</f>
        <v>0.007692307692</v>
      </c>
      <c r="J29" s="56">
        <f t="shared" si="17"/>
        <v>0.03846153846</v>
      </c>
      <c r="K29" s="57">
        <f t="shared" si="18"/>
        <v>14.03846154</v>
      </c>
      <c r="L29" s="58" t="s">
        <v>151</v>
      </c>
      <c r="M29" s="59" t="s">
        <v>55</v>
      </c>
      <c r="N29" s="59" t="s">
        <v>152</v>
      </c>
      <c r="O29" s="59" t="s">
        <v>153</v>
      </c>
      <c r="P29" s="59" t="s">
        <v>154</v>
      </c>
      <c r="Q29" s="60">
        <v>3.0</v>
      </c>
      <c r="R29" s="48"/>
      <c r="S29" s="59" t="s">
        <v>61</v>
      </c>
      <c r="T29" s="48"/>
      <c r="U29" s="59" t="s">
        <v>34</v>
      </c>
      <c r="V29" s="48">
        <f t="shared" ref="V29:V30" si="26">0.45*0.45</f>
        <v>0.2025</v>
      </c>
      <c r="W29" s="48">
        <f t="shared" si="19"/>
        <v>49382.71605</v>
      </c>
      <c r="X29" s="48">
        <v>1000.0</v>
      </c>
      <c r="Y29" s="48">
        <v>2500.0</v>
      </c>
      <c r="Z29" s="48">
        <v>4000.0</v>
      </c>
      <c r="AA29" s="59" t="s">
        <v>62</v>
      </c>
      <c r="AB29" s="48">
        <v>4000.0</v>
      </c>
      <c r="AC29" s="48">
        <f t="shared" si="20"/>
        <v>0.081</v>
      </c>
      <c r="AD29" s="48">
        <f t="shared" si="21"/>
        <v>173.31434</v>
      </c>
      <c r="AE29" s="48">
        <f t="shared" si="22"/>
        <v>57.77144666</v>
      </c>
      <c r="AF29" s="64">
        <v>2.31</v>
      </c>
      <c r="AG29" s="41">
        <f t="shared" si="23"/>
        <v>5.194805195</v>
      </c>
      <c r="AH29" s="41">
        <f t="shared" si="24"/>
        <v>33.36301045</v>
      </c>
      <c r="AI29" s="41">
        <f t="shared" si="25"/>
        <v>6.756009615</v>
      </c>
      <c r="AJ29" s="41">
        <v>0.0</v>
      </c>
      <c r="AK29" s="41"/>
    </row>
    <row r="30" ht="32.25" customHeight="1">
      <c r="A30" s="42"/>
      <c r="B30" s="42"/>
      <c r="C30" s="42"/>
      <c r="D30" s="42">
        <v>8.0</v>
      </c>
      <c r="E30" s="54" t="s">
        <v>155</v>
      </c>
      <c r="F30" s="55" t="s">
        <v>156</v>
      </c>
      <c r="G30" s="55" t="s">
        <v>157</v>
      </c>
      <c r="H30" s="55" t="s">
        <v>158</v>
      </c>
      <c r="I30" s="56">
        <f>I22/$E36</f>
        <v>0.007692307692</v>
      </c>
      <c r="J30" s="56">
        <f t="shared" si="17"/>
        <v>0.03846153846</v>
      </c>
      <c r="K30" s="57">
        <f t="shared" si="18"/>
        <v>14.03846154</v>
      </c>
      <c r="L30" s="58" t="s">
        <v>151</v>
      </c>
      <c r="M30" s="59" t="s">
        <v>55</v>
      </c>
      <c r="N30" s="59" t="s">
        <v>159</v>
      </c>
      <c r="O30" s="59" t="s">
        <v>103</v>
      </c>
      <c r="P30" s="48"/>
      <c r="Q30" s="60">
        <v>3.0</v>
      </c>
      <c r="R30" s="48"/>
      <c r="S30" s="59" t="s">
        <v>61</v>
      </c>
      <c r="T30" s="48"/>
      <c r="U30" s="59" t="s">
        <v>34</v>
      </c>
      <c r="V30" s="48">
        <f t="shared" si="26"/>
        <v>0.2025</v>
      </c>
      <c r="W30" s="48">
        <f t="shared" si="19"/>
        <v>49382.71605</v>
      </c>
      <c r="X30" s="48">
        <v>1500.0</v>
      </c>
      <c r="Y30" s="48">
        <v>3000.0</v>
      </c>
      <c r="Z30" s="48">
        <v>5000.0</v>
      </c>
      <c r="AA30" s="59" t="s">
        <v>62</v>
      </c>
      <c r="AB30" s="48">
        <v>5000.0</v>
      </c>
      <c r="AC30" s="48">
        <f t="shared" si="20"/>
        <v>0.10125</v>
      </c>
      <c r="AD30" s="48">
        <f t="shared" si="21"/>
        <v>138.651472</v>
      </c>
      <c r="AE30" s="48">
        <f t="shared" si="22"/>
        <v>46.21715733</v>
      </c>
      <c r="AF30" s="64">
        <v>11.31</v>
      </c>
      <c r="AG30" s="41">
        <f t="shared" si="23"/>
        <v>1.061007958</v>
      </c>
      <c r="AH30" s="41">
        <f t="shared" si="24"/>
        <v>130.6790123</v>
      </c>
      <c r="AI30" s="41">
        <f t="shared" si="25"/>
        <v>26.4625</v>
      </c>
      <c r="AJ30" s="41">
        <v>0.0</v>
      </c>
      <c r="AK30" s="41"/>
    </row>
    <row r="31" ht="32.25" customHeight="1">
      <c r="A31" s="42"/>
      <c r="B31" s="42"/>
      <c r="C31" s="42"/>
      <c r="D31" s="42">
        <v>9.0</v>
      </c>
      <c r="E31" s="54" t="s">
        <v>160</v>
      </c>
      <c r="F31" s="55" t="s">
        <v>161</v>
      </c>
      <c r="G31" s="55" t="s">
        <v>162</v>
      </c>
      <c r="H31" s="55" t="s">
        <v>163</v>
      </c>
      <c r="I31" s="56">
        <f>I22/$E36</f>
        <v>0.007692307692</v>
      </c>
      <c r="J31" s="56">
        <f t="shared" si="17"/>
        <v>0.03846153846</v>
      </c>
      <c r="K31" s="57">
        <f t="shared" si="18"/>
        <v>14.03846154</v>
      </c>
      <c r="L31" s="58" t="s">
        <v>127</v>
      </c>
      <c r="M31" s="59" t="s">
        <v>128</v>
      </c>
      <c r="N31" s="59" t="s">
        <v>164</v>
      </c>
      <c r="O31" s="59" t="s">
        <v>165</v>
      </c>
      <c r="P31" s="48"/>
      <c r="Q31" s="60">
        <v>3.0</v>
      </c>
      <c r="R31" s="59" t="s">
        <v>166</v>
      </c>
      <c r="S31" s="48"/>
      <c r="T31" s="59" t="s">
        <v>167</v>
      </c>
      <c r="U31" s="59" t="s">
        <v>39</v>
      </c>
      <c r="V31" s="48">
        <f>0.46*0.2</f>
        <v>0.092</v>
      </c>
      <c r="W31" s="48">
        <f t="shared" si="19"/>
        <v>108695.6522</v>
      </c>
      <c r="X31" s="48">
        <v>1000.0</v>
      </c>
      <c r="Y31" s="48">
        <v>2000.0</v>
      </c>
      <c r="Z31" s="48">
        <v>3000.0</v>
      </c>
      <c r="AA31" s="59" t="s">
        <v>62</v>
      </c>
      <c r="AB31" s="48">
        <v>3000.0</v>
      </c>
      <c r="AC31" s="48">
        <f t="shared" si="20"/>
        <v>0.0276</v>
      </c>
      <c r="AD31" s="48">
        <f t="shared" si="21"/>
        <v>508.6399108</v>
      </c>
      <c r="AE31" s="48">
        <f t="shared" si="22"/>
        <v>169.5466369</v>
      </c>
      <c r="AF31" s="64">
        <v>11.31</v>
      </c>
      <c r="AG31" s="41">
        <f t="shared" si="23"/>
        <v>1.061007958</v>
      </c>
      <c r="AH31" s="41">
        <f t="shared" si="24"/>
        <v>479.3931159</v>
      </c>
      <c r="AI31" s="41">
        <f t="shared" si="25"/>
        <v>44.10416667</v>
      </c>
      <c r="AJ31" s="41">
        <v>0.0</v>
      </c>
      <c r="AK31" s="41"/>
    </row>
    <row r="32" ht="20.25" customHeight="1">
      <c r="A32" s="42"/>
      <c r="B32" s="42"/>
      <c r="C32" s="42"/>
      <c r="D32" s="42">
        <v>10.0</v>
      </c>
      <c r="E32" s="54" t="s">
        <v>168</v>
      </c>
      <c r="F32" s="55" t="s">
        <v>168</v>
      </c>
      <c r="G32" s="55" t="s">
        <v>169</v>
      </c>
      <c r="H32" s="55" t="s">
        <v>170</v>
      </c>
      <c r="I32" s="56">
        <f>I22/$E36</f>
        <v>0.007692307692</v>
      </c>
      <c r="J32" s="56">
        <f t="shared" si="17"/>
        <v>0.03846153846</v>
      </c>
      <c r="K32" s="57">
        <f t="shared" si="18"/>
        <v>14.03846154</v>
      </c>
      <c r="L32" s="58" t="s">
        <v>127</v>
      </c>
      <c r="M32" s="59" t="s">
        <v>128</v>
      </c>
      <c r="N32" s="59" t="s">
        <v>135</v>
      </c>
      <c r="O32" s="59" t="s">
        <v>171</v>
      </c>
      <c r="P32" s="48"/>
      <c r="Q32" s="60">
        <v>2.0</v>
      </c>
      <c r="R32" s="48"/>
      <c r="S32" s="59" t="s">
        <v>76</v>
      </c>
      <c r="T32" s="48"/>
      <c r="U32" s="59" t="s">
        <v>34</v>
      </c>
      <c r="V32" s="48">
        <f t="shared" ref="V32:V33" si="27">0.3*0.3</f>
        <v>0.09</v>
      </c>
      <c r="W32" s="48">
        <f t="shared" si="19"/>
        <v>111111.1111</v>
      </c>
      <c r="X32" s="48">
        <v>4000.0</v>
      </c>
      <c r="Y32" s="48">
        <v>6000.0</v>
      </c>
      <c r="Z32" s="48">
        <v>8000.0</v>
      </c>
      <c r="AA32" s="59" t="s">
        <v>62</v>
      </c>
      <c r="AB32" s="48">
        <v>8000.0</v>
      </c>
      <c r="AC32" s="48">
        <f t="shared" si="20"/>
        <v>0.072</v>
      </c>
      <c r="AD32" s="48">
        <f t="shared" si="21"/>
        <v>194.9786325</v>
      </c>
      <c r="AE32" s="48">
        <f t="shared" si="22"/>
        <v>97.48931624</v>
      </c>
      <c r="AF32" s="64">
        <v>11.31</v>
      </c>
      <c r="AG32" s="41">
        <f t="shared" si="23"/>
        <v>1.061007958</v>
      </c>
      <c r="AH32" s="41">
        <f t="shared" si="24"/>
        <v>183.7673611</v>
      </c>
      <c r="AI32" s="41">
        <f t="shared" si="25"/>
        <v>16.5390625</v>
      </c>
      <c r="AJ32" s="41">
        <v>0.0</v>
      </c>
      <c r="AK32" s="41"/>
    </row>
    <row r="33" ht="20.25" customHeight="1">
      <c r="A33" s="42"/>
      <c r="B33" s="42"/>
      <c r="C33" s="42"/>
      <c r="D33" s="42">
        <v>11.0</v>
      </c>
      <c r="E33" s="54" t="s">
        <v>172</v>
      </c>
      <c r="F33" s="55" t="s">
        <v>173</v>
      </c>
      <c r="G33" s="55" t="s">
        <v>174</v>
      </c>
      <c r="H33" s="55" t="s">
        <v>175</v>
      </c>
      <c r="I33" s="56">
        <f>I22/$E36</f>
        <v>0.007692307692</v>
      </c>
      <c r="J33" s="56">
        <f t="shared" si="17"/>
        <v>0.03846153846</v>
      </c>
      <c r="K33" s="57">
        <f t="shared" si="18"/>
        <v>14.03846154</v>
      </c>
      <c r="L33" s="58" t="s">
        <v>176</v>
      </c>
      <c r="M33" s="59" t="s">
        <v>128</v>
      </c>
      <c r="N33" s="59" t="s">
        <v>177</v>
      </c>
      <c r="O33" s="59" t="s">
        <v>171</v>
      </c>
      <c r="P33" s="59" t="s">
        <v>178</v>
      </c>
      <c r="Q33" s="60">
        <v>3.0</v>
      </c>
      <c r="R33" s="48"/>
      <c r="S33" s="59" t="s">
        <v>179</v>
      </c>
      <c r="T33" s="48"/>
      <c r="U33" s="59" t="s">
        <v>180</v>
      </c>
      <c r="V33" s="48">
        <f t="shared" si="27"/>
        <v>0.09</v>
      </c>
      <c r="W33" s="48">
        <f t="shared" si="19"/>
        <v>111111.1111</v>
      </c>
      <c r="X33" s="48">
        <v>1500.0</v>
      </c>
      <c r="Y33" s="48">
        <v>3000.0</v>
      </c>
      <c r="Z33" s="48">
        <v>5000.0</v>
      </c>
      <c r="AA33" s="59" t="s">
        <v>62</v>
      </c>
      <c r="AB33" s="48">
        <v>5000.0</v>
      </c>
      <c r="AC33" s="48">
        <f t="shared" si="20"/>
        <v>0.045</v>
      </c>
      <c r="AD33" s="48">
        <f t="shared" si="21"/>
        <v>311.965812</v>
      </c>
      <c r="AE33" s="48">
        <f t="shared" si="22"/>
        <v>103.988604</v>
      </c>
      <c r="AF33" s="64">
        <v>1.31</v>
      </c>
      <c r="AG33" s="41">
        <f t="shared" si="23"/>
        <v>9.160305344</v>
      </c>
      <c r="AH33" s="41">
        <f t="shared" si="24"/>
        <v>34.05626781</v>
      </c>
      <c r="AI33" s="41">
        <f t="shared" si="25"/>
        <v>3.065064103</v>
      </c>
      <c r="AJ33" s="41">
        <v>0.0</v>
      </c>
      <c r="AK33" s="41"/>
    </row>
    <row r="34" ht="32.25" customHeight="1">
      <c r="A34" s="42"/>
      <c r="B34" s="42"/>
      <c r="C34" s="42"/>
      <c r="D34" s="42">
        <v>12.0</v>
      </c>
      <c r="E34" s="54" t="s">
        <v>181</v>
      </c>
      <c r="F34" s="55" t="s">
        <v>182</v>
      </c>
      <c r="G34" s="55" t="s">
        <v>183</v>
      </c>
      <c r="H34" s="55" t="s">
        <v>184</v>
      </c>
      <c r="I34" s="56">
        <f>I22/$E36</f>
        <v>0.007692307692</v>
      </c>
      <c r="J34" s="56">
        <f t="shared" si="17"/>
        <v>0.03846153846</v>
      </c>
      <c r="K34" s="57">
        <f t="shared" si="18"/>
        <v>14.03846154</v>
      </c>
      <c r="L34" s="58" t="s">
        <v>185</v>
      </c>
      <c r="M34" s="48">
        <v>2.0</v>
      </c>
      <c r="N34" s="59" t="s">
        <v>186</v>
      </c>
      <c r="O34" s="59" t="s">
        <v>187</v>
      </c>
      <c r="P34" s="59" t="s">
        <v>188</v>
      </c>
      <c r="Q34" s="60">
        <v>3.0</v>
      </c>
      <c r="R34" s="48"/>
      <c r="S34" s="59" t="s">
        <v>189</v>
      </c>
      <c r="T34" s="48"/>
      <c r="U34" s="59" t="s">
        <v>34</v>
      </c>
      <c r="V34" s="48">
        <f>0.2*0.25</f>
        <v>0.05</v>
      </c>
      <c r="W34" s="48">
        <f t="shared" si="19"/>
        <v>200000</v>
      </c>
      <c r="X34" s="48">
        <v>1000.0</v>
      </c>
      <c r="Y34" s="48">
        <v>2500.0</v>
      </c>
      <c r="Z34" s="48">
        <v>4000.0</v>
      </c>
      <c r="AA34" s="59" t="s">
        <v>62</v>
      </c>
      <c r="AB34" s="48">
        <v>4000.0</v>
      </c>
      <c r="AC34" s="48">
        <f t="shared" si="20"/>
        <v>0.02</v>
      </c>
      <c r="AD34" s="48">
        <f t="shared" si="21"/>
        <v>701.9230769</v>
      </c>
      <c r="AE34" s="48">
        <f t="shared" si="22"/>
        <v>233.974359</v>
      </c>
      <c r="AF34" s="64">
        <v>3.31</v>
      </c>
      <c r="AG34" s="41">
        <f t="shared" si="23"/>
        <v>3.625377644</v>
      </c>
      <c r="AH34" s="41">
        <f t="shared" si="24"/>
        <v>193.6137821</v>
      </c>
      <c r="AI34" s="41">
        <f t="shared" si="25"/>
        <v>9.680689103</v>
      </c>
      <c r="AJ34" s="41">
        <v>0.0</v>
      </c>
      <c r="AK34" s="41"/>
    </row>
    <row r="35" ht="32.25" customHeight="1">
      <c r="A35" s="42"/>
      <c r="B35" s="42"/>
      <c r="C35" s="42"/>
      <c r="D35" s="42">
        <v>13.0</v>
      </c>
      <c r="E35" s="54" t="s">
        <v>190</v>
      </c>
      <c r="F35" s="55" t="s">
        <v>191</v>
      </c>
      <c r="G35" s="55" t="s">
        <v>192</v>
      </c>
      <c r="H35" s="55" t="s">
        <v>193</v>
      </c>
      <c r="I35" s="56">
        <f>I22/$E36</f>
        <v>0.007692307692</v>
      </c>
      <c r="J35" s="56">
        <f t="shared" si="17"/>
        <v>0.03846153846</v>
      </c>
      <c r="K35" s="57">
        <f t="shared" si="18"/>
        <v>14.03846154</v>
      </c>
      <c r="L35" s="58" t="s">
        <v>81</v>
      </c>
      <c r="M35" s="59" t="s">
        <v>73</v>
      </c>
      <c r="N35" s="59" t="s">
        <v>164</v>
      </c>
      <c r="O35" s="59" t="s">
        <v>194</v>
      </c>
      <c r="P35" s="48"/>
      <c r="Q35" s="60">
        <v>2.0</v>
      </c>
      <c r="R35" s="48"/>
      <c r="S35" s="59" t="s">
        <v>138</v>
      </c>
      <c r="T35" s="48"/>
      <c r="U35" s="59" t="s">
        <v>34</v>
      </c>
      <c r="V35" s="48">
        <f>0.2*0.2</f>
        <v>0.04</v>
      </c>
      <c r="W35" s="48">
        <f t="shared" si="19"/>
        <v>250000</v>
      </c>
      <c r="X35" s="48">
        <v>1000.0</v>
      </c>
      <c r="Y35" s="48">
        <v>2000.0</v>
      </c>
      <c r="Z35" s="48">
        <v>3000.0</v>
      </c>
      <c r="AA35" s="59" t="s">
        <v>62</v>
      </c>
      <c r="AB35" s="48">
        <v>3000.0</v>
      </c>
      <c r="AC35" s="48">
        <f t="shared" si="20"/>
        <v>0.012</v>
      </c>
      <c r="AD35" s="65">
        <f t="shared" si="21"/>
        <v>1169.871795</v>
      </c>
      <c r="AE35" s="48">
        <f t="shared" si="22"/>
        <v>584.9358974</v>
      </c>
      <c r="AF35" s="64">
        <v>1.31</v>
      </c>
      <c r="AG35" s="41">
        <f t="shared" si="23"/>
        <v>9.160305344</v>
      </c>
      <c r="AH35" s="41">
        <f t="shared" si="24"/>
        <v>127.7110043</v>
      </c>
      <c r="AI35" s="41">
        <f t="shared" si="25"/>
        <v>5.108440171</v>
      </c>
      <c r="AJ35" s="41">
        <v>0.0</v>
      </c>
      <c r="AK35" s="41"/>
    </row>
    <row r="36" ht="20.25" customHeight="1">
      <c r="A36" s="54" t="s">
        <v>63</v>
      </c>
      <c r="B36" s="54" t="s">
        <v>64</v>
      </c>
      <c r="C36" s="42"/>
      <c r="D36" s="42">
        <v>1.2</v>
      </c>
      <c r="E36" s="42">
        <f>$D35</f>
        <v>13</v>
      </c>
      <c r="F36" s="56"/>
      <c r="G36" s="56"/>
      <c r="H36" s="56"/>
      <c r="I36" s="56"/>
      <c r="J36" s="56"/>
      <c r="K36" s="57"/>
      <c r="L36" s="47"/>
      <c r="M36" s="48"/>
      <c r="N36" s="48"/>
      <c r="O36" s="48"/>
      <c r="P36" s="48"/>
      <c r="Q36" s="60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9"/>
      <c r="AF36" s="41"/>
      <c r="AG36" s="41"/>
      <c r="AH36" s="41"/>
      <c r="AI36" s="41"/>
      <c r="AJ36" s="41"/>
      <c r="AK36" s="41"/>
    </row>
    <row r="37" ht="20.25" customHeight="1">
      <c r="A37" s="54" t="s">
        <v>63</v>
      </c>
      <c r="B37" s="54" t="s">
        <v>66</v>
      </c>
      <c r="C37" s="54" t="s">
        <v>64</v>
      </c>
      <c r="D37" s="42">
        <v>1.2</v>
      </c>
      <c r="E37" s="42"/>
      <c r="F37" s="56"/>
      <c r="G37" s="56"/>
      <c r="H37" s="56"/>
      <c r="I37" s="56"/>
      <c r="J37" s="56"/>
      <c r="K37" s="57"/>
      <c r="L37" s="47"/>
      <c r="M37" s="48"/>
      <c r="N37" s="48"/>
      <c r="O37" s="48"/>
      <c r="P37" s="48"/>
      <c r="Q37" s="60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9"/>
      <c r="AF37" s="41"/>
      <c r="AG37" s="41"/>
      <c r="AH37" s="41"/>
      <c r="AI37" s="41">
        <f t="shared" ref="AI37:AJ37" si="28">SUM(AI23:AI35)</f>
        <v>142.9906441</v>
      </c>
      <c r="AJ37" s="41">
        <f t="shared" si="28"/>
        <v>0</v>
      </c>
      <c r="AK37" s="41"/>
    </row>
    <row r="38" ht="20.25" customHeight="1">
      <c r="A38" s="42"/>
      <c r="B38" s="42"/>
      <c r="C38" s="42"/>
      <c r="D38" s="42"/>
      <c r="E38" s="42"/>
      <c r="F38" s="56"/>
      <c r="G38" s="56"/>
      <c r="H38" s="56"/>
      <c r="I38" s="56"/>
      <c r="J38" s="56"/>
      <c r="K38" s="57"/>
      <c r="L38" s="47"/>
      <c r="M38" s="48"/>
      <c r="N38" s="48"/>
      <c r="O38" s="48"/>
      <c r="P38" s="48"/>
      <c r="Q38" s="60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9"/>
      <c r="AF38" s="41"/>
      <c r="AG38" s="41"/>
      <c r="AH38" s="41"/>
      <c r="AI38" s="41"/>
      <c r="AJ38" s="41"/>
      <c r="AK38" s="41"/>
    </row>
    <row r="39" ht="20.25" customHeight="1">
      <c r="A39" s="42"/>
      <c r="B39" s="43">
        <v>3.0</v>
      </c>
      <c r="C39" s="43"/>
      <c r="D39" s="43"/>
      <c r="E39" s="44" t="s">
        <v>195</v>
      </c>
      <c r="F39" s="45"/>
      <c r="G39" s="45"/>
      <c r="H39" s="45"/>
      <c r="I39" s="45">
        <v>0.05</v>
      </c>
      <c r="J39" s="45">
        <f t="shared" ref="J39:J45" si="29">I39*5</f>
        <v>0.25</v>
      </c>
      <c r="K39" s="46">
        <f t="shared" ref="K39:K45" si="30">J39*365</f>
        <v>91.25</v>
      </c>
      <c r="L39" s="47"/>
      <c r="M39" s="48"/>
      <c r="N39" s="48"/>
      <c r="O39" s="48"/>
      <c r="P39" s="48"/>
      <c r="Q39" s="60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9"/>
      <c r="AF39" s="41"/>
      <c r="AG39" s="41"/>
      <c r="AH39" s="41"/>
      <c r="AI39" s="41"/>
      <c r="AJ39" s="41"/>
      <c r="AK39" s="41"/>
    </row>
    <row r="40" ht="32.25" customHeight="1">
      <c r="A40" s="42"/>
      <c r="B40" s="42"/>
      <c r="C40" s="42"/>
      <c r="D40" s="42">
        <v>1.0</v>
      </c>
      <c r="E40" s="54" t="s">
        <v>196</v>
      </c>
      <c r="F40" s="55" t="s">
        <v>196</v>
      </c>
      <c r="G40" s="55" t="s">
        <v>196</v>
      </c>
      <c r="H40" s="57"/>
      <c r="I40" s="56">
        <f>I39/$E46</f>
        <v>0.008333333333</v>
      </c>
      <c r="J40" s="56">
        <f t="shared" si="29"/>
        <v>0.04166666667</v>
      </c>
      <c r="K40" s="57">
        <f t="shared" si="30"/>
        <v>15.20833333</v>
      </c>
      <c r="L40" s="58" t="s">
        <v>197</v>
      </c>
      <c r="M40" s="59" t="s">
        <v>110</v>
      </c>
      <c r="N40" s="59" t="s">
        <v>198</v>
      </c>
      <c r="O40" s="59" t="s">
        <v>199</v>
      </c>
      <c r="P40" s="48"/>
      <c r="Q40" s="60">
        <v>3.0</v>
      </c>
      <c r="R40" s="48"/>
      <c r="S40" s="59" t="s">
        <v>200</v>
      </c>
      <c r="T40" s="48"/>
      <c r="U40" s="59" t="s">
        <v>201</v>
      </c>
      <c r="V40" s="48">
        <f>0.45*0.3</f>
        <v>0.135</v>
      </c>
      <c r="W40" s="48">
        <f t="shared" ref="W40:W45" si="31">10000/V40</f>
        <v>74074.07407</v>
      </c>
      <c r="X40" s="48">
        <v>10000.0</v>
      </c>
      <c r="Y40" s="48">
        <v>15000.0</v>
      </c>
      <c r="Z40" s="48">
        <v>20000.0</v>
      </c>
      <c r="AA40" s="59" t="s">
        <v>62</v>
      </c>
      <c r="AB40" s="48">
        <v>20000.0</v>
      </c>
      <c r="AC40" s="48">
        <f t="shared" ref="AC40:AC45" si="32">AB40/W40</f>
        <v>0.27</v>
      </c>
      <c r="AD40" s="48">
        <f t="shared" ref="AD40:AD45" si="33">K40/AC40</f>
        <v>56.32716049</v>
      </c>
      <c r="AE40" s="48">
        <f t="shared" ref="AE40:AE45" si="34">AD40/Q40</f>
        <v>18.77572016</v>
      </c>
      <c r="AF40" s="64">
        <v>11.31</v>
      </c>
      <c r="AG40" s="41">
        <f t="shared" ref="AG40:AG45" si="35">12/AF40</f>
        <v>1.061007958</v>
      </c>
      <c r="AH40" s="41">
        <f t="shared" ref="AH40:AH45" si="36">AD40/AG40</f>
        <v>53.08834877</v>
      </c>
      <c r="AI40" s="41">
        <f t="shared" ref="AI40:AI45" si="37">AH40*V40</f>
        <v>7.166927083</v>
      </c>
      <c r="AJ40" s="41">
        <f t="shared" ref="AJ40:AJ45" si="38">AI40</f>
        <v>7.166927083</v>
      </c>
      <c r="AK40" s="41"/>
    </row>
    <row r="41" ht="32.25" customHeight="1">
      <c r="A41" s="42"/>
      <c r="B41" s="42"/>
      <c r="C41" s="42"/>
      <c r="D41" s="42">
        <v>2.0</v>
      </c>
      <c r="E41" s="54" t="s">
        <v>202</v>
      </c>
      <c r="F41" s="55" t="s">
        <v>203</v>
      </c>
      <c r="G41" s="55" t="s">
        <v>204</v>
      </c>
      <c r="H41" s="55" t="s">
        <v>205</v>
      </c>
      <c r="I41" s="56">
        <f>I39/$E46</f>
        <v>0.008333333333</v>
      </c>
      <c r="J41" s="56">
        <f t="shared" si="29"/>
        <v>0.04166666667</v>
      </c>
      <c r="K41" s="57">
        <f t="shared" si="30"/>
        <v>15.20833333</v>
      </c>
      <c r="L41" s="58" t="s">
        <v>206</v>
      </c>
      <c r="M41" s="59" t="s">
        <v>110</v>
      </c>
      <c r="N41" s="59" t="s">
        <v>207</v>
      </c>
      <c r="O41" s="59" t="s">
        <v>208</v>
      </c>
      <c r="P41" s="48"/>
      <c r="Q41" s="60">
        <v>3.0</v>
      </c>
      <c r="R41" s="59" t="s">
        <v>61</v>
      </c>
      <c r="S41" s="48"/>
      <c r="T41" s="59" t="s">
        <v>209</v>
      </c>
      <c r="U41" s="59" t="s">
        <v>33</v>
      </c>
      <c r="V41" s="48">
        <f>0.45*0.45</f>
        <v>0.2025</v>
      </c>
      <c r="W41" s="48">
        <f t="shared" si="31"/>
        <v>49382.71605</v>
      </c>
      <c r="X41" s="48">
        <v>10000.0</v>
      </c>
      <c r="Y41" s="48">
        <v>15000.0</v>
      </c>
      <c r="Z41" s="48">
        <v>25000.0</v>
      </c>
      <c r="AA41" s="59" t="s">
        <v>62</v>
      </c>
      <c r="AB41" s="48">
        <v>25000.0</v>
      </c>
      <c r="AC41" s="48">
        <f t="shared" si="32"/>
        <v>0.50625</v>
      </c>
      <c r="AD41" s="48">
        <f t="shared" si="33"/>
        <v>30.04115226</v>
      </c>
      <c r="AE41" s="48">
        <f t="shared" si="34"/>
        <v>10.01371742</v>
      </c>
      <c r="AF41" s="64">
        <v>11.31</v>
      </c>
      <c r="AG41" s="41">
        <f t="shared" si="35"/>
        <v>1.061007958</v>
      </c>
      <c r="AH41" s="41">
        <f t="shared" si="36"/>
        <v>28.31378601</v>
      </c>
      <c r="AI41" s="41">
        <f t="shared" si="37"/>
        <v>5.733541667</v>
      </c>
      <c r="AJ41" s="41">
        <f t="shared" si="38"/>
        <v>5.733541667</v>
      </c>
      <c r="AK41" s="41"/>
    </row>
    <row r="42" ht="44.25" customHeight="1">
      <c r="A42" s="42"/>
      <c r="B42" s="42"/>
      <c r="C42" s="42"/>
      <c r="D42" s="42">
        <v>3.0</v>
      </c>
      <c r="E42" s="54" t="s">
        <v>210</v>
      </c>
      <c r="F42" s="55" t="s">
        <v>211</v>
      </c>
      <c r="G42" s="55" t="s">
        <v>212</v>
      </c>
      <c r="H42" s="55" t="s">
        <v>213</v>
      </c>
      <c r="I42" s="56">
        <f>I39/$E46</f>
        <v>0.008333333333</v>
      </c>
      <c r="J42" s="56">
        <f t="shared" si="29"/>
        <v>0.04166666667</v>
      </c>
      <c r="K42" s="57">
        <f t="shared" si="30"/>
        <v>15.20833333</v>
      </c>
      <c r="L42" s="58" t="s">
        <v>214</v>
      </c>
      <c r="M42" s="59" t="s">
        <v>55</v>
      </c>
      <c r="N42" s="59" t="s">
        <v>215</v>
      </c>
      <c r="O42" s="59" t="s">
        <v>216</v>
      </c>
      <c r="P42" s="48"/>
      <c r="Q42" s="60">
        <v>3.0</v>
      </c>
      <c r="R42" s="59" t="s">
        <v>217</v>
      </c>
      <c r="S42" s="48"/>
      <c r="T42" s="59" t="s">
        <v>218</v>
      </c>
      <c r="U42" s="59" t="s">
        <v>34</v>
      </c>
      <c r="V42" s="48">
        <f>0.6*0.3</f>
        <v>0.18</v>
      </c>
      <c r="W42" s="48">
        <f t="shared" si="31"/>
        <v>55555.55556</v>
      </c>
      <c r="X42" s="48">
        <v>10000.0</v>
      </c>
      <c r="Y42" s="48">
        <v>15000.0</v>
      </c>
      <c r="Z42" s="48">
        <v>20000.0</v>
      </c>
      <c r="AA42" s="59" t="s">
        <v>62</v>
      </c>
      <c r="AB42" s="48">
        <v>20000.0</v>
      </c>
      <c r="AC42" s="48">
        <f t="shared" si="32"/>
        <v>0.36</v>
      </c>
      <c r="AD42" s="48">
        <f t="shared" si="33"/>
        <v>42.24537037</v>
      </c>
      <c r="AE42" s="48">
        <f t="shared" si="34"/>
        <v>14.08179012</v>
      </c>
      <c r="AF42" s="64">
        <v>11.31</v>
      </c>
      <c r="AG42" s="41">
        <f t="shared" si="35"/>
        <v>1.061007958</v>
      </c>
      <c r="AH42" s="41">
        <f t="shared" si="36"/>
        <v>39.81626157</v>
      </c>
      <c r="AI42" s="41">
        <f t="shared" si="37"/>
        <v>7.166927083</v>
      </c>
      <c r="AJ42" s="41">
        <f t="shared" si="38"/>
        <v>7.166927083</v>
      </c>
      <c r="AK42" s="41"/>
    </row>
    <row r="43" ht="32.25" customHeight="1">
      <c r="A43" s="42"/>
      <c r="B43" s="42"/>
      <c r="C43" s="42"/>
      <c r="D43" s="42">
        <v>4.0</v>
      </c>
      <c r="E43" s="54" t="s">
        <v>219</v>
      </c>
      <c r="F43" s="55" t="s">
        <v>219</v>
      </c>
      <c r="G43" s="55" t="s">
        <v>219</v>
      </c>
      <c r="H43" s="57"/>
      <c r="I43" s="56">
        <f>I39/$E46</f>
        <v>0.008333333333</v>
      </c>
      <c r="J43" s="56">
        <f t="shared" si="29"/>
        <v>0.04166666667</v>
      </c>
      <c r="K43" s="57">
        <f t="shared" si="30"/>
        <v>15.20833333</v>
      </c>
      <c r="L43" s="58" t="s">
        <v>81</v>
      </c>
      <c r="M43" s="48">
        <v>6.0</v>
      </c>
      <c r="N43" s="59" t="s">
        <v>220</v>
      </c>
      <c r="O43" s="59" t="s">
        <v>221</v>
      </c>
      <c r="P43" s="59" t="s">
        <v>188</v>
      </c>
      <c r="Q43" s="60">
        <v>3.0</v>
      </c>
      <c r="R43" s="48"/>
      <c r="S43" s="59" t="s">
        <v>222</v>
      </c>
      <c r="T43" s="48"/>
      <c r="U43" s="59" t="s">
        <v>180</v>
      </c>
      <c r="V43" s="48">
        <f>0.45*0.6</f>
        <v>0.27</v>
      </c>
      <c r="W43" s="48">
        <f t="shared" si="31"/>
        <v>37037.03704</v>
      </c>
      <c r="X43" s="48">
        <v>8000.0</v>
      </c>
      <c r="Y43" s="48">
        <v>12000.0</v>
      </c>
      <c r="Z43" s="48">
        <v>16000.0</v>
      </c>
      <c r="AA43" s="59" t="s">
        <v>62</v>
      </c>
      <c r="AB43" s="48">
        <v>16000.0</v>
      </c>
      <c r="AC43" s="48">
        <f t="shared" si="32"/>
        <v>0.432</v>
      </c>
      <c r="AD43" s="48">
        <f t="shared" si="33"/>
        <v>35.20447531</v>
      </c>
      <c r="AE43" s="48">
        <f t="shared" si="34"/>
        <v>11.7348251</v>
      </c>
      <c r="AF43" s="64">
        <v>11.31</v>
      </c>
      <c r="AG43" s="41">
        <f t="shared" si="35"/>
        <v>1.061007958</v>
      </c>
      <c r="AH43" s="41">
        <f t="shared" si="36"/>
        <v>33.18021798</v>
      </c>
      <c r="AI43" s="41">
        <f t="shared" si="37"/>
        <v>8.958658854</v>
      </c>
      <c r="AJ43" s="41">
        <f t="shared" si="38"/>
        <v>8.958658854</v>
      </c>
      <c r="AK43" s="41"/>
    </row>
    <row r="44" ht="20.25" customHeight="1">
      <c r="A44" s="42"/>
      <c r="B44" s="42"/>
      <c r="C44" s="42"/>
      <c r="D44" s="42">
        <v>5.0</v>
      </c>
      <c r="E44" s="54" t="s">
        <v>223</v>
      </c>
      <c r="F44" s="55" t="s">
        <v>224</v>
      </c>
      <c r="G44" s="55" t="s">
        <v>225</v>
      </c>
      <c r="H44" s="55" t="s">
        <v>226</v>
      </c>
      <c r="I44" s="56">
        <f>I39/$E46</f>
        <v>0.008333333333</v>
      </c>
      <c r="J44" s="56">
        <f t="shared" si="29"/>
        <v>0.04166666667</v>
      </c>
      <c r="K44" s="57">
        <f t="shared" si="30"/>
        <v>15.20833333</v>
      </c>
      <c r="L44" s="66" t="s">
        <v>227</v>
      </c>
      <c r="M44" s="67">
        <v>6.0</v>
      </c>
      <c r="N44" s="68" t="s">
        <v>228</v>
      </c>
      <c r="O44" s="68" t="s">
        <v>229</v>
      </c>
      <c r="P44" s="67"/>
      <c r="Q44" s="60">
        <v>2.0</v>
      </c>
      <c r="R44" s="48"/>
      <c r="S44" s="59" t="s">
        <v>230</v>
      </c>
      <c r="T44" s="48"/>
      <c r="U44" s="59" t="s">
        <v>34</v>
      </c>
      <c r="V44" s="48">
        <f>0.08*0.45</f>
        <v>0.036</v>
      </c>
      <c r="W44" s="48">
        <f t="shared" si="31"/>
        <v>277777.7778</v>
      </c>
      <c r="X44" s="48">
        <v>5000.0</v>
      </c>
      <c r="Y44" s="48">
        <v>8000.0</v>
      </c>
      <c r="Z44" s="48">
        <v>12000.0</v>
      </c>
      <c r="AA44" s="59" t="s">
        <v>62</v>
      </c>
      <c r="AB44" s="48">
        <v>12000.0</v>
      </c>
      <c r="AC44" s="48">
        <f t="shared" si="32"/>
        <v>0.0432</v>
      </c>
      <c r="AD44" s="48">
        <f t="shared" si="33"/>
        <v>352.0447531</v>
      </c>
      <c r="AE44" s="48">
        <f t="shared" si="34"/>
        <v>176.0223765</v>
      </c>
      <c r="AF44" s="64">
        <v>5.69</v>
      </c>
      <c r="AG44" s="41">
        <f t="shared" si="35"/>
        <v>2.108963093</v>
      </c>
      <c r="AH44" s="41">
        <f t="shared" si="36"/>
        <v>166.9278871</v>
      </c>
      <c r="AI44" s="41">
        <f t="shared" si="37"/>
        <v>6.009403935</v>
      </c>
      <c r="AJ44" s="41">
        <f t="shared" si="38"/>
        <v>6.009403935</v>
      </c>
      <c r="AK44" s="41"/>
    </row>
    <row r="45" ht="32.25" customHeight="1">
      <c r="A45" s="42"/>
      <c r="B45" s="42"/>
      <c r="C45" s="42"/>
      <c r="D45" s="42">
        <v>6.0</v>
      </c>
      <c r="E45" s="54" t="s">
        <v>231</v>
      </c>
      <c r="F45" s="55" t="s">
        <v>232</v>
      </c>
      <c r="G45" s="55" t="s">
        <v>233</v>
      </c>
      <c r="H45" s="55" t="s">
        <v>234</v>
      </c>
      <c r="I45" s="56">
        <f>I39/$E46</f>
        <v>0.008333333333</v>
      </c>
      <c r="J45" s="56">
        <f t="shared" si="29"/>
        <v>0.04166666667</v>
      </c>
      <c r="K45" s="57">
        <f t="shared" si="30"/>
        <v>15.20833333</v>
      </c>
      <c r="L45" s="58" t="s">
        <v>81</v>
      </c>
      <c r="M45" s="48">
        <v>6.0</v>
      </c>
      <c r="N45" s="59" t="s">
        <v>235</v>
      </c>
      <c r="O45" s="59" t="s">
        <v>236</v>
      </c>
      <c r="P45" s="59" t="s">
        <v>188</v>
      </c>
      <c r="Q45" s="60">
        <v>2.0</v>
      </c>
      <c r="R45" s="48"/>
      <c r="S45" s="59" t="s">
        <v>237</v>
      </c>
      <c r="T45" s="48"/>
      <c r="U45" s="59" t="s">
        <v>180</v>
      </c>
      <c r="V45" s="48">
        <f>0.3*0.45</f>
        <v>0.135</v>
      </c>
      <c r="W45" s="48">
        <f t="shared" si="31"/>
        <v>74074.07407</v>
      </c>
      <c r="X45" s="48">
        <v>6000.0</v>
      </c>
      <c r="Y45" s="48">
        <v>9000.0</v>
      </c>
      <c r="Z45" s="48">
        <v>12000.0</v>
      </c>
      <c r="AA45" s="59" t="s">
        <v>62</v>
      </c>
      <c r="AB45" s="48">
        <v>12000.0</v>
      </c>
      <c r="AC45" s="48">
        <f t="shared" si="32"/>
        <v>0.162</v>
      </c>
      <c r="AD45" s="48">
        <f t="shared" si="33"/>
        <v>93.87860082</v>
      </c>
      <c r="AE45" s="48">
        <f t="shared" si="34"/>
        <v>46.93930041</v>
      </c>
      <c r="AF45" s="64">
        <v>5.69</v>
      </c>
      <c r="AG45" s="41">
        <f t="shared" si="35"/>
        <v>2.108963093</v>
      </c>
      <c r="AH45" s="41">
        <f t="shared" si="36"/>
        <v>44.51410322</v>
      </c>
      <c r="AI45" s="41">
        <f t="shared" si="37"/>
        <v>6.009403935</v>
      </c>
      <c r="AJ45" s="41">
        <f t="shared" si="38"/>
        <v>6.009403935</v>
      </c>
      <c r="AK45" s="41"/>
    </row>
    <row r="46" ht="32.25" customHeight="1">
      <c r="A46" s="54" t="s">
        <v>63</v>
      </c>
      <c r="B46" s="54" t="s">
        <v>64</v>
      </c>
      <c r="C46" s="42"/>
      <c r="D46" s="42">
        <v>1.3</v>
      </c>
      <c r="E46" s="42">
        <f>$D45</f>
        <v>6</v>
      </c>
      <c r="F46" s="56"/>
      <c r="G46" s="56"/>
      <c r="H46" s="56"/>
      <c r="I46" s="56"/>
      <c r="J46" s="56"/>
      <c r="K46" s="57"/>
      <c r="L46" s="58"/>
      <c r="M46" s="48"/>
      <c r="N46" s="48"/>
      <c r="O46" s="48"/>
      <c r="P46" s="59"/>
      <c r="Q46" s="60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9"/>
      <c r="AF46" s="41"/>
      <c r="AG46" s="41"/>
      <c r="AH46" s="41"/>
      <c r="AI46" s="41"/>
      <c r="AJ46" s="41"/>
      <c r="AK46" s="41"/>
    </row>
    <row r="47" ht="20.25" customHeight="1">
      <c r="A47" s="54" t="s">
        <v>63</v>
      </c>
      <c r="B47" s="54" t="s">
        <v>66</v>
      </c>
      <c r="C47" s="54" t="s">
        <v>64</v>
      </c>
      <c r="D47" s="42">
        <v>1.3</v>
      </c>
      <c r="E47" s="42"/>
      <c r="F47" s="56"/>
      <c r="G47" s="56"/>
      <c r="H47" s="56"/>
      <c r="I47" s="56"/>
      <c r="J47" s="56"/>
      <c r="K47" s="57"/>
      <c r="L47" s="47"/>
      <c r="M47" s="48"/>
      <c r="N47" s="48"/>
      <c r="O47" s="48"/>
      <c r="P47" s="48"/>
      <c r="Q47" s="60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9"/>
      <c r="AF47" s="41"/>
      <c r="AG47" s="41"/>
      <c r="AH47" s="41"/>
      <c r="AI47" s="41">
        <f t="shared" ref="AI47:AJ47" si="39">SUM(AI40:AI45)</f>
        <v>41.04486256</v>
      </c>
      <c r="AJ47" s="41">
        <f t="shared" si="39"/>
        <v>41.04486256</v>
      </c>
      <c r="AK47" s="41"/>
    </row>
    <row r="48" ht="20.25" customHeight="1">
      <c r="A48" s="42"/>
      <c r="B48" s="42"/>
      <c r="C48" s="42"/>
      <c r="D48" s="42"/>
      <c r="E48" s="42"/>
      <c r="F48" s="56"/>
      <c r="G48" s="56"/>
      <c r="H48" s="56"/>
      <c r="I48" s="56"/>
      <c r="J48" s="56"/>
      <c r="K48" s="57"/>
      <c r="L48" s="47"/>
      <c r="M48" s="48"/>
      <c r="N48" s="48"/>
      <c r="O48" s="48"/>
      <c r="P48" s="48"/>
      <c r="Q48" s="60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9"/>
      <c r="AF48" s="41"/>
      <c r="AG48" s="41"/>
      <c r="AH48" s="41"/>
      <c r="AI48" s="41"/>
      <c r="AJ48" s="41"/>
      <c r="AK48" s="41"/>
    </row>
    <row r="49" ht="20.25" customHeight="1">
      <c r="A49" s="42"/>
      <c r="B49" s="43">
        <v>4.0</v>
      </c>
      <c r="C49" s="43"/>
      <c r="D49" s="43"/>
      <c r="E49" s="44" t="s">
        <v>238</v>
      </c>
      <c r="F49" s="45"/>
      <c r="G49" s="45"/>
      <c r="H49" s="45"/>
      <c r="I49" s="45">
        <v>0.05</v>
      </c>
      <c r="J49" s="45">
        <f t="shared" ref="J49:J54" si="40">I49*5</f>
        <v>0.25</v>
      </c>
      <c r="K49" s="46">
        <f t="shared" ref="K49:K54" si="41">J49*365</f>
        <v>91.25</v>
      </c>
      <c r="L49" s="47"/>
      <c r="M49" s="48"/>
      <c r="N49" s="48"/>
      <c r="O49" s="48"/>
      <c r="P49" s="48"/>
      <c r="Q49" s="60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9"/>
      <c r="AF49" s="41"/>
      <c r="AG49" s="41"/>
      <c r="AH49" s="41"/>
      <c r="AI49" s="41"/>
      <c r="AJ49" s="41"/>
      <c r="AK49" s="41"/>
    </row>
    <row r="50" ht="32.25" customHeight="1">
      <c r="A50" s="42"/>
      <c r="B50" s="42"/>
      <c r="C50" s="42"/>
      <c r="D50" s="42">
        <v>1.0</v>
      </c>
      <c r="E50" s="54" t="s">
        <v>239</v>
      </c>
      <c r="F50" s="55" t="s">
        <v>240</v>
      </c>
      <c r="G50" s="55" t="s">
        <v>241</v>
      </c>
      <c r="H50" s="55" t="s">
        <v>242</v>
      </c>
      <c r="I50" s="56">
        <f>I49/$E55</f>
        <v>0.01</v>
      </c>
      <c r="J50" s="56">
        <f t="shared" si="40"/>
        <v>0.05</v>
      </c>
      <c r="K50" s="57">
        <f t="shared" si="41"/>
        <v>18.25</v>
      </c>
      <c r="L50" s="58" t="s">
        <v>243</v>
      </c>
      <c r="M50" s="59" t="s">
        <v>73</v>
      </c>
      <c r="N50" s="59" t="s">
        <v>244</v>
      </c>
      <c r="O50" s="59" t="s">
        <v>245</v>
      </c>
      <c r="P50" s="59" t="s">
        <v>246</v>
      </c>
      <c r="Q50" s="60">
        <v>2.0</v>
      </c>
      <c r="R50" s="48"/>
      <c r="S50" s="59" t="s">
        <v>209</v>
      </c>
      <c r="T50" s="48"/>
      <c r="U50" s="59" t="s">
        <v>34</v>
      </c>
      <c r="V50" s="48">
        <f>0.45*0.6</f>
        <v>0.27</v>
      </c>
      <c r="W50" s="48">
        <f t="shared" ref="W50:W54" si="42">10000/V50</f>
        <v>37037.03704</v>
      </c>
      <c r="X50" s="48">
        <v>12000.0</v>
      </c>
      <c r="Y50" s="48">
        <v>18000.0</v>
      </c>
      <c r="Z50" s="48">
        <v>25000.0</v>
      </c>
      <c r="AA50" s="59" t="s">
        <v>62</v>
      </c>
      <c r="AB50" s="48">
        <v>25000.0</v>
      </c>
      <c r="AC50" s="48">
        <f t="shared" ref="AC50:AC54" si="43">AB50/W50</f>
        <v>0.675</v>
      </c>
      <c r="AD50" s="48">
        <f t="shared" ref="AD50:AD54" si="44">K50/AC50</f>
        <v>27.03703704</v>
      </c>
      <c r="AE50" s="48">
        <f t="shared" ref="AE50:AE54" si="45">AD50/Q50</f>
        <v>13.51851852</v>
      </c>
      <c r="AF50" s="64">
        <v>11.31</v>
      </c>
      <c r="AG50" s="41">
        <f t="shared" ref="AG50:AG54" si="46">12/AF50</f>
        <v>1.061007958</v>
      </c>
      <c r="AH50" s="41">
        <f t="shared" ref="AH50:AH54" si="47">AD50/AG50</f>
        <v>25.48240741</v>
      </c>
      <c r="AI50" s="41">
        <f t="shared" ref="AI50:AI54" si="48">AH50*V50</f>
        <v>6.88025</v>
      </c>
      <c r="AJ50" s="41">
        <f t="shared" ref="AJ50:AJ54" si="49">AI50</f>
        <v>6.88025</v>
      </c>
      <c r="AK50" s="41"/>
    </row>
    <row r="51" ht="44.25" customHeight="1">
      <c r="A51" s="42"/>
      <c r="B51" s="42"/>
      <c r="C51" s="42"/>
      <c r="D51" s="42">
        <v>2.0</v>
      </c>
      <c r="E51" s="54" t="s">
        <v>247</v>
      </c>
      <c r="F51" s="55" t="s">
        <v>248</v>
      </c>
      <c r="G51" s="55" t="s">
        <v>249</v>
      </c>
      <c r="H51" s="55" t="s">
        <v>250</v>
      </c>
      <c r="I51" s="56">
        <f>I49/$E55</f>
        <v>0.01</v>
      </c>
      <c r="J51" s="56">
        <f t="shared" si="40"/>
        <v>0.05</v>
      </c>
      <c r="K51" s="57">
        <f t="shared" si="41"/>
        <v>18.25</v>
      </c>
      <c r="L51" s="58" t="s">
        <v>251</v>
      </c>
      <c r="M51" s="48">
        <v>6.0</v>
      </c>
      <c r="N51" s="59" t="s">
        <v>252</v>
      </c>
      <c r="O51" s="59" t="s">
        <v>253</v>
      </c>
      <c r="P51" s="59" t="s">
        <v>188</v>
      </c>
      <c r="Q51" s="60">
        <v>1.0</v>
      </c>
      <c r="R51" s="48"/>
      <c r="S51" s="59" t="s">
        <v>237</v>
      </c>
      <c r="T51" s="48"/>
      <c r="U51" s="59" t="s">
        <v>34</v>
      </c>
      <c r="V51" s="48">
        <f t="shared" ref="V51:V52" si="50">0.3*0.45</f>
        <v>0.135</v>
      </c>
      <c r="W51" s="48">
        <f t="shared" si="42"/>
        <v>74074.07407</v>
      </c>
      <c r="X51" s="48">
        <v>8000.0</v>
      </c>
      <c r="Y51" s="48">
        <v>12000.0</v>
      </c>
      <c r="Z51" s="48">
        <v>16000.0</v>
      </c>
      <c r="AA51" s="59" t="s">
        <v>62</v>
      </c>
      <c r="AB51" s="48">
        <v>16000.0</v>
      </c>
      <c r="AC51" s="48">
        <f t="shared" si="43"/>
        <v>0.216</v>
      </c>
      <c r="AD51" s="48">
        <f t="shared" si="44"/>
        <v>84.49074074</v>
      </c>
      <c r="AE51" s="48">
        <f t="shared" si="45"/>
        <v>84.49074074</v>
      </c>
      <c r="AF51" s="64">
        <v>5.69</v>
      </c>
      <c r="AG51" s="41">
        <f t="shared" si="46"/>
        <v>2.108963093</v>
      </c>
      <c r="AH51" s="41">
        <f t="shared" si="47"/>
        <v>40.0626929</v>
      </c>
      <c r="AI51" s="41">
        <f t="shared" si="48"/>
        <v>5.408463542</v>
      </c>
      <c r="AJ51" s="41">
        <f t="shared" si="49"/>
        <v>5.408463542</v>
      </c>
      <c r="AK51" s="41"/>
    </row>
    <row r="52" ht="32.25" customHeight="1">
      <c r="A52" s="42"/>
      <c r="B52" s="42"/>
      <c r="C52" s="42"/>
      <c r="D52" s="42">
        <v>3.0</v>
      </c>
      <c r="E52" s="54" t="s">
        <v>254</v>
      </c>
      <c r="F52" s="55" t="s">
        <v>255</v>
      </c>
      <c r="G52" s="55" t="s">
        <v>256</v>
      </c>
      <c r="H52" s="55" t="s">
        <v>257</v>
      </c>
      <c r="I52" s="56">
        <f>I49/$E55</f>
        <v>0.01</v>
      </c>
      <c r="J52" s="56">
        <f t="shared" si="40"/>
        <v>0.05</v>
      </c>
      <c r="K52" s="57">
        <f t="shared" si="41"/>
        <v>18.25</v>
      </c>
      <c r="L52" s="58" t="s">
        <v>258</v>
      </c>
      <c r="M52" s="59" t="s">
        <v>128</v>
      </c>
      <c r="N52" s="59" t="s">
        <v>259</v>
      </c>
      <c r="O52" s="59" t="s">
        <v>260</v>
      </c>
      <c r="P52" s="48"/>
      <c r="Q52" s="60">
        <v>2.0</v>
      </c>
      <c r="R52" s="48"/>
      <c r="S52" s="59" t="s">
        <v>261</v>
      </c>
      <c r="T52" s="48"/>
      <c r="U52" s="59" t="s">
        <v>34</v>
      </c>
      <c r="V52" s="48">
        <f t="shared" si="50"/>
        <v>0.135</v>
      </c>
      <c r="W52" s="48">
        <f t="shared" si="42"/>
        <v>74074.07407</v>
      </c>
      <c r="X52" s="48">
        <v>10000.0</v>
      </c>
      <c r="Y52" s="48">
        <v>15000.0</v>
      </c>
      <c r="Z52" s="48">
        <v>20000.0</v>
      </c>
      <c r="AA52" s="59" t="s">
        <v>62</v>
      </c>
      <c r="AB52" s="48">
        <v>20000.0</v>
      </c>
      <c r="AC52" s="48">
        <f t="shared" si="43"/>
        <v>0.27</v>
      </c>
      <c r="AD52" s="48">
        <f t="shared" si="44"/>
        <v>67.59259259</v>
      </c>
      <c r="AE52" s="48">
        <f t="shared" si="45"/>
        <v>33.7962963</v>
      </c>
      <c r="AF52" s="64">
        <v>11.31</v>
      </c>
      <c r="AG52" s="41">
        <f t="shared" si="46"/>
        <v>1.061007958</v>
      </c>
      <c r="AH52" s="41">
        <f t="shared" si="47"/>
        <v>63.70601852</v>
      </c>
      <c r="AI52" s="41">
        <f t="shared" si="48"/>
        <v>8.6003125</v>
      </c>
      <c r="AJ52" s="41">
        <f t="shared" si="49"/>
        <v>8.6003125</v>
      </c>
      <c r="AK52" s="41"/>
    </row>
    <row r="53" ht="32.25" customHeight="1">
      <c r="A53" s="42"/>
      <c r="B53" s="42"/>
      <c r="C53" s="42"/>
      <c r="D53" s="42">
        <v>4.0</v>
      </c>
      <c r="E53" s="54" t="s">
        <v>262</v>
      </c>
      <c r="F53" s="55" t="s">
        <v>263</v>
      </c>
      <c r="G53" s="55" t="s">
        <v>264</v>
      </c>
      <c r="H53" s="55" t="s">
        <v>242</v>
      </c>
      <c r="I53" s="56">
        <f>I49/$E55</f>
        <v>0.01</v>
      </c>
      <c r="J53" s="56">
        <f t="shared" si="40"/>
        <v>0.05</v>
      </c>
      <c r="K53" s="57">
        <f t="shared" si="41"/>
        <v>18.25</v>
      </c>
      <c r="L53" s="58" t="s">
        <v>243</v>
      </c>
      <c r="M53" s="59" t="s">
        <v>73</v>
      </c>
      <c r="N53" s="59" t="s">
        <v>244</v>
      </c>
      <c r="O53" s="59" t="s">
        <v>265</v>
      </c>
      <c r="P53" s="59" t="s">
        <v>246</v>
      </c>
      <c r="Q53" s="60">
        <v>2.0</v>
      </c>
      <c r="R53" s="48"/>
      <c r="S53" s="59" t="s">
        <v>218</v>
      </c>
      <c r="T53" s="48"/>
      <c r="U53" s="59" t="s">
        <v>34</v>
      </c>
      <c r="V53" s="48">
        <f>0.6*0.45</f>
        <v>0.27</v>
      </c>
      <c r="W53" s="48">
        <f t="shared" si="42"/>
        <v>37037.03704</v>
      </c>
      <c r="X53" s="48">
        <v>12000.0</v>
      </c>
      <c r="Y53" s="48">
        <v>18000.0</v>
      </c>
      <c r="Z53" s="48">
        <v>25000.0</v>
      </c>
      <c r="AA53" s="59" t="s">
        <v>62</v>
      </c>
      <c r="AB53" s="48">
        <v>25000.0</v>
      </c>
      <c r="AC53" s="48">
        <f t="shared" si="43"/>
        <v>0.675</v>
      </c>
      <c r="AD53" s="48">
        <f t="shared" si="44"/>
        <v>27.03703704</v>
      </c>
      <c r="AE53" s="48">
        <f t="shared" si="45"/>
        <v>13.51851852</v>
      </c>
      <c r="AF53" s="64">
        <v>11.31</v>
      </c>
      <c r="AG53" s="41">
        <f t="shared" si="46"/>
        <v>1.061007958</v>
      </c>
      <c r="AH53" s="41">
        <f t="shared" si="47"/>
        <v>25.48240741</v>
      </c>
      <c r="AI53" s="41">
        <f t="shared" si="48"/>
        <v>6.88025</v>
      </c>
      <c r="AJ53" s="41">
        <f t="shared" si="49"/>
        <v>6.88025</v>
      </c>
      <c r="AK53" s="41"/>
    </row>
    <row r="54" ht="20.25" customHeight="1">
      <c r="A54" s="42"/>
      <c r="B54" s="42"/>
      <c r="C54" s="42"/>
      <c r="D54" s="42">
        <v>5.0</v>
      </c>
      <c r="E54" s="54" t="s">
        <v>266</v>
      </c>
      <c r="F54" s="55" t="s">
        <v>267</v>
      </c>
      <c r="G54" s="55" t="s">
        <v>268</v>
      </c>
      <c r="H54" s="55" t="s">
        <v>269</v>
      </c>
      <c r="I54" s="56">
        <f>I49/$E55</f>
        <v>0.01</v>
      </c>
      <c r="J54" s="56">
        <f t="shared" si="40"/>
        <v>0.05</v>
      </c>
      <c r="K54" s="57">
        <f t="shared" si="41"/>
        <v>18.25</v>
      </c>
      <c r="L54" s="58" t="s">
        <v>270</v>
      </c>
      <c r="M54" s="48">
        <v>6.0</v>
      </c>
      <c r="N54" s="59" t="s">
        <v>271</v>
      </c>
      <c r="O54" s="59" t="s">
        <v>272</v>
      </c>
      <c r="P54" s="48"/>
      <c r="Q54" s="60">
        <v>1.0</v>
      </c>
      <c r="R54" s="48"/>
      <c r="S54" s="59" t="s">
        <v>273</v>
      </c>
      <c r="T54" s="48"/>
      <c r="U54" s="59" t="s">
        <v>34</v>
      </c>
      <c r="V54" s="48">
        <f>0.6*0.6</f>
        <v>0.36</v>
      </c>
      <c r="W54" s="48">
        <f t="shared" si="42"/>
        <v>27777.77778</v>
      </c>
      <c r="X54" s="48">
        <v>8000.0</v>
      </c>
      <c r="Y54" s="48">
        <v>12000.0</v>
      </c>
      <c r="Z54" s="48">
        <v>18000.0</v>
      </c>
      <c r="AA54" s="59" t="s">
        <v>62</v>
      </c>
      <c r="AB54" s="48">
        <v>18000.0</v>
      </c>
      <c r="AC54" s="48">
        <f t="shared" si="43"/>
        <v>0.648</v>
      </c>
      <c r="AD54" s="48">
        <f t="shared" si="44"/>
        <v>28.16358025</v>
      </c>
      <c r="AE54" s="48">
        <f t="shared" si="45"/>
        <v>28.16358025</v>
      </c>
      <c r="AF54" s="64">
        <v>5.31</v>
      </c>
      <c r="AG54" s="41">
        <f t="shared" si="46"/>
        <v>2.259887006</v>
      </c>
      <c r="AH54" s="41">
        <f t="shared" si="47"/>
        <v>12.46238426</v>
      </c>
      <c r="AI54" s="41">
        <f t="shared" si="48"/>
        <v>4.486458333</v>
      </c>
      <c r="AJ54" s="41">
        <f t="shared" si="49"/>
        <v>4.486458333</v>
      </c>
      <c r="AK54" s="41"/>
    </row>
    <row r="55" ht="20.25" customHeight="1">
      <c r="A55" s="54" t="s">
        <v>63</v>
      </c>
      <c r="B55" s="54" t="s">
        <v>64</v>
      </c>
      <c r="C55" s="42"/>
      <c r="D55" s="42">
        <v>1.4</v>
      </c>
      <c r="E55" s="42">
        <f>$D54</f>
        <v>5</v>
      </c>
      <c r="F55" s="56"/>
      <c r="G55" s="56"/>
      <c r="H55" s="56"/>
      <c r="I55" s="56"/>
      <c r="J55" s="56"/>
      <c r="K55" s="57"/>
      <c r="L55" s="47"/>
      <c r="M55" s="48"/>
      <c r="N55" s="48"/>
      <c r="O55" s="48"/>
      <c r="P55" s="48"/>
      <c r="Q55" s="60"/>
      <c r="R55" s="59" t="s">
        <v>274</v>
      </c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9"/>
      <c r="AF55" s="41"/>
      <c r="AG55" s="41"/>
      <c r="AH55" s="41"/>
      <c r="AI55" s="41"/>
      <c r="AJ55" s="41"/>
      <c r="AK55" s="41"/>
    </row>
    <row r="56" ht="20.25" customHeight="1">
      <c r="A56" s="54" t="s">
        <v>63</v>
      </c>
      <c r="B56" s="54" t="s">
        <v>66</v>
      </c>
      <c r="C56" s="54" t="s">
        <v>64</v>
      </c>
      <c r="D56" s="42">
        <v>1.4</v>
      </c>
      <c r="E56" s="42"/>
      <c r="F56" s="56"/>
      <c r="G56" s="56"/>
      <c r="H56" s="56"/>
      <c r="I56" s="56"/>
      <c r="J56" s="56"/>
      <c r="K56" s="57"/>
      <c r="L56" s="47"/>
      <c r="M56" s="48"/>
      <c r="N56" s="48"/>
      <c r="O56" s="48"/>
      <c r="P56" s="48"/>
      <c r="Q56" s="60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9"/>
      <c r="AF56" s="41"/>
      <c r="AG56" s="41"/>
      <c r="AH56" s="41"/>
      <c r="AI56" s="41">
        <f t="shared" ref="AI56:AJ56" si="51">SUM(AI50:AI54)</f>
        <v>32.25573438</v>
      </c>
      <c r="AJ56" s="41">
        <f t="shared" si="51"/>
        <v>32.25573438</v>
      </c>
      <c r="AK56" s="41"/>
    </row>
    <row r="57" ht="20.25" customHeight="1">
      <c r="A57" s="42"/>
      <c r="B57" s="43"/>
      <c r="C57" s="43"/>
      <c r="D57" s="43"/>
      <c r="E57" s="44"/>
      <c r="F57" s="45"/>
      <c r="G57" s="45"/>
      <c r="H57" s="45"/>
      <c r="I57" s="45"/>
      <c r="J57" s="45">
        <f t="shared" ref="J57:J71" si="52">I57*5</f>
        <v>0</v>
      </c>
      <c r="K57" s="46">
        <f t="shared" ref="K57:K71" si="53">J57*365</f>
        <v>0</v>
      </c>
      <c r="L57" s="47"/>
      <c r="M57" s="48"/>
      <c r="N57" s="48"/>
      <c r="O57" s="48"/>
      <c r="P57" s="48"/>
      <c r="Q57" s="60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9"/>
      <c r="AF57" s="41"/>
      <c r="AG57" s="41"/>
      <c r="AH57" s="41"/>
      <c r="AI57" s="41"/>
      <c r="AJ57" s="41"/>
      <c r="AK57" s="41"/>
    </row>
    <row r="58" ht="20.25" customHeight="1">
      <c r="A58" s="42"/>
      <c r="B58" s="43">
        <v>5.0</v>
      </c>
      <c r="C58" s="43"/>
      <c r="D58" s="43"/>
      <c r="E58" s="44" t="s">
        <v>275</v>
      </c>
      <c r="F58" s="45"/>
      <c r="G58" s="45"/>
      <c r="H58" s="45"/>
      <c r="I58" s="45">
        <v>0.1</v>
      </c>
      <c r="J58" s="45">
        <f t="shared" si="52"/>
        <v>0.5</v>
      </c>
      <c r="K58" s="46">
        <f t="shared" si="53"/>
        <v>182.5</v>
      </c>
      <c r="L58" s="47"/>
      <c r="M58" s="48"/>
      <c r="N58" s="48"/>
      <c r="O58" s="48"/>
      <c r="P58" s="48"/>
      <c r="Q58" s="60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9"/>
      <c r="AF58" s="41"/>
      <c r="AG58" s="41"/>
      <c r="AH58" s="41"/>
      <c r="AI58" s="41"/>
      <c r="AJ58" s="41"/>
      <c r="AK58" s="41"/>
    </row>
    <row r="59" ht="32.25" customHeight="1">
      <c r="A59" s="42"/>
      <c r="B59" s="42"/>
      <c r="C59" s="42"/>
      <c r="D59" s="42">
        <v>1.0</v>
      </c>
      <c r="E59" s="54" t="s">
        <v>276</v>
      </c>
      <c r="F59" s="55" t="s">
        <v>276</v>
      </c>
      <c r="G59" s="55" t="s">
        <v>277</v>
      </c>
      <c r="H59" s="55" t="s">
        <v>278</v>
      </c>
      <c r="I59" s="56">
        <f>I58/$E74</f>
        <v>0.006666666667</v>
      </c>
      <c r="J59" s="56">
        <f t="shared" si="52"/>
        <v>0.03333333333</v>
      </c>
      <c r="K59" s="57">
        <f t="shared" si="53"/>
        <v>12.16666667</v>
      </c>
      <c r="L59" s="58" t="s">
        <v>279</v>
      </c>
      <c r="M59" s="48">
        <v>4.0</v>
      </c>
      <c r="N59" s="59" t="s">
        <v>280</v>
      </c>
      <c r="O59" s="59" t="s">
        <v>281</v>
      </c>
      <c r="P59" s="48"/>
      <c r="Q59" s="60">
        <v>3.0</v>
      </c>
      <c r="R59" s="59" t="s">
        <v>282</v>
      </c>
      <c r="S59" s="48"/>
      <c r="T59" s="59" t="s">
        <v>283</v>
      </c>
      <c r="U59" s="59" t="s">
        <v>33</v>
      </c>
      <c r="V59" s="48">
        <f>0.2*0.45</f>
        <v>0.09</v>
      </c>
      <c r="W59" s="48">
        <f t="shared" ref="W59:W71" si="54">10000/V59</f>
        <v>111111.1111</v>
      </c>
      <c r="X59" s="48">
        <v>2500.0</v>
      </c>
      <c r="Y59" s="48">
        <v>4500.0</v>
      </c>
      <c r="Z59" s="48">
        <v>7000.0</v>
      </c>
      <c r="AA59" s="59" t="s">
        <v>62</v>
      </c>
      <c r="AB59" s="48">
        <v>7000.0</v>
      </c>
      <c r="AC59" s="48">
        <f t="shared" ref="AC59:AC71" si="55">AB59/W59</f>
        <v>0.063</v>
      </c>
      <c r="AD59" s="48">
        <f t="shared" ref="AD59:AD71" si="56">K59/AC59</f>
        <v>193.1216931</v>
      </c>
      <c r="AE59" s="48">
        <f t="shared" ref="AE59:AE71" si="57">AD59/Q59</f>
        <v>64.37389771</v>
      </c>
      <c r="AF59" s="64">
        <v>2.31</v>
      </c>
      <c r="AG59" s="41">
        <f t="shared" ref="AG59:AG71" si="58">12/AF59</f>
        <v>5.194805195</v>
      </c>
      <c r="AH59" s="41">
        <f t="shared" ref="AH59:AH73" si="59">AD59/AG59</f>
        <v>37.17592593</v>
      </c>
      <c r="AI59" s="41">
        <f t="shared" ref="AI59:AI73" si="60">AH59*V59</f>
        <v>3.345833333</v>
      </c>
      <c r="AJ59" s="41">
        <f t="shared" ref="AJ59:AJ61" si="61">AI59</f>
        <v>3.345833333</v>
      </c>
      <c r="AK59" s="41"/>
    </row>
    <row r="60" ht="20.25" customHeight="1">
      <c r="A60" s="42"/>
      <c r="B60" s="42"/>
      <c r="C60" s="42"/>
      <c r="D60" s="42">
        <v>2.0</v>
      </c>
      <c r="E60" s="54" t="s">
        <v>284</v>
      </c>
      <c r="F60" s="55" t="s">
        <v>285</v>
      </c>
      <c r="G60" s="55" t="s">
        <v>286</v>
      </c>
      <c r="H60" s="57"/>
      <c r="I60" s="56">
        <f>I58/$E74</f>
        <v>0.006666666667</v>
      </c>
      <c r="J60" s="56">
        <f t="shared" si="52"/>
        <v>0.03333333333</v>
      </c>
      <c r="K60" s="57">
        <f t="shared" si="53"/>
        <v>12.16666667</v>
      </c>
      <c r="L60" s="58" t="s">
        <v>151</v>
      </c>
      <c r="M60" s="48">
        <v>3.0</v>
      </c>
      <c r="N60" s="59" t="s">
        <v>287</v>
      </c>
      <c r="O60" s="59" t="s">
        <v>288</v>
      </c>
      <c r="P60" s="48"/>
      <c r="Q60" s="60">
        <v>3.0</v>
      </c>
      <c r="R60" s="48"/>
      <c r="S60" s="59" t="s">
        <v>289</v>
      </c>
      <c r="T60" s="48"/>
      <c r="U60" s="59" t="s">
        <v>180</v>
      </c>
      <c r="V60" s="48">
        <f>0.2*0.3</f>
        <v>0.06</v>
      </c>
      <c r="W60" s="48">
        <f t="shared" si="54"/>
        <v>166666.6667</v>
      </c>
      <c r="X60" s="48">
        <v>1500.0</v>
      </c>
      <c r="Y60" s="48">
        <v>3000.0</v>
      </c>
      <c r="Z60" s="48">
        <v>5000.0</v>
      </c>
      <c r="AA60" s="59" t="s">
        <v>62</v>
      </c>
      <c r="AB60" s="48">
        <v>5000.0</v>
      </c>
      <c r="AC60" s="48">
        <f t="shared" si="55"/>
        <v>0.03</v>
      </c>
      <c r="AD60" s="48">
        <f t="shared" si="56"/>
        <v>405.5555556</v>
      </c>
      <c r="AE60" s="48">
        <f t="shared" si="57"/>
        <v>135.1851852</v>
      </c>
      <c r="AF60" s="64">
        <v>2.31</v>
      </c>
      <c r="AG60" s="41">
        <f t="shared" si="58"/>
        <v>5.194805195</v>
      </c>
      <c r="AH60" s="41">
        <f t="shared" si="59"/>
        <v>78.06944444</v>
      </c>
      <c r="AI60" s="41">
        <f t="shared" si="60"/>
        <v>4.684166667</v>
      </c>
      <c r="AJ60" s="41">
        <f t="shared" si="61"/>
        <v>4.684166667</v>
      </c>
      <c r="AK60" s="41"/>
    </row>
    <row r="61" ht="20.25" customHeight="1">
      <c r="A61" s="42"/>
      <c r="B61" s="42"/>
      <c r="C61" s="42"/>
      <c r="D61" s="42">
        <v>3.0</v>
      </c>
      <c r="E61" s="54" t="s">
        <v>290</v>
      </c>
      <c r="F61" s="55" t="s">
        <v>291</v>
      </c>
      <c r="G61" s="55" t="s">
        <v>292</v>
      </c>
      <c r="H61" s="55" t="s">
        <v>293</v>
      </c>
      <c r="I61" s="56">
        <f>I58/$E74</f>
        <v>0.006666666667</v>
      </c>
      <c r="J61" s="56">
        <f t="shared" si="52"/>
        <v>0.03333333333</v>
      </c>
      <c r="K61" s="57">
        <f t="shared" si="53"/>
        <v>12.16666667</v>
      </c>
      <c r="L61" s="58" t="s">
        <v>279</v>
      </c>
      <c r="M61" s="48">
        <v>4.0</v>
      </c>
      <c r="N61" s="59" t="s">
        <v>294</v>
      </c>
      <c r="O61" s="59" t="s">
        <v>295</v>
      </c>
      <c r="P61" s="48"/>
      <c r="Q61" s="60">
        <v>2.0</v>
      </c>
      <c r="R61" s="48"/>
      <c r="S61" s="59" t="s">
        <v>296</v>
      </c>
      <c r="T61" s="48"/>
      <c r="U61" s="59" t="s">
        <v>180</v>
      </c>
      <c r="V61" s="48">
        <f>0.5*0.6</f>
        <v>0.3</v>
      </c>
      <c r="W61" s="48">
        <f t="shared" si="54"/>
        <v>33333.33333</v>
      </c>
      <c r="X61" s="48">
        <v>10000.0</v>
      </c>
      <c r="Y61" s="48">
        <v>15000.0</v>
      </c>
      <c r="Z61" s="48">
        <v>20000.0</v>
      </c>
      <c r="AA61" s="59" t="s">
        <v>62</v>
      </c>
      <c r="AB61" s="48">
        <v>20000.0</v>
      </c>
      <c r="AC61" s="48">
        <f t="shared" si="55"/>
        <v>0.6</v>
      </c>
      <c r="AD61" s="48">
        <f t="shared" si="56"/>
        <v>20.27777778</v>
      </c>
      <c r="AE61" s="48">
        <f t="shared" si="57"/>
        <v>10.13888889</v>
      </c>
      <c r="AF61" s="64">
        <v>2.31</v>
      </c>
      <c r="AG61" s="41">
        <f t="shared" si="58"/>
        <v>5.194805195</v>
      </c>
      <c r="AH61" s="41">
        <f t="shared" si="59"/>
        <v>3.903472222</v>
      </c>
      <c r="AI61" s="41">
        <f t="shared" si="60"/>
        <v>1.171041667</v>
      </c>
      <c r="AJ61" s="41">
        <f t="shared" si="61"/>
        <v>1.171041667</v>
      </c>
      <c r="AK61" s="41"/>
    </row>
    <row r="62" ht="20.25" customHeight="1">
      <c r="A62" s="42"/>
      <c r="B62" s="42"/>
      <c r="C62" s="42"/>
      <c r="D62" s="42">
        <v>4.0</v>
      </c>
      <c r="E62" s="54" t="s">
        <v>297</v>
      </c>
      <c r="F62" s="55" t="s">
        <v>298</v>
      </c>
      <c r="G62" s="55" t="s">
        <v>299</v>
      </c>
      <c r="H62" s="55" t="s">
        <v>300</v>
      </c>
      <c r="I62" s="56">
        <f>I58/$E74</f>
        <v>0.006666666667</v>
      </c>
      <c r="J62" s="56">
        <f t="shared" si="52"/>
        <v>0.03333333333</v>
      </c>
      <c r="K62" s="57">
        <f t="shared" si="53"/>
        <v>12.16666667</v>
      </c>
      <c r="L62" s="58" t="s">
        <v>81</v>
      </c>
      <c r="M62" s="48">
        <v>6.0</v>
      </c>
      <c r="N62" s="59" t="s">
        <v>301</v>
      </c>
      <c r="O62" s="59" t="s">
        <v>302</v>
      </c>
      <c r="P62" s="48"/>
      <c r="Q62" s="60">
        <v>2.0</v>
      </c>
      <c r="R62" s="48"/>
      <c r="S62" s="59" t="s">
        <v>303</v>
      </c>
      <c r="T62" s="48"/>
      <c r="U62" s="59" t="s">
        <v>180</v>
      </c>
      <c r="V62" s="48">
        <f>0.75*0.9</f>
        <v>0.675</v>
      </c>
      <c r="W62" s="48">
        <f t="shared" si="54"/>
        <v>14814.81481</v>
      </c>
      <c r="X62" s="48">
        <v>10000.0</v>
      </c>
      <c r="Y62" s="48">
        <v>15000.0</v>
      </c>
      <c r="Z62" s="48">
        <v>20000.0</v>
      </c>
      <c r="AA62" s="59" t="s">
        <v>62</v>
      </c>
      <c r="AB62" s="48">
        <v>20000.0</v>
      </c>
      <c r="AC62" s="48">
        <f t="shared" si="55"/>
        <v>1.35</v>
      </c>
      <c r="AD62" s="48">
        <f t="shared" si="56"/>
        <v>9.012345679</v>
      </c>
      <c r="AE62" s="48">
        <f t="shared" si="57"/>
        <v>4.50617284</v>
      </c>
      <c r="AF62" s="64">
        <v>2.31</v>
      </c>
      <c r="AG62" s="41">
        <f t="shared" si="58"/>
        <v>5.194805195</v>
      </c>
      <c r="AH62" s="41">
        <f t="shared" si="59"/>
        <v>1.734876543</v>
      </c>
      <c r="AI62" s="41">
        <f t="shared" si="60"/>
        <v>1.171041667</v>
      </c>
      <c r="AJ62" s="41">
        <f t="shared" ref="AJ62:AJ63" si="62">0</f>
        <v>0</v>
      </c>
      <c r="AK62" s="41"/>
    </row>
    <row r="63" ht="32.25" customHeight="1">
      <c r="A63" s="42"/>
      <c r="B63" s="42"/>
      <c r="C63" s="42"/>
      <c r="D63" s="42">
        <v>5.0</v>
      </c>
      <c r="E63" s="54" t="s">
        <v>304</v>
      </c>
      <c r="F63" s="55" t="s">
        <v>305</v>
      </c>
      <c r="G63" s="55" t="s">
        <v>306</v>
      </c>
      <c r="H63" s="55" t="s">
        <v>307</v>
      </c>
      <c r="I63" s="56">
        <f>I58/$E74</f>
        <v>0.006666666667</v>
      </c>
      <c r="J63" s="56">
        <f t="shared" si="52"/>
        <v>0.03333333333</v>
      </c>
      <c r="K63" s="57">
        <f t="shared" si="53"/>
        <v>12.16666667</v>
      </c>
      <c r="L63" s="58" t="s">
        <v>308</v>
      </c>
      <c r="M63" s="48">
        <v>3.0</v>
      </c>
      <c r="N63" s="59" t="s">
        <v>309</v>
      </c>
      <c r="O63" s="59" t="s">
        <v>310</v>
      </c>
      <c r="P63" s="48"/>
      <c r="Q63" s="60">
        <v>3.0</v>
      </c>
      <c r="R63" s="48"/>
      <c r="S63" s="59" t="s">
        <v>311</v>
      </c>
      <c r="T63" s="48"/>
      <c r="U63" s="59" t="s">
        <v>180</v>
      </c>
      <c r="V63" s="48">
        <f>0.9*1.2</f>
        <v>1.08</v>
      </c>
      <c r="W63" s="48">
        <f t="shared" si="54"/>
        <v>9259.259259</v>
      </c>
      <c r="X63" s="48">
        <v>6000.0</v>
      </c>
      <c r="Y63" s="48">
        <v>10000.0</v>
      </c>
      <c r="Z63" s="48">
        <v>15000.0</v>
      </c>
      <c r="AA63" s="59" t="s">
        <v>62</v>
      </c>
      <c r="AB63" s="48">
        <v>15000.0</v>
      </c>
      <c r="AC63" s="48">
        <f t="shared" si="55"/>
        <v>1.62</v>
      </c>
      <c r="AD63" s="48">
        <f t="shared" si="56"/>
        <v>7.510288066</v>
      </c>
      <c r="AE63" s="48">
        <f t="shared" si="57"/>
        <v>2.503429355</v>
      </c>
      <c r="AF63" s="64">
        <v>2.31</v>
      </c>
      <c r="AG63" s="41">
        <f t="shared" si="58"/>
        <v>5.194805195</v>
      </c>
      <c r="AH63" s="41">
        <f t="shared" si="59"/>
        <v>1.445730453</v>
      </c>
      <c r="AI63" s="41">
        <f t="shared" si="60"/>
        <v>1.561388889</v>
      </c>
      <c r="AJ63" s="41">
        <f t="shared" si="62"/>
        <v>0</v>
      </c>
      <c r="AK63" s="41"/>
    </row>
    <row r="64" ht="32.25" customHeight="1">
      <c r="A64" s="42"/>
      <c r="B64" s="42"/>
      <c r="C64" s="42"/>
      <c r="D64" s="42">
        <v>6.0</v>
      </c>
      <c r="E64" s="54" t="s">
        <v>312</v>
      </c>
      <c r="F64" s="55" t="s">
        <v>313</v>
      </c>
      <c r="G64" s="55" t="s">
        <v>314</v>
      </c>
      <c r="H64" s="55" t="s">
        <v>307</v>
      </c>
      <c r="I64" s="56">
        <f>I58/$E74</f>
        <v>0.006666666667</v>
      </c>
      <c r="J64" s="56">
        <f t="shared" si="52"/>
        <v>0.03333333333</v>
      </c>
      <c r="K64" s="57">
        <f t="shared" si="53"/>
        <v>12.16666667</v>
      </c>
      <c r="L64" s="58" t="s">
        <v>127</v>
      </c>
      <c r="M64" s="48">
        <v>12.0</v>
      </c>
      <c r="N64" s="59" t="s">
        <v>315</v>
      </c>
      <c r="O64" s="59" t="s">
        <v>316</v>
      </c>
      <c r="P64" s="48"/>
      <c r="Q64" s="60">
        <v>2.0</v>
      </c>
      <c r="R64" s="48"/>
      <c r="S64" s="59" t="s">
        <v>317</v>
      </c>
      <c r="T64" s="48"/>
      <c r="U64" s="59" t="s">
        <v>180</v>
      </c>
      <c r="V64" s="48">
        <f>1.5*1.5</f>
        <v>2.25</v>
      </c>
      <c r="W64" s="48">
        <f t="shared" si="54"/>
        <v>4444.444444</v>
      </c>
      <c r="X64" s="48">
        <v>2000.0</v>
      </c>
      <c r="Y64" s="48">
        <v>4000.0</v>
      </c>
      <c r="Z64" s="48">
        <v>6000.0</v>
      </c>
      <c r="AA64" s="59" t="s">
        <v>62</v>
      </c>
      <c r="AB64" s="48">
        <v>6000.0</v>
      </c>
      <c r="AC64" s="48">
        <f t="shared" si="55"/>
        <v>1.35</v>
      </c>
      <c r="AD64" s="48">
        <f t="shared" si="56"/>
        <v>9.012345679</v>
      </c>
      <c r="AE64" s="48">
        <f t="shared" si="57"/>
        <v>4.50617284</v>
      </c>
      <c r="AF64" s="64">
        <v>2.31</v>
      </c>
      <c r="AG64" s="41">
        <f t="shared" si="58"/>
        <v>5.194805195</v>
      </c>
      <c r="AH64" s="41">
        <f t="shared" si="59"/>
        <v>1.734876543</v>
      </c>
      <c r="AI64" s="41">
        <f t="shared" si="60"/>
        <v>3.903472222</v>
      </c>
      <c r="AJ64" s="41">
        <v>0.0</v>
      </c>
      <c r="AK64" s="41"/>
    </row>
    <row r="65" ht="32.25" customHeight="1">
      <c r="A65" s="42"/>
      <c r="B65" s="42"/>
      <c r="C65" s="42"/>
      <c r="D65" s="42">
        <v>7.0</v>
      </c>
      <c r="E65" s="54" t="s">
        <v>318</v>
      </c>
      <c r="F65" s="55" t="s">
        <v>319</v>
      </c>
      <c r="G65" s="55" t="s">
        <v>320</v>
      </c>
      <c r="H65" s="55" t="s">
        <v>321</v>
      </c>
      <c r="I65" s="56">
        <v>0.00714285714285714</v>
      </c>
      <c r="J65" s="56">
        <f t="shared" si="52"/>
        <v>0.03571428571</v>
      </c>
      <c r="K65" s="57">
        <f t="shared" si="53"/>
        <v>13.03571429</v>
      </c>
      <c r="L65" s="58" t="s">
        <v>322</v>
      </c>
      <c r="M65" s="48">
        <v>4.0</v>
      </c>
      <c r="N65" s="59" t="s">
        <v>323</v>
      </c>
      <c r="O65" s="59" t="s">
        <v>324</v>
      </c>
      <c r="P65" s="48"/>
      <c r="Q65" s="60">
        <v>3.0</v>
      </c>
      <c r="R65" s="48"/>
      <c r="S65" s="69" t="s">
        <v>325</v>
      </c>
      <c r="T65" s="48"/>
      <c r="U65" s="59" t="s">
        <v>180</v>
      </c>
      <c r="V65" s="48">
        <f>1.5*1</f>
        <v>1.5</v>
      </c>
      <c r="W65" s="48">
        <f t="shared" si="54"/>
        <v>6666.666667</v>
      </c>
      <c r="X65" s="48">
        <v>8000.0</v>
      </c>
      <c r="Y65" s="48">
        <v>12000.0</v>
      </c>
      <c r="Z65" s="48">
        <v>16000.0</v>
      </c>
      <c r="AA65" s="59" t="s">
        <v>62</v>
      </c>
      <c r="AB65" s="48">
        <v>16000.0</v>
      </c>
      <c r="AC65" s="48">
        <f t="shared" si="55"/>
        <v>2.4</v>
      </c>
      <c r="AD65" s="48">
        <f t="shared" si="56"/>
        <v>5.431547619</v>
      </c>
      <c r="AE65" s="48">
        <f t="shared" si="57"/>
        <v>1.810515873</v>
      </c>
      <c r="AF65" s="64">
        <v>2.31</v>
      </c>
      <c r="AG65" s="41">
        <f t="shared" si="58"/>
        <v>5.194805195</v>
      </c>
      <c r="AH65" s="41">
        <f t="shared" si="59"/>
        <v>1.045572917</v>
      </c>
      <c r="AI65" s="41">
        <f t="shared" si="60"/>
        <v>1.568359375</v>
      </c>
      <c r="AJ65" s="41">
        <v>0.0</v>
      </c>
      <c r="AK65" s="41"/>
    </row>
    <row r="66" ht="20.25" customHeight="1">
      <c r="A66" s="42"/>
      <c r="B66" s="42"/>
      <c r="C66" s="42"/>
      <c r="D66" s="42">
        <v>8.0</v>
      </c>
      <c r="E66" s="54" t="s">
        <v>326</v>
      </c>
      <c r="F66" s="55" t="s">
        <v>327</v>
      </c>
      <c r="G66" s="55" t="s">
        <v>328</v>
      </c>
      <c r="H66" s="55" t="s">
        <v>242</v>
      </c>
      <c r="I66" s="56">
        <f>I58/$E74</f>
        <v>0.006666666667</v>
      </c>
      <c r="J66" s="56">
        <f t="shared" si="52"/>
        <v>0.03333333333</v>
      </c>
      <c r="K66" s="57">
        <f t="shared" si="53"/>
        <v>12.16666667</v>
      </c>
      <c r="L66" s="58" t="s">
        <v>81</v>
      </c>
      <c r="M66" s="48">
        <v>6.0</v>
      </c>
      <c r="N66" s="59" t="s">
        <v>329</v>
      </c>
      <c r="O66" s="59" t="s">
        <v>330</v>
      </c>
      <c r="P66" s="48"/>
      <c r="Q66" s="60">
        <v>2.0</v>
      </c>
      <c r="R66" s="48"/>
      <c r="S66" s="59" t="s">
        <v>331</v>
      </c>
      <c r="T66" s="48"/>
      <c r="U66" s="59" t="s">
        <v>180</v>
      </c>
      <c r="V66" s="48">
        <f>0.6*0.45</f>
        <v>0.27</v>
      </c>
      <c r="W66" s="48">
        <f t="shared" si="54"/>
        <v>37037.03704</v>
      </c>
      <c r="X66" s="48">
        <v>12000.0</v>
      </c>
      <c r="Y66" s="48">
        <v>18000.0</v>
      </c>
      <c r="Z66" s="48">
        <v>25000.0</v>
      </c>
      <c r="AA66" s="59" t="s">
        <v>62</v>
      </c>
      <c r="AB66" s="48">
        <v>25000.0</v>
      </c>
      <c r="AC66" s="48">
        <f t="shared" si="55"/>
        <v>0.675</v>
      </c>
      <c r="AD66" s="48">
        <f t="shared" si="56"/>
        <v>18.02469136</v>
      </c>
      <c r="AE66" s="48">
        <f t="shared" si="57"/>
        <v>9.012345679</v>
      </c>
      <c r="AF66" s="64">
        <v>2.31</v>
      </c>
      <c r="AG66" s="41">
        <f t="shared" si="58"/>
        <v>5.194805195</v>
      </c>
      <c r="AH66" s="41">
        <f t="shared" si="59"/>
        <v>3.469753086</v>
      </c>
      <c r="AI66" s="41">
        <f t="shared" si="60"/>
        <v>0.9368333333</v>
      </c>
      <c r="AJ66" s="41">
        <f t="shared" ref="AJ66:AJ67" si="63">AI66</f>
        <v>0.9368333333</v>
      </c>
      <c r="AK66" s="41"/>
    </row>
    <row r="67" ht="20.25" customHeight="1">
      <c r="A67" s="42"/>
      <c r="B67" s="42"/>
      <c r="C67" s="42"/>
      <c r="D67" s="42">
        <v>9.0</v>
      </c>
      <c r="E67" s="54" t="s">
        <v>332</v>
      </c>
      <c r="F67" s="55" t="s">
        <v>333</v>
      </c>
      <c r="G67" s="55" t="s">
        <v>334</v>
      </c>
      <c r="H67" s="55" t="s">
        <v>335</v>
      </c>
      <c r="I67" s="56">
        <f>I58/$E74</f>
        <v>0.006666666667</v>
      </c>
      <c r="J67" s="56">
        <f t="shared" si="52"/>
        <v>0.03333333333</v>
      </c>
      <c r="K67" s="57">
        <f t="shared" si="53"/>
        <v>12.16666667</v>
      </c>
      <c r="L67" s="58" t="s">
        <v>336</v>
      </c>
      <c r="M67" s="48">
        <v>12.0</v>
      </c>
      <c r="N67" s="59" t="s">
        <v>280</v>
      </c>
      <c r="O67" s="59" t="s">
        <v>94</v>
      </c>
      <c r="P67" s="48"/>
      <c r="Q67" s="60">
        <v>1.0</v>
      </c>
      <c r="R67" s="48"/>
      <c r="S67" s="59" t="s">
        <v>337</v>
      </c>
      <c r="T67" s="48"/>
      <c r="U67" s="59" t="s">
        <v>180</v>
      </c>
      <c r="V67" s="48">
        <f>0.9*0.9</f>
        <v>0.81</v>
      </c>
      <c r="W67" s="48">
        <f t="shared" si="54"/>
        <v>12345.67901</v>
      </c>
      <c r="X67" s="48">
        <v>10000.0</v>
      </c>
      <c r="Y67" s="48">
        <v>15000.0</v>
      </c>
      <c r="Z67" s="48">
        <v>25000.0</v>
      </c>
      <c r="AA67" s="59" t="s">
        <v>62</v>
      </c>
      <c r="AB67" s="48">
        <v>25000.0</v>
      </c>
      <c r="AC67" s="48">
        <f t="shared" si="55"/>
        <v>2.025</v>
      </c>
      <c r="AD67" s="48">
        <f t="shared" si="56"/>
        <v>6.008230453</v>
      </c>
      <c r="AE67" s="48">
        <f t="shared" si="57"/>
        <v>6.008230453</v>
      </c>
      <c r="AF67" s="64">
        <v>2.31</v>
      </c>
      <c r="AG67" s="41">
        <f t="shared" si="58"/>
        <v>5.194805195</v>
      </c>
      <c r="AH67" s="41">
        <f t="shared" si="59"/>
        <v>1.156584362</v>
      </c>
      <c r="AI67" s="41">
        <f t="shared" si="60"/>
        <v>0.9368333333</v>
      </c>
      <c r="AJ67" s="41">
        <f t="shared" si="63"/>
        <v>0.9368333333</v>
      </c>
      <c r="AK67" s="41"/>
    </row>
    <row r="68" ht="20.25" customHeight="1">
      <c r="A68" s="42"/>
      <c r="B68" s="42"/>
      <c r="C68" s="42"/>
      <c r="D68" s="42">
        <v>10.0</v>
      </c>
      <c r="E68" s="54" t="s">
        <v>338</v>
      </c>
      <c r="F68" s="55" t="s">
        <v>339</v>
      </c>
      <c r="G68" s="55" t="s">
        <v>340</v>
      </c>
      <c r="H68" s="55" t="s">
        <v>341</v>
      </c>
      <c r="I68" s="56">
        <f>I58/$E74</f>
        <v>0.006666666667</v>
      </c>
      <c r="J68" s="56">
        <f t="shared" si="52"/>
        <v>0.03333333333</v>
      </c>
      <c r="K68" s="57">
        <f t="shared" si="53"/>
        <v>12.16666667</v>
      </c>
      <c r="L68" s="58" t="s">
        <v>308</v>
      </c>
      <c r="M68" s="48">
        <v>3.0</v>
      </c>
      <c r="N68" s="59" t="s">
        <v>342</v>
      </c>
      <c r="O68" s="59" t="s">
        <v>343</v>
      </c>
      <c r="P68" s="48"/>
      <c r="Q68" s="60">
        <v>1.0</v>
      </c>
      <c r="R68" s="48"/>
      <c r="S68" s="59" t="s">
        <v>317</v>
      </c>
      <c r="T68" s="48"/>
      <c r="U68" s="59" t="s">
        <v>180</v>
      </c>
      <c r="V68" s="48">
        <f>1.5*1.5</f>
        <v>2.25</v>
      </c>
      <c r="W68" s="48">
        <f t="shared" si="54"/>
        <v>4444.444444</v>
      </c>
      <c r="X68" s="48">
        <v>10000.0</v>
      </c>
      <c r="Y68" s="48">
        <v>15000.0</v>
      </c>
      <c r="Z68" s="48">
        <v>25000.0</v>
      </c>
      <c r="AA68" s="59" t="s">
        <v>62</v>
      </c>
      <c r="AB68" s="48">
        <v>25000.0</v>
      </c>
      <c r="AC68" s="48">
        <f t="shared" si="55"/>
        <v>5.625</v>
      </c>
      <c r="AD68" s="48">
        <f t="shared" si="56"/>
        <v>2.162962963</v>
      </c>
      <c r="AE68" s="48">
        <f t="shared" si="57"/>
        <v>2.162962963</v>
      </c>
      <c r="AF68" s="64">
        <v>2.31</v>
      </c>
      <c r="AG68" s="41">
        <f t="shared" si="58"/>
        <v>5.194805195</v>
      </c>
      <c r="AH68" s="41">
        <f t="shared" si="59"/>
        <v>0.4163703704</v>
      </c>
      <c r="AI68" s="41">
        <f t="shared" si="60"/>
        <v>0.9368333333</v>
      </c>
      <c r="AJ68" s="41">
        <v>0.0</v>
      </c>
      <c r="AK68" s="41"/>
    </row>
    <row r="69" ht="20.25" customHeight="1">
      <c r="A69" s="42"/>
      <c r="B69" s="42"/>
      <c r="C69" s="42"/>
      <c r="D69" s="42">
        <v>11.0</v>
      </c>
      <c r="E69" s="54" t="s">
        <v>344</v>
      </c>
      <c r="F69" s="55" t="s">
        <v>345</v>
      </c>
      <c r="G69" s="55" t="s">
        <v>346</v>
      </c>
      <c r="H69" s="55" t="s">
        <v>100</v>
      </c>
      <c r="I69" s="56">
        <f>I58/$E74</f>
        <v>0.006666666667</v>
      </c>
      <c r="J69" s="56">
        <f t="shared" si="52"/>
        <v>0.03333333333</v>
      </c>
      <c r="K69" s="57">
        <f t="shared" si="53"/>
        <v>12.16666667</v>
      </c>
      <c r="L69" s="58" t="s">
        <v>176</v>
      </c>
      <c r="M69" s="48">
        <v>12.0</v>
      </c>
      <c r="N69" s="59" t="s">
        <v>347</v>
      </c>
      <c r="O69" s="59" t="s">
        <v>348</v>
      </c>
      <c r="P69" s="48"/>
      <c r="Q69" s="60">
        <v>1.0</v>
      </c>
      <c r="R69" s="48"/>
      <c r="S69" s="59" t="s">
        <v>349</v>
      </c>
      <c r="T69" s="48"/>
      <c r="U69" s="59" t="s">
        <v>180</v>
      </c>
      <c r="V69" s="48">
        <f>0.45*0.45</f>
        <v>0.2025</v>
      </c>
      <c r="W69" s="48">
        <f t="shared" si="54"/>
        <v>49382.71605</v>
      </c>
      <c r="X69" s="48">
        <v>20000.0</v>
      </c>
      <c r="Y69" s="48">
        <v>30000.0</v>
      </c>
      <c r="Z69" s="48">
        <v>50000.0</v>
      </c>
      <c r="AA69" s="59" t="s">
        <v>62</v>
      </c>
      <c r="AB69" s="48">
        <v>50000.0</v>
      </c>
      <c r="AC69" s="48">
        <f t="shared" si="55"/>
        <v>1.0125</v>
      </c>
      <c r="AD69" s="48">
        <f t="shared" si="56"/>
        <v>12.01646091</v>
      </c>
      <c r="AE69" s="48">
        <f t="shared" si="57"/>
        <v>12.01646091</v>
      </c>
      <c r="AF69" s="64">
        <v>2.31</v>
      </c>
      <c r="AG69" s="41">
        <f t="shared" si="58"/>
        <v>5.194805195</v>
      </c>
      <c r="AH69" s="41">
        <f t="shared" si="59"/>
        <v>2.313168724</v>
      </c>
      <c r="AI69" s="41">
        <f t="shared" si="60"/>
        <v>0.4684166667</v>
      </c>
      <c r="AJ69" s="41">
        <v>0.0</v>
      </c>
      <c r="AK69" s="41"/>
    </row>
    <row r="70" ht="20.25" customHeight="1">
      <c r="A70" s="42"/>
      <c r="B70" s="42"/>
      <c r="C70" s="42"/>
      <c r="D70" s="42">
        <v>12.0</v>
      </c>
      <c r="E70" s="54" t="s">
        <v>350</v>
      </c>
      <c r="F70" s="55" t="s">
        <v>351</v>
      </c>
      <c r="G70" s="55" t="s">
        <v>352</v>
      </c>
      <c r="H70" s="55" t="s">
        <v>353</v>
      </c>
      <c r="I70" s="56">
        <f>I58/$E74</f>
        <v>0.006666666667</v>
      </c>
      <c r="J70" s="56">
        <f t="shared" si="52"/>
        <v>0.03333333333</v>
      </c>
      <c r="K70" s="57">
        <f t="shared" si="53"/>
        <v>12.16666667</v>
      </c>
      <c r="L70" s="58" t="s">
        <v>176</v>
      </c>
      <c r="M70" s="48">
        <v>12.0</v>
      </c>
      <c r="N70" s="59" t="s">
        <v>354</v>
      </c>
      <c r="O70" s="59" t="s">
        <v>355</v>
      </c>
      <c r="P70" s="48"/>
      <c r="Q70" s="60">
        <v>2.0</v>
      </c>
      <c r="R70" s="48"/>
      <c r="S70" s="59" t="s">
        <v>356</v>
      </c>
      <c r="T70" s="48"/>
      <c r="U70" s="59" t="s">
        <v>180</v>
      </c>
      <c r="V70" s="48">
        <f>2*2</f>
        <v>4</v>
      </c>
      <c r="W70" s="48">
        <f t="shared" si="54"/>
        <v>2500</v>
      </c>
      <c r="X70" s="48">
        <v>5000.0</v>
      </c>
      <c r="Y70" s="48">
        <v>8000.0</v>
      </c>
      <c r="Z70" s="48">
        <v>12000.0</v>
      </c>
      <c r="AA70" s="59" t="s">
        <v>62</v>
      </c>
      <c r="AB70" s="48">
        <v>12000.0</v>
      </c>
      <c r="AC70" s="48">
        <f t="shared" si="55"/>
        <v>4.8</v>
      </c>
      <c r="AD70" s="48">
        <f t="shared" si="56"/>
        <v>2.534722222</v>
      </c>
      <c r="AE70" s="48">
        <f t="shared" si="57"/>
        <v>1.267361111</v>
      </c>
      <c r="AF70" s="64">
        <v>2.31</v>
      </c>
      <c r="AG70" s="41">
        <f t="shared" si="58"/>
        <v>5.194805195</v>
      </c>
      <c r="AH70" s="41">
        <f t="shared" si="59"/>
        <v>0.4879340278</v>
      </c>
      <c r="AI70" s="41">
        <f t="shared" si="60"/>
        <v>1.951736111</v>
      </c>
      <c r="AJ70" s="41">
        <v>0.0</v>
      </c>
      <c r="AK70" s="41"/>
    </row>
    <row r="71" ht="20.25" customHeight="1">
      <c r="A71" s="42"/>
      <c r="B71" s="42"/>
      <c r="C71" s="42"/>
      <c r="D71" s="42">
        <v>13.0</v>
      </c>
      <c r="E71" s="54" t="s">
        <v>357</v>
      </c>
      <c r="F71" s="55" t="s">
        <v>357</v>
      </c>
      <c r="G71" s="55" t="s">
        <v>358</v>
      </c>
      <c r="H71" s="55" t="s">
        <v>359</v>
      </c>
      <c r="I71" s="56">
        <f>I58/$E74</f>
        <v>0.006666666667</v>
      </c>
      <c r="J71" s="56">
        <f t="shared" si="52"/>
        <v>0.03333333333</v>
      </c>
      <c r="K71" s="57">
        <f t="shared" si="53"/>
        <v>12.16666667</v>
      </c>
      <c r="L71" s="58" t="s">
        <v>360</v>
      </c>
      <c r="M71" s="48">
        <v>3.0</v>
      </c>
      <c r="N71" s="59" t="s">
        <v>361</v>
      </c>
      <c r="O71" s="59" t="s">
        <v>362</v>
      </c>
      <c r="P71" s="48"/>
      <c r="Q71" s="60">
        <v>1.0</v>
      </c>
      <c r="R71" s="48"/>
      <c r="S71" s="59" t="s">
        <v>363</v>
      </c>
      <c r="T71" s="48"/>
      <c r="U71" s="59" t="s">
        <v>180</v>
      </c>
      <c r="V71" s="48">
        <f>0.3*0.1</f>
        <v>0.03</v>
      </c>
      <c r="W71" s="48">
        <f t="shared" si="54"/>
        <v>333333.3333</v>
      </c>
      <c r="X71" s="48">
        <v>10000.0</v>
      </c>
      <c r="Y71" s="48">
        <v>15000.0</v>
      </c>
      <c r="Z71" s="48">
        <v>20000.0</v>
      </c>
      <c r="AA71" s="59" t="s">
        <v>62</v>
      </c>
      <c r="AB71" s="48">
        <v>20000.0</v>
      </c>
      <c r="AC71" s="48">
        <f t="shared" si="55"/>
        <v>0.06</v>
      </c>
      <c r="AD71" s="48">
        <f t="shared" si="56"/>
        <v>202.7777778</v>
      </c>
      <c r="AE71" s="48">
        <f t="shared" si="57"/>
        <v>202.7777778</v>
      </c>
      <c r="AF71" s="64">
        <v>2.31</v>
      </c>
      <c r="AG71" s="41">
        <f t="shared" si="58"/>
        <v>5.194805195</v>
      </c>
      <c r="AH71" s="41">
        <f t="shared" si="59"/>
        <v>39.03472222</v>
      </c>
      <c r="AI71" s="41">
        <f t="shared" si="60"/>
        <v>1.171041667</v>
      </c>
      <c r="AJ71" s="41">
        <f>AI71</f>
        <v>1.171041667</v>
      </c>
      <c r="AK71" s="41"/>
    </row>
    <row r="72" ht="32.25" customHeight="1">
      <c r="A72" s="42"/>
      <c r="B72" s="42"/>
      <c r="C72" s="42"/>
      <c r="D72" s="42">
        <v>14.0</v>
      </c>
      <c r="E72" s="54" t="s">
        <v>364</v>
      </c>
      <c r="F72" s="55" t="s">
        <v>365</v>
      </c>
      <c r="G72" s="55" t="s">
        <v>366</v>
      </c>
      <c r="H72" s="55" t="s">
        <v>367</v>
      </c>
      <c r="I72" s="56">
        <v>0.005</v>
      </c>
      <c r="J72" s="56">
        <v>0.025</v>
      </c>
      <c r="K72" s="57">
        <v>9.125</v>
      </c>
      <c r="L72" s="58" t="s">
        <v>368</v>
      </c>
      <c r="M72" s="48">
        <v>2.0</v>
      </c>
      <c r="N72" s="59" t="s">
        <v>369</v>
      </c>
      <c r="O72" s="59" t="s">
        <v>370</v>
      </c>
      <c r="P72" s="48"/>
      <c r="Q72" s="60">
        <v>1.0</v>
      </c>
      <c r="R72" s="48"/>
      <c r="S72" s="59" t="s">
        <v>371</v>
      </c>
      <c r="T72" s="48"/>
      <c r="U72" s="59" t="s">
        <v>34</v>
      </c>
      <c r="V72" s="48">
        <v>1.8</v>
      </c>
      <c r="W72" s="48">
        <v>5555.55555555556</v>
      </c>
      <c r="X72" s="48">
        <v>6000.0</v>
      </c>
      <c r="Y72" s="48">
        <v>10000.0</v>
      </c>
      <c r="Z72" s="48">
        <v>15000.0</v>
      </c>
      <c r="AA72" s="59" t="s">
        <v>62</v>
      </c>
      <c r="AB72" s="48">
        <v>15000.0</v>
      </c>
      <c r="AC72" s="48">
        <v>2.7</v>
      </c>
      <c r="AD72" s="48">
        <v>3.37962962962963</v>
      </c>
      <c r="AE72" s="48">
        <v>3.37962962962963</v>
      </c>
      <c r="AF72" s="64">
        <v>1.61</v>
      </c>
      <c r="AG72" s="41">
        <v>7.45341614906832</v>
      </c>
      <c r="AH72" s="41">
        <f t="shared" si="59"/>
        <v>0.453433642</v>
      </c>
      <c r="AI72" s="41">
        <f t="shared" si="60"/>
        <v>0.8161805556</v>
      </c>
      <c r="AJ72" s="41">
        <v>0.0</v>
      </c>
      <c r="AK72" s="41"/>
    </row>
    <row r="73" ht="32.25" customHeight="1">
      <c r="A73" s="42"/>
      <c r="B73" s="42"/>
      <c r="C73" s="42"/>
      <c r="D73" s="42">
        <v>15.0</v>
      </c>
      <c r="E73" s="54" t="s">
        <v>372</v>
      </c>
      <c r="F73" s="55" t="s">
        <v>373</v>
      </c>
      <c r="G73" s="55" t="s">
        <v>374</v>
      </c>
      <c r="H73" s="55" t="s">
        <v>257</v>
      </c>
      <c r="I73" s="56">
        <f>I58/$E74</f>
        <v>0.006666666667</v>
      </c>
      <c r="J73" s="56">
        <f>I73*5</f>
        <v>0.03333333333</v>
      </c>
      <c r="K73" s="57">
        <f>J73*365</f>
        <v>12.16666667</v>
      </c>
      <c r="L73" s="58" t="s">
        <v>375</v>
      </c>
      <c r="M73" s="48">
        <v>4.0</v>
      </c>
      <c r="N73" s="59" t="s">
        <v>347</v>
      </c>
      <c r="O73" s="59" t="s">
        <v>376</v>
      </c>
      <c r="P73" s="48"/>
      <c r="Q73" s="60">
        <v>3.0</v>
      </c>
      <c r="R73" s="48"/>
      <c r="S73" s="59" t="s">
        <v>377</v>
      </c>
      <c r="T73" s="48"/>
      <c r="U73" s="59" t="s">
        <v>180</v>
      </c>
      <c r="V73" s="48">
        <f>0.45*0.3</f>
        <v>0.135</v>
      </c>
      <c r="W73" s="48">
        <f>10000/V73</f>
        <v>74074.07407</v>
      </c>
      <c r="X73" s="48">
        <v>10000.0</v>
      </c>
      <c r="Y73" s="48">
        <v>15000.0</v>
      </c>
      <c r="Z73" s="48">
        <v>20000.0</v>
      </c>
      <c r="AA73" s="59" t="s">
        <v>62</v>
      </c>
      <c r="AB73" s="48">
        <v>20000.0</v>
      </c>
      <c r="AC73" s="48">
        <f>AB73/W73</f>
        <v>0.27</v>
      </c>
      <c r="AD73" s="48">
        <f>K73/AC73</f>
        <v>45.0617284</v>
      </c>
      <c r="AE73" s="48">
        <f>AD73/Q73</f>
        <v>15.02057613</v>
      </c>
      <c r="AF73" s="64">
        <v>2.31</v>
      </c>
      <c r="AG73" s="41">
        <f>12/AF73</f>
        <v>5.194805195</v>
      </c>
      <c r="AH73" s="41">
        <f t="shared" si="59"/>
        <v>8.674382716</v>
      </c>
      <c r="AI73" s="41">
        <f t="shared" si="60"/>
        <v>1.171041667</v>
      </c>
      <c r="AJ73" s="41">
        <f>AI73</f>
        <v>1.171041667</v>
      </c>
      <c r="AK73" s="41"/>
    </row>
    <row r="74" ht="20.25" customHeight="1">
      <c r="A74" s="54" t="s">
        <v>63</v>
      </c>
      <c r="B74" s="54" t="s">
        <v>64</v>
      </c>
      <c r="C74" s="42"/>
      <c r="D74" s="42">
        <v>1.5</v>
      </c>
      <c r="E74" s="42">
        <f>$D73</f>
        <v>15</v>
      </c>
      <c r="F74" s="56"/>
      <c r="G74" s="56"/>
      <c r="H74" s="56"/>
      <c r="I74" s="56"/>
      <c r="J74" s="56"/>
      <c r="K74" s="57"/>
      <c r="L74" s="47"/>
      <c r="M74" s="48"/>
      <c r="N74" s="48"/>
      <c r="O74" s="48"/>
      <c r="P74" s="48"/>
      <c r="Q74" s="60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9"/>
      <c r="AF74" s="41"/>
      <c r="AG74" s="41"/>
      <c r="AH74" s="41"/>
      <c r="AI74" s="41"/>
      <c r="AJ74" s="41"/>
      <c r="AK74" s="41"/>
    </row>
    <row r="75" ht="20.25" customHeight="1">
      <c r="A75" s="54" t="s">
        <v>63</v>
      </c>
      <c r="B75" s="54" t="s">
        <v>66</v>
      </c>
      <c r="C75" s="54" t="s">
        <v>64</v>
      </c>
      <c r="D75" s="42">
        <v>1.5</v>
      </c>
      <c r="E75" s="42"/>
      <c r="F75" s="56"/>
      <c r="G75" s="56"/>
      <c r="H75" s="56"/>
      <c r="I75" s="56"/>
      <c r="J75" s="56"/>
      <c r="K75" s="57"/>
      <c r="L75" s="47"/>
      <c r="M75" s="48"/>
      <c r="N75" s="48"/>
      <c r="O75" s="48"/>
      <c r="P75" s="48"/>
      <c r="Q75" s="60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9"/>
      <c r="AF75" s="41"/>
      <c r="AG75" s="41"/>
      <c r="AH75" s="41"/>
      <c r="AI75" s="41">
        <f t="shared" ref="AI75:AJ75" si="64">SUM(AI59:AI73)</f>
        <v>25.79422049</v>
      </c>
      <c r="AJ75" s="41">
        <f t="shared" si="64"/>
        <v>13.41679167</v>
      </c>
      <c r="AK75" s="41"/>
    </row>
    <row r="76" ht="20.25" customHeight="1">
      <c r="A76" s="54" t="s">
        <v>63</v>
      </c>
      <c r="B76" s="54" t="s">
        <v>66</v>
      </c>
      <c r="C76" s="54" t="s">
        <v>378</v>
      </c>
      <c r="D76" s="42">
        <v>1.5</v>
      </c>
      <c r="E76" s="42"/>
      <c r="F76" s="56"/>
      <c r="G76" s="56"/>
      <c r="H76" s="56"/>
      <c r="I76" s="56"/>
      <c r="J76" s="56"/>
      <c r="K76" s="57"/>
      <c r="L76" s="47"/>
      <c r="M76" s="48"/>
      <c r="N76" s="48"/>
      <c r="O76" s="48"/>
      <c r="P76" s="48"/>
      <c r="Q76" s="60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9"/>
      <c r="AF76" s="41"/>
      <c r="AG76" s="41"/>
      <c r="AH76" s="41"/>
      <c r="AI76" s="41">
        <f>SUM(AI11,AI37,AI47,AI56,AI75)</f>
        <v>242.310887</v>
      </c>
      <c r="AJ76" s="41">
        <f>AJ20+AJ37+AJ47+AJ56+AJ75</f>
        <v>110.1367011</v>
      </c>
      <c r="AK76" s="41"/>
    </row>
    <row r="77" ht="20.25" customHeight="1">
      <c r="A77" s="42"/>
      <c r="B77" s="43"/>
      <c r="C77" s="43"/>
      <c r="D77" s="43"/>
      <c r="E77" s="44"/>
      <c r="F77" s="45"/>
      <c r="G77" s="45"/>
      <c r="H77" s="45"/>
      <c r="I77" s="45"/>
      <c r="J77" s="45">
        <f t="shared" ref="J77:J82" si="65">I77*5</f>
        <v>0</v>
      </c>
      <c r="K77" s="46">
        <f t="shared" ref="K77:K82" si="66">J77*365</f>
        <v>0</v>
      </c>
      <c r="L77" s="47"/>
      <c r="M77" s="48"/>
      <c r="N77" s="48"/>
      <c r="O77" s="48"/>
      <c r="P77" s="48"/>
      <c r="Q77" s="60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9"/>
      <c r="AF77" s="41"/>
      <c r="AG77" s="41"/>
      <c r="AH77" s="41"/>
      <c r="AI77" s="41"/>
      <c r="AJ77" s="41"/>
      <c r="AK77" s="41"/>
    </row>
    <row r="78" ht="20.25" customHeight="1">
      <c r="A78" s="42"/>
      <c r="B78" s="43">
        <v>6.0</v>
      </c>
      <c r="C78" s="43"/>
      <c r="D78" s="43"/>
      <c r="E78" s="44" t="s">
        <v>67</v>
      </c>
      <c r="F78" s="45"/>
      <c r="G78" s="45"/>
      <c r="H78" s="45"/>
      <c r="I78" s="45">
        <v>0.1</v>
      </c>
      <c r="J78" s="45">
        <f t="shared" si="65"/>
        <v>0.5</v>
      </c>
      <c r="K78" s="46">
        <f t="shared" si="66"/>
        <v>182.5</v>
      </c>
      <c r="L78" s="47"/>
      <c r="M78" s="48"/>
      <c r="N78" s="48"/>
      <c r="O78" s="48"/>
      <c r="P78" s="48"/>
      <c r="Q78" s="60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9"/>
      <c r="AF78" s="41"/>
      <c r="AG78" s="41"/>
      <c r="AH78" s="41"/>
      <c r="AI78" s="41"/>
      <c r="AJ78" s="41"/>
      <c r="AK78" s="41"/>
    </row>
    <row r="79" ht="20.25" customHeight="1">
      <c r="A79" s="42"/>
      <c r="B79" s="42"/>
      <c r="C79" s="50">
        <v>1.0</v>
      </c>
      <c r="D79" s="50"/>
      <c r="E79" s="51" t="s">
        <v>379</v>
      </c>
      <c r="F79" s="52"/>
      <c r="G79" s="52"/>
      <c r="H79" s="52"/>
      <c r="I79" s="52">
        <v>0.075</v>
      </c>
      <c r="J79" s="52">
        <f t="shared" si="65"/>
        <v>0.375</v>
      </c>
      <c r="K79" s="53">
        <f t="shared" si="66"/>
        <v>136.875</v>
      </c>
      <c r="L79" s="47"/>
      <c r="M79" s="48"/>
      <c r="N79" s="48"/>
      <c r="O79" s="48"/>
      <c r="P79" s="48"/>
      <c r="Q79" s="60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9"/>
      <c r="AF79" s="41"/>
      <c r="AG79" s="41"/>
      <c r="AH79" s="41"/>
      <c r="AI79" s="41"/>
      <c r="AJ79" s="41"/>
      <c r="AK79" s="41"/>
    </row>
    <row r="80" ht="32.25" customHeight="1">
      <c r="A80" s="42"/>
      <c r="B80" s="42"/>
      <c r="C80" s="42"/>
      <c r="D80" s="42">
        <v>1.0</v>
      </c>
      <c r="E80" s="54" t="s">
        <v>380</v>
      </c>
      <c r="F80" s="55" t="s">
        <v>381</v>
      </c>
      <c r="G80" s="55" t="s">
        <v>380</v>
      </c>
      <c r="H80" s="55" t="s">
        <v>382</v>
      </c>
      <c r="I80" s="56">
        <f>I79/$E83</f>
        <v>0.025</v>
      </c>
      <c r="J80" s="56">
        <f t="shared" si="65"/>
        <v>0.125</v>
      </c>
      <c r="K80" s="57">
        <f t="shared" si="66"/>
        <v>45.625</v>
      </c>
      <c r="L80" s="58" t="s">
        <v>81</v>
      </c>
      <c r="M80" s="59" t="s">
        <v>73</v>
      </c>
      <c r="N80" s="59" t="s">
        <v>383</v>
      </c>
      <c r="O80" s="59" t="s">
        <v>103</v>
      </c>
      <c r="P80" s="48"/>
      <c r="Q80" s="60">
        <v>2.0</v>
      </c>
      <c r="R80" s="48"/>
      <c r="S80" s="59" t="s">
        <v>61</v>
      </c>
      <c r="T80" s="48"/>
      <c r="U80" s="59" t="s">
        <v>34</v>
      </c>
      <c r="V80" s="48">
        <f>0.45*0.45</f>
        <v>0.2025</v>
      </c>
      <c r="W80" s="48">
        <f t="shared" ref="W80:W82" si="67">10000/V80</f>
        <v>49382.71605</v>
      </c>
      <c r="X80" s="48">
        <v>20000.0</v>
      </c>
      <c r="Y80" s="48">
        <v>30000.0</v>
      </c>
      <c r="Z80" s="48">
        <v>40000.0</v>
      </c>
      <c r="AA80" s="59" t="s">
        <v>62</v>
      </c>
      <c r="AB80" s="48">
        <v>40000.0</v>
      </c>
      <c r="AC80" s="48">
        <f t="shared" ref="AC80:AC82" si="68">AB80/W80</f>
        <v>0.81</v>
      </c>
      <c r="AD80" s="48">
        <f t="shared" ref="AD80:AD82" si="69">K80/AC80</f>
        <v>56.32716049</v>
      </c>
      <c r="AE80" s="48">
        <f t="shared" ref="AE80:AE82" si="70">AD80/Q80</f>
        <v>28.16358025</v>
      </c>
      <c r="AF80" s="64">
        <v>5.3</v>
      </c>
      <c r="AG80" s="41">
        <f t="shared" ref="AG80:AG82" si="71">12/AF80</f>
        <v>2.264150943</v>
      </c>
      <c r="AH80" s="41">
        <f t="shared" ref="AH80:AH82" si="72">AD80/AG80</f>
        <v>24.87782922</v>
      </c>
      <c r="AI80" s="41">
        <f t="shared" ref="AI80:AI82" si="73">AH80*V80</f>
        <v>5.037760417</v>
      </c>
      <c r="AJ80" s="41"/>
      <c r="AK80" s="41"/>
    </row>
    <row r="81" ht="32.25" customHeight="1">
      <c r="A81" s="42"/>
      <c r="B81" s="42"/>
      <c r="C81" s="42"/>
      <c r="D81" s="42">
        <v>2.0</v>
      </c>
      <c r="E81" s="54" t="s">
        <v>384</v>
      </c>
      <c r="F81" s="55" t="s">
        <v>385</v>
      </c>
      <c r="G81" s="55" t="s">
        <v>386</v>
      </c>
      <c r="H81" s="55" t="s">
        <v>387</v>
      </c>
      <c r="I81" s="56">
        <f>I79/$E83</f>
        <v>0.025</v>
      </c>
      <c r="J81" s="56">
        <f t="shared" si="65"/>
        <v>0.125</v>
      </c>
      <c r="K81" s="57">
        <f t="shared" si="66"/>
        <v>45.625</v>
      </c>
      <c r="L81" s="58" t="s">
        <v>375</v>
      </c>
      <c r="M81" s="59" t="s">
        <v>110</v>
      </c>
      <c r="N81" s="59" t="s">
        <v>388</v>
      </c>
      <c r="O81" s="59" t="s">
        <v>265</v>
      </c>
      <c r="P81" s="48"/>
      <c r="Q81" s="60">
        <v>2.0</v>
      </c>
      <c r="R81" s="48"/>
      <c r="S81" s="59" t="s">
        <v>218</v>
      </c>
      <c r="T81" s="48"/>
      <c r="U81" s="59" t="s">
        <v>34</v>
      </c>
      <c r="V81" s="48">
        <f>0.6*0.45</f>
        <v>0.27</v>
      </c>
      <c r="W81" s="48">
        <f t="shared" si="67"/>
        <v>37037.03704</v>
      </c>
      <c r="X81" s="48">
        <v>20000.0</v>
      </c>
      <c r="Y81" s="48">
        <v>30000.0</v>
      </c>
      <c r="Z81" s="48">
        <v>50000.0</v>
      </c>
      <c r="AA81" s="59" t="s">
        <v>62</v>
      </c>
      <c r="AB81" s="48">
        <v>50000.0</v>
      </c>
      <c r="AC81" s="48">
        <f t="shared" si="68"/>
        <v>1.35</v>
      </c>
      <c r="AD81" s="48">
        <f t="shared" si="69"/>
        <v>33.7962963</v>
      </c>
      <c r="AE81" s="48">
        <f t="shared" si="70"/>
        <v>16.89814815</v>
      </c>
      <c r="AF81" s="64">
        <v>11.31</v>
      </c>
      <c r="AG81" s="41">
        <f t="shared" si="71"/>
        <v>1.061007958</v>
      </c>
      <c r="AH81" s="41">
        <f t="shared" si="72"/>
        <v>31.85300926</v>
      </c>
      <c r="AI81" s="41">
        <f t="shared" si="73"/>
        <v>8.6003125</v>
      </c>
      <c r="AJ81" s="41"/>
      <c r="AK81" s="41"/>
    </row>
    <row r="82" ht="20.25" customHeight="1">
      <c r="A82" s="42"/>
      <c r="B82" s="42"/>
      <c r="C82" s="42"/>
      <c r="D82" s="42">
        <v>3.0</v>
      </c>
      <c r="E82" s="54" t="s">
        <v>389</v>
      </c>
      <c r="F82" s="55" t="s">
        <v>389</v>
      </c>
      <c r="G82" s="55" t="s">
        <v>390</v>
      </c>
      <c r="H82" s="57"/>
      <c r="I82" s="56">
        <f>I79/$E83</f>
        <v>0.025</v>
      </c>
      <c r="J82" s="56">
        <f t="shared" si="65"/>
        <v>0.125</v>
      </c>
      <c r="K82" s="57">
        <f t="shared" si="66"/>
        <v>45.625</v>
      </c>
      <c r="L82" s="58" t="s">
        <v>127</v>
      </c>
      <c r="M82" s="48">
        <v>12.0</v>
      </c>
      <c r="N82" s="59" t="s">
        <v>391</v>
      </c>
      <c r="O82" s="59" t="s">
        <v>392</v>
      </c>
      <c r="P82" s="48"/>
      <c r="Q82" s="60">
        <v>3.0</v>
      </c>
      <c r="R82" s="48"/>
      <c r="S82" s="59" t="s">
        <v>289</v>
      </c>
      <c r="T82" s="48"/>
      <c r="U82" s="59" t="s">
        <v>34</v>
      </c>
      <c r="V82" s="48">
        <f>0.2*0.3</f>
        <v>0.06</v>
      </c>
      <c r="W82" s="48">
        <f t="shared" si="67"/>
        <v>166666.6667</v>
      </c>
      <c r="X82" s="48">
        <v>15000.0</v>
      </c>
      <c r="Y82" s="48">
        <v>25000.0</v>
      </c>
      <c r="Z82" s="48">
        <v>40000.0</v>
      </c>
      <c r="AA82" s="59" t="s">
        <v>62</v>
      </c>
      <c r="AB82" s="48">
        <v>40000.0</v>
      </c>
      <c r="AC82" s="48">
        <f t="shared" si="68"/>
        <v>0.24</v>
      </c>
      <c r="AD82" s="48">
        <f t="shared" si="69"/>
        <v>190.1041667</v>
      </c>
      <c r="AE82" s="48">
        <f t="shared" si="70"/>
        <v>63.36805556</v>
      </c>
      <c r="AF82" s="64">
        <v>11.31</v>
      </c>
      <c r="AG82" s="41">
        <f t="shared" si="71"/>
        <v>1.061007958</v>
      </c>
      <c r="AH82" s="41">
        <f t="shared" si="72"/>
        <v>179.1731771</v>
      </c>
      <c r="AI82" s="41">
        <f t="shared" si="73"/>
        <v>10.75039063</v>
      </c>
      <c r="AJ82" s="41"/>
      <c r="AK82" s="41"/>
    </row>
    <row r="83" ht="20.25" customHeight="1">
      <c r="A83" s="54" t="s">
        <v>63</v>
      </c>
      <c r="B83" s="54" t="s">
        <v>64</v>
      </c>
      <c r="C83" s="42"/>
      <c r="D83" s="54" t="s">
        <v>393</v>
      </c>
      <c r="E83" s="42">
        <f>$D82</f>
        <v>3</v>
      </c>
      <c r="F83" s="56"/>
      <c r="G83" s="56"/>
      <c r="H83" s="56"/>
      <c r="I83" s="56"/>
      <c r="J83" s="56"/>
      <c r="K83" s="57"/>
      <c r="L83" s="47"/>
      <c r="M83" s="48"/>
      <c r="N83" s="48"/>
      <c r="O83" s="48"/>
      <c r="P83" s="48"/>
      <c r="Q83" s="60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9"/>
      <c r="AF83" s="41"/>
      <c r="AG83" s="41"/>
      <c r="AH83" s="41"/>
      <c r="AI83" s="41"/>
      <c r="AJ83" s="41"/>
      <c r="AK83" s="41"/>
    </row>
    <row r="84" ht="20.25" customHeight="1">
      <c r="A84" s="54" t="s">
        <v>63</v>
      </c>
      <c r="B84" s="54" t="s">
        <v>66</v>
      </c>
      <c r="C84" s="54" t="s">
        <v>64</v>
      </c>
      <c r="D84" s="54" t="s">
        <v>393</v>
      </c>
      <c r="E84" s="42"/>
      <c r="F84" s="56"/>
      <c r="G84" s="56"/>
      <c r="H84" s="56"/>
      <c r="I84" s="56"/>
      <c r="J84" s="56"/>
      <c r="K84" s="57"/>
      <c r="L84" s="47"/>
      <c r="M84" s="48"/>
      <c r="N84" s="48"/>
      <c r="O84" s="48"/>
      <c r="P84" s="48"/>
      <c r="Q84" s="60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9"/>
      <c r="AF84" s="41"/>
      <c r="AG84" s="41"/>
      <c r="AH84" s="41"/>
      <c r="AI84" s="41">
        <f>SUM(AI80:AI82)</f>
        <v>24.38846354</v>
      </c>
      <c r="AJ84" s="41"/>
      <c r="AK84" s="41"/>
    </row>
    <row r="85" ht="20.25" customHeight="1">
      <c r="A85" s="54"/>
      <c r="B85" s="54"/>
      <c r="C85" s="42"/>
      <c r="D85" s="54"/>
      <c r="E85" s="42"/>
      <c r="F85" s="56"/>
      <c r="G85" s="56"/>
      <c r="H85" s="56"/>
      <c r="I85" s="56"/>
      <c r="J85" s="56"/>
      <c r="K85" s="57"/>
      <c r="L85" s="47"/>
      <c r="M85" s="48"/>
      <c r="N85" s="48"/>
      <c r="O85" s="48"/>
      <c r="P85" s="48"/>
      <c r="Q85" s="60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9"/>
      <c r="AF85" s="41"/>
      <c r="AG85" s="41"/>
      <c r="AH85" s="41"/>
      <c r="AI85" s="41"/>
      <c r="AJ85" s="41"/>
      <c r="AK85" s="41"/>
    </row>
    <row r="86" ht="20.25" customHeight="1">
      <c r="A86" s="42"/>
      <c r="B86" s="42"/>
      <c r="C86" s="50">
        <v>2.0</v>
      </c>
      <c r="D86" s="50"/>
      <c r="E86" s="51" t="s">
        <v>394</v>
      </c>
      <c r="F86" s="52"/>
      <c r="G86" s="52"/>
      <c r="H86" s="52"/>
      <c r="I86" s="52">
        <v>0.01</v>
      </c>
      <c r="J86" s="52">
        <f t="shared" ref="J86:J88" si="74">I86*5</f>
        <v>0.05</v>
      </c>
      <c r="K86" s="53">
        <f t="shared" ref="K86:K88" si="75">J86*365</f>
        <v>18.25</v>
      </c>
      <c r="L86" s="47"/>
      <c r="M86" s="48"/>
      <c r="N86" s="48"/>
      <c r="O86" s="48"/>
      <c r="P86" s="48"/>
      <c r="Q86" s="60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9"/>
      <c r="AF86" s="41"/>
      <c r="AG86" s="41"/>
      <c r="AH86" s="41"/>
      <c r="AI86" s="41"/>
      <c r="AJ86" s="41"/>
      <c r="AK86" s="41"/>
    </row>
    <row r="87" ht="32.25" customHeight="1">
      <c r="A87" s="42"/>
      <c r="B87" s="42"/>
      <c r="C87" s="42"/>
      <c r="D87" s="42">
        <v>1.0</v>
      </c>
      <c r="E87" s="54" t="s">
        <v>395</v>
      </c>
      <c r="F87" s="55" t="s">
        <v>396</v>
      </c>
      <c r="G87" s="55" t="s">
        <v>397</v>
      </c>
      <c r="H87" s="55" t="s">
        <v>398</v>
      </c>
      <c r="I87" s="56">
        <v>0.005</v>
      </c>
      <c r="J87" s="56">
        <f t="shared" si="74"/>
        <v>0.025</v>
      </c>
      <c r="K87" s="57">
        <f t="shared" si="75"/>
        <v>9.125</v>
      </c>
      <c r="L87" s="58" t="s">
        <v>360</v>
      </c>
      <c r="M87" s="59" t="s">
        <v>55</v>
      </c>
      <c r="N87" s="59" t="s">
        <v>120</v>
      </c>
      <c r="O87" s="59" t="s">
        <v>399</v>
      </c>
      <c r="P87" s="48"/>
      <c r="Q87" s="60">
        <v>1.0</v>
      </c>
      <c r="R87" s="48"/>
      <c r="S87" s="59" t="s">
        <v>400</v>
      </c>
      <c r="T87" s="48"/>
      <c r="U87" s="59" t="s">
        <v>34</v>
      </c>
      <c r="V87" s="48">
        <f>0.15*0.1</f>
        <v>0.015</v>
      </c>
      <c r="W87" s="48">
        <f t="shared" ref="W87:W88" si="76">10000/V87</f>
        <v>666666.6667</v>
      </c>
      <c r="X87" s="48">
        <v>3000.0</v>
      </c>
      <c r="Y87" s="48">
        <v>6000.0</v>
      </c>
      <c r="Z87" s="48">
        <v>9000.0</v>
      </c>
      <c r="AA87" s="59" t="s">
        <v>62</v>
      </c>
      <c r="AB87" s="48">
        <v>9000.0</v>
      </c>
      <c r="AC87" s="48">
        <f t="shared" ref="AC87:AC88" si="77">AB87/W87</f>
        <v>0.0135</v>
      </c>
      <c r="AD87" s="48">
        <f t="shared" ref="AD87:AD88" si="78">K87/AC87</f>
        <v>675.9259259</v>
      </c>
      <c r="AE87" s="48">
        <f t="shared" ref="AE87:AE88" si="79">AD87/Q87</f>
        <v>675.9259259</v>
      </c>
      <c r="AF87" s="64">
        <v>2.81</v>
      </c>
      <c r="AG87" s="41">
        <f t="shared" ref="AG87:AG88" si="80">12/AF87</f>
        <v>4.270462633</v>
      </c>
      <c r="AH87" s="41">
        <f t="shared" ref="AH87:AH88" si="81">AD87/AG87</f>
        <v>158.279321</v>
      </c>
      <c r="AI87" s="41">
        <f t="shared" ref="AI87:AI88" si="82">AH87*V87</f>
        <v>2.374189815</v>
      </c>
      <c r="AJ87" s="41"/>
      <c r="AK87" s="41"/>
    </row>
    <row r="88" ht="20.25" customHeight="1">
      <c r="A88" s="42"/>
      <c r="B88" s="42"/>
      <c r="C88" s="42"/>
      <c r="D88" s="42">
        <v>2.0</v>
      </c>
      <c r="E88" s="54" t="s">
        <v>401</v>
      </c>
      <c r="F88" s="55" t="s">
        <v>402</v>
      </c>
      <c r="G88" s="55" t="s">
        <v>403</v>
      </c>
      <c r="H88" s="57"/>
      <c r="I88" s="56">
        <v>0.005</v>
      </c>
      <c r="J88" s="56">
        <f t="shared" si="74"/>
        <v>0.025</v>
      </c>
      <c r="K88" s="57">
        <f t="shared" si="75"/>
        <v>9.125</v>
      </c>
      <c r="L88" s="58" t="s">
        <v>404</v>
      </c>
      <c r="M88" s="48">
        <v>12.0</v>
      </c>
      <c r="N88" s="59" t="s">
        <v>405</v>
      </c>
      <c r="O88" s="59" t="s">
        <v>406</v>
      </c>
      <c r="P88" s="48"/>
      <c r="Q88" s="60">
        <v>1.0</v>
      </c>
      <c r="R88" s="48"/>
      <c r="S88" s="69" t="s">
        <v>407</v>
      </c>
      <c r="T88" s="48"/>
      <c r="U88" s="59" t="s">
        <v>34</v>
      </c>
      <c r="V88" s="48">
        <f>0.2*0.25</f>
        <v>0.05</v>
      </c>
      <c r="W88" s="48">
        <f t="shared" si="76"/>
        <v>200000</v>
      </c>
      <c r="X88" s="48">
        <v>4000.0</v>
      </c>
      <c r="Y88" s="48">
        <v>8000.0</v>
      </c>
      <c r="Z88" s="48">
        <v>12000.0</v>
      </c>
      <c r="AA88" s="59" t="s">
        <v>62</v>
      </c>
      <c r="AB88" s="48">
        <v>12000.0</v>
      </c>
      <c r="AC88" s="48">
        <f t="shared" si="77"/>
        <v>0.06</v>
      </c>
      <c r="AD88" s="48">
        <f t="shared" si="78"/>
        <v>152.0833333</v>
      </c>
      <c r="AE88" s="48">
        <f t="shared" si="79"/>
        <v>152.0833333</v>
      </c>
      <c r="AF88" s="64">
        <v>8.31</v>
      </c>
      <c r="AG88" s="41">
        <f t="shared" si="80"/>
        <v>1.444043321</v>
      </c>
      <c r="AH88" s="41">
        <f t="shared" si="81"/>
        <v>105.3177083</v>
      </c>
      <c r="AI88" s="41">
        <f t="shared" si="82"/>
        <v>5.265885417</v>
      </c>
      <c r="AJ88" s="41"/>
      <c r="AK88" s="41"/>
    </row>
    <row r="89" ht="20.25" customHeight="1">
      <c r="A89" s="54" t="s">
        <v>63</v>
      </c>
      <c r="B89" s="54" t="s">
        <v>64</v>
      </c>
      <c r="C89" s="42"/>
      <c r="D89" s="54" t="s">
        <v>408</v>
      </c>
      <c r="E89" s="42">
        <f>$D88</f>
        <v>2</v>
      </c>
      <c r="F89" s="56"/>
      <c r="G89" s="56"/>
      <c r="H89" s="56"/>
      <c r="I89" s="56"/>
      <c r="J89" s="56"/>
      <c r="K89" s="57"/>
      <c r="L89" s="47"/>
      <c r="M89" s="48"/>
      <c r="N89" s="48"/>
      <c r="O89" s="48"/>
      <c r="P89" s="48"/>
      <c r="Q89" s="60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9"/>
      <c r="AF89" s="41"/>
      <c r="AG89" s="41"/>
      <c r="AH89" s="41"/>
      <c r="AI89" s="41"/>
      <c r="AJ89" s="41"/>
      <c r="AK89" s="41"/>
    </row>
    <row r="90" ht="20.25" customHeight="1">
      <c r="A90" s="54" t="s">
        <v>63</v>
      </c>
      <c r="B90" s="54" t="s">
        <v>66</v>
      </c>
      <c r="C90" s="54" t="s">
        <v>64</v>
      </c>
      <c r="D90" s="54" t="s">
        <v>408</v>
      </c>
      <c r="E90" s="42"/>
      <c r="F90" s="56"/>
      <c r="G90" s="56"/>
      <c r="H90" s="56"/>
      <c r="I90" s="56"/>
      <c r="J90" s="56"/>
      <c r="K90" s="57"/>
      <c r="L90" s="47"/>
      <c r="M90" s="48"/>
      <c r="N90" s="48"/>
      <c r="O90" s="48"/>
      <c r="P90" s="48"/>
      <c r="Q90" s="60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9"/>
      <c r="AF90" s="41"/>
      <c r="AG90" s="41"/>
      <c r="AH90" s="41"/>
      <c r="AI90" s="41">
        <f>SUM(AI87:AI88)</f>
        <v>7.640075231</v>
      </c>
      <c r="AJ90" s="41"/>
      <c r="AK90" s="41"/>
    </row>
    <row r="91" ht="20.25" customHeight="1">
      <c r="A91" s="54"/>
      <c r="B91" s="54"/>
      <c r="C91" s="42"/>
      <c r="D91" s="54"/>
      <c r="E91" s="42"/>
      <c r="F91" s="56"/>
      <c r="G91" s="56"/>
      <c r="H91" s="56"/>
      <c r="I91" s="56"/>
      <c r="J91" s="56"/>
      <c r="K91" s="57"/>
      <c r="L91" s="47"/>
      <c r="M91" s="48"/>
      <c r="N91" s="48"/>
      <c r="O91" s="48"/>
      <c r="P91" s="48"/>
      <c r="Q91" s="60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9"/>
      <c r="AF91" s="41"/>
      <c r="AG91" s="41"/>
      <c r="AH91" s="41"/>
      <c r="AI91" s="41"/>
      <c r="AJ91" s="41"/>
      <c r="AK91" s="41"/>
    </row>
    <row r="92" ht="20.25" customHeight="1">
      <c r="A92" s="42"/>
      <c r="B92" s="42"/>
      <c r="C92" s="50">
        <v>3.0</v>
      </c>
      <c r="D92" s="50"/>
      <c r="E92" s="51" t="s">
        <v>409</v>
      </c>
      <c r="F92" s="52"/>
      <c r="G92" s="52"/>
      <c r="H92" s="52"/>
      <c r="I92" s="52">
        <v>0.015</v>
      </c>
      <c r="J92" s="52">
        <f t="shared" ref="J92:J95" si="83">I92*5</f>
        <v>0.075</v>
      </c>
      <c r="K92" s="53">
        <f t="shared" ref="K92:K95" si="84">J92*365</f>
        <v>27.375</v>
      </c>
      <c r="L92" s="47"/>
      <c r="M92" s="48"/>
      <c r="N92" s="48"/>
      <c r="O92" s="48"/>
      <c r="P92" s="48"/>
      <c r="Q92" s="60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9"/>
      <c r="AF92" s="41"/>
      <c r="AG92" s="41"/>
      <c r="AH92" s="41"/>
      <c r="AI92" s="41"/>
      <c r="AJ92" s="41"/>
      <c r="AK92" s="41"/>
    </row>
    <row r="93" ht="20.25" customHeight="1">
      <c r="A93" s="42"/>
      <c r="B93" s="42"/>
      <c r="C93" s="42"/>
      <c r="D93" s="42">
        <v>1.0</v>
      </c>
      <c r="E93" s="54" t="s">
        <v>410</v>
      </c>
      <c r="F93" s="55" t="s">
        <v>411</v>
      </c>
      <c r="G93" s="55" t="s">
        <v>412</v>
      </c>
      <c r="H93" s="55" t="s">
        <v>413</v>
      </c>
      <c r="I93" s="56">
        <f>I92/$E96</f>
        <v>0.005</v>
      </c>
      <c r="J93" s="56">
        <f t="shared" si="83"/>
        <v>0.025</v>
      </c>
      <c r="K93" s="57">
        <f t="shared" si="84"/>
        <v>9.125</v>
      </c>
      <c r="L93" s="58" t="s">
        <v>414</v>
      </c>
      <c r="M93" s="48">
        <v>6.0</v>
      </c>
      <c r="N93" s="59" t="s">
        <v>415</v>
      </c>
      <c r="O93" s="59" t="s">
        <v>416</v>
      </c>
      <c r="P93" s="48"/>
      <c r="Q93" s="60">
        <v>2.0</v>
      </c>
      <c r="R93" s="48"/>
      <c r="S93" s="59" t="s">
        <v>237</v>
      </c>
      <c r="T93" s="48"/>
      <c r="U93" s="59" t="s">
        <v>34</v>
      </c>
      <c r="V93" s="48">
        <f>0.3*0.45</f>
        <v>0.135</v>
      </c>
      <c r="W93" s="48">
        <f t="shared" ref="W93:W95" si="85">10000/V93</f>
        <v>74074.07407</v>
      </c>
      <c r="X93" s="48">
        <v>10000.0</v>
      </c>
      <c r="Y93" s="48">
        <v>15000.0</v>
      </c>
      <c r="Z93" s="48">
        <v>20000.0</v>
      </c>
      <c r="AA93" s="59" t="s">
        <v>62</v>
      </c>
      <c r="AB93" s="48">
        <v>20000.0</v>
      </c>
      <c r="AC93" s="48">
        <f t="shared" ref="AC93:AC95" si="86">AB93/W93</f>
        <v>0.27</v>
      </c>
      <c r="AD93" s="48">
        <f t="shared" ref="AD93:AD95" si="87">K93/AC93</f>
        <v>33.7962963</v>
      </c>
      <c r="AE93" s="48">
        <f t="shared" ref="AE93:AE95" si="88">AD93/Q93</f>
        <v>16.89814815</v>
      </c>
      <c r="AF93" s="64">
        <v>5.31</v>
      </c>
      <c r="AG93" s="41">
        <f t="shared" ref="AG93:AG95" si="89">12/AF93</f>
        <v>2.259887006</v>
      </c>
      <c r="AH93" s="41">
        <f t="shared" ref="AH93:AH95" si="90">AD93/AG93</f>
        <v>14.95486111</v>
      </c>
      <c r="AI93" s="41">
        <f t="shared" ref="AI93:AI95" si="91">AH93*V93</f>
        <v>2.01890625</v>
      </c>
      <c r="AJ93" s="41"/>
      <c r="AK93" s="41"/>
    </row>
    <row r="94" ht="32.25" customHeight="1">
      <c r="A94" s="42"/>
      <c r="B94" s="42"/>
      <c r="C94" s="42"/>
      <c r="D94" s="42">
        <v>2.0</v>
      </c>
      <c r="E94" s="54" t="s">
        <v>417</v>
      </c>
      <c r="F94" s="55" t="s">
        <v>417</v>
      </c>
      <c r="G94" s="55" t="s">
        <v>418</v>
      </c>
      <c r="H94" s="55" t="s">
        <v>132</v>
      </c>
      <c r="I94" s="56">
        <f>I92/$E96</f>
        <v>0.005</v>
      </c>
      <c r="J94" s="56">
        <f t="shared" si="83"/>
        <v>0.025</v>
      </c>
      <c r="K94" s="57">
        <f t="shared" si="84"/>
        <v>9.125</v>
      </c>
      <c r="L94" s="58" t="s">
        <v>151</v>
      </c>
      <c r="M94" s="59" t="s">
        <v>55</v>
      </c>
      <c r="N94" s="59" t="s">
        <v>159</v>
      </c>
      <c r="O94" s="59" t="s">
        <v>103</v>
      </c>
      <c r="P94" s="48"/>
      <c r="Q94" s="60">
        <v>6.0</v>
      </c>
      <c r="R94" s="48"/>
      <c r="S94" s="59" t="s">
        <v>61</v>
      </c>
      <c r="T94" s="48"/>
      <c r="U94" s="59" t="s">
        <v>34</v>
      </c>
      <c r="V94" s="48">
        <f>0.45*0.45</f>
        <v>0.2025</v>
      </c>
      <c r="W94" s="48">
        <f t="shared" si="85"/>
        <v>49382.71605</v>
      </c>
      <c r="X94" s="48">
        <v>1500.0</v>
      </c>
      <c r="Y94" s="48">
        <v>3000.0</v>
      </c>
      <c r="Z94" s="48">
        <v>5000.0</v>
      </c>
      <c r="AA94" s="59" t="s">
        <v>62</v>
      </c>
      <c r="AB94" s="48">
        <v>5000.0</v>
      </c>
      <c r="AC94" s="48">
        <f t="shared" si="86"/>
        <v>0.10125</v>
      </c>
      <c r="AD94" s="48">
        <f t="shared" si="87"/>
        <v>90.12345679</v>
      </c>
      <c r="AE94" s="48">
        <f t="shared" si="88"/>
        <v>15.02057613</v>
      </c>
      <c r="AF94" s="64">
        <v>2.31</v>
      </c>
      <c r="AG94" s="41">
        <f t="shared" si="89"/>
        <v>5.194805195</v>
      </c>
      <c r="AH94" s="41">
        <f t="shared" si="90"/>
        <v>17.34876543</v>
      </c>
      <c r="AI94" s="41">
        <f t="shared" si="91"/>
        <v>3.513125</v>
      </c>
      <c r="AJ94" s="41"/>
      <c r="AK94" s="41"/>
    </row>
    <row r="95" ht="32.25" customHeight="1">
      <c r="A95" s="42"/>
      <c r="B95" s="42"/>
      <c r="C95" s="42"/>
      <c r="D95" s="42">
        <v>3.0</v>
      </c>
      <c r="E95" s="54" t="s">
        <v>419</v>
      </c>
      <c r="F95" s="55" t="s">
        <v>420</v>
      </c>
      <c r="G95" s="55" t="s">
        <v>421</v>
      </c>
      <c r="H95" s="57"/>
      <c r="I95" s="56">
        <f>I92/$E96</f>
        <v>0.005</v>
      </c>
      <c r="J95" s="56">
        <f t="shared" si="83"/>
        <v>0.025</v>
      </c>
      <c r="K95" s="57">
        <f t="shared" si="84"/>
        <v>9.125</v>
      </c>
      <c r="L95" s="58" t="s">
        <v>151</v>
      </c>
      <c r="M95" s="59" t="s">
        <v>55</v>
      </c>
      <c r="N95" s="59" t="s">
        <v>422</v>
      </c>
      <c r="O95" s="59" t="s">
        <v>423</v>
      </c>
      <c r="P95" s="48"/>
      <c r="Q95" s="60">
        <v>3.0</v>
      </c>
      <c r="R95" s="48"/>
      <c r="S95" s="59" t="s">
        <v>138</v>
      </c>
      <c r="T95" s="48"/>
      <c r="U95" s="59" t="s">
        <v>34</v>
      </c>
      <c r="V95" s="48">
        <f>0.2*0.2</f>
        <v>0.04</v>
      </c>
      <c r="W95" s="48">
        <f t="shared" si="85"/>
        <v>250000</v>
      </c>
      <c r="X95" s="48">
        <v>3000.0</v>
      </c>
      <c r="Y95" s="48">
        <v>5000.0</v>
      </c>
      <c r="Z95" s="48">
        <v>7000.0</v>
      </c>
      <c r="AA95" s="59" t="s">
        <v>62</v>
      </c>
      <c r="AB95" s="48">
        <v>7000.0</v>
      </c>
      <c r="AC95" s="48">
        <f t="shared" si="86"/>
        <v>0.028</v>
      </c>
      <c r="AD95" s="48">
        <f t="shared" si="87"/>
        <v>325.8928571</v>
      </c>
      <c r="AE95" s="48">
        <f t="shared" si="88"/>
        <v>108.6309524</v>
      </c>
      <c r="AF95" s="64">
        <v>3.31</v>
      </c>
      <c r="AG95" s="41">
        <f t="shared" si="89"/>
        <v>3.625377644</v>
      </c>
      <c r="AH95" s="41">
        <f t="shared" si="90"/>
        <v>89.8921131</v>
      </c>
      <c r="AI95" s="41">
        <f t="shared" si="91"/>
        <v>3.595684524</v>
      </c>
      <c r="AJ95" s="41"/>
      <c r="AK95" s="41"/>
    </row>
    <row r="96" ht="20.25" customHeight="1">
      <c r="A96" s="54" t="s">
        <v>424</v>
      </c>
      <c r="B96" s="54" t="s">
        <v>64</v>
      </c>
      <c r="C96" s="42"/>
      <c r="D96" s="54" t="s">
        <v>425</v>
      </c>
      <c r="E96" s="42">
        <f>$D95</f>
        <v>3</v>
      </c>
      <c r="F96" s="56"/>
      <c r="G96" s="56"/>
      <c r="H96" s="56"/>
      <c r="I96" s="56"/>
      <c r="J96" s="56"/>
      <c r="K96" s="57"/>
      <c r="L96" s="47"/>
      <c r="M96" s="48"/>
      <c r="N96" s="48"/>
      <c r="O96" s="48"/>
      <c r="P96" s="48"/>
      <c r="Q96" s="60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9"/>
      <c r="AF96" s="41"/>
      <c r="AG96" s="41"/>
      <c r="AH96" s="41"/>
      <c r="AI96" s="41"/>
      <c r="AJ96" s="41"/>
      <c r="AK96" s="41"/>
    </row>
    <row r="97" ht="20.25" customHeight="1">
      <c r="A97" s="54" t="s">
        <v>63</v>
      </c>
      <c r="B97" s="54" t="s">
        <v>66</v>
      </c>
      <c r="C97" s="54" t="s">
        <v>64</v>
      </c>
      <c r="D97" s="54" t="s">
        <v>425</v>
      </c>
      <c r="E97" s="42">
        <f>$E83+$E89+$E96</f>
        <v>8</v>
      </c>
      <c r="F97" s="56"/>
      <c r="G97" s="56"/>
      <c r="H97" s="56"/>
      <c r="I97" s="56"/>
      <c r="J97" s="56"/>
      <c r="K97" s="57"/>
      <c r="L97" s="47"/>
      <c r="M97" s="48"/>
      <c r="N97" s="48"/>
      <c r="O97" s="48"/>
      <c r="P97" s="48"/>
      <c r="Q97" s="60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9"/>
      <c r="AF97" s="41"/>
      <c r="AG97" s="41"/>
      <c r="AH97" s="41"/>
      <c r="AI97" s="41">
        <f>SUM(AI93:AI95)</f>
        <v>9.127715774</v>
      </c>
      <c r="AJ97" s="41"/>
      <c r="AK97" s="41"/>
    </row>
    <row r="98" ht="20.25" customHeight="1">
      <c r="A98" s="54" t="s">
        <v>63</v>
      </c>
      <c r="B98" s="54" t="s">
        <v>66</v>
      </c>
      <c r="C98" s="54" t="s">
        <v>64</v>
      </c>
      <c r="D98" s="42">
        <v>1.6</v>
      </c>
      <c r="E98" s="42"/>
      <c r="F98" s="56"/>
      <c r="G98" s="56"/>
      <c r="H98" s="56"/>
      <c r="I98" s="56"/>
      <c r="J98" s="56"/>
      <c r="K98" s="57"/>
      <c r="L98" s="47"/>
      <c r="M98" s="48"/>
      <c r="N98" s="48"/>
      <c r="O98" s="48"/>
      <c r="P98" s="48"/>
      <c r="Q98" s="60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9"/>
      <c r="AF98" s="41"/>
      <c r="AG98" s="41"/>
      <c r="AH98" s="41"/>
      <c r="AI98" s="41">
        <f>SUM(AI84,AI90,AI97)</f>
        <v>41.15625455</v>
      </c>
      <c r="AJ98" s="41"/>
      <c r="AK98" s="41"/>
    </row>
    <row r="99" ht="20.25" customHeight="1">
      <c r="A99" s="42"/>
      <c r="B99" s="42"/>
      <c r="C99" s="42"/>
      <c r="D99" s="42"/>
      <c r="E99" s="42"/>
      <c r="F99" s="56"/>
      <c r="G99" s="56"/>
      <c r="H99" s="56"/>
      <c r="I99" s="56"/>
      <c r="J99" s="56"/>
      <c r="K99" s="57"/>
      <c r="L99" s="47"/>
      <c r="M99" s="48"/>
      <c r="N99" s="48"/>
      <c r="O99" s="48"/>
      <c r="P99" s="48"/>
      <c r="Q99" s="60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9"/>
      <c r="AF99" s="41"/>
      <c r="AG99" s="41"/>
      <c r="AH99" s="41"/>
      <c r="AI99" s="41"/>
      <c r="AJ99" s="41"/>
      <c r="AK99" s="41"/>
    </row>
    <row r="100" ht="20.25" customHeight="1">
      <c r="A100" s="42"/>
      <c r="B100" s="43">
        <v>7.0</v>
      </c>
      <c r="C100" s="43"/>
      <c r="D100" s="43"/>
      <c r="E100" s="44" t="s">
        <v>426</v>
      </c>
      <c r="F100" s="45"/>
      <c r="G100" s="45"/>
      <c r="H100" s="45"/>
      <c r="I100" s="45">
        <v>0.01</v>
      </c>
      <c r="J100" s="45">
        <f t="shared" ref="J100:J101" si="92">I100*5</f>
        <v>0.05</v>
      </c>
      <c r="K100" s="46">
        <f t="shared" ref="K100:K101" si="93">J100*365</f>
        <v>18.25</v>
      </c>
      <c r="L100" s="47"/>
      <c r="M100" s="48"/>
      <c r="N100" s="48"/>
      <c r="O100" s="48"/>
      <c r="P100" s="48"/>
      <c r="Q100" s="60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9"/>
      <c r="AF100" s="41"/>
      <c r="AG100" s="41"/>
      <c r="AH100" s="41"/>
      <c r="AI100" s="41"/>
      <c r="AJ100" s="41"/>
      <c r="AK100" s="41"/>
    </row>
    <row r="101" ht="20.25" customHeight="1">
      <c r="A101" s="42"/>
      <c r="B101" s="42"/>
      <c r="C101" s="42"/>
      <c r="D101" s="42">
        <v>1.0</v>
      </c>
      <c r="E101" s="54" t="s">
        <v>427</v>
      </c>
      <c r="F101" s="55" t="s">
        <v>428</v>
      </c>
      <c r="G101" s="55" t="s">
        <v>429</v>
      </c>
      <c r="H101" s="55" t="s">
        <v>430</v>
      </c>
      <c r="I101" s="56">
        <f>I100/$E102</f>
        <v>0.01</v>
      </c>
      <c r="J101" s="56">
        <f t="shared" si="92"/>
        <v>0.05</v>
      </c>
      <c r="K101" s="57">
        <f t="shared" si="93"/>
        <v>18.25</v>
      </c>
      <c r="L101" s="58" t="s">
        <v>176</v>
      </c>
      <c r="M101" s="48">
        <v>12.0</v>
      </c>
      <c r="N101" s="59" t="s">
        <v>431</v>
      </c>
      <c r="O101" s="59" t="s">
        <v>432</v>
      </c>
      <c r="P101" s="48"/>
      <c r="Q101" s="60">
        <v>1.0</v>
      </c>
      <c r="R101" s="48"/>
      <c r="S101" s="59" t="s">
        <v>433</v>
      </c>
      <c r="T101" s="48"/>
      <c r="U101" s="59" t="s">
        <v>34</v>
      </c>
      <c r="V101" s="48">
        <f>2*2.5</f>
        <v>5</v>
      </c>
      <c r="W101" s="48">
        <f>10000/V101</f>
        <v>2000</v>
      </c>
      <c r="X101" s="48">
        <v>5000.0</v>
      </c>
      <c r="Y101" s="48">
        <v>8000.0</v>
      </c>
      <c r="Z101" s="48">
        <v>12000.0</v>
      </c>
      <c r="AA101" s="59" t="s">
        <v>62</v>
      </c>
      <c r="AB101" s="48">
        <v>12000.0</v>
      </c>
      <c r="AC101" s="48">
        <f>AB101/W101</f>
        <v>6</v>
      </c>
      <c r="AD101" s="48">
        <f>K101/AC101</f>
        <v>3.041666667</v>
      </c>
      <c r="AE101" s="48">
        <f>AD101/Q101</f>
        <v>3.041666667</v>
      </c>
      <c r="AF101" s="64">
        <v>11.31</v>
      </c>
      <c r="AG101" s="41">
        <f>12/AF101</f>
        <v>1.061007958</v>
      </c>
      <c r="AH101" s="41">
        <f>AD101/AG101</f>
        <v>2.866770833</v>
      </c>
      <c r="AI101" s="41">
        <f t="shared" ref="AI101:AI104" si="94">AH101*V101</f>
        <v>14.33385417</v>
      </c>
      <c r="AJ101" s="41"/>
      <c r="AK101" s="41"/>
    </row>
    <row r="102" ht="20.25" customHeight="1">
      <c r="A102" s="54" t="s">
        <v>63</v>
      </c>
      <c r="B102" s="54" t="s">
        <v>64</v>
      </c>
      <c r="C102" s="42"/>
      <c r="D102" s="42">
        <v>1.7</v>
      </c>
      <c r="E102" s="42">
        <f>$D101</f>
        <v>1</v>
      </c>
      <c r="F102" s="57"/>
      <c r="G102" s="57"/>
      <c r="H102" s="57"/>
      <c r="I102" s="56"/>
      <c r="J102" s="56"/>
      <c r="K102" s="57"/>
      <c r="L102" s="47"/>
      <c r="M102" s="48"/>
      <c r="N102" s="48"/>
      <c r="O102" s="48"/>
      <c r="P102" s="48"/>
      <c r="Q102" s="60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9"/>
      <c r="AF102" s="41"/>
      <c r="AG102" s="41"/>
      <c r="AH102" s="41"/>
      <c r="AI102" s="41">
        <f t="shared" si="94"/>
        <v>0</v>
      </c>
      <c r="AJ102" s="41"/>
      <c r="AK102" s="41"/>
    </row>
    <row r="103" ht="20.25" customHeight="1">
      <c r="A103" s="54" t="s">
        <v>63</v>
      </c>
      <c r="B103" s="54" t="s">
        <v>66</v>
      </c>
      <c r="C103" s="54" t="s">
        <v>64</v>
      </c>
      <c r="D103" s="42">
        <v>1.7</v>
      </c>
      <c r="E103" s="42">
        <f>$E19+$E36+$E46+$E55+$E74+$E97+$E102</f>
        <v>53</v>
      </c>
      <c r="F103" s="56"/>
      <c r="G103" s="56"/>
      <c r="H103" s="56"/>
      <c r="I103" s="56"/>
      <c r="J103" s="56"/>
      <c r="K103" s="57"/>
      <c r="L103" s="47"/>
      <c r="M103" s="48"/>
      <c r="N103" s="48"/>
      <c r="O103" s="48"/>
      <c r="P103" s="48"/>
      <c r="Q103" s="60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9"/>
      <c r="AF103" s="41"/>
      <c r="AG103" s="41"/>
      <c r="AH103" s="41"/>
      <c r="AI103" s="41">
        <f t="shared" si="94"/>
        <v>0</v>
      </c>
      <c r="AJ103" s="41"/>
      <c r="AK103" s="41"/>
    </row>
    <row r="104" ht="20.25" customHeight="1">
      <c r="A104" s="54" t="s">
        <v>63</v>
      </c>
      <c r="B104" s="54" t="s">
        <v>66</v>
      </c>
      <c r="C104" s="54" t="s">
        <v>64</v>
      </c>
      <c r="D104" s="54" t="s">
        <v>434</v>
      </c>
      <c r="E104" s="42"/>
      <c r="F104" s="56"/>
      <c r="G104" s="56"/>
      <c r="H104" s="56"/>
      <c r="I104" s="56"/>
      <c r="J104" s="56"/>
      <c r="K104" s="57"/>
      <c r="L104" s="47"/>
      <c r="M104" s="48"/>
      <c r="N104" s="48"/>
      <c r="O104" s="48"/>
      <c r="P104" s="48"/>
      <c r="Q104" s="60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9"/>
      <c r="AF104" s="41"/>
      <c r="AG104" s="41"/>
      <c r="AH104" s="41"/>
      <c r="AI104" s="41">
        <f t="shared" si="94"/>
        <v>0</v>
      </c>
      <c r="AJ104" s="41"/>
      <c r="AK104" s="41"/>
    </row>
    <row r="105" ht="20.25" customHeight="1">
      <c r="A105" s="42"/>
      <c r="B105" s="42"/>
      <c r="C105" s="42"/>
      <c r="D105" s="42"/>
      <c r="E105" s="42"/>
      <c r="F105" s="56"/>
      <c r="G105" s="56"/>
      <c r="H105" s="56"/>
      <c r="I105" s="56"/>
      <c r="J105" s="56"/>
      <c r="K105" s="57"/>
      <c r="L105" s="47"/>
      <c r="M105" s="48"/>
      <c r="N105" s="48"/>
      <c r="O105" s="48"/>
      <c r="P105" s="48"/>
      <c r="Q105" s="60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9"/>
      <c r="AF105" s="41"/>
      <c r="AG105" s="41"/>
      <c r="AH105" s="41"/>
      <c r="AI105" s="41"/>
      <c r="AJ105" s="41"/>
      <c r="AK105" s="41"/>
    </row>
    <row r="106" ht="20.25" customHeight="1">
      <c r="A106" s="35">
        <v>2.0</v>
      </c>
      <c r="B106" s="35"/>
      <c r="C106" s="35"/>
      <c r="D106" s="35"/>
      <c r="E106" s="34" t="s">
        <v>435</v>
      </c>
      <c r="F106" s="36"/>
      <c r="G106" s="36"/>
      <c r="H106" s="36"/>
      <c r="I106" s="36">
        <v>0.01</v>
      </c>
      <c r="J106" s="36">
        <f t="shared" ref="J106:J117" si="95">I106*5</f>
        <v>0.05</v>
      </c>
      <c r="K106" s="37">
        <f t="shared" ref="K106:K117" si="96">J106*365</f>
        <v>18.25</v>
      </c>
      <c r="L106" s="47"/>
      <c r="M106" s="48"/>
      <c r="N106" s="48"/>
      <c r="O106" s="48"/>
      <c r="P106" s="48"/>
      <c r="Q106" s="60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9"/>
      <c r="AF106" s="41"/>
      <c r="AG106" s="41"/>
      <c r="AH106" s="41"/>
      <c r="AI106" s="41"/>
      <c r="AJ106" s="41"/>
      <c r="AK106" s="41"/>
    </row>
    <row r="107" ht="32.25" customHeight="1">
      <c r="A107" s="42"/>
      <c r="B107" s="42"/>
      <c r="C107" s="42"/>
      <c r="D107" s="42">
        <v>1.0</v>
      </c>
      <c r="E107" s="54" t="s">
        <v>436</v>
      </c>
      <c r="F107" s="55" t="s">
        <v>436</v>
      </c>
      <c r="G107" s="55" t="s">
        <v>437</v>
      </c>
      <c r="H107" s="55" t="s">
        <v>438</v>
      </c>
      <c r="I107" s="56">
        <f>I106/$E118</f>
        <v>0.0009090909091</v>
      </c>
      <c r="J107" s="56">
        <f t="shared" si="95"/>
        <v>0.004545454545</v>
      </c>
      <c r="K107" s="57">
        <f t="shared" si="96"/>
        <v>1.659090909</v>
      </c>
      <c r="L107" s="58" t="s">
        <v>439</v>
      </c>
      <c r="M107" s="59" t="s">
        <v>128</v>
      </c>
      <c r="N107" s="59" t="s">
        <v>198</v>
      </c>
      <c r="O107" s="59" t="s">
        <v>362</v>
      </c>
      <c r="P107" s="48"/>
      <c r="Q107" s="60">
        <v>3.0</v>
      </c>
      <c r="R107" s="48"/>
      <c r="S107" s="59" t="s">
        <v>440</v>
      </c>
      <c r="T107" s="48"/>
      <c r="U107" s="59" t="s">
        <v>34</v>
      </c>
      <c r="V107" s="48">
        <f t="shared" ref="V107:V108" si="97">0.3*0.1</f>
        <v>0.03</v>
      </c>
      <c r="W107" s="48">
        <f t="shared" ref="W107:W117" si="98">10000/V107</f>
        <v>333333.3333</v>
      </c>
      <c r="X107" s="48">
        <v>1000.0</v>
      </c>
      <c r="Y107" s="48">
        <v>2000.0</v>
      </c>
      <c r="Z107" s="48">
        <v>4000.0</v>
      </c>
      <c r="AA107" s="59" t="s">
        <v>62</v>
      </c>
      <c r="AB107" s="48">
        <v>4000.0</v>
      </c>
      <c r="AC107" s="48">
        <f t="shared" ref="AC107:AC117" si="99">AB107/W107</f>
        <v>0.012</v>
      </c>
      <c r="AD107" s="48">
        <f t="shared" ref="AD107:AD117" si="100">K107/AC107</f>
        <v>138.2575758</v>
      </c>
      <c r="AE107" s="48">
        <f t="shared" ref="AE107:AE117" si="101">AD107/Q107</f>
        <v>46.08585859</v>
      </c>
      <c r="AF107" s="64">
        <v>11.31</v>
      </c>
      <c r="AG107" s="41">
        <f t="shared" ref="AG107:AG117" si="102">12/AF107</f>
        <v>1.061007958</v>
      </c>
      <c r="AH107" s="41">
        <f t="shared" ref="AH107:AH117" si="103">AD107/AG107</f>
        <v>130.3077652</v>
      </c>
      <c r="AI107" s="41">
        <f t="shared" ref="AI107:AI117" si="104">AH107*V107</f>
        <v>3.909232955</v>
      </c>
      <c r="AJ107" s="41"/>
      <c r="AK107" s="41"/>
    </row>
    <row r="108" ht="20.25" customHeight="1">
      <c r="A108" s="42"/>
      <c r="B108" s="42"/>
      <c r="C108" s="42"/>
      <c r="D108" s="42">
        <v>2.0</v>
      </c>
      <c r="E108" s="54" t="s">
        <v>441</v>
      </c>
      <c r="F108" s="55" t="s">
        <v>442</v>
      </c>
      <c r="G108" s="55" t="s">
        <v>443</v>
      </c>
      <c r="H108" s="56"/>
      <c r="I108" s="56">
        <f>I106/$E118</f>
        <v>0.0009090909091</v>
      </c>
      <c r="J108" s="56">
        <f t="shared" si="95"/>
        <v>0.004545454545</v>
      </c>
      <c r="K108" s="57">
        <f t="shared" si="96"/>
        <v>1.659090909</v>
      </c>
      <c r="L108" s="58" t="s">
        <v>444</v>
      </c>
      <c r="M108" s="59" t="s">
        <v>128</v>
      </c>
      <c r="N108" s="59" t="s">
        <v>445</v>
      </c>
      <c r="O108" s="59" t="s">
        <v>362</v>
      </c>
      <c r="P108" s="48"/>
      <c r="Q108" s="60">
        <v>4.0</v>
      </c>
      <c r="R108" s="48"/>
      <c r="S108" s="59" t="s">
        <v>446</v>
      </c>
      <c r="T108" s="48"/>
      <c r="U108" s="59" t="s">
        <v>34</v>
      </c>
      <c r="V108" s="48">
        <f t="shared" si="97"/>
        <v>0.03</v>
      </c>
      <c r="W108" s="48">
        <f t="shared" si="98"/>
        <v>333333.3333</v>
      </c>
      <c r="X108" s="48">
        <v>1000.0</v>
      </c>
      <c r="Y108" s="48">
        <v>1500.0</v>
      </c>
      <c r="Z108" s="48">
        <v>2500.0</v>
      </c>
      <c r="AA108" s="59" t="s">
        <v>62</v>
      </c>
      <c r="AB108" s="48">
        <v>2500.0</v>
      </c>
      <c r="AC108" s="48">
        <f t="shared" si="99"/>
        <v>0.0075</v>
      </c>
      <c r="AD108" s="48">
        <f t="shared" si="100"/>
        <v>221.2121212</v>
      </c>
      <c r="AE108" s="48">
        <f t="shared" si="101"/>
        <v>55.3030303</v>
      </c>
      <c r="AF108" s="64">
        <v>5.31</v>
      </c>
      <c r="AG108" s="41">
        <f t="shared" si="102"/>
        <v>2.259887006</v>
      </c>
      <c r="AH108" s="41">
        <f t="shared" si="103"/>
        <v>97.88636364</v>
      </c>
      <c r="AI108" s="41">
        <f t="shared" si="104"/>
        <v>2.936590909</v>
      </c>
      <c r="AJ108" s="41"/>
      <c r="AK108" s="41"/>
    </row>
    <row r="109" ht="32.25" customHeight="1">
      <c r="A109" s="42"/>
      <c r="B109" s="42"/>
      <c r="C109" s="42"/>
      <c r="D109" s="42">
        <v>3.0</v>
      </c>
      <c r="E109" s="54" t="s">
        <v>447</v>
      </c>
      <c r="F109" s="55" t="s">
        <v>448</v>
      </c>
      <c r="G109" s="55" t="s">
        <v>449</v>
      </c>
      <c r="H109" s="56"/>
      <c r="I109" s="56">
        <f>I106/$E118</f>
        <v>0.0009090909091</v>
      </c>
      <c r="J109" s="56">
        <f t="shared" si="95"/>
        <v>0.004545454545</v>
      </c>
      <c r="K109" s="57">
        <f t="shared" si="96"/>
        <v>1.659090909</v>
      </c>
      <c r="L109" s="58" t="s">
        <v>450</v>
      </c>
      <c r="M109" s="59" t="s">
        <v>128</v>
      </c>
      <c r="N109" s="59" t="s">
        <v>451</v>
      </c>
      <c r="O109" s="59" t="s">
        <v>260</v>
      </c>
      <c r="P109" s="48"/>
      <c r="Q109" s="60">
        <v>2.0</v>
      </c>
      <c r="R109" s="48"/>
      <c r="S109" s="59" t="s">
        <v>261</v>
      </c>
      <c r="T109" s="48"/>
      <c r="U109" s="59" t="s">
        <v>34</v>
      </c>
      <c r="V109" s="48">
        <f>0.3*0.45</f>
        <v>0.135</v>
      </c>
      <c r="W109" s="48">
        <f t="shared" si="98"/>
        <v>74074.07407</v>
      </c>
      <c r="X109" s="48">
        <v>1500.0</v>
      </c>
      <c r="Y109" s="48">
        <v>2500.0</v>
      </c>
      <c r="Z109" s="48">
        <v>4000.0</v>
      </c>
      <c r="AA109" s="59" t="s">
        <v>62</v>
      </c>
      <c r="AB109" s="48">
        <v>4000.0</v>
      </c>
      <c r="AC109" s="48">
        <f t="shared" si="99"/>
        <v>0.054</v>
      </c>
      <c r="AD109" s="48">
        <f t="shared" si="100"/>
        <v>30.72390572</v>
      </c>
      <c r="AE109" s="48">
        <f t="shared" si="101"/>
        <v>15.36195286</v>
      </c>
      <c r="AF109" s="64">
        <v>5.31</v>
      </c>
      <c r="AG109" s="41">
        <f t="shared" si="102"/>
        <v>2.259887006</v>
      </c>
      <c r="AH109" s="41">
        <f t="shared" si="103"/>
        <v>13.59532828</v>
      </c>
      <c r="AI109" s="41">
        <f t="shared" si="104"/>
        <v>1.835369318</v>
      </c>
      <c r="AJ109" s="41"/>
      <c r="AK109" s="41"/>
    </row>
    <row r="110" ht="32.25" customHeight="1">
      <c r="A110" s="42"/>
      <c r="B110" s="42"/>
      <c r="C110" s="42"/>
      <c r="D110" s="42">
        <v>4.0</v>
      </c>
      <c r="E110" s="54" t="s">
        <v>452</v>
      </c>
      <c r="F110" s="55" t="s">
        <v>452</v>
      </c>
      <c r="G110" s="55" t="s">
        <v>453</v>
      </c>
      <c r="H110" s="56"/>
      <c r="I110" s="56">
        <f>I106/$E118</f>
        <v>0.0009090909091</v>
      </c>
      <c r="J110" s="56">
        <f t="shared" si="95"/>
        <v>0.004545454545</v>
      </c>
      <c r="K110" s="57">
        <f t="shared" si="96"/>
        <v>1.659090909</v>
      </c>
      <c r="L110" s="58" t="s">
        <v>454</v>
      </c>
      <c r="M110" s="59" t="s">
        <v>128</v>
      </c>
      <c r="N110" s="59" t="s">
        <v>455</v>
      </c>
      <c r="O110" s="59" t="s">
        <v>245</v>
      </c>
      <c r="P110" s="48"/>
      <c r="Q110" s="60">
        <v>4.0</v>
      </c>
      <c r="R110" s="48"/>
      <c r="S110" s="59" t="s">
        <v>209</v>
      </c>
      <c r="T110" s="48"/>
      <c r="U110" s="59" t="s">
        <v>34</v>
      </c>
      <c r="V110" s="48">
        <f>0.45*0.6</f>
        <v>0.27</v>
      </c>
      <c r="W110" s="48">
        <f t="shared" si="98"/>
        <v>37037.03704</v>
      </c>
      <c r="X110" s="48">
        <v>1500.0</v>
      </c>
      <c r="Y110" s="48">
        <v>2500.0</v>
      </c>
      <c r="Z110" s="48">
        <v>4000.0</v>
      </c>
      <c r="AA110" s="59" t="s">
        <v>62</v>
      </c>
      <c r="AB110" s="48">
        <v>4000.0</v>
      </c>
      <c r="AC110" s="48">
        <f t="shared" si="99"/>
        <v>0.108</v>
      </c>
      <c r="AD110" s="48">
        <f t="shared" si="100"/>
        <v>15.36195286</v>
      </c>
      <c r="AE110" s="48">
        <f t="shared" si="101"/>
        <v>3.840488215</v>
      </c>
      <c r="AF110" s="64">
        <v>5.31</v>
      </c>
      <c r="AG110" s="41">
        <f t="shared" si="102"/>
        <v>2.259887006</v>
      </c>
      <c r="AH110" s="41">
        <f t="shared" si="103"/>
        <v>6.797664141</v>
      </c>
      <c r="AI110" s="41">
        <f t="shared" si="104"/>
        <v>1.835369318</v>
      </c>
      <c r="AJ110" s="41"/>
      <c r="AK110" s="41"/>
    </row>
    <row r="111" ht="20.25" customHeight="1">
      <c r="A111" s="42"/>
      <c r="B111" s="42"/>
      <c r="C111" s="42"/>
      <c r="D111" s="42">
        <v>5.0</v>
      </c>
      <c r="E111" s="54" t="s">
        <v>456</v>
      </c>
      <c r="F111" s="55" t="s">
        <v>457</v>
      </c>
      <c r="G111" s="55" t="s">
        <v>456</v>
      </c>
      <c r="H111" s="56"/>
      <c r="I111" s="56">
        <f>I106/$E118</f>
        <v>0.0009090909091</v>
      </c>
      <c r="J111" s="56">
        <f t="shared" si="95"/>
        <v>0.004545454545</v>
      </c>
      <c r="K111" s="57">
        <f t="shared" si="96"/>
        <v>1.659090909</v>
      </c>
      <c r="L111" s="58" t="s">
        <v>458</v>
      </c>
      <c r="M111" s="59" t="s">
        <v>128</v>
      </c>
      <c r="N111" s="59" t="s">
        <v>164</v>
      </c>
      <c r="O111" s="59" t="s">
        <v>260</v>
      </c>
      <c r="P111" s="48"/>
      <c r="Q111" s="60">
        <v>4.0</v>
      </c>
      <c r="R111" s="48"/>
      <c r="S111" s="59" t="s">
        <v>261</v>
      </c>
      <c r="T111" s="48"/>
      <c r="U111" s="59" t="s">
        <v>34</v>
      </c>
      <c r="V111" s="48">
        <f t="shared" ref="V111:V112" si="105">0.3*0.45</f>
        <v>0.135</v>
      </c>
      <c r="W111" s="48">
        <f t="shared" si="98"/>
        <v>74074.07407</v>
      </c>
      <c r="X111" s="48">
        <v>1000.0</v>
      </c>
      <c r="Y111" s="48">
        <v>1500.0</v>
      </c>
      <c r="Z111" s="48">
        <v>2000.0</v>
      </c>
      <c r="AA111" s="59" t="s">
        <v>62</v>
      </c>
      <c r="AB111" s="48">
        <v>2000.0</v>
      </c>
      <c r="AC111" s="48">
        <f t="shared" si="99"/>
        <v>0.027</v>
      </c>
      <c r="AD111" s="48">
        <f t="shared" si="100"/>
        <v>61.44781145</v>
      </c>
      <c r="AE111" s="48">
        <f t="shared" si="101"/>
        <v>15.36195286</v>
      </c>
      <c r="AF111" s="64">
        <v>5.31</v>
      </c>
      <c r="AG111" s="41">
        <f t="shared" si="102"/>
        <v>2.259887006</v>
      </c>
      <c r="AH111" s="41">
        <f t="shared" si="103"/>
        <v>27.19065657</v>
      </c>
      <c r="AI111" s="41">
        <f t="shared" si="104"/>
        <v>3.670738636</v>
      </c>
      <c r="AJ111" s="41"/>
      <c r="AK111" s="41"/>
    </row>
    <row r="112" ht="20.25" customHeight="1">
      <c r="A112" s="42"/>
      <c r="B112" s="42"/>
      <c r="C112" s="42"/>
      <c r="D112" s="42">
        <v>6.0</v>
      </c>
      <c r="E112" s="54" t="s">
        <v>459</v>
      </c>
      <c r="F112" s="55" t="s">
        <v>459</v>
      </c>
      <c r="G112" s="55" t="s">
        <v>460</v>
      </c>
      <c r="H112" s="56"/>
      <c r="I112" s="56">
        <f>I106/$E118</f>
        <v>0.0009090909091</v>
      </c>
      <c r="J112" s="56">
        <f t="shared" si="95"/>
        <v>0.004545454545</v>
      </c>
      <c r="K112" s="57">
        <f t="shared" si="96"/>
        <v>1.659090909</v>
      </c>
      <c r="L112" s="58" t="s">
        <v>461</v>
      </c>
      <c r="M112" s="59" t="s">
        <v>128</v>
      </c>
      <c r="N112" s="59" t="s">
        <v>462</v>
      </c>
      <c r="O112" s="59" t="s">
        <v>260</v>
      </c>
      <c r="P112" s="48"/>
      <c r="Q112" s="60">
        <v>3.0</v>
      </c>
      <c r="R112" s="48"/>
      <c r="S112" s="59" t="s">
        <v>261</v>
      </c>
      <c r="T112" s="48"/>
      <c r="U112" s="59" t="s">
        <v>34</v>
      </c>
      <c r="V112" s="48">
        <f t="shared" si="105"/>
        <v>0.135</v>
      </c>
      <c r="W112" s="48">
        <f t="shared" si="98"/>
        <v>74074.07407</v>
      </c>
      <c r="X112" s="48">
        <v>120.0</v>
      </c>
      <c r="Y112" s="48">
        <v>1800.0</v>
      </c>
      <c r="Z112" s="48">
        <v>2500.0</v>
      </c>
      <c r="AA112" s="59" t="s">
        <v>62</v>
      </c>
      <c r="AB112" s="48">
        <v>2500.0</v>
      </c>
      <c r="AC112" s="48">
        <f t="shared" si="99"/>
        <v>0.03375</v>
      </c>
      <c r="AD112" s="48">
        <f t="shared" si="100"/>
        <v>49.15824916</v>
      </c>
      <c r="AE112" s="48">
        <f t="shared" si="101"/>
        <v>16.38608305</v>
      </c>
      <c r="AF112" s="64">
        <v>5.31</v>
      </c>
      <c r="AG112" s="41">
        <f t="shared" si="102"/>
        <v>2.259887006</v>
      </c>
      <c r="AH112" s="41">
        <f t="shared" si="103"/>
        <v>21.75252525</v>
      </c>
      <c r="AI112" s="41">
        <f t="shared" si="104"/>
        <v>2.936590909</v>
      </c>
      <c r="AJ112" s="41"/>
      <c r="AK112" s="41"/>
    </row>
    <row r="113" ht="32.25" customHeight="1">
      <c r="A113" s="42"/>
      <c r="B113" s="42"/>
      <c r="C113" s="42"/>
      <c r="D113" s="42">
        <v>7.0</v>
      </c>
      <c r="E113" s="54" t="s">
        <v>463</v>
      </c>
      <c r="F113" s="55" t="s">
        <v>463</v>
      </c>
      <c r="G113" s="55" t="s">
        <v>464</v>
      </c>
      <c r="H113" s="56"/>
      <c r="I113" s="56">
        <f>I106/$E118</f>
        <v>0.0009090909091</v>
      </c>
      <c r="J113" s="56">
        <f t="shared" si="95"/>
        <v>0.004545454545</v>
      </c>
      <c r="K113" s="57">
        <f t="shared" si="96"/>
        <v>1.659090909</v>
      </c>
      <c r="L113" s="58" t="s">
        <v>439</v>
      </c>
      <c r="M113" s="59" t="s">
        <v>128</v>
      </c>
      <c r="N113" s="59" t="s">
        <v>465</v>
      </c>
      <c r="O113" s="59" t="s">
        <v>466</v>
      </c>
      <c r="P113" s="48"/>
      <c r="Q113" s="60">
        <v>3.0</v>
      </c>
      <c r="R113" s="48"/>
      <c r="S113" s="59" t="s">
        <v>467</v>
      </c>
      <c r="T113" s="48"/>
      <c r="U113" s="59" t="s">
        <v>34</v>
      </c>
      <c r="V113" s="48">
        <f>0.45*0.15</f>
        <v>0.0675</v>
      </c>
      <c r="W113" s="48">
        <f t="shared" si="98"/>
        <v>148148.1481</v>
      </c>
      <c r="X113" s="48">
        <v>1000.0</v>
      </c>
      <c r="Y113" s="48">
        <v>2000.0</v>
      </c>
      <c r="Z113" s="48">
        <v>3000.0</v>
      </c>
      <c r="AA113" s="59" t="s">
        <v>62</v>
      </c>
      <c r="AB113" s="48">
        <v>3000.0</v>
      </c>
      <c r="AC113" s="48">
        <f t="shared" si="99"/>
        <v>0.02025</v>
      </c>
      <c r="AD113" s="48">
        <f t="shared" si="100"/>
        <v>81.93041526</v>
      </c>
      <c r="AE113" s="48">
        <f t="shared" si="101"/>
        <v>27.31013842</v>
      </c>
      <c r="AF113" s="64">
        <v>5.31</v>
      </c>
      <c r="AG113" s="41">
        <f t="shared" si="102"/>
        <v>2.259887006</v>
      </c>
      <c r="AH113" s="41">
        <f t="shared" si="103"/>
        <v>36.25420875</v>
      </c>
      <c r="AI113" s="41">
        <f t="shared" si="104"/>
        <v>2.447159091</v>
      </c>
      <c r="AJ113" s="41"/>
      <c r="AK113" s="41"/>
    </row>
    <row r="114" ht="20.25" customHeight="1">
      <c r="A114" s="42"/>
      <c r="B114" s="42"/>
      <c r="C114" s="42"/>
      <c r="D114" s="42">
        <v>8.0</v>
      </c>
      <c r="E114" s="54" t="s">
        <v>468</v>
      </c>
      <c r="F114" s="55" t="s">
        <v>469</v>
      </c>
      <c r="G114" s="55" t="s">
        <v>470</v>
      </c>
      <c r="H114" s="56"/>
      <c r="I114" s="56">
        <f>I106/$E118</f>
        <v>0.0009090909091</v>
      </c>
      <c r="J114" s="56">
        <f t="shared" si="95"/>
        <v>0.004545454545</v>
      </c>
      <c r="K114" s="57">
        <f t="shared" si="96"/>
        <v>1.659090909</v>
      </c>
      <c r="L114" s="58" t="s">
        <v>176</v>
      </c>
      <c r="M114" s="59" t="s">
        <v>128</v>
      </c>
      <c r="N114" s="59" t="s">
        <v>471</v>
      </c>
      <c r="O114" s="59" t="s">
        <v>362</v>
      </c>
      <c r="P114" s="48"/>
      <c r="Q114" s="60">
        <v>1.0</v>
      </c>
      <c r="R114" s="48"/>
      <c r="S114" s="59" t="s">
        <v>446</v>
      </c>
      <c r="T114" s="48"/>
      <c r="U114" s="59" t="s">
        <v>34</v>
      </c>
      <c r="V114" s="48">
        <f>0.3*0.1</f>
        <v>0.03</v>
      </c>
      <c r="W114" s="48">
        <f t="shared" si="98"/>
        <v>333333.3333</v>
      </c>
      <c r="X114" s="48">
        <v>1000.0</v>
      </c>
      <c r="Y114" s="48">
        <v>1500.0</v>
      </c>
      <c r="Z114" s="48">
        <v>2500.0</v>
      </c>
      <c r="AA114" s="59" t="s">
        <v>62</v>
      </c>
      <c r="AB114" s="48">
        <v>2500.0</v>
      </c>
      <c r="AC114" s="48">
        <f t="shared" si="99"/>
        <v>0.0075</v>
      </c>
      <c r="AD114" s="48">
        <f t="shared" si="100"/>
        <v>221.2121212</v>
      </c>
      <c r="AE114" s="48">
        <f t="shared" si="101"/>
        <v>221.2121212</v>
      </c>
      <c r="AF114" s="64">
        <v>5.31</v>
      </c>
      <c r="AG114" s="41">
        <f t="shared" si="102"/>
        <v>2.259887006</v>
      </c>
      <c r="AH114" s="41">
        <f t="shared" si="103"/>
        <v>97.88636364</v>
      </c>
      <c r="AI114" s="41">
        <f t="shared" si="104"/>
        <v>2.936590909</v>
      </c>
      <c r="AJ114" s="41"/>
      <c r="AK114" s="41"/>
    </row>
    <row r="115" ht="20.25" customHeight="1">
      <c r="A115" s="42"/>
      <c r="B115" s="42"/>
      <c r="C115" s="42"/>
      <c r="D115" s="42">
        <v>9.0</v>
      </c>
      <c r="E115" s="54" t="s">
        <v>472</v>
      </c>
      <c r="F115" s="55" t="s">
        <v>472</v>
      </c>
      <c r="G115" s="55" t="s">
        <v>473</v>
      </c>
      <c r="H115" s="56"/>
      <c r="I115" s="56">
        <f>I106/$E118</f>
        <v>0.0009090909091</v>
      </c>
      <c r="J115" s="56">
        <f t="shared" si="95"/>
        <v>0.004545454545</v>
      </c>
      <c r="K115" s="57">
        <f t="shared" si="96"/>
        <v>1.659090909</v>
      </c>
      <c r="L115" s="58" t="s">
        <v>474</v>
      </c>
      <c r="M115" s="48">
        <v>6.0</v>
      </c>
      <c r="N115" s="59" t="s">
        <v>475</v>
      </c>
      <c r="O115" s="59" t="s">
        <v>476</v>
      </c>
      <c r="P115" s="48"/>
      <c r="Q115" s="60">
        <v>3.0</v>
      </c>
      <c r="R115" s="48"/>
      <c r="S115" s="59" t="s">
        <v>477</v>
      </c>
      <c r="T115" s="48"/>
      <c r="U115" s="59" t="s">
        <v>34</v>
      </c>
      <c r="V115" s="48">
        <f>0.25*0.3</f>
        <v>0.075</v>
      </c>
      <c r="W115" s="48">
        <f t="shared" si="98"/>
        <v>133333.3333</v>
      </c>
      <c r="X115" s="48">
        <v>1000.0</v>
      </c>
      <c r="Y115" s="48">
        <v>1500.0</v>
      </c>
      <c r="Z115" s="48">
        <v>2500.0</v>
      </c>
      <c r="AA115" s="59" t="s">
        <v>62</v>
      </c>
      <c r="AB115" s="48">
        <v>2500.0</v>
      </c>
      <c r="AC115" s="48">
        <f t="shared" si="99"/>
        <v>0.01875</v>
      </c>
      <c r="AD115" s="48">
        <f t="shared" si="100"/>
        <v>88.48484848</v>
      </c>
      <c r="AE115" s="48">
        <f t="shared" si="101"/>
        <v>29.49494949</v>
      </c>
      <c r="AF115" s="64">
        <v>5.31</v>
      </c>
      <c r="AG115" s="41">
        <f t="shared" si="102"/>
        <v>2.259887006</v>
      </c>
      <c r="AH115" s="41">
        <f t="shared" si="103"/>
        <v>39.15454545</v>
      </c>
      <c r="AI115" s="41">
        <f t="shared" si="104"/>
        <v>2.936590909</v>
      </c>
      <c r="AJ115" s="41"/>
      <c r="AK115" s="41"/>
    </row>
    <row r="116" ht="32.25" customHeight="1">
      <c r="A116" s="42"/>
      <c r="B116" s="42"/>
      <c r="C116" s="42"/>
      <c r="D116" s="42">
        <v>10.0</v>
      </c>
      <c r="E116" s="54" t="s">
        <v>478</v>
      </c>
      <c r="F116" s="55" t="s">
        <v>478</v>
      </c>
      <c r="G116" s="55" t="s">
        <v>478</v>
      </c>
      <c r="H116" s="56"/>
      <c r="I116" s="56">
        <f>I106/$E118</f>
        <v>0.0009090909091</v>
      </c>
      <c r="J116" s="56">
        <f t="shared" si="95"/>
        <v>0.004545454545</v>
      </c>
      <c r="K116" s="57">
        <f t="shared" si="96"/>
        <v>1.659090909</v>
      </c>
      <c r="L116" s="58" t="s">
        <v>439</v>
      </c>
      <c r="M116" s="59" t="s">
        <v>55</v>
      </c>
      <c r="N116" s="59" t="s">
        <v>479</v>
      </c>
      <c r="O116" s="59" t="s">
        <v>260</v>
      </c>
      <c r="P116" s="48"/>
      <c r="Q116" s="60">
        <v>1.0</v>
      </c>
      <c r="R116" s="48"/>
      <c r="S116" s="59" t="s">
        <v>261</v>
      </c>
      <c r="T116" s="48"/>
      <c r="U116" s="59" t="s">
        <v>34</v>
      </c>
      <c r="V116" s="48">
        <f>0.3*0.45</f>
        <v>0.135</v>
      </c>
      <c r="W116" s="48">
        <f t="shared" si="98"/>
        <v>74074.07407</v>
      </c>
      <c r="X116" s="48">
        <v>1500.0</v>
      </c>
      <c r="Y116" s="48">
        <v>2500.0</v>
      </c>
      <c r="Z116" s="48">
        <v>4000.0</v>
      </c>
      <c r="AA116" s="59" t="s">
        <v>62</v>
      </c>
      <c r="AB116" s="48">
        <v>4000.0</v>
      </c>
      <c r="AC116" s="48">
        <f t="shared" si="99"/>
        <v>0.054</v>
      </c>
      <c r="AD116" s="48">
        <f t="shared" si="100"/>
        <v>30.72390572</v>
      </c>
      <c r="AE116" s="48">
        <f t="shared" si="101"/>
        <v>30.72390572</v>
      </c>
      <c r="AF116" s="64">
        <v>5.31</v>
      </c>
      <c r="AG116" s="41">
        <f t="shared" si="102"/>
        <v>2.259887006</v>
      </c>
      <c r="AH116" s="41">
        <f t="shared" si="103"/>
        <v>13.59532828</v>
      </c>
      <c r="AI116" s="41">
        <f t="shared" si="104"/>
        <v>1.835369318</v>
      </c>
      <c r="AJ116" s="41"/>
      <c r="AK116" s="41"/>
    </row>
    <row r="117" ht="20.25" customHeight="1">
      <c r="A117" s="42"/>
      <c r="B117" s="42"/>
      <c r="C117" s="42"/>
      <c r="D117" s="42">
        <v>11.0</v>
      </c>
      <c r="E117" s="54" t="s">
        <v>480</v>
      </c>
      <c r="F117" s="55" t="s">
        <v>481</v>
      </c>
      <c r="G117" s="55" t="s">
        <v>482</v>
      </c>
      <c r="H117" s="55" t="s">
        <v>483</v>
      </c>
      <c r="I117" s="56">
        <f>I106/$E118</f>
        <v>0.0009090909091</v>
      </c>
      <c r="J117" s="56">
        <f t="shared" si="95"/>
        <v>0.004545454545</v>
      </c>
      <c r="K117" s="57">
        <f t="shared" si="96"/>
        <v>1.659090909</v>
      </c>
      <c r="L117" s="58" t="s">
        <v>176</v>
      </c>
      <c r="M117" s="48">
        <v>12.0</v>
      </c>
      <c r="N117" s="59" t="s">
        <v>484</v>
      </c>
      <c r="O117" s="59" t="s">
        <v>485</v>
      </c>
      <c r="P117" s="48"/>
      <c r="Q117" s="60">
        <v>2.0</v>
      </c>
      <c r="R117" s="48"/>
      <c r="S117" s="59" t="s">
        <v>486</v>
      </c>
      <c r="T117" s="48"/>
      <c r="U117" s="59" t="s">
        <v>34</v>
      </c>
      <c r="V117" s="48">
        <f>0.25*0.5</f>
        <v>0.125</v>
      </c>
      <c r="W117" s="48">
        <f t="shared" si="98"/>
        <v>80000</v>
      </c>
      <c r="X117" s="48">
        <v>1000.0</v>
      </c>
      <c r="Y117" s="48">
        <v>2000.0</v>
      </c>
      <c r="Z117" s="48">
        <v>3000.0</v>
      </c>
      <c r="AA117" s="59" t="s">
        <v>62</v>
      </c>
      <c r="AB117" s="48">
        <v>3000.0</v>
      </c>
      <c r="AC117" s="48">
        <f t="shared" si="99"/>
        <v>0.0375</v>
      </c>
      <c r="AD117" s="48">
        <f t="shared" si="100"/>
        <v>44.24242424</v>
      </c>
      <c r="AE117" s="48">
        <f t="shared" si="101"/>
        <v>22.12121212</v>
      </c>
      <c r="AF117" s="64">
        <v>5.31</v>
      </c>
      <c r="AG117" s="41">
        <f t="shared" si="102"/>
        <v>2.259887006</v>
      </c>
      <c r="AH117" s="41">
        <f t="shared" si="103"/>
        <v>19.57727273</v>
      </c>
      <c r="AI117" s="41">
        <f t="shared" si="104"/>
        <v>2.447159091</v>
      </c>
      <c r="AJ117" s="41"/>
      <c r="AK117" s="41"/>
    </row>
    <row r="118" ht="20.25" customHeight="1">
      <c r="A118" s="54" t="s">
        <v>63</v>
      </c>
      <c r="B118" s="54" t="s">
        <v>64</v>
      </c>
      <c r="C118" s="42"/>
      <c r="D118" s="42">
        <v>2.0</v>
      </c>
      <c r="E118" s="42">
        <f>$D117</f>
        <v>11</v>
      </c>
      <c r="F118" s="56"/>
      <c r="G118" s="56"/>
      <c r="H118" s="56"/>
      <c r="I118" s="56"/>
      <c r="J118" s="56"/>
      <c r="K118" s="57"/>
      <c r="L118" s="47"/>
      <c r="M118" s="48"/>
      <c r="N118" s="48"/>
      <c r="O118" s="48"/>
      <c r="P118" s="48"/>
      <c r="Q118" s="60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9"/>
      <c r="AF118" s="41"/>
      <c r="AG118" s="41"/>
      <c r="AH118" s="41"/>
      <c r="AI118" s="41"/>
      <c r="AJ118" s="41"/>
      <c r="AK118" s="41"/>
    </row>
    <row r="119" ht="20.25" customHeight="1">
      <c r="A119" s="54" t="s">
        <v>63</v>
      </c>
      <c r="B119" s="54" t="s">
        <v>66</v>
      </c>
      <c r="C119" s="54" t="s">
        <v>64</v>
      </c>
      <c r="D119" s="42">
        <v>2.0</v>
      </c>
      <c r="E119" s="42"/>
      <c r="F119" s="56"/>
      <c r="G119" s="56"/>
      <c r="H119" s="56"/>
      <c r="I119" s="56"/>
      <c r="J119" s="56"/>
      <c r="K119" s="57"/>
      <c r="L119" s="47"/>
      <c r="M119" s="48"/>
      <c r="N119" s="48"/>
      <c r="O119" s="48"/>
      <c r="P119" s="48"/>
      <c r="Q119" s="60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9"/>
      <c r="AF119" s="41"/>
      <c r="AG119" s="41"/>
      <c r="AH119" s="41"/>
      <c r="AI119" s="41">
        <f>SUM(AI107:AI117)</f>
        <v>29.72676136</v>
      </c>
      <c r="AJ119" s="41"/>
      <c r="AK119" s="41"/>
    </row>
    <row r="120" ht="20.25" customHeight="1">
      <c r="A120" s="42"/>
      <c r="B120" s="42"/>
      <c r="C120" s="42"/>
      <c r="D120" s="42"/>
      <c r="E120" s="42"/>
      <c r="F120" s="56"/>
      <c r="G120" s="56"/>
      <c r="H120" s="56"/>
      <c r="I120" s="56"/>
      <c r="J120" s="56"/>
      <c r="K120" s="57"/>
      <c r="L120" s="47"/>
      <c r="M120" s="48"/>
      <c r="N120" s="48"/>
      <c r="O120" s="48"/>
      <c r="P120" s="48"/>
      <c r="Q120" s="60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9"/>
      <c r="AF120" s="41"/>
      <c r="AG120" s="41"/>
      <c r="AH120" s="41"/>
      <c r="AI120" s="41"/>
      <c r="AJ120" s="41"/>
      <c r="AK120" s="41"/>
    </row>
    <row r="121" ht="20.25" customHeight="1">
      <c r="A121" s="35">
        <v>3.0</v>
      </c>
      <c r="B121" s="35"/>
      <c r="C121" s="35"/>
      <c r="D121" s="35"/>
      <c r="E121" s="34" t="s">
        <v>487</v>
      </c>
      <c r="F121" s="36"/>
      <c r="G121" s="36"/>
      <c r="H121" s="36"/>
      <c r="I121" s="36">
        <v>0.03</v>
      </c>
      <c r="J121" s="36">
        <f t="shared" ref="J121:J122" si="106">I121*5</f>
        <v>0.15</v>
      </c>
      <c r="K121" s="37">
        <f t="shared" ref="K121:K122" si="107">J121*365</f>
        <v>54.75</v>
      </c>
      <c r="L121" s="47"/>
      <c r="M121" s="48"/>
      <c r="N121" s="48"/>
      <c r="O121" s="48"/>
      <c r="P121" s="48"/>
      <c r="Q121" s="60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9"/>
      <c r="AF121" s="41"/>
      <c r="AG121" s="41"/>
      <c r="AH121" s="41"/>
      <c r="AI121" s="41"/>
      <c r="AJ121" s="41"/>
      <c r="AK121" s="41"/>
    </row>
    <row r="122" ht="20.25" customHeight="1">
      <c r="A122" s="42"/>
      <c r="B122" s="42"/>
      <c r="C122" s="42"/>
      <c r="D122" s="42">
        <v>1.0</v>
      </c>
      <c r="E122" s="54" t="s">
        <v>488</v>
      </c>
      <c r="F122" s="55" t="s">
        <v>489</v>
      </c>
      <c r="G122" s="55" t="s">
        <v>490</v>
      </c>
      <c r="H122" s="56"/>
      <c r="I122" s="56">
        <f>I121/$E123</f>
        <v>0.03</v>
      </c>
      <c r="J122" s="56">
        <f t="shared" si="106"/>
        <v>0.15</v>
      </c>
      <c r="K122" s="57">
        <f t="shared" si="107"/>
        <v>54.75</v>
      </c>
      <c r="L122" s="58" t="s">
        <v>491</v>
      </c>
      <c r="M122" s="48">
        <v>4.0</v>
      </c>
      <c r="N122" s="59" t="s">
        <v>492</v>
      </c>
      <c r="O122" s="59" t="s">
        <v>493</v>
      </c>
      <c r="P122" s="48"/>
      <c r="Q122" s="60">
        <v>2.0</v>
      </c>
      <c r="R122" s="48"/>
      <c r="S122" s="59" t="s">
        <v>494</v>
      </c>
      <c r="T122" s="48"/>
      <c r="U122" s="59" t="s">
        <v>34</v>
      </c>
      <c r="V122" s="48">
        <f>0.3*0.7</f>
        <v>0.21</v>
      </c>
      <c r="W122" s="48">
        <f>10000/V122</f>
        <v>47619.04762</v>
      </c>
      <c r="X122" s="48">
        <v>1000.0</v>
      </c>
      <c r="Y122" s="48">
        <v>1500.0</v>
      </c>
      <c r="Z122" s="48">
        <v>2000.0</v>
      </c>
      <c r="AA122" s="59" t="s">
        <v>62</v>
      </c>
      <c r="AB122" s="48">
        <v>2000.0</v>
      </c>
      <c r="AC122" s="48">
        <f>AB122/W122</f>
        <v>0.042</v>
      </c>
      <c r="AD122" s="65">
        <f>K122/AC122</f>
        <v>1303.571429</v>
      </c>
      <c r="AE122" s="48">
        <f>AD122/Q122</f>
        <v>651.7857143</v>
      </c>
      <c r="AF122" s="64">
        <v>4.31</v>
      </c>
      <c r="AG122" s="41">
        <f>12/AF122</f>
        <v>2.784222738</v>
      </c>
      <c r="AH122" s="41">
        <f>AD122/AG122</f>
        <v>468.1994048</v>
      </c>
      <c r="AI122" s="41">
        <f>AH122*V122</f>
        <v>98.321875</v>
      </c>
      <c r="AJ122" s="41"/>
      <c r="AK122" s="41"/>
    </row>
    <row r="123" ht="20.25" customHeight="1">
      <c r="A123" s="54" t="s">
        <v>63</v>
      </c>
      <c r="B123" s="54" t="s">
        <v>64</v>
      </c>
      <c r="C123" s="42"/>
      <c r="D123" s="42">
        <v>3.0</v>
      </c>
      <c r="E123" s="42">
        <f>$D122</f>
        <v>1</v>
      </c>
      <c r="F123" s="56"/>
      <c r="G123" s="56"/>
      <c r="H123" s="56"/>
      <c r="I123" s="56"/>
      <c r="J123" s="56"/>
      <c r="K123" s="57"/>
      <c r="L123" s="47"/>
      <c r="M123" s="48"/>
      <c r="N123" s="48"/>
      <c r="O123" s="48"/>
      <c r="P123" s="48"/>
      <c r="Q123" s="60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9"/>
      <c r="AF123" s="41"/>
      <c r="AG123" s="41"/>
      <c r="AH123" s="41"/>
      <c r="AI123" s="41"/>
      <c r="AJ123" s="41"/>
      <c r="AK123" s="41"/>
    </row>
    <row r="124" ht="20.25" customHeight="1">
      <c r="A124" s="54" t="s">
        <v>63</v>
      </c>
      <c r="B124" s="54" t="s">
        <v>66</v>
      </c>
      <c r="C124" s="54" t="s">
        <v>64</v>
      </c>
      <c r="D124" s="42">
        <v>3.0</v>
      </c>
      <c r="E124" s="42"/>
      <c r="F124" s="56"/>
      <c r="G124" s="56"/>
      <c r="H124" s="56"/>
      <c r="I124" s="56"/>
      <c r="J124" s="56"/>
      <c r="K124" s="57"/>
      <c r="L124" s="47"/>
      <c r="M124" s="48"/>
      <c r="N124" s="48"/>
      <c r="O124" s="48"/>
      <c r="P124" s="48"/>
      <c r="Q124" s="60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9"/>
      <c r="AF124" s="41"/>
      <c r="AG124" s="41"/>
      <c r="AH124" s="41"/>
      <c r="AI124" s="41">
        <f>SUM(AI122)</f>
        <v>98.321875</v>
      </c>
      <c r="AJ124" s="41"/>
      <c r="AK124" s="41"/>
    </row>
    <row r="125" ht="20.25" customHeight="1">
      <c r="A125" s="42"/>
      <c r="B125" s="42"/>
      <c r="C125" s="42"/>
      <c r="D125" s="42"/>
      <c r="E125" s="42"/>
      <c r="F125" s="56"/>
      <c r="G125" s="56"/>
      <c r="H125" s="56"/>
      <c r="I125" s="56"/>
      <c r="J125" s="56"/>
      <c r="K125" s="57"/>
      <c r="L125" s="47"/>
      <c r="M125" s="48"/>
      <c r="N125" s="48"/>
      <c r="O125" s="48"/>
      <c r="P125" s="48"/>
      <c r="Q125" s="60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9"/>
      <c r="AF125" s="41"/>
      <c r="AG125" s="41"/>
      <c r="AH125" s="41"/>
      <c r="AI125" s="41"/>
      <c r="AJ125" s="41"/>
      <c r="AK125" s="41"/>
    </row>
    <row r="126" ht="20.25" customHeight="1">
      <c r="A126" s="35">
        <v>4.0</v>
      </c>
      <c r="B126" s="35"/>
      <c r="C126" s="35"/>
      <c r="D126" s="35"/>
      <c r="E126" s="34" t="s">
        <v>495</v>
      </c>
      <c r="F126" s="36"/>
      <c r="G126" s="36"/>
      <c r="H126" s="36"/>
      <c r="I126" s="36">
        <v>0.085</v>
      </c>
      <c r="J126" s="36">
        <f t="shared" ref="J126:J130" si="108">I126*5</f>
        <v>0.425</v>
      </c>
      <c r="K126" s="37">
        <f t="shared" ref="K126:K130" si="109">J126*365</f>
        <v>155.125</v>
      </c>
      <c r="L126" s="47"/>
      <c r="M126" s="48"/>
      <c r="N126" s="48"/>
      <c r="O126" s="48"/>
      <c r="P126" s="48"/>
      <c r="Q126" s="60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9"/>
      <c r="AF126" s="41"/>
      <c r="AG126" s="41"/>
      <c r="AH126" s="41"/>
      <c r="AI126" s="41"/>
      <c r="AJ126" s="41"/>
      <c r="AK126" s="41"/>
    </row>
    <row r="127" ht="20.25" customHeight="1">
      <c r="A127" s="42"/>
      <c r="B127" s="42"/>
      <c r="C127" s="42"/>
      <c r="D127" s="42">
        <v>1.0</v>
      </c>
      <c r="E127" s="54" t="s">
        <v>496</v>
      </c>
      <c r="F127" s="55" t="s">
        <v>497</v>
      </c>
      <c r="G127" s="55" t="s">
        <v>498</v>
      </c>
      <c r="H127" s="57"/>
      <c r="I127" s="56">
        <f>I126/$E131</f>
        <v>0.02125</v>
      </c>
      <c r="J127" s="56">
        <f t="shared" si="108"/>
        <v>0.10625</v>
      </c>
      <c r="K127" s="57">
        <f t="shared" si="109"/>
        <v>38.78125</v>
      </c>
      <c r="L127" s="58" t="s">
        <v>499</v>
      </c>
      <c r="M127" s="59" t="s">
        <v>128</v>
      </c>
      <c r="N127" s="59" t="s">
        <v>479</v>
      </c>
      <c r="O127" s="59" t="s">
        <v>245</v>
      </c>
      <c r="P127" s="48"/>
      <c r="Q127" s="60">
        <v>1.0</v>
      </c>
      <c r="R127" s="48"/>
      <c r="S127" s="59" t="s">
        <v>209</v>
      </c>
      <c r="T127" s="48"/>
      <c r="U127" s="59" t="s">
        <v>34</v>
      </c>
      <c r="V127" s="48">
        <f>0.45*0.6</f>
        <v>0.27</v>
      </c>
      <c r="W127" s="48">
        <f t="shared" ref="W127:W130" si="110">10000/V127</f>
        <v>37037.03704</v>
      </c>
      <c r="X127" s="48">
        <v>1200.0</v>
      </c>
      <c r="Y127" s="48">
        <v>1800.0</v>
      </c>
      <c r="Z127" s="48">
        <v>2500.0</v>
      </c>
      <c r="AA127" s="59" t="s">
        <v>62</v>
      </c>
      <c r="AB127" s="48">
        <v>2500.0</v>
      </c>
      <c r="AC127" s="48">
        <f t="shared" ref="AC127:AC130" si="111">AB127/W127</f>
        <v>0.0675</v>
      </c>
      <c r="AD127" s="48">
        <f t="shared" ref="AD127:AD130" si="112">K127/AC127</f>
        <v>574.537037</v>
      </c>
      <c r="AE127" s="48">
        <f t="shared" ref="AE127:AE130" si="113">AD127/Q127</f>
        <v>574.537037</v>
      </c>
      <c r="AF127" s="64">
        <v>4.31</v>
      </c>
      <c r="AG127" s="41">
        <f t="shared" ref="AG127:AG130" si="114">12/AF127</f>
        <v>2.784222738</v>
      </c>
      <c r="AH127" s="41">
        <f t="shared" ref="AH127:AH130" si="115">AD127/AG127</f>
        <v>206.3545525</v>
      </c>
      <c r="AI127" s="41">
        <f t="shared" ref="AI127:AI130" si="116">AH127*V127</f>
        <v>55.71572917</v>
      </c>
      <c r="AJ127" s="41"/>
      <c r="AK127" s="41"/>
    </row>
    <row r="128" ht="32.25" customHeight="1">
      <c r="A128" s="42"/>
      <c r="B128" s="42"/>
      <c r="C128" s="42"/>
      <c r="D128" s="42">
        <v>2.0</v>
      </c>
      <c r="E128" s="54" t="s">
        <v>500</v>
      </c>
      <c r="F128" s="55" t="s">
        <v>500</v>
      </c>
      <c r="G128" s="55" t="s">
        <v>501</v>
      </c>
      <c r="H128" s="57"/>
      <c r="I128" s="56">
        <f>I126/$E131</f>
        <v>0.02125</v>
      </c>
      <c r="J128" s="56">
        <f t="shared" si="108"/>
        <v>0.10625</v>
      </c>
      <c r="K128" s="57">
        <f t="shared" si="109"/>
        <v>38.78125</v>
      </c>
      <c r="L128" s="58" t="s">
        <v>450</v>
      </c>
      <c r="M128" s="59" t="s">
        <v>55</v>
      </c>
      <c r="N128" s="59" t="s">
        <v>502</v>
      </c>
      <c r="O128" s="59" t="s">
        <v>260</v>
      </c>
      <c r="P128" s="48"/>
      <c r="Q128" s="60">
        <v>3.0</v>
      </c>
      <c r="R128" s="48"/>
      <c r="S128" s="59" t="s">
        <v>261</v>
      </c>
      <c r="T128" s="48"/>
      <c r="U128" s="59" t="s">
        <v>34</v>
      </c>
      <c r="V128" s="48">
        <f>0.3*0.45</f>
        <v>0.135</v>
      </c>
      <c r="W128" s="48">
        <f t="shared" si="110"/>
        <v>74074.07407</v>
      </c>
      <c r="X128" s="48">
        <v>1200.0</v>
      </c>
      <c r="Y128" s="48">
        <v>1800.0</v>
      </c>
      <c r="Z128" s="48">
        <v>2500.0</v>
      </c>
      <c r="AA128" s="59" t="s">
        <v>62</v>
      </c>
      <c r="AB128" s="48">
        <v>2500.0</v>
      </c>
      <c r="AC128" s="48">
        <f t="shared" si="111"/>
        <v>0.03375</v>
      </c>
      <c r="AD128" s="65">
        <f t="shared" si="112"/>
        <v>1149.074074</v>
      </c>
      <c r="AE128" s="48">
        <f t="shared" si="113"/>
        <v>383.0246914</v>
      </c>
      <c r="AF128" s="64">
        <v>4.31</v>
      </c>
      <c r="AG128" s="41">
        <f t="shared" si="114"/>
        <v>2.784222738</v>
      </c>
      <c r="AH128" s="41">
        <f t="shared" si="115"/>
        <v>412.7091049</v>
      </c>
      <c r="AI128" s="41">
        <f t="shared" si="116"/>
        <v>55.71572917</v>
      </c>
      <c r="AJ128" s="41"/>
      <c r="AK128" s="41"/>
    </row>
    <row r="129" ht="20.25" customHeight="1">
      <c r="A129" s="42"/>
      <c r="B129" s="42"/>
      <c r="C129" s="42"/>
      <c r="D129" s="42">
        <v>3.0</v>
      </c>
      <c r="E129" s="54" t="s">
        <v>503</v>
      </c>
      <c r="F129" s="55" t="s">
        <v>503</v>
      </c>
      <c r="G129" s="57"/>
      <c r="H129" s="57"/>
      <c r="I129" s="56">
        <f>I126/$E131</f>
        <v>0.02125</v>
      </c>
      <c r="J129" s="56">
        <f t="shared" si="108"/>
        <v>0.10625</v>
      </c>
      <c r="K129" s="57">
        <f t="shared" si="109"/>
        <v>38.78125</v>
      </c>
      <c r="L129" s="58" t="s">
        <v>127</v>
      </c>
      <c r="M129" s="48">
        <v>12.0</v>
      </c>
      <c r="N129" s="59" t="s">
        <v>504</v>
      </c>
      <c r="O129" s="59" t="s">
        <v>505</v>
      </c>
      <c r="P129" s="48"/>
      <c r="Q129" s="60">
        <v>3.0</v>
      </c>
      <c r="R129" s="48"/>
      <c r="S129" s="59" t="s">
        <v>506</v>
      </c>
      <c r="T129" s="48"/>
      <c r="U129" s="59" t="s">
        <v>180</v>
      </c>
      <c r="V129" s="48">
        <f>0.45*0.45</f>
        <v>0.2025</v>
      </c>
      <c r="W129" s="48">
        <f t="shared" si="110"/>
        <v>49382.71605</v>
      </c>
      <c r="X129" s="48">
        <v>1000.0</v>
      </c>
      <c r="Y129" s="48">
        <v>1500.0</v>
      </c>
      <c r="Z129" s="48">
        <v>2000.0</v>
      </c>
      <c r="AA129" s="59" t="s">
        <v>62</v>
      </c>
      <c r="AB129" s="48">
        <v>2000.0</v>
      </c>
      <c r="AC129" s="48">
        <f t="shared" si="111"/>
        <v>0.0405</v>
      </c>
      <c r="AD129" s="48">
        <f t="shared" si="112"/>
        <v>957.5617284</v>
      </c>
      <c r="AE129" s="48">
        <f t="shared" si="113"/>
        <v>319.1872428</v>
      </c>
      <c r="AF129" s="64">
        <v>4.31</v>
      </c>
      <c r="AG129" s="41">
        <f t="shared" si="114"/>
        <v>2.784222738</v>
      </c>
      <c r="AH129" s="41">
        <f t="shared" si="115"/>
        <v>343.9242541</v>
      </c>
      <c r="AI129" s="41">
        <f t="shared" si="116"/>
        <v>69.64466146</v>
      </c>
      <c r="AJ129" s="41"/>
      <c r="AK129" s="41"/>
    </row>
    <row r="130" ht="32.25" customHeight="1">
      <c r="A130" s="42"/>
      <c r="B130" s="42"/>
      <c r="C130" s="42"/>
      <c r="D130" s="42">
        <v>4.0</v>
      </c>
      <c r="E130" s="54" t="s">
        <v>507</v>
      </c>
      <c r="F130" s="55" t="s">
        <v>507</v>
      </c>
      <c r="G130" s="55" t="s">
        <v>508</v>
      </c>
      <c r="H130" s="57"/>
      <c r="I130" s="56">
        <f>I126/$E131</f>
        <v>0.02125</v>
      </c>
      <c r="J130" s="56">
        <f t="shared" si="108"/>
        <v>0.10625</v>
      </c>
      <c r="K130" s="57">
        <f t="shared" si="109"/>
        <v>38.78125</v>
      </c>
      <c r="L130" s="58" t="s">
        <v>439</v>
      </c>
      <c r="M130" s="59" t="s">
        <v>55</v>
      </c>
      <c r="N130" s="59" t="s">
        <v>509</v>
      </c>
      <c r="O130" s="59" t="s">
        <v>510</v>
      </c>
      <c r="P130" s="48"/>
      <c r="Q130" s="60">
        <v>3.0</v>
      </c>
      <c r="R130" s="48"/>
      <c r="S130" s="59" t="s">
        <v>511</v>
      </c>
      <c r="T130" s="48"/>
      <c r="U130" s="59" t="s">
        <v>34</v>
      </c>
      <c r="V130" s="48">
        <f>0.2*0.3</f>
        <v>0.06</v>
      </c>
      <c r="W130" s="48">
        <f t="shared" si="110"/>
        <v>166666.6667</v>
      </c>
      <c r="X130" s="48">
        <v>1000.0</v>
      </c>
      <c r="Y130" s="48">
        <v>1500.0</v>
      </c>
      <c r="Z130" s="48">
        <v>2000.0</v>
      </c>
      <c r="AA130" s="59" t="s">
        <v>62</v>
      </c>
      <c r="AB130" s="48">
        <v>2000.0</v>
      </c>
      <c r="AC130" s="48">
        <f t="shared" si="111"/>
        <v>0.012</v>
      </c>
      <c r="AD130" s="65">
        <f t="shared" si="112"/>
        <v>3231.770833</v>
      </c>
      <c r="AE130" s="65">
        <f t="shared" si="113"/>
        <v>1077.256944</v>
      </c>
      <c r="AF130" s="64">
        <v>4.31</v>
      </c>
      <c r="AG130" s="41">
        <f t="shared" si="114"/>
        <v>2.784222738</v>
      </c>
      <c r="AH130" s="70">
        <f t="shared" si="115"/>
        <v>1160.744358</v>
      </c>
      <c r="AI130" s="41">
        <f t="shared" si="116"/>
        <v>69.64466146</v>
      </c>
      <c r="AJ130" s="41"/>
      <c r="AK130" s="41"/>
    </row>
    <row r="131" ht="20.25" customHeight="1">
      <c r="A131" s="54" t="s">
        <v>63</v>
      </c>
      <c r="B131" s="54" t="s">
        <v>64</v>
      </c>
      <c r="C131" s="42"/>
      <c r="D131" s="42">
        <v>4.0</v>
      </c>
      <c r="E131" s="42">
        <f>$D130</f>
        <v>4</v>
      </c>
      <c r="F131" s="56"/>
      <c r="G131" s="56"/>
      <c r="H131" s="56"/>
      <c r="I131" s="56"/>
      <c r="J131" s="56"/>
      <c r="K131" s="57"/>
      <c r="L131" s="47"/>
      <c r="M131" s="48"/>
      <c r="N131" s="48"/>
      <c r="O131" s="48"/>
      <c r="P131" s="48"/>
      <c r="Q131" s="60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9"/>
      <c r="AF131" s="41"/>
      <c r="AG131" s="41"/>
      <c r="AH131" s="41"/>
      <c r="AI131" s="41"/>
      <c r="AJ131" s="41"/>
      <c r="AK131" s="41"/>
    </row>
    <row r="132" ht="20.25" customHeight="1">
      <c r="A132" s="54" t="s">
        <v>63</v>
      </c>
      <c r="B132" s="54" t="s">
        <v>66</v>
      </c>
      <c r="C132" s="54" t="s">
        <v>64</v>
      </c>
      <c r="D132" s="42">
        <v>4.0</v>
      </c>
      <c r="E132" s="42"/>
      <c r="F132" s="56"/>
      <c r="G132" s="56"/>
      <c r="H132" s="56"/>
      <c r="I132" s="56"/>
      <c r="J132" s="56"/>
      <c r="K132" s="57"/>
      <c r="L132" s="47"/>
      <c r="M132" s="48"/>
      <c r="N132" s="48"/>
      <c r="O132" s="48"/>
      <c r="P132" s="48"/>
      <c r="Q132" s="60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9"/>
      <c r="AF132" s="41"/>
      <c r="AG132" s="41"/>
      <c r="AH132" s="41"/>
      <c r="AI132" s="41">
        <f>SUM(AI127:AI130)</f>
        <v>250.7207813</v>
      </c>
      <c r="AJ132" s="41"/>
      <c r="AK132" s="41"/>
    </row>
    <row r="133" ht="20.25" customHeight="1">
      <c r="A133" s="42"/>
      <c r="B133" s="42"/>
      <c r="C133" s="42"/>
      <c r="D133" s="42"/>
      <c r="E133" s="42"/>
      <c r="F133" s="56"/>
      <c r="G133" s="56"/>
      <c r="H133" s="56"/>
      <c r="I133" s="56"/>
      <c r="J133" s="56"/>
      <c r="K133" s="57"/>
      <c r="L133" s="47"/>
      <c r="M133" s="48"/>
      <c r="N133" s="48"/>
      <c r="O133" s="48"/>
      <c r="P133" s="48"/>
      <c r="Q133" s="60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9"/>
      <c r="AF133" s="41"/>
      <c r="AG133" s="41"/>
      <c r="AH133" s="41"/>
      <c r="AI133" s="41"/>
      <c r="AJ133" s="41"/>
      <c r="AK133" s="41"/>
    </row>
    <row r="134" ht="20.25" customHeight="1">
      <c r="A134" s="35">
        <v>5.0</v>
      </c>
      <c r="B134" s="35"/>
      <c r="C134" s="35"/>
      <c r="D134" s="35"/>
      <c r="E134" s="34" t="s">
        <v>512</v>
      </c>
      <c r="F134" s="36"/>
      <c r="G134" s="36"/>
      <c r="H134" s="36"/>
      <c r="I134" s="36">
        <v>0.305</v>
      </c>
      <c r="J134" s="36">
        <f t="shared" ref="J134:J136" si="117">I134*5</f>
        <v>1.525</v>
      </c>
      <c r="K134" s="37">
        <f t="shared" ref="K134:K136" si="118">J134*365</f>
        <v>556.625</v>
      </c>
      <c r="L134" s="47"/>
      <c r="M134" s="48"/>
      <c r="N134" s="48"/>
      <c r="O134" s="48"/>
      <c r="P134" s="48"/>
      <c r="Q134" s="60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9"/>
      <c r="AF134" s="41"/>
      <c r="AG134" s="41"/>
      <c r="AH134" s="41"/>
      <c r="AI134" s="41"/>
      <c r="AJ134" s="41"/>
      <c r="AK134" s="41"/>
    </row>
    <row r="135" ht="20.25" customHeight="1">
      <c r="A135" s="42"/>
      <c r="B135" s="43">
        <v>1.0</v>
      </c>
      <c r="C135" s="43"/>
      <c r="D135" s="43"/>
      <c r="E135" s="44" t="s">
        <v>513</v>
      </c>
      <c r="F135" s="45"/>
      <c r="G135" s="45"/>
      <c r="H135" s="45"/>
      <c r="I135" s="45">
        <v>0.03</v>
      </c>
      <c r="J135" s="45">
        <f t="shared" si="117"/>
        <v>0.15</v>
      </c>
      <c r="K135" s="46">
        <f t="shared" si="118"/>
        <v>54.75</v>
      </c>
      <c r="L135" s="47"/>
      <c r="M135" s="48"/>
      <c r="N135" s="48"/>
      <c r="O135" s="48"/>
      <c r="P135" s="48"/>
      <c r="Q135" s="60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9"/>
      <c r="AF135" s="41"/>
      <c r="AG135" s="41"/>
      <c r="AH135" s="41"/>
      <c r="AI135" s="41"/>
      <c r="AJ135" s="41"/>
      <c r="AK135" s="41"/>
    </row>
    <row r="136" ht="20.25" customHeight="1">
      <c r="A136" s="42"/>
      <c r="B136" s="42"/>
      <c r="C136" s="42"/>
      <c r="D136" s="42">
        <v>1.0</v>
      </c>
      <c r="E136" s="54" t="s">
        <v>514</v>
      </c>
      <c r="F136" s="55" t="s">
        <v>515</v>
      </c>
      <c r="G136" s="55" t="s">
        <v>513</v>
      </c>
      <c r="H136" s="56"/>
      <c r="I136" s="56">
        <f>I135/$E137</f>
        <v>0.03</v>
      </c>
      <c r="J136" s="56">
        <f t="shared" si="117"/>
        <v>0.15</v>
      </c>
      <c r="K136" s="57">
        <f t="shared" si="118"/>
        <v>54.75</v>
      </c>
      <c r="L136" s="58" t="s">
        <v>516</v>
      </c>
      <c r="M136" s="59" t="s">
        <v>128</v>
      </c>
      <c r="N136" s="59" t="s">
        <v>517</v>
      </c>
      <c r="O136" s="59" t="s">
        <v>518</v>
      </c>
      <c r="P136" s="48"/>
      <c r="Q136" s="60">
        <v>2.0</v>
      </c>
      <c r="R136" s="48"/>
      <c r="S136" s="59" t="s">
        <v>519</v>
      </c>
      <c r="T136" s="48"/>
      <c r="U136" s="59" t="s">
        <v>34</v>
      </c>
      <c r="V136" s="48">
        <f>0.25*0.1</f>
        <v>0.025</v>
      </c>
      <c r="W136" s="48">
        <f>10000/V136</f>
        <v>400000</v>
      </c>
      <c r="X136" s="48">
        <v>3000.0</v>
      </c>
      <c r="Y136" s="48">
        <v>5000.0</v>
      </c>
      <c r="Z136" s="48">
        <v>7000.0</v>
      </c>
      <c r="AA136" s="59" t="s">
        <v>62</v>
      </c>
      <c r="AB136" s="48">
        <v>7000.0</v>
      </c>
      <c r="AC136" s="48">
        <f>AB136/W136</f>
        <v>0.0175</v>
      </c>
      <c r="AD136" s="65">
        <f>K136/AC136</f>
        <v>3128.571429</v>
      </c>
      <c r="AE136" s="65">
        <f>AD136/Q136</f>
        <v>1564.285714</v>
      </c>
      <c r="AF136" s="64">
        <v>11.31</v>
      </c>
      <c r="AG136" s="41">
        <f>12/AF136</f>
        <v>1.061007958</v>
      </c>
      <c r="AH136" s="70">
        <f>AD136/AG136</f>
        <v>2948.678571</v>
      </c>
      <c r="AI136" s="41">
        <f>AH136*V136</f>
        <v>73.71696429</v>
      </c>
      <c r="AJ136" s="41"/>
      <c r="AK136" s="41"/>
    </row>
    <row r="137" ht="20.25" customHeight="1">
      <c r="A137" s="54" t="s">
        <v>63</v>
      </c>
      <c r="B137" s="54" t="s">
        <v>64</v>
      </c>
      <c r="C137" s="42"/>
      <c r="D137" s="42">
        <v>5.1</v>
      </c>
      <c r="E137" s="42">
        <f>$D136</f>
        <v>1</v>
      </c>
      <c r="F137" s="56"/>
      <c r="G137" s="56"/>
      <c r="H137" s="56"/>
      <c r="I137" s="56"/>
      <c r="J137" s="56"/>
      <c r="K137" s="57"/>
      <c r="L137" s="47"/>
      <c r="M137" s="48"/>
      <c r="N137" s="48"/>
      <c r="O137" s="48"/>
      <c r="P137" s="48"/>
      <c r="Q137" s="60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9"/>
      <c r="AF137" s="41"/>
      <c r="AG137" s="41"/>
      <c r="AH137" s="41"/>
      <c r="AI137" s="41"/>
      <c r="AJ137" s="41"/>
      <c r="AK137" s="41"/>
    </row>
    <row r="138" ht="20.25" customHeight="1">
      <c r="A138" s="54" t="s">
        <v>63</v>
      </c>
      <c r="B138" s="54" t="s">
        <v>66</v>
      </c>
      <c r="C138" s="54" t="s">
        <v>64</v>
      </c>
      <c r="D138" s="42">
        <v>5.1</v>
      </c>
      <c r="E138" s="42"/>
      <c r="F138" s="56"/>
      <c r="G138" s="56"/>
      <c r="H138" s="56"/>
      <c r="I138" s="56"/>
      <c r="J138" s="56"/>
      <c r="K138" s="57"/>
      <c r="L138" s="47"/>
      <c r="M138" s="48"/>
      <c r="N138" s="48"/>
      <c r="O138" s="48"/>
      <c r="P138" s="48"/>
      <c r="Q138" s="60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9"/>
      <c r="AF138" s="41"/>
      <c r="AG138" s="41"/>
      <c r="AH138" s="41"/>
      <c r="AI138" s="41">
        <f>SUM(AI136)</f>
        <v>73.71696429</v>
      </c>
      <c r="AJ138" s="41"/>
      <c r="AK138" s="41"/>
    </row>
    <row r="139" ht="20.25" customHeight="1">
      <c r="A139" s="54"/>
      <c r="B139" s="54"/>
      <c r="C139" s="42"/>
      <c r="D139" s="42"/>
      <c r="E139" s="42"/>
      <c r="F139" s="56"/>
      <c r="G139" s="56"/>
      <c r="H139" s="56"/>
      <c r="I139" s="56"/>
      <c r="J139" s="56"/>
      <c r="K139" s="57"/>
      <c r="L139" s="47"/>
      <c r="M139" s="48"/>
      <c r="N139" s="48"/>
      <c r="O139" s="48"/>
      <c r="P139" s="48"/>
      <c r="Q139" s="60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9"/>
      <c r="AF139" s="41"/>
      <c r="AG139" s="41"/>
      <c r="AH139" s="41"/>
      <c r="AI139" s="41"/>
      <c r="AJ139" s="41"/>
      <c r="AK139" s="41"/>
    </row>
    <row r="140" ht="20.25" customHeight="1">
      <c r="A140" s="42"/>
      <c r="B140" s="43">
        <v>2.0</v>
      </c>
      <c r="C140" s="43"/>
      <c r="D140" s="43"/>
      <c r="E140" s="44" t="s">
        <v>520</v>
      </c>
      <c r="F140" s="45"/>
      <c r="G140" s="45"/>
      <c r="H140" s="45"/>
      <c r="I140" s="45">
        <v>0.275</v>
      </c>
      <c r="J140" s="45">
        <f t="shared" ref="J140:J144" si="119">I140*5</f>
        <v>1.375</v>
      </c>
      <c r="K140" s="46">
        <f t="shared" ref="K140:K144" si="120">J140*365</f>
        <v>501.875</v>
      </c>
      <c r="L140" s="47"/>
      <c r="M140" s="48"/>
      <c r="N140" s="48"/>
      <c r="O140" s="48"/>
      <c r="P140" s="48"/>
      <c r="Q140" s="60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9"/>
      <c r="AF140" s="41"/>
      <c r="AG140" s="41"/>
      <c r="AH140" s="41"/>
      <c r="AI140" s="41"/>
      <c r="AJ140" s="41"/>
      <c r="AK140" s="41"/>
    </row>
    <row r="141" ht="20.25" customHeight="1">
      <c r="A141" s="42"/>
      <c r="B141" s="42"/>
      <c r="C141" s="42"/>
      <c r="D141" s="42">
        <v>1.0</v>
      </c>
      <c r="E141" s="54" t="s">
        <v>521</v>
      </c>
      <c r="F141" s="55" t="s">
        <v>521</v>
      </c>
      <c r="G141" s="55" t="s">
        <v>522</v>
      </c>
      <c r="H141" s="56"/>
      <c r="I141" s="56">
        <f>I140/$E145</f>
        <v>0.06875</v>
      </c>
      <c r="J141" s="56">
        <f t="shared" si="119"/>
        <v>0.34375</v>
      </c>
      <c r="K141" s="57">
        <f t="shared" si="120"/>
        <v>125.46875</v>
      </c>
      <c r="L141" s="58" t="s">
        <v>127</v>
      </c>
      <c r="M141" s="59" t="s">
        <v>128</v>
      </c>
      <c r="N141" s="59" t="s">
        <v>135</v>
      </c>
      <c r="O141" s="59" t="s">
        <v>466</v>
      </c>
      <c r="P141" s="48"/>
      <c r="Q141" s="60">
        <v>3.0</v>
      </c>
      <c r="R141" s="48"/>
      <c r="S141" s="59" t="s">
        <v>467</v>
      </c>
      <c r="T141" s="48"/>
      <c r="U141" s="59" t="s">
        <v>34</v>
      </c>
      <c r="V141" s="48">
        <f t="shared" ref="V141:V142" si="121">0.45*0.15</f>
        <v>0.0675</v>
      </c>
      <c r="W141" s="48">
        <f t="shared" ref="W141:W144" si="122">10000/V141</f>
        <v>148148.1481</v>
      </c>
      <c r="X141" s="48">
        <v>1500.0</v>
      </c>
      <c r="Y141" s="48">
        <v>2500.0</v>
      </c>
      <c r="Z141" s="48">
        <v>4000.0</v>
      </c>
      <c r="AA141" s="59" t="s">
        <v>62</v>
      </c>
      <c r="AB141" s="48">
        <v>4000.0</v>
      </c>
      <c r="AC141" s="48">
        <f t="shared" ref="AC141:AC144" si="123">AB141/W141</f>
        <v>0.027</v>
      </c>
      <c r="AD141" s="65">
        <f t="shared" ref="AD141:AD144" si="124">K141/AC141</f>
        <v>4646.990741</v>
      </c>
      <c r="AE141" s="65">
        <f t="shared" ref="AE141:AE144" si="125">AD141/Q141</f>
        <v>1548.996914</v>
      </c>
      <c r="AF141" s="64">
        <v>11.31</v>
      </c>
      <c r="AG141" s="41">
        <f t="shared" ref="AG141:AG144" si="126">12/AF141</f>
        <v>1.061007958</v>
      </c>
      <c r="AH141" s="70">
        <f t="shared" ref="AH141:AH144" si="127">AD141/AG141</f>
        <v>4379.788773</v>
      </c>
      <c r="AI141" s="41">
        <f t="shared" ref="AI141:AI144" si="128">AH141*V141</f>
        <v>295.6357422</v>
      </c>
      <c r="AJ141" s="41"/>
      <c r="AK141" s="41"/>
    </row>
    <row r="142" ht="32.25" customHeight="1">
      <c r="A142" s="42"/>
      <c r="B142" s="42"/>
      <c r="C142" s="42"/>
      <c r="D142" s="42">
        <v>2.0</v>
      </c>
      <c r="E142" s="54" t="s">
        <v>523</v>
      </c>
      <c r="F142" s="55" t="s">
        <v>524</v>
      </c>
      <c r="G142" s="55" t="s">
        <v>525</v>
      </c>
      <c r="H142" s="56"/>
      <c r="I142" s="56">
        <f>I140/$E145</f>
        <v>0.06875</v>
      </c>
      <c r="J142" s="56">
        <f t="shared" si="119"/>
        <v>0.34375</v>
      </c>
      <c r="K142" s="57">
        <f t="shared" si="120"/>
        <v>125.46875</v>
      </c>
      <c r="L142" s="58" t="s">
        <v>526</v>
      </c>
      <c r="M142" s="59" t="s">
        <v>128</v>
      </c>
      <c r="N142" s="59" t="s">
        <v>527</v>
      </c>
      <c r="O142" s="59" t="s">
        <v>466</v>
      </c>
      <c r="P142" s="48"/>
      <c r="Q142" s="60">
        <v>3.0</v>
      </c>
      <c r="R142" s="48"/>
      <c r="S142" s="59" t="s">
        <v>467</v>
      </c>
      <c r="T142" s="48"/>
      <c r="U142" s="59" t="s">
        <v>34</v>
      </c>
      <c r="V142" s="48">
        <f t="shared" si="121"/>
        <v>0.0675</v>
      </c>
      <c r="W142" s="48">
        <f t="shared" si="122"/>
        <v>148148.1481</v>
      </c>
      <c r="X142" s="48">
        <v>1200.0</v>
      </c>
      <c r="Y142" s="48">
        <v>2000.0</v>
      </c>
      <c r="Z142" s="48">
        <v>3500.0</v>
      </c>
      <c r="AA142" s="59" t="s">
        <v>62</v>
      </c>
      <c r="AB142" s="48">
        <v>3500.0</v>
      </c>
      <c r="AC142" s="48">
        <f t="shared" si="123"/>
        <v>0.023625</v>
      </c>
      <c r="AD142" s="65">
        <f t="shared" si="124"/>
        <v>5310.846561</v>
      </c>
      <c r="AE142" s="65">
        <f t="shared" si="125"/>
        <v>1770.282187</v>
      </c>
      <c r="AF142" s="64">
        <v>11.31</v>
      </c>
      <c r="AG142" s="41">
        <f t="shared" si="126"/>
        <v>1.061007958</v>
      </c>
      <c r="AH142" s="70">
        <f t="shared" si="127"/>
        <v>5005.472884</v>
      </c>
      <c r="AI142" s="41">
        <f t="shared" si="128"/>
        <v>337.8694196</v>
      </c>
      <c r="AJ142" s="41"/>
      <c r="AK142" s="41"/>
    </row>
    <row r="143" ht="32.25" customHeight="1">
      <c r="A143" s="42"/>
      <c r="B143" s="42"/>
      <c r="C143" s="42"/>
      <c r="D143" s="42">
        <v>3.0</v>
      </c>
      <c r="E143" s="54" t="s">
        <v>528</v>
      </c>
      <c r="F143" s="55" t="s">
        <v>529</v>
      </c>
      <c r="G143" s="55" t="s">
        <v>530</v>
      </c>
      <c r="H143" s="56"/>
      <c r="I143" s="56">
        <f>I140/$E145</f>
        <v>0.06875</v>
      </c>
      <c r="J143" s="56">
        <f t="shared" si="119"/>
        <v>0.34375</v>
      </c>
      <c r="K143" s="57">
        <f t="shared" si="120"/>
        <v>125.46875</v>
      </c>
      <c r="L143" s="58" t="s">
        <v>531</v>
      </c>
      <c r="M143" s="59" t="s">
        <v>128</v>
      </c>
      <c r="N143" s="59" t="s">
        <v>135</v>
      </c>
      <c r="O143" s="59" t="s">
        <v>532</v>
      </c>
      <c r="P143" s="48"/>
      <c r="Q143" s="60">
        <v>1.0</v>
      </c>
      <c r="R143" s="48"/>
      <c r="S143" s="59" t="s">
        <v>533</v>
      </c>
      <c r="T143" s="48"/>
      <c r="U143" s="59" t="s">
        <v>34</v>
      </c>
      <c r="V143" s="48">
        <f>0.25*0.15</f>
        <v>0.0375</v>
      </c>
      <c r="W143" s="48">
        <f t="shared" si="122"/>
        <v>266666.6667</v>
      </c>
      <c r="X143" s="48">
        <v>800.0</v>
      </c>
      <c r="Y143" s="48">
        <v>1500.0</v>
      </c>
      <c r="Z143" s="48">
        <v>2500.0</v>
      </c>
      <c r="AA143" s="59" t="s">
        <v>62</v>
      </c>
      <c r="AB143" s="48">
        <v>2500.0</v>
      </c>
      <c r="AC143" s="48">
        <f t="shared" si="123"/>
        <v>0.009375</v>
      </c>
      <c r="AD143" s="65">
        <f t="shared" si="124"/>
        <v>13383.33333</v>
      </c>
      <c r="AE143" s="65">
        <f t="shared" si="125"/>
        <v>13383.33333</v>
      </c>
      <c r="AF143" s="64">
        <v>11.31</v>
      </c>
      <c r="AG143" s="41">
        <f t="shared" si="126"/>
        <v>1.061007958</v>
      </c>
      <c r="AH143" s="70">
        <f t="shared" si="127"/>
        <v>12613.79167</v>
      </c>
      <c r="AI143" s="41">
        <f t="shared" si="128"/>
        <v>473.0171875</v>
      </c>
      <c r="AJ143" s="41"/>
      <c r="AK143" s="41"/>
    </row>
    <row r="144" ht="20.25" customHeight="1">
      <c r="A144" s="42"/>
      <c r="B144" s="42"/>
      <c r="C144" s="42"/>
      <c r="D144" s="42">
        <v>4.0</v>
      </c>
      <c r="E144" s="54" t="s">
        <v>534</v>
      </c>
      <c r="F144" s="55" t="s">
        <v>535</v>
      </c>
      <c r="G144" s="55" t="s">
        <v>536</v>
      </c>
      <c r="H144" s="56"/>
      <c r="I144" s="56">
        <f>I140/$E145</f>
        <v>0.06875</v>
      </c>
      <c r="J144" s="56">
        <f t="shared" si="119"/>
        <v>0.34375</v>
      </c>
      <c r="K144" s="57">
        <f t="shared" si="120"/>
        <v>125.46875</v>
      </c>
      <c r="L144" s="58" t="s">
        <v>537</v>
      </c>
      <c r="M144" s="59" t="s">
        <v>128</v>
      </c>
      <c r="N144" s="59" t="s">
        <v>129</v>
      </c>
      <c r="O144" s="59" t="s">
        <v>538</v>
      </c>
      <c r="P144" s="48"/>
      <c r="Q144" s="60">
        <v>1.0</v>
      </c>
      <c r="R144" s="48"/>
      <c r="S144" s="59" t="s">
        <v>539</v>
      </c>
      <c r="T144" s="48"/>
      <c r="U144" s="59" t="s">
        <v>540</v>
      </c>
      <c r="V144" s="48">
        <f>0.25*0.3</f>
        <v>0.075</v>
      </c>
      <c r="W144" s="48">
        <f t="shared" si="122"/>
        <v>133333.3333</v>
      </c>
      <c r="X144" s="48">
        <v>2000.0</v>
      </c>
      <c r="Y144" s="48">
        <v>3500.0</v>
      </c>
      <c r="Z144" s="48">
        <v>5000.0</v>
      </c>
      <c r="AA144" s="59" t="s">
        <v>62</v>
      </c>
      <c r="AB144" s="48">
        <v>5000.0</v>
      </c>
      <c r="AC144" s="48">
        <f t="shared" si="123"/>
        <v>0.0375</v>
      </c>
      <c r="AD144" s="65">
        <f t="shared" si="124"/>
        <v>3345.833333</v>
      </c>
      <c r="AE144" s="65">
        <f t="shared" si="125"/>
        <v>3345.833333</v>
      </c>
      <c r="AF144" s="64">
        <v>11.31</v>
      </c>
      <c r="AG144" s="41">
        <f t="shared" si="126"/>
        <v>1.061007958</v>
      </c>
      <c r="AH144" s="70">
        <f t="shared" si="127"/>
        <v>3153.447917</v>
      </c>
      <c r="AI144" s="41">
        <f t="shared" si="128"/>
        <v>236.5085938</v>
      </c>
      <c r="AJ144" s="41"/>
      <c r="AK144" s="41"/>
    </row>
    <row r="145" ht="20.25" customHeight="1">
      <c r="A145" s="54" t="s">
        <v>63</v>
      </c>
      <c r="B145" s="54" t="s">
        <v>64</v>
      </c>
      <c r="C145" s="42"/>
      <c r="D145" s="42">
        <v>5.2</v>
      </c>
      <c r="E145" s="42">
        <f>$D144</f>
        <v>4</v>
      </c>
      <c r="F145" s="56"/>
      <c r="G145" s="56"/>
      <c r="H145" s="56"/>
      <c r="I145" s="56"/>
      <c r="J145" s="56"/>
      <c r="K145" s="57"/>
      <c r="L145" s="47"/>
      <c r="M145" s="48"/>
      <c r="N145" s="48"/>
      <c r="O145" s="48"/>
      <c r="P145" s="48"/>
      <c r="Q145" s="60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9"/>
      <c r="AF145" s="41"/>
      <c r="AG145" s="41"/>
      <c r="AH145" s="41"/>
      <c r="AI145" s="41"/>
      <c r="AJ145" s="41"/>
      <c r="AK145" s="41"/>
    </row>
    <row r="146" ht="20.25" customHeight="1">
      <c r="A146" s="54" t="s">
        <v>63</v>
      </c>
      <c r="B146" s="54" t="s">
        <v>66</v>
      </c>
      <c r="C146" s="54" t="s">
        <v>64</v>
      </c>
      <c r="D146" s="42">
        <v>5.2</v>
      </c>
      <c r="E146" s="42"/>
      <c r="F146" s="56"/>
      <c r="G146" s="56"/>
      <c r="H146" s="56"/>
      <c r="I146" s="56"/>
      <c r="J146" s="56"/>
      <c r="K146" s="57"/>
      <c r="L146" s="47"/>
      <c r="M146" s="48"/>
      <c r="N146" s="48"/>
      <c r="O146" s="48"/>
      <c r="P146" s="48"/>
      <c r="Q146" s="60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9"/>
      <c r="AF146" s="41"/>
      <c r="AG146" s="41"/>
      <c r="AH146" s="41"/>
      <c r="AI146" s="70">
        <f>SUM(AI141:AI144)+L146</f>
        <v>1343.030943</v>
      </c>
      <c r="AJ146" s="41"/>
      <c r="AK146" s="41"/>
    </row>
    <row r="147" ht="20.25" customHeight="1">
      <c r="A147" s="54" t="s">
        <v>63</v>
      </c>
      <c r="B147" s="54" t="s">
        <v>64</v>
      </c>
      <c r="C147" s="42"/>
      <c r="D147" s="42">
        <v>5.0</v>
      </c>
      <c r="E147" s="42">
        <f>$E137+$E145</f>
        <v>5</v>
      </c>
      <c r="F147" s="56"/>
      <c r="G147" s="56"/>
      <c r="H147" s="56"/>
      <c r="I147" s="56"/>
      <c r="J147" s="56"/>
      <c r="K147" s="57"/>
      <c r="L147" s="47"/>
      <c r="M147" s="48"/>
      <c r="N147" s="48"/>
      <c r="O147" s="48"/>
      <c r="P147" s="48"/>
      <c r="Q147" s="60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9"/>
      <c r="AF147" s="41"/>
      <c r="AG147" s="41"/>
      <c r="AH147" s="41"/>
      <c r="AI147" s="41"/>
      <c r="AJ147" s="41"/>
      <c r="AK147" s="41"/>
    </row>
    <row r="148" ht="20.25" customHeight="1">
      <c r="A148" s="54" t="s">
        <v>63</v>
      </c>
      <c r="B148" s="54" t="s">
        <v>66</v>
      </c>
      <c r="C148" s="54" t="s">
        <v>64</v>
      </c>
      <c r="D148" s="42">
        <v>5.0</v>
      </c>
      <c r="E148" s="42"/>
      <c r="F148" s="56"/>
      <c r="G148" s="56"/>
      <c r="H148" s="56"/>
      <c r="I148" s="56"/>
      <c r="J148" s="56"/>
      <c r="K148" s="57"/>
      <c r="L148" s="47"/>
      <c r="M148" s="48"/>
      <c r="N148" s="48"/>
      <c r="O148" s="48"/>
      <c r="P148" s="48"/>
      <c r="Q148" s="60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9"/>
      <c r="AF148" s="41"/>
      <c r="AG148" s="41"/>
      <c r="AH148" s="41"/>
      <c r="AI148" s="70">
        <f>SUM(AI138,AI146)</f>
        <v>1416.747907</v>
      </c>
      <c r="AJ148" s="41"/>
      <c r="AK148" s="41"/>
    </row>
    <row r="149" ht="20.25" customHeight="1">
      <c r="A149" s="54"/>
      <c r="B149" s="54"/>
      <c r="C149" s="42"/>
      <c r="D149" s="42"/>
      <c r="E149" s="42"/>
      <c r="F149" s="56"/>
      <c r="G149" s="56"/>
      <c r="H149" s="56"/>
      <c r="I149" s="56"/>
      <c r="J149" s="56"/>
      <c r="K149" s="57"/>
      <c r="L149" s="47"/>
      <c r="M149" s="48"/>
      <c r="N149" s="48"/>
      <c r="O149" s="48"/>
      <c r="P149" s="48"/>
      <c r="Q149" s="60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9"/>
      <c r="AF149" s="41"/>
      <c r="AG149" s="41"/>
      <c r="AH149" s="41"/>
      <c r="AI149" s="41"/>
      <c r="AJ149" s="41"/>
      <c r="AK149" s="41"/>
    </row>
    <row r="150" ht="20.25" customHeight="1">
      <c r="A150" s="42"/>
      <c r="B150" s="42"/>
      <c r="C150" s="42"/>
      <c r="D150" s="42"/>
      <c r="E150" s="42"/>
      <c r="F150" s="56"/>
      <c r="G150" s="56"/>
      <c r="H150" s="56"/>
      <c r="I150" s="56"/>
      <c r="J150" s="56"/>
      <c r="K150" s="57"/>
      <c r="L150" s="71"/>
      <c r="M150" s="72"/>
      <c r="N150" s="72"/>
      <c r="O150" s="72"/>
      <c r="P150" s="72"/>
      <c r="Q150" s="73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4"/>
      <c r="AF150" s="41"/>
      <c r="AG150" s="41"/>
      <c r="AH150" s="41"/>
      <c r="AI150" s="41"/>
      <c r="AJ150" s="41"/>
      <c r="AK150" s="41"/>
    </row>
    <row r="151" ht="20.25" customHeight="1">
      <c r="A151" s="62" t="s">
        <v>63</v>
      </c>
      <c r="B151" s="62" t="s">
        <v>64</v>
      </c>
      <c r="C151" s="63"/>
      <c r="D151" s="62" t="s">
        <v>541</v>
      </c>
      <c r="E151" s="63">
        <f>$E118+$E123+$E131+$E147</f>
        <v>21</v>
      </c>
      <c r="F151" s="75"/>
      <c r="G151" s="75"/>
      <c r="H151" s="75"/>
      <c r="I151" s="75"/>
      <c r="J151" s="75"/>
      <c r="K151" s="76"/>
      <c r="L151" s="77"/>
      <c r="M151" s="78"/>
      <c r="N151" s="78"/>
      <c r="O151" s="78"/>
      <c r="P151" s="78"/>
      <c r="Q151" s="79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80"/>
      <c r="AF151" s="81"/>
      <c r="AG151" s="81"/>
      <c r="AH151" s="81"/>
      <c r="AI151" s="81"/>
      <c r="AJ151" s="81"/>
      <c r="AK151" s="81"/>
    </row>
    <row r="152" ht="20.25" customHeight="1">
      <c r="A152" s="63"/>
      <c r="B152" s="63"/>
      <c r="C152" s="63"/>
      <c r="D152" s="63"/>
      <c r="E152" s="63"/>
      <c r="F152" s="75"/>
      <c r="G152" s="75"/>
      <c r="H152" s="75"/>
      <c r="I152" s="75"/>
      <c r="J152" s="75"/>
      <c r="K152" s="76"/>
      <c r="L152" s="82"/>
      <c r="M152" s="83"/>
      <c r="N152" s="83"/>
      <c r="O152" s="83"/>
      <c r="P152" s="83"/>
      <c r="Q152" s="84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5"/>
      <c r="AF152" s="81"/>
      <c r="AG152" s="81"/>
      <c r="AH152" s="81"/>
      <c r="AI152" s="81"/>
      <c r="AJ152" s="81"/>
      <c r="AK152" s="81"/>
    </row>
    <row r="153" ht="20.25" customHeight="1">
      <c r="A153" s="62" t="s">
        <v>542</v>
      </c>
      <c r="B153" s="62" t="s">
        <v>63</v>
      </c>
      <c r="C153" s="63"/>
      <c r="D153" s="62" t="s">
        <v>543</v>
      </c>
      <c r="E153" s="63">
        <f>$E103+$E118+$E123+$E131+$E147</f>
        <v>74</v>
      </c>
      <c r="F153" s="75"/>
      <c r="G153" s="75"/>
      <c r="H153" s="75"/>
      <c r="I153" s="75"/>
      <c r="J153" s="75"/>
      <c r="K153" s="76"/>
      <c r="L153" s="82"/>
      <c r="M153" s="83"/>
      <c r="N153" s="83"/>
      <c r="O153" s="83"/>
      <c r="P153" s="83"/>
      <c r="Q153" s="84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5"/>
      <c r="AF153" s="81"/>
      <c r="AG153" s="81"/>
      <c r="AH153" s="81"/>
      <c r="AI153" s="81"/>
      <c r="AJ153" s="81"/>
      <c r="AK153" s="81"/>
    </row>
    <row r="154" ht="20.25" customHeight="1">
      <c r="A154" s="63"/>
      <c r="B154" s="63"/>
      <c r="C154" s="63"/>
      <c r="D154" s="63"/>
      <c r="E154" s="63"/>
      <c r="F154" s="75"/>
      <c r="G154" s="75"/>
      <c r="H154" s="75"/>
      <c r="I154" s="75"/>
      <c r="J154" s="75"/>
      <c r="K154" s="76"/>
      <c r="L154" s="82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5"/>
      <c r="AF154" s="81"/>
      <c r="AG154" s="81"/>
      <c r="AH154" s="81"/>
      <c r="AI154" s="81"/>
      <c r="AJ154" s="81"/>
      <c r="AK154" s="81"/>
    </row>
    <row r="155" ht="20.25" customHeight="1">
      <c r="A155" s="63"/>
      <c r="B155" s="63"/>
      <c r="C155" s="63"/>
      <c r="D155" s="63"/>
      <c r="E155" s="63"/>
      <c r="F155" s="75"/>
      <c r="G155" s="75"/>
      <c r="H155" s="75"/>
      <c r="I155" s="75"/>
      <c r="J155" s="75"/>
      <c r="K155" s="76"/>
      <c r="L155" s="82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5"/>
      <c r="AF155" s="81"/>
      <c r="AG155" s="81"/>
      <c r="AH155" s="81"/>
      <c r="AI155" s="81"/>
      <c r="AJ155" s="81"/>
      <c r="AK155" s="81"/>
    </row>
    <row r="156" ht="19.5" customHeight="1">
      <c r="A156" s="86"/>
      <c r="B156" s="86"/>
      <c r="C156" s="86"/>
      <c r="D156" s="86"/>
      <c r="E156" s="86"/>
      <c r="F156" s="87"/>
      <c r="G156" s="87"/>
      <c r="H156" s="87"/>
      <c r="I156" s="87"/>
      <c r="J156" s="87"/>
      <c r="K156" s="87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9"/>
      <c r="AG156" s="89"/>
      <c r="AH156" s="89"/>
      <c r="AI156" s="89"/>
      <c r="AJ156" s="89"/>
      <c r="AK156" s="90"/>
    </row>
    <row r="157" ht="19.5" customHeight="1">
      <c r="A157" s="91"/>
      <c r="B157" s="91"/>
      <c r="C157" s="91"/>
      <c r="D157" s="91"/>
      <c r="E157" s="91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3"/>
    </row>
    <row r="158" ht="19.5" customHeight="1">
      <c r="A158" s="91"/>
      <c r="B158" s="91"/>
      <c r="C158" s="91"/>
      <c r="D158" s="91"/>
      <c r="E158" s="91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3"/>
    </row>
    <row r="159" ht="19.5" customHeight="1">
      <c r="A159" s="91"/>
      <c r="B159" s="91"/>
      <c r="C159" s="91"/>
      <c r="D159" s="91"/>
      <c r="E159" s="91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3"/>
    </row>
    <row r="160" ht="19.5" customHeight="1">
      <c r="A160" s="91"/>
      <c r="B160" s="91"/>
      <c r="C160" s="91"/>
      <c r="D160" s="91"/>
      <c r="E160" s="91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3"/>
    </row>
    <row r="161" ht="19.5" customHeight="1">
      <c r="A161" s="91"/>
      <c r="B161" s="91"/>
      <c r="C161" s="91"/>
      <c r="D161" s="91"/>
      <c r="E161" s="91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3"/>
    </row>
    <row r="162" ht="19.5" customHeight="1">
      <c r="A162" s="91"/>
      <c r="B162" s="91"/>
      <c r="C162" s="91"/>
      <c r="D162" s="91"/>
      <c r="E162" s="91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3"/>
    </row>
    <row r="163" ht="19.5" customHeight="1">
      <c r="A163" s="91"/>
      <c r="B163" s="91"/>
      <c r="C163" s="91"/>
      <c r="D163" s="91"/>
      <c r="E163" s="91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3"/>
    </row>
    <row r="164" ht="19.5" customHeight="1">
      <c r="A164" s="91"/>
      <c r="B164" s="91"/>
      <c r="C164" s="91"/>
      <c r="D164" s="91"/>
      <c r="E164" s="91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3"/>
    </row>
    <row r="165" ht="19.5" customHeight="1">
      <c r="A165" s="91"/>
      <c r="B165" s="91"/>
      <c r="C165" s="91"/>
      <c r="D165" s="91"/>
      <c r="E165" s="91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3"/>
    </row>
    <row r="166" ht="19.5" customHeight="1">
      <c r="A166" s="91"/>
      <c r="B166" s="91"/>
      <c r="C166" s="91"/>
      <c r="D166" s="91"/>
      <c r="E166" s="91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3"/>
    </row>
    <row r="167" ht="19.5" customHeight="1">
      <c r="A167" s="91"/>
      <c r="B167" s="91"/>
      <c r="C167" s="91"/>
      <c r="D167" s="91"/>
      <c r="E167" s="91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3"/>
    </row>
    <row r="168" ht="19.5" customHeight="1">
      <c r="A168" s="91"/>
      <c r="B168" s="91"/>
      <c r="C168" s="91"/>
      <c r="D168" s="91"/>
      <c r="E168" s="91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3"/>
    </row>
    <row r="169" ht="19.5" customHeight="1">
      <c r="A169" s="91"/>
      <c r="B169" s="91"/>
      <c r="C169" s="91"/>
      <c r="D169" s="91"/>
      <c r="E169" s="91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3"/>
    </row>
    <row r="170" ht="19.5" customHeight="1">
      <c r="A170" s="91"/>
      <c r="B170" s="91"/>
      <c r="C170" s="91"/>
      <c r="D170" s="91"/>
      <c r="E170" s="91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3"/>
    </row>
    <row r="171" ht="19.5" customHeight="1">
      <c r="A171" s="91"/>
      <c r="B171" s="91"/>
      <c r="C171" s="91"/>
      <c r="D171" s="91"/>
      <c r="E171" s="91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3"/>
    </row>
    <row r="172" ht="19.5" customHeight="1">
      <c r="A172" s="91"/>
      <c r="B172" s="91"/>
      <c r="C172" s="91"/>
      <c r="D172" s="91"/>
      <c r="E172" s="91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3"/>
    </row>
    <row r="173" ht="19.5" customHeight="1">
      <c r="A173" s="91"/>
      <c r="B173" s="91"/>
      <c r="C173" s="91"/>
      <c r="D173" s="91"/>
      <c r="E173" s="91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3"/>
    </row>
    <row r="174" ht="19.5" customHeight="1">
      <c r="A174" s="91"/>
      <c r="B174" s="91"/>
      <c r="C174" s="91"/>
      <c r="D174" s="91"/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3"/>
    </row>
    <row r="175" ht="19.5" customHeight="1">
      <c r="A175" s="91"/>
      <c r="B175" s="91"/>
      <c r="C175" s="91"/>
      <c r="D175" s="91"/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3"/>
    </row>
    <row r="176" ht="19.5" customHeight="1">
      <c r="A176" s="91"/>
      <c r="B176" s="91"/>
      <c r="C176" s="91"/>
      <c r="D176" s="91"/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3"/>
    </row>
    <row r="177" ht="19.5" customHeight="1">
      <c r="A177" s="91"/>
      <c r="B177" s="91"/>
      <c r="C177" s="91"/>
      <c r="D177" s="91"/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3"/>
    </row>
    <row r="178" ht="19.5" customHeight="1">
      <c r="A178" s="91"/>
      <c r="B178" s="91"/>
      <c r="C178" s="91"/>
      <c r="D178" s="91"/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3"/>
    </row>
    <row r="179" ht="19.5" customHeight="1">
      <c r="A179" s="91"/>
      <c r="B179" s="91"/>
      <c r="C179" s="91"/>
      <c r="D179" s="91"/>
      <c r="E179" s="91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3"/>
    </row>
    <row r="180" ht="19.5" customHeight="1">
      <c r="A180" s="91"/>
      <c r="B180" s="91"/>
      <c r="C180" s="91"/>
      <c r="D180" s="91"/>
      <c r="E180" s="91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3"/>
    </row>
    <row r="181" ht="19.5" customHeight="1">
      <c r="A181" s="91"/>
      <c r="B181" s="91"/>
      <c r="C181" s="91"/>
      <c r="D181" s="91"/>
      <c r="E181" s="91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3"/>
    </row>
    <row r="182" ht="19.5" customHeight="1">
      <c r="A182" s="91"/>
      <c r="B182" s="91"/>
      <c r="C182" s="91"/>
      <c r="D182" s="91"/>
      <c r="E182" s="91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3"/>
    </row>
    <row r="183" ht="19.5" customHeight="1">
      <c r="A183" s="91"/>
      <c r="B183" s="91"/>
      <c r="C183" s="91"/>
      <c r="D183" s="91"/>
      <c r="E183" s="91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3"/>
    </row>
    <row r="184" ht="19.5" customHeight="1">
      <c r="A184" s="91"/>
      <c r="B184" s="91"/>
      <c r="C184" s="91"/>
      <c r="D184" s="91"/>
      <c r="E184" s="91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3"/>
    </row>
    <row r="185" ht="19.5" customHeight="1">
      <c r="A185" s="91"/>
      <c r="B185" s="91"/>
      <c r="C185" s="91"/>
      <c r="D185" s="91"/>
      <c r="E185" s="91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3"/>
    </row>
    <row r="186" ht="19.5" customHeight="1">
      <c r="A186" s="91"/>
      <c r="B186" s="91"/>
      <c r="C186" s="91"/>
      <c r="D186" s="91"/>
      <c r="E186" s="91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3"/>
    </row>
    <row r="187" ht="19.5" customHeight="1">
      <c r="A187" s="91"/>
      <c r="B187" s="91"/>
      <c r="C187" s="91"/>
      <c r="D187" s="91"/>
      <c r="E187" s="91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3"/>
    </row>
    <row r="188" ht="19.5" customHeight="1">
      <c r="A188" s="91"/>
      <c r="B188" s="91"/>
      <c r="C188" s="91"/>
      <c r="D188" s="91"/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3"/>
    </row>
    <row r="189" ht="19.5" customHeight="1">
      <c r="A189" s="91"/>
      <c r="B189" s="91"/>
      <c r="C189" s="91"/>
      <c r="D189" s="91"/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3"/>
    </row>
    <row r="190" ht="19.5" customHeight="1">
      <c r="A190" s="91"/>
      <c r="B190" s="91"/>
      <c r="C190" s="91"/>
      <c r="D190" s="91"/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3"/>
    </row>
    <row r="191" ht="19.5" customHeight="1">
      <c r="A191" s="91"/>
      <c r="B191" s="91"/>
      <c r="C191" s="91"/>
      <c r="D191" s="91"/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3"/>
    </row>
    <row r="192" ht="19.5" customHeight="1">
      <c r="A192" s="91"/>
      <c r="B192" s="91"/>
      <c r="C192" s="91"/>
      <c r="D192" s="91"/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3"/>
    </row>
    <row r="193" ht="19.5" customHeight="1">
      <c r="A193" s="91"/>
      <c r="B193" s="91"/>
      <c r="C193" s="91"/>
      <c r="D193" s="91"/>
      <c r="E193" s="91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3"/>
    </row>
    <row r="194" ht="19.5" customHeight="1">
      <c r="A194" s="91"/>
      <c r="B194" s="91"/>
      <c r="C194" s="91"/>
      <c r="D194" s="91"/>
      <c r="E194" s="91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3"/>
    </row>
    <row r="195" ht="19.5" customHeight="1">
      <c r="A195" s="91"/>
      <c r="B195" s="91"/>
      <c r="C195" s="91"/>
      <c r="D195" s="91"/>
      <c r="E195" s="91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3"/>
    </row>
    <row r="196" ht="19.5" customHeight="1">
      <c r="A196" s="91"/>
      <c r="B196" s="91"/>
      <c r="C196" s="91"/>
      <c r="D196" s="91"/>
      <c r="E196" s="91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3"/>
    </row>
    <row r="197" ht="19.5" customHeight="1">
      <c r="A197" s="91"/>
      <c r="B197" s="91"/>
      <c r="C197" s="91"/>
      <c r="D197" s="91"/>
      <c r="E197" s="91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3"/>
    </row>
    <row r="198" ht="19.5" customHeight="1">
      <c r="A198" s="91"/>
      <c r="B198" s="91"/>
      <c r="C198" s="91"/>
      <c r="D198" s="91"/>
      <c r="E198" s="91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3"/>
    </row>
    <row r="199" ht="19.5" customHeight="1">
      <c r="A199" s="91"/>
      <c r="B199" s="91"/>
      <c r="C199" s="91"/>
      <c r="D199" s="91"/>
      <c r="E199" s="91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3"/>
    </row>
    <row r="200" ht="19.5" customHeight="1">
      <c r="A200" s="91"/>
      <c r="B200" s="91"/>
      <c r="C200" s="91"/>
      <c r="D200" s="91"/>
      <c r="E200" s="91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3"/>
    </row>
    <row r="201" ht="19.5" customHeight="1">
      <c r="A201" s="91"/>
      <c r="B201" s="91"/>
      <c r="C201" s="91"/>
      <c r="D201" s="91"/>
      <c r="E201" s="91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3"/>
    </row>
    <row r="202" ht="19.5" customHeight="1">
      <c r="A202" s="91"/>
      <c r="B202" s="91"/>
      <c r="C202" s="91"/>
      <c r="D202" s="91"/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3"/>
    </row>
    <row r="203" ht="19.5" customHeight="1">
      <c r="A203" s="91"/>
      <c r="B203" s="91"/>
      <c r="C203" s="91"/>
      <c r="D203" s="91"/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3"/>
    </row>
    <row r="204" ht="19.5" customHeight="1">
      <c r="A204" s="91"/>
      <c r="B204" s="91"/>
      <c r="C204" s="91"/>
      <c r="D204" s="91"/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3"/>
    </row>
    <row r="205" ht="19.5" customHeight="1">
      <c r="A205" s="91"/>
      <c r="B205" s="91"/>
      <c r="C205" s="91"/>
      <c r="D205" s="91"/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3"/>
    </row>
    <row r="206" ht="19.5" customHeight="1">
      <c r="A206" s="91"/>
      <c r="B206" s="91"/>
      <c r="C206" s="91"/>
      <c r="D206" s="91"/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3"/>
    </row>
    <row r="207" ht="19.5" customHeight="1">
      <c r="A207" s="91"/>
      <c r="B207" s="91"/>
      <c r="C207" s="91"/>
      <c r="D207" s="91"/>
      <c r="E207" s="91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3"/>
    </row>
    <row r="208" ht="19.5" customHeight="1">
      <c r="A208" s="91"/>
      <c r="B208" s="91"/>
      <c r="C208" s="91"/>
      <c r="D208" s="91"/>
      <c r="E208" s="91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3"/>
    </row>
    <row r="209" ht="19.5" customHeight="1">
      <c r="A209" s="91"/>
      <c r="B209" s="91"/>
      <c r="C209" s="91"/>
      <c r="D209" s="91"/>
      <c r="E209" s="91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3"/>
    </row>
    <row r="210" ht="19.5" customHeight="1">
      <c r="A210" s="91"/>
      <c r="B210" s="91"/>
      <c r="C210" s="91"/>
      <c r="D210" s="91"/>
      <c r="E210" s="91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3"/>
    </row>
    <row r="211" ht="19.5" customHeight="1">
      <c r="A211" s="91"/>
      <c r="B211" s="91"/>
      <c r="C211" s="91"/>
      <c r="D211" s="91"/>
      <c r="E211" s="91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3"/>
    </row>
    <row r="212" ht="19.5" customHeight="1">
      <c r="A212" s="91"/>
      <c r="B212" s="91"/>
      <c r="C212" s="91"/>
      <c r="D212" s="91"/>
      <c r="E212" s="91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3"/>
    </row>
    <row r="213" ht="19.5" customHeight="1">
      <c r="A213" s="91"/>
      <c r="B213" s="91"/>
      <c r="C213" s="91"/>
      <c r="D213" s="91"/>
      <c r="E213" s="91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3"/>
    </row>
    <row r="214" ht="19.5" customHeight="1">
      <c r="A214" s="91"/>
      <c r="B214" s="91"/>
      <c r="C214" s="91"/>
      <c r="D214" s="91"/>
      <c r="E214" s="91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3"/>
    </row>
    <row r="215" ht="19.5" customHeight="1">
      <c r="A215" s="91"/>
      <c r="B215" s="91"/>
      <c r="C215" s="91"/>
      <c r="D215" s="91"/>
      <c r="E215" s="91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3"/>
    </row>
    <row r="216" ht="19.5" customHeight="1">
      <c r="A216" s="91"/>
      <c r="B216" s="91"/>
      <c r="C216" s="91"/>
      <c r="D216" s="91"/>
      <c r="E216" s="91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3"/>
    </row>
    <row r="217" ht="19.5" customHeight="1">
      <c r="A217" s="91"/>
      <c r="B217" s="91"/>
      <c r="C217" s="91"/>
      <c r="D217" s="91"/>
      <c r="E217" s="91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3"/>
    </row>
    <row r="218" ht="19.5" customHeight="1">
      <c r="A218" s="91"/>
      <c r="B218" s="91"/>
      <c r="C218" s="91"/>
      <c r="D218" s="91"/>
      <c r="E218" s="91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3"/>
    </row>
    <row r="219" ht="19.5" customHeight="1">
      <c r="A219" s="91"/>
      <c r="B219" s="91"/>
      <c r="C219" s="91"/>
      <c r="D219" s="91"/>
      <c r="E219" s="91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3"/>
    </row>
    <row r="220" ht="19.5" customHeight="1">
      <c r="A220" s="91"/>
      <c r="B220" s="91"/>
      <c r="C220" s="91"/>
      <c r="D220" s="91"/>
      <c r="E220" s="91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3"/>
    </row>
    <row r="221" ht="19.5" customHeight="1">
      <c r="A221" s="91"/>
      <c r="B221" s="91"/>
      <c r="C221" s="91"/>
      <c r="D221" s="91"/>
      <c r="E221" s="91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3"/>
    </row>
    <row r="222" ht="19.5" customHeight="1">
      <c r="A222" s="91"/>
      <c r="B222" s="91"/>
      <c r="C222" s="91"/>
      <c r="D222" s="91"/>
      <c r="E222" s="91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3"/>
    </row>
    <row r="223" ht="19.5" customHeight="1">
      <c r="A223" s="91"/>
      <c r="B223" s="91"/>
      <c r="C223" s="91"/>
      <c r="D223" s="91"/>
      <c r="E223" s="91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3"/>
    </row>
    <row r="224" ht="19.5" customHeight="1">
      <c r="A224" s="91"/>
      <c r="B224" s="91"/>
      <c r="C224" s="91"/>
      <c r="D224" s="91"/>
      <c r="E224" s="91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3"/>
    </row>
    <row r="225" ht="19.5" customHeight="1">
      <c r="A225" s="91"/>
      <c r="B225" s="91"/>
      <c r="C225" s="91"/>
      <c r="D225" s="91"/>
      <c r="E225" s="91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3"/>
    </row>
    <row r="226" ht="19.5" customHeight="1">
      <c r="A226" s="91"/>
      <c r="B226" s="91"/>
      <c r="C226" s="91"/>
      <c r="D226" s="91"/>
      <c r="E226" s="91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3"/>
    </row>
    <row r="227" ht="19.5" customHeight="1">
      <c r="A227" s="91"/>
      <c r="B227" s="91"/>
      <c r="C227" s="91"/>
      <c r="D227" s="91"/>
      <c r="E227" s="91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3"/>
    </row>
    <row r="228" ht="19.5" customHeight="1">
      <c r="A228" s="91"/>
      <c r="B228" s="91"/>
      <c r="C228" s="91"/>
      <c r="D228" s="91"/>
      <c r="E228" s="91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3"/>
    </row>
    <row r="229" ht="19.5" customHeight="1">
      <c r="A229" s="91"/>
      <c r="B229" s="91"/>
      <c r="C229" s="91"/>
      <c r="D229" s="91"/>
      <c r="E229" s="91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3"/>
    </row>
    <row r="230" ht="19.5" customHeight="1">
      <c r="A230" s="91"/>
      <c r="B230" s="91"/>
      <c r="C230" s="91"/>
      <c r="D230" s="91"/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3"/>
    </row>
    <row r="231" ht="19.5" customHeight="1">
      <c r="A231" s="91"/>
      <c r="B231" s="91"/>
      <c r="C231" s="91"/>
      <c r="D231" s="91"/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3"/>
    </row>
    <row r="232" ht="19.5" customHeight="1">
      <c r="A232" s="91"/>
      <c r="B232" s="91"/>
      <c r="C232" s="91"/>
      <c r="D232" s="91"/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3"/>
    </row>
    <row r="233" ht="19.5" customHeight="1">
      <c r="A233" s="91"/>
      <c r="B233" s="91"/>
      <c r="C233" s="91"/>
      <c r="D233" s="91"/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3"/>
    </row>
    <row r="234" ht="19.5" customHeight="1">
      <c r="A234" s="91"/>
      <c r="B234" s="91"/>
      <c r="C234" s="91"/>
      <c r="D234" s="91"/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3"/>
    </row>
    <row r="235" ht="19.5" customHeight="1">
      <c r="A235" s="91"/>
      <c r="B235" s="91"/>
      <c r="C235" s="91"/>
      <c r="D235" s="91"/>
      <c r="E235" s="91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3"/>
    </row>
    <row r="236" ht="19.5" customHeight="1">
      <c r="A236" s="91"/>
      <c r="B236" s="91"/>
      <c r="C236" s="91"/>
      <c r="D236" s="91"/>
      <c r="E236" s="91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3"/>
    </row>
    <row r="237" ht="19.5" customHeight="1">
      <c r="A237" s="91"/>
      <c r="B237" s="91"/>
      <c r="C237" s="91"/>
      <c r="D237" s="91"/>
      <c r="E237" s="91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3"/>
    </row>
    <row r="238" ht="19.5" customHeight="1">
      <c r="A238" s="91"/>
      <c r="B238" s="91"/>
      <c r="C238" s="91"/>
      <c r="D238" s="91"/>
      <c r="E238" s="91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3"/>
    </row>
    <row r="239" ht="19.5" customHeight="1">
      <c r="A239" s="91"/>
      <c r="B239" s="91"/>
      <c r="C239" s="91"/>
      <c r="D239" s="91"/>
      <c r="E239" s="91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3"/>
    </row>
    <row r="240" ht="19.5" customHeight="1">
      <c r="A240" s="91"/>
      <c r="B240" s="91"/>
      <c r="C240" s="91"/>
      <c r="D240" s="91"/>
      <c r="E240" s="91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3"/>
    </row>
    <row r="241" ht="19.5" customHeight="1">
      <c r="A241" s="91"/>
      <c r="B241" s="91"/>
      <c r="C241" s="91"/>
      <c r="D241" s="91"/>
      <c r="E241" s="91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3"/>
    </row>
    <row r="242" ht="19.5" customHeight="1">
      <c r="A242" s="91"/>
      <c r="B242" s="91"/>
      <c r="C242" s="91"/>
      <c r="D242" s="91"/>
      <c r="E242" s="91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3"/>
    </row>
    <row r="243" ht="19.5" customHeight="1">
      <c r="A243" s="91"/>
      <c r="B243" s="91"/>
      <c r="C243" s="91"/>
      <c r="D243" s="91"/>
      <c r="E243" s="91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3"/>
    </row>
    <row r="244" ht="19.5" customHeight="1">
      <c r="A244" s="91"/>
      <c r="B244" s="91"/>
      <c r="C244" s="91"/>
      <c r="D244" s="91"/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3"/>
    </row>
    <row r="245" ht="19.5" customHeight="1">
      <c r="A245" s="91"/>
      <c r="B245" s="91"/>
      <c r="C245" s="91"/>
      <c r="D245" s="91"/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3"/>
    </row>
    <row r="246" ht="19.5" customHeight="1">
      <c r="A246" s="91"/>
      <c r="B246" s="91"/>
      <c r="C246" s="91"/>
      <c r="D246" s="91"/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3"/>
    </row>
    <row r="247" ht="19.5" customHeight="1">
      <c r="A247" s="91"/>
      <c r="B247" s="91"/>
      <c r="C247" s="91"/>
      <c r="D247" s="91"/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3"/>
    </row>
    <row r="248" ht="19.5" customHeight="1">
      <c r="A248" s="91"/>
      <c r="B248" s="91"/>
      <c r="C248" s="91"/>
      <c r="D248" s="91"/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3"/>
    </row>
    <row r="249" ht="19.5" customHeight="1">
      <c r="A249" s="91"/>
      <c r="B249" s="91"/>
      <c r="C249" s="91"/>
      <c r="D249" s="91"/>
      <c r="E249" s="91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3"/>
    </row>
    <row r="250" ht="19.5" customHeight="1">
      <c r="A250" s="91"/>
      <c r="B250" s="91"/>
      <c r="C250" s="91"/>
      <c r="D250" s="91"/>
      <c r="E250" s="91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3"/>
    </row>
    <row r="251" ht="19.5" customHeight="1">
      <c r="A251" s="91"/>
      <c r="B251" s="91"/>
      <c r="C251" s="91"/>
      <c r="D251" s="91"/>
      <c r="E251" s="91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3"/>
    </row>
    <row r="252" ht="19.5" customHeight="1">
      <c r="A252" s="91"/>
      <c r="B252" s="91"/>
      <c r="C252" s="91"/>
      <c r="D252" s="91"/>
      <c r="E252" s="91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3"/>
    </row>
    <row r="253" ht="19.5" customHeight="1">
      <c r="A253" s="91"/>
      <c r="B253" s="91"/>
      <c r="C253" s="91"/>
      <c r="D253" s="91"/>
      <c r="E253" s="91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3"/>
    </row>
    <row r="254" ht="19.5" customHeight="1">
      <c r="A254" s="91"/>
      <c r="B254" s="91"/>
      <c r="C254" s="91"/>
      <c r="D254" s="91"/>
      <c r="E254" s="91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3"/>
    </row>
    <row r="255" ht="19.5" customHeight="1">
      <c r="A255" s="91"/>
      <c r="B255" s="91"/>
      <c r="C255" s="91"/>
      <c r="D255" s="91"/>
      <c r="E255" s="91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3"/>
    </row>
    <row r="256" ht="19.5" customHeight="1">
      <c r="A256" s="91"/>
      <c r="B256" s="91"/>
      <c r="C256" s="91"/>
      <c r="D256" s="91"/>
      <c r="E256" s="91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3"/>
    </row>
    <row r="257" ht="19.5" customHeight="1">
      <c r="A257" s="91"/>
      <c r="B257" s="91"/>
      <c r="C257" s="91"/>
      <c r="D257" s="91"/>
      <c r="E257" s="91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3"/>
    </row>
    <row r="258" ht="19.5" customHeight="1">
      <c r="A258" s="91"/>
      <c r="B258" s="91"/>
      <c r="C258" s="91"/>
      <c r="D258" s="91"/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3"/>
    </row>
    <row r="259" ht="19.5" customHeight="1">
      <c r="A259" s="91"/>
      <c r="B259" s="91"/>
      <c r="C259" s="91"/>
      <c r="D259" s="91"/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3"/>
    </row>
    <row r="260" ht="19.5" customHeight="1">
      <c r="A260" s="91"/>
      <c r="B260" s="91"/>
      <c r="C260" s="91"/>
      <c r="D260" s="91"/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3"/>
    </row>
    <row r="261" ht="19.5" customHeight="1">
      <c r="A261" s="91"/>
      <c r="B261" s="91"/>
      <c r="C261" s="91"/>
      <c r="D261" s="91"/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3"/>
    </row>
    <row r="262" ht="19.5" customHeight="1">
      <c r="A262" s="91"/>
      <c r="B262" s="91"/>
      <c r="C262" s="91"/>
      <c r="D262" s="91"/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3"/>
    </row>
    <row r="263" ht="19.5" customHeight="1">
      <c r="A263" s="91"/>
      <c r="B263" s="91"/>
      <c r="C263" s="91"/>
      <c r="D263" s="91"/>
      <c r="E263" s="91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3"/>
    </row>
    <row r="264" ht="19.5" customHeight="1">
      <c r="A264" s="91"/>
      <c r="B264" s="91"/>
      <c r="C264" s="91"/>
      <c r="D264" s="91"/>
      <c r="E264" s="91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3"/>
    </row>
    <row r="265" ht="19.5" customHeight="1">
      <c r="A265" s="91"/>
      <c r="B265" s="91"/>
      <c r="C265" s="91"/>
      <c r="D265" s="91"/>
      <c r="E265" s="91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3"/>
    </row>
    <row r="266" ht="19.5" customHeight="1">
      <c r="A266" s="91"/>
      <c r="B266" s="91"/>
      <c r="C266" s="91"/>
      <c r="D266" s="91"/>
      <c r="E266" s="91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3"/>
    </row>
    <row r="267" ht="19.5" customHeight="1">
      <c r="A267" s="91"/>
      <c r="B267" s="91"/>
      <c r="C267" s="91"/>
      <c r="D267" s="91"/>
      <c r="E267" s="91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3"/>
    </row>
    <row r="268" ht="19.5" customHeight="1">
      <c r="A268" s="91"/>
      <c r="B268" s="91"/>
      <c r="C268" s="91"/>
      <c r="D268" s="91"/>
      <c r="E268" s="91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3"/>
    </row>
    <row r="269" ht="19.5" customHeight="1">
      <c r="A269" s="91"/>
      <c r="B269" s="91"/>
      <c r="C269" s="91"/>
      <c r="D269" s="91"/>
      <c r="E269" s="91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3"/>
    </row>
    <row r="270" ht="19.5" customHeight="1">
      <c r="A270" s="91"/>
      <c r="B270" s="91"/>
      <c r="C270" s="91"/>
      <c r="D270" s="91"/>
      <c r="E270" s="91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3"/>
    </row>
    <row r="271" ht="19.5" customHeight="1">
      <c r="A271" s="91"/>
      <c r="B271" s="91"/>
      <c r="C271" s="91"/>
      <c r="D271" s="91"/>
      <c r="E271" s="91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3"/>
    </row>
    <row r="272" ht="19.5" customHeight="1">
      <c r="A272" s="91"/>
      <c r="B272" s="91"/>
      <c r="C272" s="91"/>
      <c r="D272" s="91"/>
      <c r="E272" s="91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3"/>
    </row>
    <row r="273" ht="19.5" customHeight="1">
      <c r="A273" s="91"/>
      <c r="B273" s="91"/>
      <c r="C273" s="91"/>
      <c r="D273" s="91"/>
      <c r="E273" s="91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3"/>
    </row>
    <row r="274" ht="19.5" customHeight="1">
      <c r="A274" s="91"/>
      <c r="B274" s="91"/>
      <c r="C274" s="91"/>
      <c r="D274" s="91"/>
      <c r="E274" s="91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3"/>
    </row>
    <row r="275" ht="19.5" customHeight="1">
      <c r="A275" s="91"/>
      <c r="B275" s="91"/>
      <c r="C275" s="91"/>
      <c r="D275" s="91"/>
      <c r="E275" s="91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3"/>
    </row>
    <row r="276" ht="19.5" customHeight="1">
      <c r="A276" s="91"/>
      <c r="B276" s="91"/>
      <c r="C276" s="91"/>
      <c r="D276" s="91"/>
      <c r="E276" s="91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3"/>
    </row>
    <row r="277" ht="19.5" customHeight="1">
      <c r="A277" s="91"/>
      <c r="B277" s="91"/>
      <c r="C277" s="91"/>
      <c r="D277" s="91"/>
      <c r="E277" s="91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3"/>
    </row>
    <row r="278" ht="19.5" customHeight="1">
      <c r="A278" s="91"/>
      <c r="B278" s="91"/>
      <c r="C278" s="91"/>
      <c r="D278" s="91"/>
      <c r="E278" s="91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3"/>
    </row>
    <row r="279" ht="19.5" customHeight="1">
      <c r="A279" s="91"/>
      <c r="B279" s="91"/>
      <c r="C279" s="91"/>
      <c r="D279" s="91"/>
      <c r="E279" s="91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3"/>
    </row>
    <row r="280" ht="19.5" customHeight="1">
      <c r="A280" s="91"/>
      <c r="B280" s="91"/>
      <c r="C280" s="91"/>
      <c r="D280" s="91"/>
      <c r="E280" s="91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3"/>
    </row>
    <row r="281" ht="19.5" customHeight="1">
      <c r="A281" s="91"/>
      <c r="B281" s="91"/>
      <c r="C281" s="91"/>
      <c r="D281" s="91"/>
      <c r="E281" s="91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3"/>
    </row>
    <row r="282" ht="19.5" customHeight="1">
      <c r="A282" s="91"/>
      <c r="B282" s="91"/>
      <c r="C282" s="91"/>
      <c r="D282" s="91"/>
      <c r="E282" s="91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3"/>
    </row>
    <row r="283" ht="19.5" customHeight="1">
      <c r="A283" s="91"/>
      <c r="B283" s="91"/>
      <c r="C283" s="91"/>
      <c r="D283" s="91"/>
      <c r="E283" s="91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3"/>
    </row>
    <row r="284" ht="19.5" customHeight="1">
      <c r="A284" s="91"/>
      <c r="B284" s="91"/>
      <c r="C284" s="91"/>
      <c r="D284" s="91"/>
      <c r="E284" s="91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3"/>
    </row>
    <row r="285" ht="19.5" customHeight="1">
      <c r="A285" s="91"/>
      <c r="B285" s="91"/>
      <c r="C285" s="91"/>
      <c r="D285" s="91"/>
      <c r="E285" s="91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3"/>
    </row>
    <row r="286" ht="19.5" customHeight="1">
      <c r="A286" s="91"/>
      <c r="B286" s="91"/>
      <c r="C286" s="91"/>
      <c r="D286" s="91"/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3"/>
    </row>
    <row r="287" ht="19.5" customHeight="1">
      <c r="A287" s="91"/>
      <c r="B287" s="91"/>
      <c r="C287" s="91"/>
      <c r="D287" s="91"/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3"/>
    </row>
    <row r="288" ht="19.5" customHeight="1">
      <c r="A288" s="91"/>
      <c r="B288" s="91"/>
      <c r="C288" s="91"/>
      <c r="D288" s="91"/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3"/>
    </row>
    <row r="289" ht="19.5" customHeight="1">
      <c r="A289" s="91"/>
      <c r="B289" s="91"/>
      <c r="C289" s="91"/>
      <c r="D289" s="91"/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3"/>
    </row>
    <row r="290" ht="19.5" customHeight="1">
      <c r="A290" s="91"/>
      <c r="B290" s="91"/>
      <c r="C290" s="91"/>
      <c r="D290" s="91"/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3"/>
    </row>
    <row r="291" ht="19.5" customHeight="1">
      <c r="A291" s="91"/>
      <c r="B291" s="91"/>
      <c r="C291" s="91"/>
      <c r="D291" s="91"/>
      <c r="E291" s="91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3"/>
    </row>
    <row r="292" ht="19.5" customHeight="1">
      <c r="A292" s="91"/>
      <c r="B292" s="91"/>
      <c r="C292" s="91"/>
      <c r="D292" s="91"/>
      <c r="E292" s="91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3"/>
    </row>
    <row r="293" ht="19.5" customHeight="1">
      <c r="A293" s="91"/>
      <c r="B293" s="91"/>
      <c r="C293" s="91"/>
      <c r="D293" s="91"/>
      <c r="E293" s="91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3"/>
    </row>
    <row r="294" ht="19.5" customHeight="1">
      <c r="A294" s="91"/>
      <c r="B294" s="91"/>
      <c r="C294" s="91"/>
      <c r="D294" s="91"/>
      <c r="E294" s="91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3"/>
    </row>
    <row r="295" ht="19.5" customHeight="1">
      <c r="A295" s="91"/>
      <c r="B295" s="91"/>
      <c r="C295" s="91"/>
      <c r="D295" s="91"/>
      <c r="E295" s="91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3"/>
    </row>
    <row r="296" ht="19.5" customHeight="1">
      <c r="A296" s="91"/>
      <c r="B296" s="91"/>
      <c r="C296" s="91"/>
      <c r="D296" s="91"/>
      <c r="E296" s="91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3"/>
    </row>
    <row r="297" ht="19.5" customHeight="1">
      <c r="A297" s="91"/>
      <c r="B297" s="91"/>
      <c r="C297" s="91"/>
      <c r="D297" s="91"/>
      <c r="E297" s="91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3"/>
    </row>
    <row r="298" ht="19.5" customHeight="1">
      <c r="A298" s="91"/>
      <c r="B298" s="91"/>
      <c r="C298" s="91"/>
      <c r="D298" s="91"/>
      <c r="E298" s="91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3"/>
    </row>
    <row r="299" ht="19.5" customHeight="1">
      <c r="A299" s="91"/>
      <c r="B299" s="91"/>
      <c r="C299" s="91"/>
      <c r="D299" s="91"/>
      <c r="E299" s="91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3"/>
    </row>
    <row r="300" ht="19.5" customHeight="1">
      <c r="A300" s="91"/>
      <c r="B300" s="91"/>
      <c r="C300" s="91"/>
      <c r="D300" s="91"/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3"/>
    </row>
    <row r="301" ht="19.5" customHeight="1">
      <c r="A301" s="91"/>
      <c r="B301" s="91"/>
      <c r="C301" s="91"/>
      <c r="D301" s="91"/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3"/>
    </row>
    <row r="302" ht="19.5" customHeight="1">
      <c r="A302" s="91"/>
      <c r="B302" s="91"/>
      <c r="C302" s="91"/>
      <c r="D302" s="91"/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3"/>
    </row>
    <row r="303" ht="19.5" customHeight="1">
      <c r="A303" s="91"/>
      <c r="B303" s="91"/>
      <c r="C303" s="91"/>
      <c r="D303" s="91"/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3"/>
    </row>
    <row r="304" ht="19.5" customHeight="1">
      <c r="A304" s="91"/>
      <c r="B304" s="91"/>
      <c r="C304" s="91"/>
      <c r="D304" s="91"/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3"/>
    </row>
    <row r="305" ht="19.5" customHeight="1">
      <c r="A305" s="91"/>
      <c r="B305" s="91"/>
      <c r="C305" s="91"/>
      <c r="D305" s="91"/>
      <c r="E305" s="91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3"/>
    </row>
    <row r="306" ht="19.5" customHeight="1">
      <c r="A306" s="91"/>
      <c r="B306" s="91"/>
      <c r="C306" s="91"/>
      <c r="D306" s="91"/>
      <c r="E306" s="91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3"/>
    </row>
    <row r="307" ht="19.5" customHeight="1">
      <c r="A307" s="91"/>
      <c r="B307" s="91"/>
      <c r="C307" s="91"/>
      <c r="D307" s="91"/>
      <c r="E307" s="91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3"/>
    </row>
    <row r="308" ht="19.5" customHeight="1">
      <c r="A308" s="91"/>
      <c r="B308" s="91"/>
      <c r="C308" s="91"/>
      <c r="D308" s="91"/>
      <c r="E308" s="91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3"/>
    </row>
    <row r="309" ht="19.5" customHeight="1">
      <c r="A309" s="91"/>
      <c r="B309" s="91"/>
      <c r="C309" s="91"/>
      <c r="D309" s="91"/>
      <c r="E309" s="91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3"/>
    </row>
    <row r="310" ht="19.5" customHeight="1">
      <c r="A310" s="91"/>
      <c r="B310" s="91"/>
      <c r="C310" s="91"/>
      <c r="D310" s="91"/>
      <c r="E310" s="91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3"/>
    </row>
    <row r="311" ht="19.5" customHeight="1">
      <c r="A311" s="91"/>
      <c r="B311" s="91"/>
      <c r="C311" s="91"/>
      <c r="D311" s="91"/>
      <c r="E311" s="91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3"/>
    </row>
    <row r="312" ht="19.5" customHeight="1">
      <c r="A312" s="91"/>
      <c r="B312" s="91"/>
      <c r="C312" s="91"/>
      <c r="D312" s="91"/>
      <c r="E312" s="91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3"/>
    </row>
    <row r="313" ht="19.5" customHeight="1">
      <c r="A313" s="91"/>
      <c r="B313" s="91"/>
      <c r="C313" s="91"/>
      <c r="D313" s="91"/>
      <c r="E313" s="91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3"/>
    </row>
    <row r="314" ht="19.5" customHeight="1">
      <c r="A314" s="91"/>
      <c r="B314" s="91"/>
      <c r="C314" s="91"/>
      <c r="D314" s="91"/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3"/>
    </row>
    <row r="315" ht="19.5" customHeight="1">
      <c r="A315" s="91"/>
      <c r="B315" s="91"/>
      <c r="C315" s="91"/>
      <c r="D315" s="91"/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3"/>
    </row>
    <row r="316" ht="19.5" customHeight="1">
      <c r="A316" s="91"/>
      <c r="B316" s="91"/>
      <c r="C316" s="91"/>
      <c r="D316" s="91"/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3"/>
    </row>
    <row r="317" ht="19.5" customHeight="1">
      <c r="A317" s="91"/>
      <c r="B317" s="91"/>
      <c r="C317" s="91"/>
      <c r="D317" s="91"/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3"/>
    </row>
    <row r="318" ht="19.5" customHeight="1">
      <c r="A318" s="91"/>
      <c r="B318" s="91"/>
      <c r="C318" s="91"/>
      <c r="D318" s="91"/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3"/>
    </row>
    <row r="319" ht="19.5" customHeight="1">
      <c r="A319" s="91"/>
      <c r="B319" s="91"/>
      <c r="C319" s="91"/>
      <c r="D319" s="91"/>
      <c r="E319" s="91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3"/>
    </row>
    <row r="320" ht="19.5" customHeight="1">
      <c r="A320" s="91"/>
      <c r="B320" s="91"/>
      <c r="C320" s="91"/>
      <c r="D320" s="91"/>
      <c r="E320" s="91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3"/>
    </row>
    <row r="321" ht="19.5" customHeight="1">
      <c r="A321" s="91"/>
      <c r="B321" s="91"/>
      <c r="C321" s="91"/>
      <c r="D321" s="91"/>
      <c r="E321" s="91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3"/>
    </row>
    <row r="322" ht="19.5" customHeight="1">
      <c r="A322" s="91"/>
      <c r="B322" s="91"/>
      <c r="C322" s="91"/>
      <c r="D322" s="91"/>
      <c r="E322" s="91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3"/>
    </row>
    <row r="323" ht="19.5" customHeight="1">
      <c r="A323" s="91"/>
      <c r="B323" s="91"/>
      <c r="C323" s="91"/>
      <c r="D323" s="91"/>
      <c r="E323" s="91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3"/>
    </row>
    <row r="324" ht="19.5" customHeight="1">
      <c r="A324" s="91"/>
      <c r="B324" s="91"/>
      <c r="C324" s="91"/>
      <c r="D324" s="91"/>
      <c r="E324" s="91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3"/>
    </row>
    <row r="325" ht="19.5" customHeight="1">
      <c r="A325" s="91"/>
      <c r="B325" s="91"/>
      <c r="C325" s="91"/>
      <c r="D325" s="91"/>
      <c r="E325" s="91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3"/>
    </row>
    <row r="326" ht="19.5" customHeight="1">
      <c r="A326" s="91"/>
      <c r="B326" s="91"/>
      <c r="C326" s="91"/>
      <c r="D326" s="91"/>
      <c r="E326" s="91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3"/>
    </row>
    <row r="327" ht="19.5" customHeight="1">
      <c r="A327" s="91"/>
      <c r="B327" s="91"/>
      <c r="C327" s="91"/>
      <c r="D327" s="91"/>
      <c r="E327" s="91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3"/>
    </row>
    <row r="328" ht="19.5" customHeight="1">
      <c r="A328" s="91"/>
      <c r="B328" s="91"/>
      <c r="C328" s="91"/>
      <c r="D328" s="91"/>
      <c r="E328" s="91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3"/>
    </row>
    <row r="329" ht="19.5" customHeight="1">
      <c r="A329" s="91"/>
      <c r="B329" s="91"/>
      <c r="C329" s="91"/>
      <c r="D329" s="91"/>
      <c r="E329" s="91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3"/>
    </row>
    <row r="330" ht="19.5" customHeight="1">
      <c r="A330" s="91"/>
      <c r="B330" s="91"/>
      <c r="C330" s="91"/>
      <c r="D330" s="91"/>
      <c r="E330" s="91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3"/>
    </row>
    <row r="331" ht="19.5" customHeight="1">
      <c r="A331" s="91"/>
      <c r="B331" s="91"/>
      <c r="C331" s="91"/>
      <c r="D331" s="91"/>
      <c r="E331" s="91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3"/>
    </row>
    <row r="332" ht="19.5" customHeight="1">
      <c r="A332" s="91"/>
      <c r="B332" s="91"/>
      <c r="C332" s="91"/>
      <c r="D332" s="91"/>
      <c r="E332" s="91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3"/>
    </row>
    <row r="333" ht="19.5" customHeight="1">
      <c r="A333" s="91"/>
      <c r="B333" s="91"/>
      <c r="C333" s="91"/>
      <c r="D333" s="91"/>
      <c r="E333" s="91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3"/>
    </row>
    <row r="334" ht="19.5" customHeight="1">
      <c r="A334" s="91"/>
      <c r="B334" s="91"/>
      <c r="C334" s="91"/>
      <c r="D334" s="91"/>
      <c r="E334" s="91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3"/>
    </row>
    <row r="335" ht="19.5" customHeight="1">
      <c r="A335" s="91"/>
      <c r="B335" s="91"/>
      <c r="C335" s="91"/>
      <c r="D335" s="91"/>
      <c r="E335" s="91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3"/>
    </row>
    <row r="336" ht="19.5" customHeight="1">
      <c r="A336" s="91"/>
      <c r="B336" s="91"/>
      <c r="C336" s="91"/>
      <c r="D336" s="91"/>
      <c r="E336" s="91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3"/>
    </row>
    <row r="337" ht="19.5" customHeight="1">
      <c r="A337" s="91"/>
      <c r="B337" s="91"/>
      <c r="C337" s="91"/>
      <c r="D337" s="91"/>
      <c r="E337" s="91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3"/>
    </row>
    <row r="338" ht="19.5" customHeight="1">
      <c r="A338" s="91"/>
      <c r="B338" s="91"/>
      <c r="C338" s="91"/>
      <c r="D338" s="91"/>
      <c r="E338" s="91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3"/>
    </row>
    <row r="339" ht="19.5" customHeight="1">
      <c r="A339" s="91"/>
      <c r="B339" s="91"/>
      <c r="C339" s="91"/>
      <c r="D339" s="91"/>
      <c r="E339" s="91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3"/>
    </row>
    <row r="340" ht="19.5" customHeight="1">
      <c r="A340" s="91"/>
      <c r="B340" s="91"/>
      <c r="C340" s="91"/>
      <c r="D340" s="91"/>
      <c r="E340" s="91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3"/>
    </row>
    <row r="341" ht="19.5" customHeight="1">
      <c r="A341" s="91"/>
      <c r="B341" s="91"/>
      <c r="C341" s="91"/>
      <c r="D341" s="91"/>
      <c r="E341" s="91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3"/>
    </row>
    <row r="342" ht="19.5" customHeight="1">
      <c r="A342" s="91"/>
      <c r="B342" s="91"/>
      <c r="C342" s="91"/>
      <c r="D342" s="91"/>
      <c r="E342" s="91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3"/>
    </row>
    <row r="343" ht="19.5" customHeight="1">
      <c r="A343" s="91"/>
      <c r="B343" s="91"/>
      <c r="C343" s="91"/>
      <c r="D343" s="91"/>
      <c r="E343" s="91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3"/>
    </row>
    <row r="344" ht="19.5" customHeight="1">
      <c r="A344" s="91"/>
      <c r="B344" s="91"/>
      <c r="C344" s="91"/>
      <c r="D344" s="91"/>
      <c r="E344" s="91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3"/>
    </row>
    <row r="345" ht="19.5" customHeight="1">
      <c r="A345" s="91"/>
      <c r="B345" s="91"/>
      <c r="C345" s="91"/>
      <c r="D345" s="91"/>
      <c r="E345" s="91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3"/>
    </row>
    <row r="346" ht="19.5" customHeight="1">
      <c r="A346" s="91"/>
      <c r="B346" s="91"/>
      <c r="C346" s="91"/>
      <c r="D346" s="91"/>
      <c r="E346" s="91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3"/>
    </row>
    <row r="347" ht="19.5" customHeight="1">
      <c r="A347" s="91"/>
      <c r="B347" s="91"/>
      <c r="C347" s="91"/>
      <c r="D347" s="91"/>
      <c r="E347" s="91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3"/>
    </row>
    <row r="348" ht="19.5" customHeight="1">
      <c r="A348" s="91"/>
      <c r="B348" s="91"/>
      <c r="C348" s="91"/>
      <c r="D348" s="91"/>
      <c r="E348" s="91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3"/>
    </row>
    <row r="349" ht="19.5" customHeight="1">
      <c r="A349" s="91"/>
      <c r="B349" s="91"/>
      <c r="C349" s="91"/>
      <c r="D349" s="91"/>
      <c r="E349" s="91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3"/>
    </row>
    <row r="350" ht="19.5" customHeight="1">
      <c r="A350" s="91"/>
      <c r="B350" s="91"/>
      <c r="C350" s="91"/>
      <c r="D350" s="91"/>
      <c r="E350" s="91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3"/>
    </row>
    <row r="351" ht="19.5" customHeight="1">
      <c r="A351" s="91"/>
      <c r="B351" s="91"/>
      <c r="C351" s="91"/>
      <c r="D351" s="91"/>
      <c r="E351" s="91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3"/>
    </row>
    <row r="352" ht="19.5" customHeight="1">
      <c r="A352" s="91"/>
      <c r="B352" s="91"/>
      <c r="C352" s="91"/>
      <c r="D352" s="91"/>
      <c r="E352" s="91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3"/>
    </row>
    <row r="353" ht="19.5" customHeight="1">
      <c r="A353" s="91"/>
      <c r="B353" s="91"/>
      <c r="C353" s="91"/>
      <c r="D353" s="91"/>
      <c r="E353" s="91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3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</row>
  </sheetData>
  <autoFilter ref="$A$1:$AF$1"/>
  <mergeCells count="8">
    <mergeCell ref="A1:AF1"/>
    <mergeCell ref="A2:D2"/>
    <mergeCell ref="I2:K2"/>
    <mergeCell ref="L2:P2"/>
    <mergeCell ref="R2:T2"/>
    <mergeCell ref="U2:V2"/>
    <mergeCell ref="X2:Z2"/>
    <mergeCell ref="AA2:AB2"/>
  </mergeCells>
  <printOptions/>
  <pageMargins bottom="0.75" footer="0.0" header="0.0" left="0.5" right="0.5" top="0.75"/>
  <pageSetup scale="72" orientation="portrait"/>
  <headerFooter>
    <oddFooter>&amp;C000000000000&amp;P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4" width="7.43"/>
    <col customWidth="1" min="5" max="5" width="21.14"/>
    <col customWidth="1" min="6" max="6" width="17.14"/>
    <col customWidth="1" min="7" max="7" width="16.29"/>
    <col customWidth="1" min="8" max="8" width="16.86"/>
    <col customWidth="1" min="9" max="9" width="16.29"/>
    <col customWidth="1" min="10" max="10" width="17.71"/>
    <col customWidth="1" min="11" max="36" width="16.29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4"/>
      <c r="AI1" s="4"/>
      <c r="AJ1" s="4"/>
    </row>
    <row r="2" ht="56.25" customHeight="1">
      <c r="A2" s="5" t="s">
        <v>0</v>
      </c>
      <c r="B2" s="6"/>
      <c r="C2" s="6"/>
      <c r="D2" s="7"/>
      <c r="E2" s="8" t="s">
        <v>1</v>
      </c>
      <c r="F2" s="8" t="s">
        <v>2</v>
      </c>
      <c r="G2" s="8" t="s">
        <v>3</v>
      </c>
      <c r="H2" s="8" t="s">
        <v>4</v>
      </c>
      <c r="I2" s="5" t="s">
        <v>5</v>
      </c>
      <c r="J2" s="6"/>
      <c r="K2" s="7"/>
      <c r="L2" s="9" t="s">
        <v>6</v>
      </c>
      <c r="M2" s="6"/>
      <c r="N2" s="6"/>
      <c r="O2" s="6"/>
      <c r="P2" s="7"/>
      <c r="Q2" s="10" t="s">
        <v>7</v>
      </c>
      <c r="R2" s="11" t="s">
        <v>8</v>
      </c>
      <c r="S2" s="12"/>
      <c r="T2" s="13"/>
      <c r="U2" s="11" t="s">
        <v>9</v>
      </c>
      <c r="V2" s="13"/>
      <c r="W2" s="14" t="s">
        <v>10</v>
      </c>
      <c r="X2" s="11" t="s">
        <v>11</v>
      </c>
      <c r="Y2" s="12"/>
      <c r="Z2" s="13"/>
      <c r="AA2" s="11" t="s">
        <v>12</v>
      </c>
      <c r="AB2" s="13"/>
      <c r="AC2" s="14" t="s">
        <v>13</v>
      </c>
      <c r="AD2" s="14" t="s">
        <v>14</v>
      </c>
      <c r="AE2" s="15" t="s">
        <v>15</v>
      </c>
      <c r="AF2" s="16" t="s">
        <v>16</v>
      </c>
      <c r="AG2" s="16" t="s">
        <v>544</v>
      </c>
      <c r="AH2" s="16" t="s">
        <v>17</v>
      </c>
      <c r="AI2" s="16" t="s">
        <v>18</v>
      </c>
      <c r="AJ2" s="16" t="s">
        <v>19</v>
      </c>
    </row>
    <row r="3" ht="36.0" customHeight="1">
      <c r="A3" s="18" t="s">
        <v>20</v>
      </c>
      <c r="B3" s="18" t="s">
        <v>21</v>
      </c>
      <c r="C3" s="18" t="s">
        <v>22</v>
      </c>
      <c r="D3" s="18" t="s">
        <v>23</v>
      </c>
      <c r="E3" s="19"/>
      <c r="F3" s="19"/>
      <c r="G3" s="19"/>
      <c r="H3" s="19"/>
      <c r="I3" s="18" t="s">
        <v>24</v>
      </c>
      <c r="J3" s="18" t="s">
        <v>25</v>
      </c>
      <c r="K3" s="18" t="s">
        <v>26</v>
      </c>
      <c r="L3" s="20" t="s">
        <v>27</v>
      </c>
      <c r="M3" s="21" t="s">
        <v>28</v>
      </c>
      <c r="N3" s="21" t="s">
        <v>29</v>
      </c>
      <c r="O3" s="21" t="s">
        <v>30</v>
      </c>
      <c r="P3" s="22" t="s">
        <v>31</v>
      </c>
      <c r="Q3" s="10" t="s">
        <v>32</v>
      </c>
      <c r="R3" s="14" t="s">
        <v>33</v>
      </c>
      <c r="S3" s="14" t="s">
        <v>34</v>
      </c>
      <c r="T3" s="14" t="s">
        <v>35</v>
      </c>
      <c r="U3" s="14" t="s">
        <v>36</v>
      </c>
      <c r="V3" s="14" t="s">
        <v>37</v>
      </c>
      <c r="W3" s="14" t="s">
        <v>38</v>
      </c>
      <c r="X3" s="14" t="s">
        <v>33</v>
      </c>
      <c r="Y3" s="14" t="s">
        <v>34</v>
      </c>
      <c r="Z3" s="14" t="s">
        <v>39</v>
      </c>
      <c r="AA3" s="14" t="s">
        <v>36</v>
      </c>
      <c r="AB3" s="14" t="s">
        <v>40</v>
      </c>
      <c r="AC3" s="14" t="s">
        <v>41</v>
      </c>
      <c r="AD3" s="23"/>
      <c r="AE3" s="24"/>
      <c r="AF3" s="16" t="s">
        <v>42</v>
      </c>
      <c r="AG3" s="16" t="s">
        <v>545</v>
      </c>
      <c r="AH3" s="16" t="s">
        <v>43</v>
      </c>
      <c r="AI3" s="16" t="s">
        <v>546</v>
      </c>
      <c r="AJ3" s="16" t="s">
        <v>45</v>
      </c>
    </row>
    <row r="4" ht="20.25" customHeight="1">
      <c r="A4" s="25"/>
      <c r="B4" s="25"/>
      <c r="C4" s="25"/>
      <c r="D4" s="25"/>
      <c r="E4" s="25"/>
      <c r="F4" s="26"/>
      <c r="G4" s="26"/>
      <c r="H4" s="26"/>
      <c r="I4" s="26"/>
      <c r="J4" s="26"/>
      <c r="K4" s="25"/>
      <c r="L4" s="27"/>
      <c r="M4" s="28"/>
      <c r="N4" s="28"/>
      <c r="O4" s="28"/>
      <c r="P4" s="28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14" t="s">
        <v>46</v>
      </c>
      <c r="AD4" s="14" t="s">
        <v>47</v>
      </c>
      <c r="AE4" s="15" t="s">
        <v>48</v>
      </c>
      <c r="AF4" s="17"/>
      <c r="AG4" s="17"/>
      <c r="AH4" s="17"/>
      <c r="AI4" s="17"/>
      <c r="AJ4" s="17"/>
    </row>
    <row r="5" ht="20.25" customHeight="1">
      <c r="A5" s="29"/>
      <c r="B5" s="29"/>
      <c r="C5" s="29"/>
      <c r="D5" s="29"/>
      <c r="E5" s="29"/>
      <c r="F5" s="30"/>
      <c r="G5" s="30"/>
      <c r="H5" s="30"/>
      <c r="I5" s="30"/>
      <c r="J5" s="30"/>
      <c r="K5" s="29"/>
      <c r="L5" s="31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3"/>
      <c r="AF5" s="17"/>
      <c r="AG5" s="17"/>
      <c r="AH5" s="17"/>
      <c r="AI5" s="17"/>
      <c r="AJ5" s="17"/>
    </row>
    <row r="6" ht="20.25" customHeight="1">
      <c r="A6" s="34" t="s">
        <v>49</v>
      </c>
      <c r="B6" s="35"/>
      <c r="C6" s="35"/>
      <c r="D6" s="35"/>
      <c r="E6" s="34" t="s">
        <v>50</v>
      </c>
      <c r="F6" s="36"/>
      <c r="G6" s="36"/>
      <c r="H6" s="36"/>
      <c r="I6" s="36">
        <v>0.51</v>
      </c>
      <c r="J6" s="36">
        <f>I6*5</f>
        <v>2.55</v>
      </c>
      <c r="K6" s="37">
        <f t="shared" ref="K6:K9" si="1">J6*365</f>
        <v>930.75</v>
      </c>
      <c r="L6" s="38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41"/>
      <c r="AG6" s="41"/>
      <c r="AH6" s="41"/>
      <c r="AI6" s="41"/>
      <c r="AJ6" s="41"/>
    </row>
    <row r="7" ht="20.25" customHeight="1">
      <c r="A7" s="42"/>
      <c r="B7" s="43">
        <v>1.0</v>
      </c>
      <c r="C7" s="43"/>
      <c r="D7" s="43"/>
      <c r="E7" s="44" t="s">
        <v>51</v>
      </c>
      <c r="F7" s="45"/>
      <c r="G7" s="45"/>
      <c r="H7" s="45"/>
      <c r="I7" s="45">
        <v>0.1</v>
      </c>
      <c r="J7" s="45">
        <v>0.5</v>
      </c>
      <c r="K7" s="46">
        <f t="shared" si="1"/>
        <v>182.5</v>
      </c>
      <c r="L7" s="4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1"/>
      <c r="AG7" s="41"/>
      <c r="AH7" s="41"/>
      <c r="AI7" s="41"/>
      <c r="AJ7" s="41"/>
    </row>
    <row r="8" ht="20.25" customHeight="1">
      <c r="A8" s="42"/>
      <c r="B8" s="42"/>
      <c r="C8" s="50">
        <v>1.0</v>
      </c>
      <c r="D8" s="50"/>
      <c r="E8" s="51" t="s">
        <v>52</v>
      </c>
      <c r="F8" s="52"/>
      <c r="G8" s="52"/>
      <c r="H8" s="52"/>
      <c r="I8" s="52">
        <v>0.01</v>
      </c>
      <c r="J8" s="53">
        <f t="shared" ref="J8:J9" si="2">I8*5</f>
        <v>0.05</v>
      </c>
      <c r="K8" s="53">
        <f t="shared" si="1"/>
        <v>18.25</v>
      </c>
      <c r="L8" s="47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9"/>
      <c r="AF8" s="41"/>
      <c r="AG8" s="41"/>
      <c r="AH8" s="41"/>
      <c r="AI8" s="41"/>
      <c r="AJ8" s="41"/>
    </row>
    <row r="9" ht="44.25" customHeight="1">
      <c r="A9" s="42"/>
      <c r="B9" s="42"/>
      <c r="C9" s="42"/>
      <c r="D9" s="42">
        <v>1.0</v>
      </c>
      <c r="E9" s="54" t="s">
        <v>53</v>
      </c>
      <c r="F9" s="55" t="s">
        <v>53</v>
      </c>
      <c r="G9" s="55" t="s">
        <v>53</v>
      </c>
      <c r="H9" s="55" t="s">
        <v>54</v>
      </c>
      <c r="I9" s="56">
        <f>I8/$E10</f>
        <v>0.01</v>
      </c>
      <c r="J9" s="57">
        <f t="shared" si="2"/>
        <v>0.05</v>
      </c>
      <c r="K9" s="57">
        <f t="shared" si="1"/>
        <v>18.25</v>
      </c>
      <c r="L9" s="58" t="s">
        <v>55</v>
      </c>
      <c r="M9" s="59" t="s">
        <v>55</v>
      </c>
      <c r="N9" s="59" t="s">
        <v>56</v>
      </c>
      <c r="O9" s="59" t="s">
        <v>57</v>
      </c>
      <c r="P9" s="59" t="s">
        <v>58</v>
      </c>
      <c r="Q9" s="60">
        <f>12/M9</f>
        <v>4</v>
      </c>
      <c r="R9" s="59" t="s">
        <v>59</v>
      </c>
      <c r="S9" s="59" t="s">
        <v>60</v>
      </c>
      <c r="T9" s="59" t="s">
        <v>61</v>
      </c>
      <c r="U9" s="59" t="s">
        <v>33</v>
      </c>
      <c r="V9" s="48">
        <f>0.45*0.3</f>
        <v>0.135</v>
      </c>
      <c r="W9" s="48">
        <f>10000/V9</f>
        <v>74074.07407</v>
      </c>
      <c r="X9" s="48">
        <v>15000.0</v>
      </c>
      <c r="Y9" s="48">
        <v>25000.0</v>
      </c>
      <c r="Z9" s="48">
        <v>30000.0</v>
      </c>
      <c r="AA9" s="59" t="s">
        <v>62</v>
      </c>
      <c r="AB9" s="48">
        <v>30000.0</v>
      </c>
      <c r="AC9" s="48">
        <f>AB9/W9</f>
        <v>0.405</v>
      </c>
      <c r="AD9" s="48">
        <f>K9/AC9/AH9</f>
        <v>8.674382716</v>
      </c>
      <c r="AE9" s="49">
        <f>AD9/Q9</f>
        <v>2.168595679</v>
      </c>
      <c r="AF9" s="61">
        <f>M9-0.69</f>
        <v>2.31</v>
      </c>
      <c r="AG9" s="41">
        <f>0.3*(0.3+0.3)</f>
        <v>0.18</v>
      </c>
      <c r="AH9" s="41">
        <f>12/AF9</f>
        <v>5.194805195</v>
      </c>
      <c r="AI9" s="41">
        <f>AD9/AH9</f>
        <v>1.669818673</v>
      </c>
      <c r="AJ9" s="41">
        <f>AI9*AG9</f>
        <v>0.3005673611</v>
      </c>
    </row>
    <row r="10" ht="20.25" customHeight="1">
      <c r="A10" s="54" t="s">
        <v>63</v>
      </c>
      <c r="B10" s="54" t="s">
        <v>64</v>
      </c>
      <c r="C10" s="42"/>
      <c r="D10" s="54" t="s">
        <v>65</v>
      </c>
      <c r="E10" s="42">
        <f>$D9</f>
        <v>1</v>
      </c>
      <c r="F10" s="56"/>
      <c r="G10" s="56"/>
      <c r="H10" s="56"/>
      <c r="I10" s="56"/>
      <c r="J10" s="56"/>
      <c r="K10" s="57"/>
      <c r="L10" s="47"/>
      <c r="M10" s="48"/>
      <c r="N10" s="48"/>
      <c r="O10" s="48"/>
      <c r="P10" s="48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9"/>
      <c r="AF10" s="41"/>
      <c r="AG10" s="41"/>
      <c r="AH10" s="41"/>
      <c r="AI10" s="41"/>
      <c r="AJ10" s="41"/>
    </row>
    <row r="11" ht="20.25" customHeight="1">
      <c r="A11" s="54" t="s">
        <v>63</v>
      </c>
      <c r="B11" s="54" t="s">
        <v>66</v>
      </c>
      <c r="C11" s="51" t="s">
        <v>64</v>
      </c>
      <c r="D11" s="51" t="s">
        <v>65</v>
      </c>
      <c r="E11" s="51"/>
      <c r="F11" s="52"/>
      <c r="G11" s="52"/>
      <c r="H11" s="52"/>
      <c r="I11" s="52"/>
      <c r="J11" s="52">
        <f t="shared" ref="J11:J17" si="3">I11*5</f>
        <v>0</v>
      </c>
      <c r="K11" s="53">
        <f t="shared" ref="K11:K17" si="4">J11*365</f>
        <v>0</v>
      </c>
      <c r="L11" s="47"/>
      <c r="M11" s="48"/>
      <c r="N11" s="48"/>
      <c r="O11" s="48"/>
      <c r="P11" s="48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9"/>
      <c r="AF11" s="41"/>
      <c r="AG11" s="41"/>
      <c r="AH11" s="41"/>
      <c r="AI11" s="41"/>
      <c r="AJ11" s="41">
        <f>AJ9</f>
        <v>0.3005673611</v>
      </c>
    </row>
    <row r="12" ht="20.25" customHeight="1">
      <c r="A12" s="42"/>
      <c r="B12" s="42"/>
      <c r="C12" s="50"/>
      <c r="D12" s="50"/>
      <c r="E12" s="51"/>
      <c r="F12" s="52"/>
      <c r="G12" s="52"/>
      <c r="H12" s="52"/>
      <c r="I12" s="52"/>
      <c r="J12" s="52">
        <f t="shared" si="3"/>
        <v>0</v>
      </c>
      <c r="K12" s="53">
        <f t="shared" si="4"/>
        <v>0</v>
      </c>
      <c r="L12" s="47"/>
      <c r="M12" s="48"/>
      <c r="N12" s="48"/>
      <c r="O12" s="48"/>
      <c r="P12" s="48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9"/>
      <c r="AF12" s="41"/>
      <c r="AG12" s="41"/>
      <c r="AH12" s="41"/>
      <c r="AI12" s="41"/>
      <c r="AJ12" s="41"/>
    </row>
    <row r="13" ht="20.25" customHeight="1">
      <c r="A13" s="42"/>
      <c r="B13" s="42"/>
      <c r="C13" s="50">
        <v>2.0</v>
      </c>
      <c r="D13" s="50"/>
      <c r="E13" s="51" t="s">
        <v>67</v>
      </c>
      <c r="F13" s="52"/>
      <c r="G13" s="52"/>
      <c r="H13" s="52"/>
      <c r="I13" s="52">
        <v>0.09</v>
      </c>
      <c r="J13" s="52">
        <f t="shared" si="3"/>
        <v>0.45</v>
      </c>
      <c r="K13" s="53">
        <f t="shared" si="4"/>
        <v>164.25</v>
      </c>
      <c r="L13" s="47"/>
      <c r="M13" s="48"/>
      <c r="N13" s="48"/>
      <c r="O13" s="48"/>
      <c r="P13" s="48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9"/>
      <c r="AF13" s="41"/>
      <c r="AG13" s="41"/>
      <c r="AH13" s="41"/>
      <c r="AI13" s="41"/>
      <c r="AJ13" s="41"/>
    </row>
    <row r="14" ht="20.25" customHeight="1">
      <c r="A14" s="42"/>
      <c r="B14" s="42"/>
      <c r="C14" s="42"/>
      <c r="D14" s="42">
        <v>1.0</v>
      </c>
      <c r="E14" s="54" t="s">
        <v>68</v>
      </c>
      <c r="F14" s="55" t="s">
        <v>69</v>
      </c>
      <c r="G14" s="55" t="s">
        <v>70</v>
      </c>
      <c r="H14" s="55" t="s">
        <v>71</v>
      </c>
      <c r="I14" s="56">
        <f>I13/$E18</f>
        <v>0.0225</v>
      </c>
      <c r="J14" s="56">
        <f t="shared" si="3"/>
        <v>0.1125</v>
      </c>
      <c r="K14" s="57">
        <f t="shared" si="4"/>
        <v>41.0625</v>
      </c>
      <c r="L14" s="58" t="s">
        <v>72</v>
      </c>
      <c r="M14" s="59" t="s">
        <v>73</v>
      </c>
      <c r="N14" s="59" t="s">
        <v>74</v>
      </c>
      <c r="O14" s="59" t="s">
        <v>75</v>
      </c>
      <c r="P14" s="48"/>
      <c r="Q14" s="60">
        <f t="shared" ref="Q14:Q17" si="5">12/M14</f>
        <v>2</v>
      </c>
      <c r="R14" s="48"/>
      <c r="S14" s="59" t="s">
        <v>76</v>
      </c>
      <c r="T14" s="48"/>
      <c r="U14" s="59" t="s">
        <v>34</v>
      </c>
      <c r="V14" s="48">
        <f t="shared" ref="V14:V16" si="6">0.3*0.3</f>
        <v>0.09</v>
      </c>
      <c r="W14" s="48">
        <f t="shared" ref="W14:W17" si="7">10000/V14</f>
        <v>111111.1111</v>
      </c>
      <c r="X14" s="48">
        <v>20000.0</v>
      </c>
      <c r="Y14" s="48">
        <v>25000.0</v>
      </c>
      <c r="Z14" s="48">
        <v>30000.0</v>
      </c>
      <c r="AA14" s="59" t="s">
        <v>62</v>
      </c>
      <c r="AB14" s="48">
        <v>30000.0</v>
      </c>
      <c r="AC14" s="48">
        <f t="shared" ref="AC14:AC17" si="8">AB14/W14</f>
        <v>0.27</v>
      </c>
      <c r="AD14" s="48">
        <f t="shared" ref="AD14:AD17" si="9">K14/AC14</f>
        <v>152.0833333</v>
      </c>
      <c r="AE14" s="49">
        <f t="shared" ref="AE14:AE17" si="10">AD14/Q14</f>
        <v>76.04166667</v>
      </c>
      <c r="AF14" s="61">
        <f t="shared" ref="AF14:AF17" si="11">M14-0.69</f>
        <v>5.31</v>
      </c>
      <c r="AG14" s="41">
        <f>0.3*(0.3+0.3)</f>
        <v>0.18</v>
      </c>
      <c r="AH14" s="41">
        <f t="shared" ref="AH14:AH17" si="12">12/AF14</f>
        <v>2.259887006</v>
      </c>
      <c r="AI14" s="41">
        <f t="shared" ref="AI14:AI17" si="13">AD14/AH14</f>
        <v>67.296875</v>
      </c>
      <c r="AJ14" s="41">
        <f t="shared" ref="AJ14:AJ17" si="14">AI14*AG14</f>
        <v>12.1134375</v>
      </c>
    </row>
    <row r="15" ht="20.25" customHeight="1">
      <c r="A15" s="42"/>
      <c r="B15" s="42"/>
      <c r="C15" s="42"/>
      <c r="D15" s="42">
        <v>2.0</v>
      </c>
      <c r="E15" s="54" t="s">
        <v>77</v>
      </c>
      <c r="F15" s="55" t="s">
        <v>78</v>
      </c>
      <c r="G15" s="55" t="s">
        <v>79</v>
      </c>
      <c r="H15" s="55" t="s">
        <v>80</v>
      </c>
      <c r="I15" s="56">
        <f>I13/$E18</f>
        <v>0.0225</v>
      </c>
      <c r="J15" s="56">
        <f t="shared" si="3"/>
        <v>0.1125</v>
      </c>
      <c r="K15" s="57">
        <f t="shared" si="4"/>
        <v>41.0625</v>
      </c>
      <c r="L15" s="58" t="s">
        <v>81</v>
      </c>
      <c r="M15" s="59" t="s">
        <v>73</v>
      </c>
      <c r="N15" s="59" t="s">
        <v>82</v>
      </c>
      <c r="O15" s="59" t="s">
        <v>83</v>
      </c>
      <c r="P15" s="48"/>
      <c r="Q15" s="60">
        <f t="shared" si="5"/>
        <v>2</v>
      </c>
      <c r="R15" s="48"/>
      <c r="S15" s="59" t="s">
        <v>84</v>
      </c>
      <c r="T15" s="48"/>
      <c r="U15" s="59" t="s">
        <v>34</v>
      </c>
      <c r="V15" s="48">
        <f t="shared" si="6"/>
        <v>0.09</v>
      </c>
      <c r="W15" s="48">
        <f t="shared" si="7"/>
        <v>111111.1111</v>
      </c>
      <c r="X15" s="48">
        <v>8000.0</v>
      </c>
      <c r="Y15" s="48">
        <v>12000.0</v>
      </c>
      <c r="Z15" s="48">
        <v>18000.0</v>
      </c>
      <c r="AA15" s="59" t="s">
        <v>62</v>
      </c>
      <c r="AB15" s="48">
        <v>18000.0</v>
      </c>
      <c r="AC15" s="48">
        <f t="shared" si="8"/>
        <v>0.162</v>
      </c>
      <c r="AD15" s="48">
        <f t="shared" si="9"/>
        <v>253.4722222</v>
      </c>
      <c r="AE15" s="49">
        <f t="shared" si="10"/>
        <v>126.7361111</v>
      </c>
      <c r="AF15" s="61">
        <f t="shared" si="11"/>
        <v>5.31</v>
      </c>
      <c r="AG15" s="41">
        <f>0.1*(0.1+0.3)</f>
        <v>0.04</v>
      </c>
      <c r="AH15" s="41">
        <f t="shared" si="12"/>
        <v>2.259887006</v>
      </c>
      <c r="AI15" s="41">
        <f t="shared" si="13"/>
        <v>112.1614583</v>
      </c>
      <c r="AJ15" s="41">
        <f t="shared" si="14"/>
        <v>4.486458333</v>
      </c>
    </row>
    <row r="16" ht="20.25" customHeight="1">
      <c r="A16" s="42"/>
      <c r="B16" s="42"/>
      <c r="C16" s="42"/>
      <c r="D16" s="42">
        <v>3.0</v>
      </c>
      <c r="E16" s="54" t="s">
        <v>85</v>
      </c>
      <c r="F16" s="55" t="s">
        <v>86</v>
      </c>
      <c r="G16" s="55" t="s">
        <v>85</v>
      </c>
      <c r="H16" s="55" t="s">
        <v>87</v>
      </c>
      <c r="I16" s="56">
        <f>I13/$E18</f>
        <v>0.0225</v>
      </c>
      <c r="J16" s="56">
        <f t="shared" si="3"/>
        <v>0.1125</v>
      </c>
      <c r="K16" s="57">
        <f t="shared" si="4"/>
        <v>41.0625</v>
      </c>
      <c r="L16" s="58" t="s">
        <v>81</v>
      </c>
      <c r="M16" s="59" t="s">
        <v>73</v>
      </c>
      <c r="N16" s="59" t="s">
        <v>88</v>
      </c>
      <c r="O16" s="59" t="s">
        <v>75</v>
      </c>
      <c r="P16" s="48"/>
      <c r="Q16" s="60">
        <f t="shared" si="5"/>
        <v>2</v>
      </c>
      <c r="R16" s="48"/>
      <c r="S16" s="59" t="s">
        <v>76</v>
      </c>
      <c r="T16" s="48"/>
      <c r="U16" s="59" t="s">
        <v>34</v>
      </c>
      <c r="V16" s="48">
        <f t="shared" si="6"/>
        <v>0.09</v>
      </c>
      <c r="W16" s="48">
        <f t="shared" si="7"/>
        <v>111111.1111</v>
      </c>
      <c r="X16" s="48">
        <v>15000.0</v>
      </c>
      <c r="Y16" s="48">
        <v>20000.0</v>
      </c>
      <c r="Z16" s="48">
        <v>25000.0</v>
      </c>
      <c r="AA16" s="59" t="s">
        <v>62</v>
      </c>
      <c r="AB16" s="48">
        <v>25000.0</v>
      </c>
      <c r="AC16" s="48">
        <f t="shared" si="8"/>
        <v>0.225</v>
      </c>
      <c r="AD16" s="48">
        <f t="shared" si="9"/>
        <v>182.5</v>
      </c>
      <c r="AE16" s="49">
        <f t="shared" si="10"/>
        <v>91.25</v>
      </c>
      <c r="AF16" s="61">
        <f t="shared" si="11"/>
        <v>5.31</v>
      </c>
      <c r="AG16" s="41">
        <f>0.3*(0.3+1)</f>
        <v>0.39</v>
      </c>
      <c r="AH16" s="41">
        <f t="shared" si="12"/>
        <v>2.259887006</v>
      </c>
      <c r="AI16" s="41">
        <f t="shared" si="13"/>
        <v>80.75625</v>
      </c>
      <c r="AJ16" s="41">
        <f t="shared" si="14"/>
        <v>31.4949375</v>
      </c>
    </row>
    <row r="17" ht="20.25" customHeight="1">
      <c r="A17" s="42"/>
      <c r="B17" s="42"/>
      <c r="C17" s="42"/>
      <c r="D17" s="42">
        <v>4.0</v>
      </c>
      <c r="E17" s="54" t="s">
        <v>89</v>
      </c>
      <c r="F17" s="55" t="s">
        <v>89</v>
      </c>
      <c r="G17" s="55" t="s">
        <v>90</v>
      </c>
      <c r="H17" s="55" t="s">
        <v>91</v>
      </c>
      <c r="I17" s="56">
        <f>I13/$E18</f>
        <v>0.0225</v>
      </c>
      <c r="J17" s="56">
        <f t="shared" si="3"/>
        <v>0.1125</v>
      </c>
      <c r="K17" s="57">
        <f t="shared" si="4"/>
        <v>41.0625</v>
      </c>
      <c r="L17" s="58" t="s">
        <v>92</v>
      </c>
      <c r="M17" s="48">
        <v>1.5</v>
      </c>
      <c r="N17" s="59" t="s">
        <v>93</v>
      </c>
      <c r="O17" s="59" t="s">
        <v>94</v>
      </c>
      <c r="P17" s="48"/>
      <c r="Q17" s="60">
        <f t="shared" si="5"/>
        <v>8</v>
      </c>
      <c r="R17" s="48"/>
      <c r="S17" s="59" t="s">
        <v>95</v>
      </c>
      <c r="T17" s="48"/>
      <c r="U17" s="59" t="s">
        <v>34</v>
      </c>
      <c r="V17" s="48">
        <f>0.9*0.9</f>
        <v>0.81</v>
      </c>
      <c r="W17" s="48">
        <f t="shared" si="7"/>
        <v>12345.67901</v>
      </c>
      <c r="X17" s="48">
        <v>8000.0</v>
      </c>
      <c r="Y17" s="48">
        <v>12000.0</v>
      </c>
      <c r="Z17" s="48">
        <v>16000.0</v>
      </c>
      <c r="AA17" s="59" t="s">
        <v>62</v>
      </c>
      <c r="AB17" s="48">
        <v>16000.0</v>
      </c>
      <c r="AC17" s="48">
        <f t="shared" si="8"/>
        <v>1.296</v>
      </c>
      <c r="AD17" s="48">
        <f t="shared" si="9"/>
        <v>31.68402778</v>
      </c>
      <c r="AE17" s="49">
        <f t="shared" si="10"/>
        <v>3.960503472</v>
      </c>
      <c r="AF17" s="41">
        <f t="shared" si="11"/>
        <v>0.81</v>
      </c>
      <c r="AG17" s="41">
        <f>0.9*(0.9+0.3)</f>
        <v>1.08</v>
      </c>
      <c r="AH17" s="41">
        <f t="shared" si="12"/>
        <v>14.81481481</v>
      </c>
      <c r="AI17" s="41">
        <f t="shared" si="13"/>
        <v>2.138671875</v>
      </c>
      <c r="AJ17" s="41">
        <f t="shared" si="14"/>
        <v>2.309765625</v>
      </c>
    </row>
    <row r="18" ht="20.25" customHeight="1">
      <c r="A18" s="54" t="s">
        <v>63</v>
      </c>
      <c r="B18" s="54" t="s">
        <v>64</v>
      </c>
      <c r="C18" s="42"/>
      <c r="D18" s="54" t="s">
        <v>96</v>
      </c>
      <c r="E18" s="42">
        <f>$D17</f>
        <v>4</v>
      </c>
      <c r="F18" s="56"/>
      <c r="G18" s="56"/>
      <c r="H18" s="56"/>
      <c r="I18" s="56"/>
      <c r="J18" s="56"/>
      <c r="K18" s="57"/>
      <c r="L18" s="47"/>
      <c r="M18" s="48"/>
      <c r="N18" s="48"/>
      <c r="O18" s="48"/>
      <c r="P18" s="48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9"/>
      <c r="AF18" s="41"/>
      <c r="AG18" s="41"/>
      <c r="AH18" s="41"/>
      <c r="AI18" s="41"/>
      <c r="AJ18" s="41"/>
    </row>
    <row r="19" ht="20.25" customHeight="1">
      <c r="A19" s="54" t="s">
        <v>63</v>
      </c>
      <c r="B19" s="54" t="s">
        <v>66</v>
      </c>
      <c r="C19" s="54" t="s">
        <v>64</v>
      </c>
      <c r="D19" s="54" t="s">
        <v>96</v>
      </c>
      <c r="E19" s="42">
        <f>$E10+$E18</f>
        <v>5</v>
      </c>
      <c r="F19" s="56"/>
      <c r="G19" s="56"/>
      <c r="H19" s="56"/>
      <c r="I19" s="56"/>
      <c r="J19" s="56"/>
      <c r="K19" s="57"/>
      <c r="L19" s="47"/>
      <c r="M19" s="48"/>
      <c r="N19" s="48"/>
      <c r="O19" s="48"/>
      <c r="P19" s="48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9"/>
      <c r="AF19" s="41"/>
      <c r="AG19" s="41"/>
      <c r="AH19" s="41"/>
      <c r="AI19" s="41"/>
      <c r="AJ19" s="41">
        <f>SUM(AJ14,AJ15,AJ16,AJ17)</f>
        <v>50.40459896</v>
      </c>
    </row>
    <row r="20" ht="20.25" customHeight="1">
      <c r="A20" s="62" t="s">
        <v>63</v>
      </c>
      <c r="B20" s="62" t="s">
        <v>66</v>
      </c>
      <c r="C20" s="62" t="s">
        <v>64</v>
      </c>
      <c r="D20" s="63">
        <v>1.1</v>
      </c>
      <c r="E20" s="63"/>
      <c r="F20" s="56"/>
      <c r="G20" s="56"/>
      <c r="H20" s="56"/>
      <c r="I20" s="56"/>
      <c r="J20" s="56"/>
      <c r="K20" s="57"/>
      <c r="L20" s="47"/>
      <c r="M20" s="48"/>
      <c r="N20" s="48"/>
      <c r="O20" s="48"/>
      <c r="P20" s="48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1"/>
      <c r="AG20" s="41"/>
      <c r="AH20" s="41"/>
      <c r="AI20" s="41"/>
      <c r="AJ20" s="41">
        <f>AJ11+AJ19</f>
        <v>50.70516632</v>
      </c>
    </row>
    <row r="21" ht="20.25" customHeight="1">
      <c r="A21" s="42"/>
      <c r="B21" s="43"/>
      <c r="C21" s="43"/>
      <c r="D21" s="43"/>
      <c r="E21" s="44"/>
      <c r="F21" s="45"/>
      <c r="G21" s="45"/>
      <c r="H21" s="45"/>
      <c r="I21" s="45"/>
      <c r="J21" s="45">
        <f t="shared" ref="J21:J35" si="15">I21*5</f>
        <v>0</v>
      </c>
      <c r="K21" s="46">
        <f t="shared" ref="K21:K35" si="16">J21*365</f>
        <v>0</v>
      </c>
      <c r="L21" s="47"/>
      <c r="M21" s="48"/>
      <c r="N21" s="48"/>
      <c r="O21" s="48"/>
      <c r="P21" s="48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9"/>
      <c r="AF21" s="41"/>
      <c r="AG21" s="41"/>
      <c r="AH21" s="41"/>
      <c r="AI21" s="41"/>
      <c r="AJ21" s="41"/>
    </row>
    <row r="22" ht="20.25" customHeight="1">
      <c r="A22" s="42"/>
      <c r="B22" s="43">
        <v>2.0</v>
      </c>
      <c r="C22" s="43"/>
      <c r="D22" s="43"/>
      <c r="E22" s="44" t="s">
        <v>52</v>
      </c>
      <c r="F22" s="45"/>
      <c r="G22" s="45"/>
      <c r="H22" s="45"/>
      <c r="I22" s="45">
        <v>0.1</v>
      </c>
      <c r="J22" s="45">
        <f t="shared" si="15"/>
        <v>0.5</v>
      </c>
      <c r="K22" s="46">
        <f t="shared" si="16"/>
        <v>182.5</v>
      </c>
      <c r="L22" s="47"/>
      <c r="M22" s="48"/>
      <c r="N22" s="48"/>
      <c r="O22" s="48"/>
      <c r="P22" s="48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9"/>
      <c r="AF22" s="41"/>
      <c r="AG22" s="41"/>
      <c r="AH22" s="41"/>
      <c r="AI22" s="41"/>
      <c r="AJ22" s="41"/>
    </row>
    <row r="23" ht="32.25" customHeight="1">
      <c r="A23" s="42"/>
      <c r="B23" s="42"/>
      <c r="C23" s="42"/>
      <c r="D23" s="42">
        <v>1.0</v>
      </c>
      <c r="E23" s="54" t="s">
        <v>97</v>
      </c>
      <c r="F23" s="55" t="s">
        <v>98</v>
      </c>
      <c r="G23" s="55" t="s">
        <v>99</v>
      </c>
      <c r="H23" s="55" t="s">
        <v>100</v>
      </c>
      <c r="I23" s="56">
        <f>I22/$E36</f>
        <v>0.007692307692</v>
      </c>
      <c r="J23" s="56">
        <f t="shared" si="15"/>
        <v>0.03846153846</v>
      </c>
      <c r="K23" s="57">
        <f t="shared" si="16"/>
        <v>14.03846154</v>
      </c>
      <c r="L23" s="58" t="s">
        <v>101</v>
      </c>
      <c r="M23" s="59" t="s">
        <v>73</v>
      </c>
      <c r="N23" s="59" t="s">
        <v>102</v>
      </c>
      <c r="O23" s="59" t="s">
        <v>103</v>
      </c>
      <c r="P23" s="59" t="s">
        <v>104</v>
      </c>
      <c r="Q23" s="60">
        <v>2.0</v>
      </c>
      <c r="R23" s="48"/>
      <c r="S23" s="59" t="s">
        <v>61</v>
      </c>
      <c r="T23" s="48"/>
      <c r="U23" s="59" t="s">
        <v>34</v>
      </c>
      <c r="V23" s="48">
        <f>0.45*0.45</f>
        <v>0.2025</v>
      </c>
      <c r="W23" s="48">
        <f t="shared" ref="W23:W35" si="17">10000/V23</f>
        <v>49382.71605</v>
      </c>
      <c r="X23" s="48">
        <v>15000.0</v>
      </c>
      <c r="Y23" s="48">
        <v>20000.0</v>
      </c>
      <c r="Z23" s="48">
        <v>30000.0</v>
      </c>
      <c r="AA23" s="59" t="s">
        <v>62</v>
      </c>
      <c r="AB23" s="48">
        <v>30000.0</v>
      </c>
      <c r="AC23" s="48">
        <f t="shared" ref="AC23:AC35" si="18">AB23/W23</f>
        <v>0.6075</v>
      </c>
      <c r="AD23" s="48">
        <f t="shared" ref="AD23:AD35" si="19">K23/AC23</f>
        <v>23.10857866</v>
      </c>
      <c r="AE23" s="48">
        <f t="shared" ref="AE23:AE35" si="20">AD23/Q23</f>
        <v>11.55428933</v>
      </c>
      <c r="AF23" s="64">
        <v>5.81</v>
      </c>
      <c r="AG23" s="41">
        <f>0.45*(0.45*0.3)</f>
        <v>0.06075</v>
      </c>
      <c r="AH23" s="41">
        <f t="shared" ref="AH23:AH35" si="21">12/AF23</f>
        <v>2.065404475</v>
      </c>
      <c r="AI23" s="41">
        <f t="shared" ref="AI23:AI35" si="22">AD23/AH23</f>
        <v>11.1884035</v>
      </c>
      <c r="AJ23" s="41">
        <f t="shared" ref="AJ23:AJ35" si="23">AI23*AG23</f>
        <v>0.6796955128</v>
      </c>
    </row>
    <row r="24" ht="32.25" customHeight="1">
      <c r="A24" s="42"/>
      <c r="B24" s="42"/>
      <c r="C24" s="42"/>
      <c r="D24" s="42">
        <v>2.0</v>
      </c>
      <c r="E24" s="54" t="s">
        <v>105</v>
      </c>
      <c r="F24" s="55" t="s">
        <v>106</v>
      </c>
      <c r="G24" s="55" t="s">
        <v>107</v>
      </c>
      <c r="H24" s="55" t="s">
        <v>108</v>
      </c>
      <c r="I24" s="56">
        <f>I22/$E36</f>
        <v>0.007692307692</v>
      </c>
      <c r="J24" s="56">
        <f t="shared" si="15"/>
        <v>0.03846153846</v>
      </c>
      <c r="K24" s="57">
        <f t="shared" si="16"/>
        <v>14.03846154</v>
      </c>
      <c r="L24" s="58" t="s">
        <v>109</v>
      </c>
      <c r="M24" s="59" t="s">
        <v>110</v>
      </c>
      <c r="N24" s="59" t="s">
        <v>111</v>
      </c>
      <c r="O24" s="59" t="s">
        <v>112</v>
      </c>
      <c r="P24" s="48"/>
      <c r="Q24" s="60">
        <v>3.0</v>
      </c>
      <c r="R24" s="59" t="s">
        <v>113</v>
      </c>
      <c r="S24" s="48"/>
      <c r="T24" s="59" t="s">
        <v>114</v>
      </c>
      <c r="U24" s="59" t="s">
        <v>33</v>
      </c>
      <c r="V24" s="48">
        <f>0.4*0.4</f>
        <v>0.16</v>
      </c>
      <c r="W24" s="48">
        <f t="shared" si="17"/>
        <v>62500</v>
      </c>
      <c r="X24" s="48">
        <v>2000.0</v>
      </c>
      <c r="Y24" s="48">
        <v>5000.0</v>
      </c>
      <c r="Z24" s="48">
        <v>8000.0</v>
      </c>
      <c r="AA24" s="59" t="s">
        <v>62</v>
      </c>
      <c r="AB24" s="48">
        <v>8000.0</v>
      </c>
      <c r="AC24" s="48">
        <f t="shared" si="18"/>
        <v>0.128</v>
      </c>
      <c r="AD24" s="48">
        <f t="shared" si="19"/>
        <v>109.6754808</v>
      </c>
      <c r="AE24" s="48">
        <f t="shared" si="20"/>
        <v>36.55849359</v>
      </c>
      <c r="AF24" s="64">
        <v>4.01</v>
      </c>
      <c r="AG24" s="41">
        <f>0.6*(0.6+0.3)</f>
        <v>0.54</v>
      </c>
      <c r="AH24" s="41">
        <f t="shared" si="21"/>
        <v>2.992518703</v>
      </c>
      <c r="AI24" s="41">
        <f t="shared" si="22"/>
        <v>36.64988982</v>
      </c>
      <c r="AJ24" s="41">
        <f t="shared" si="23"/>
        <v>19.7909405</v>
      </c>
    </row>
    <row r="25" ht="32.25" customHeight="1">
      <c r="A25" s="42"/>
      <c r="B25" s="42"/>
      <c r="C25" s="42"/>
      <c r="D25" s="42">
        <v>3.0</v>
      </c>
      <c r="E25" s="54" t="s">
        <v>115</v>
      </c>
      <c r="F25" s="55" t="s">
        <v>115</v>
      </c>
      <c r="G25" s="55" t="s">
        <v>116</v>
      </c>
      <c r="H25" s="55" t="s">
        <v>117</v>
      </c>
      <c r="I25" s="56">
        <f>I22/$E36</f>
        <v>0.007692307692</v>
      </c>
      <c r="J25" s="56">
        <f t="shared" si="15"/>
        <v>0.03846153846</v>
      </c>
      <c r="K25" s="57">
        <f t="shared" si="16"/>
        <v>14.03846154</v>
      </c>
      <c r="L25" s="58" t="s">
        <v>118</v>
      </c>
      <c r="M25" s="59" t="s">
        <v>119</v>
      </c>
      <c r="N25" s="59" t="s">
        <v>120</v>
      </c>
      <c r="O25" s="59" t="s">
        <v>121</v>
      </c>
      <c r="P25" s="48"/>
      <c r="Q25" s="60">
        <v>6.0</v>
      </c>
      <c r="R25" s="48"/>
      <c r="S25" s="59" t="s">
        <v>122</v>
      </c>
      <c r="T25" s="48"/>
      <c r="U25" s="59" t="s">
        <v>34</v>
      </c>
      <c r="V25" s="48">
        <f>0.15*0.15</f>
        <v>0.0225</v>
      </c>
      <c r="W25" s="48">
        <f t="shared" si="17"/>
        <v>444444.4444</v>
      </c>
      <c r="X25" s="48">
        <v>1500.0</v>
      </c>
      <c r="Y25" s="48">
        <v>2000.0</v>
      </c>
      <c r="Z25" s="48">
        <v>3500.0</v>
      </c>
      <c r="AA25" s="59" t="s">
        <v>62</v>
      </c>
      <c r="AB25" s="48">
        <v>3500.0</v>
      </c>
      <c r="AC25" s="48">
        <f t="shared" si="18"/>
        <v>0.007875</v>
      </c>
      <c r="AD25" s="65">
        <f t="shared" si="19"/>
        <v>1782.661783</v>
      </c>
      <c r="AE25" s="48">
        <f t="shared" si="20"/>
        <v>297.1102971</v>
      </c>
      <c r="AF25" s="64">
        <v>0.81</v>
      </c>
      <c r="AG25" s="41">
        <f>0.15*(0.15+1)</f>
        <v>0.1725</v>
      </c>
      <c r="AH25" s="41">
        <f t="shared" si="21"/>
        <v>14.81481481</v>
      </c>
      <c r="AI25" s="41">
        <f t="shared" si="22"/>
        <v>120.3296703</v>
      </c>
      <c r="AJ25" s="41">
        <f t="shared" si="23"/>
        <v>20.75686813</v>
      </c>
    </row>
    <row r="26" ht="20.25" customHeight="1">
      <c r="A26" s="42"/>
      <c r="B26" s="42"/>
      <c r="C26" s="42"/>
      <c r="D26" s="42">
        <v>4.0</v>
      </c>
      <c r="E26" s="54" t="s">
        <v>123</v>
      </c>
      <c r="F26" s="55" t="s">
        <v>124</v>
      </c>
      <c r="G26" s="55" t="s">
        <v>125</v>
      </c>
      <c r="H26" s="55" t="s">
        <v>126</v>
      </c>
      <c r="I26" s="56">
        <f>I22/$E36</f>
        <v>0.007692307692</v>
      </c>
      <c r="J26" s="56">
        <f t="shared" si="15"/>
        <v>0.03846153846</v>
      </c>
      <c r="K26" s="57">
        <f t="shared" si="16"/>
        <v>14.03846154</v>
      </c>
      <c r="L26" s="58" t="s">
        <v>127</v>
      </c>
      <c r="M26" s="59" t="s">
        <v>128</v>
      </c>
      <c r="N26" s="59" t="s">
        <v>129</v>
      </c>
      <c r="O26" s="59" t="s">
        <v>75</v>
      </c>
      <c r="P26" s="48"/>
      <c r="Q26" s="60">
        <v>2.0</v>
      </c>
      <c r="R26" s="48"/>
      <c r="S26" s="59" t="s">
        <v>76</v>
      </c>
      <c r="T26" s="48"/>
      <c r="U26" s="59" t="s">
        <v>34</v>
      </c>
      <c r="V26" s="48">
        <f>0.3*0.3</f>
        <v>0.09</v>
      </c>
      <c r="W26" s="48">
        <f t="shared" si="17"/>
        <v>111111.1111</v>
      </c>
      <c r="X26" s="48">
        <v>1000.0</v>
      </c>
      <c r="Y26" s="48">
        <v>2000.0</v>
      </c>
      <c r="Z26" s="48">
        <v>3000.0</v>
      </c>
      <c r="AA26" s="59" t="s">
        <v>62</v>
      </c>
      <c r="AB26" s="48">
        <v>3000.0</v>
      </c>
      <c r="AC26" s="48">
        <f t="shared" si="18"/>
        <v>0.027</v>
      </c>
      <c r="AD26" s="48">
        <f t="shared" si="19"/>
        <v>519.9430199</v>
      </c>
      <c r="AE26" s="48">
        <f t="shared" si="20"/>
        <v>259.97151</v>
      </c>
      <c r="AF26" s="64">
        <v>0.93</v>
      </c>
      <c r="AG26" s="41">
        <f>0.3*(0.3+0.3)</f>
        <v>0.18</v>
      </c>
      <c r="AH26" s="41">
        <f t="shared" si="21"/>
        <v>12.90322581</v>
      </c>
      <c r="AI26" s="41">
        <f t="shared" si="22"/>
        <v>40.29558405</v>
      </c>
      <c r="AJ26" s="41">
        <f t="shared" si="23"/>
        <v>7.253205128</v>
      </c>
    </row>
    <row r="27" ht="20.25" customHeight="1">
      <c r="A27" s="42"/>
      <c r="B27" s="42"/>
      <c r="C27" s="42"/>
      <c r="D27" s="42">
        <v>5.0</v>
      </c>
      <c r="E27" s="54" t="s">
        <v>130</v>
      </c>
      <c r="F27" s="55" t="s">
        <v>130</v>
      </c>
      <c r="G27" s="55" t="s">
        <v>131</v>
      </c>
      <c r="H27" s="55" t="s">
        <v>132</v>
      </c>
      <c r="I27" s="56">
        <f>I22/$E36</f>
        <v>0.007692307692</v>
      </c>
      <c r="J27" s="56">
        <f t="shared" si="15"/>
        <v>0.03846153846</v>
      </c>
      <c r="K27" s="57">
        <f t="shared" si="16"/>
        <v>14.03846154</v>
      </c>
      <c r="L27" s="58" t="s">
        <v>133</v>
      </c>
      <c r="M27" s="59" t="s">
        <v>134</v>
      </c>
      <c r="N27" s="59" t="s">
        <v>135</v>
      </c>
      <c r="O27" s="59" t="s">
        <v>136</v>
      </c>
      <c r="P27" s="48"/>
      <c r="Q27" s="60">
        <v>6.0</v>
      </c>
      <c r="R27" s="59" t="s">
        <v>137</v>
      </c>
      <c r="S27" s="48"/>
      <c r="T27" s="59" t="s">
        <v>138</v>
      </c>
      <c r="U27" s="59" t="s">
        <v>33</v>
      </c>
      <c r="V27" s="48">
        <f t="shared" ref="V27:V28" si="24">0.15*0.15</f>
        <v>0.0225</v>
      </c>
      <c r="W27" s="48">
        <f t="shared" si="17"/>
        <v>444444.4444</v>
      </c>
      <c r="X27" s="48">
        <v>1500.0</v>
      </c>
      <c r="Y27" s="48">
        <v>3000.0</v>
      </c>
      <c r="Z27" s="48">
        <v>5000.0</v>
      </c>
      <c r="AA27" s="59" t="s">
        <v>62</v>
      </c>
      <c r="AB27" s="48">
        <v>5000.0</v>
      </c>
      <c r="AC27" s="48">
        <f t="shared" si="18"/>
        <v>0.01125</v>
      </c>
      <c r="AD27" s="65">
        <f t="shared" si="19"/>
        <v>1247.863248</v>
      </c>
      <c r="AE27" s="48">
        <f t="shared" si="20"/>
        <v>207.977208</v>
      </c>
      <c r="AF27" s="64">
        <v>0.31</v>
      </c>
      <c r="AG27" s="41">
        <f>0.2*(0.2+0.3)</f>
        <v>0.1</v>
      </c>
      <c r="AH27" s="41">
        <f t="shared" si="21"/>
        <v>38.70967742</v>
      </c>
      <c r="AI27" s="41">
        <f t="shared" si="22"/>
        <v>32.23646724</v>
      </c>
      <c r="AJ27" s="41">
        <f t="shared" si="23"/>
        <v>3.223646724</v>
      </c>
    </row>
    <row r="28" ht="32.25" customHeight="1">
      <c r="A28" s="42"/>
      <c r="B28" s="42"/>
      <c r="C28" s="42"/>
      <c r="D28" s="42">
        <v>6.0</v>
      </c>
      <c r="E28" s="54" t="s">
        <v>139</v>
      </c>
      <c r="F28" s="55" t="s">
        <v>140</v>
      </c>
      <c r="G28" s="55" t="s">
        <v>141</v>
      </c>
      <c r="H28" s="55" t="s">
        <v>142</v>
      </c>
      <c r="I28" s="56">
        <f>I22/$E36</f>
        <v>0.007692307692</v>
      </c>
      <c r="J28" s="56">
        <f t="shared" si="15"/>
        <v>0.03846153846</v>
      </c>
      <c r="K28" s="57">
        <f t="shared" si="16"/>
        <v>14.03846154</v>
      </c>
      <c r="L28" s="58" t="s">
        <v>143</v>
      </c>
      <c r="M28" s="59" t="s">
        <v>73</v>
      </c>
      <c r="N28" s="59" t="s">
        <v>144</v>
      </c>
      <c r="O28" s="59" t="s">
        <v>145</v>
      </c>
      <c r="P28" s="48"/>
      <c r="Q28" s="60">
        <v>1.0</v>
      </c>
      <c r="R28" s="48"/>
      <c r="S28" s="59" t="s">
        <v>146</v>
      </c>
      <c r="T28" s="48"/>
      <c r="U28" s="59" t="s">
        <v>34</v>
      </c>
      <c r="V28" s="48">
        <f t="shared" si="24"/>
        <v>0.0225</v>
      </c>
      <c r="W28" s="48">
        <f t="shared" si="17"/>
        <v>444444.4444</v>
      </c>
      <c r="X28" s="48">
        <v>2000.0</v>
      </c>
      <c r="Y28" s="48">
        <v>3000.0</v>
      </c>
      <c r="Z28" s="48">
        <v>4000.0</v>
      </c>
      <c r="AA28" s="59" t="s">
        <v>62</v>
      </c>
      <c r="AB28" s="48">
        <v>4000.0</v>
      </c>
      <c r="AC28" s="48">
        <f t="shared" si="18"/>
        <v>0.009</v>
      </c>
      <c r="AD28" s="65">
        <f t="shared" si="19"/>
        <v>1559.82906</v>
      </c>
      <c r="AE28" s="65">
        <f t="shared" si="20"/>
        <v>1559.82906</v>
      </c>
      <c r="AF28" s="64">
        <v>5.5</v>
      </c>
      <c r="AG28" s="41">
        <f>0.3*(0.3+0.3)</f>
        <v>0.18</v>
      </c>
      <c r="AH28" s="41">
        <f t="shared" si="21"/>
        <v>2.181818182</v>
      </c>
      <c r="AI28" s="41">
        <f t="shared" si="22"/>
        <v>714.9216524</v>
      </c>
      <c r="AJ28" s="41">
        <f t="shared" si="23"/>
        <v>128.6858974</v>
      </c>
    </row>
    <row r="29" ht="44.25" customHeight="1">
      <c r="A29" s="42"/>
      <c r="B29" s="42"/>
      <c r="C29" s="42"/>
      <c r="D29" s="42">
        <v>7.0</v>
      </c>
      <c r="E29" s="54" t="s">
        <v>147</v>
      </c>
      <c r="F29" s="55" t="s">
        <v>148</v>
      </c>
      <c r="G29" s="55" t="s">
        <v>149</v>
      </c>
      <c r="H29" s="55" t="s">
        <v>150</v>
      </c>
      <c r="I29" s="56">
        <f>I22/$E36</f>
        <v>0.007692307692</v>
      </c>
      <c r="J29" s="56">
        <f t="shared" si="15"/>
        <v>0.03846153846</v>
      </c>
      <c r="K29" s="57">
        <f t="shared" si="16"/>
        <v>14.03846154</v>
      </c>
      <c r="L29" s="58" t="s">
        <v>151</v>
      </c>
      <c r="M29" s="59" t="s">
        <v>55</v>
      </c>
      <c r="N29" s="59" t="s">
        <v>152</v>
      </c>
      <c r="O29" s="59" t="s">
        <v>153</v>
      </c>
      <c r="P29" s="59" t="s">
        <v>154</v>
      </c>
      <c r="Q29" s="60">
        <v>3.0</v>
      </c>
      <c r="R29" s="48"/>
      <c r="S29" s="59" t="s">
        <v>61</v>
      </c>
      <c r="T29" s="48"/>
      <c r="U29" s="59" t="s">
        <v>34</v>
      </c>
      <c r="V29" s="48">
        <f t="shared" ref="V29:V30" si="25">0.45*0.45</f>
        <v>0.2025</v>
      </c>
      <c r="W29" s="48">
        <f t="shared" si="17"/>
        <v>49382.71605</v>
      </c>
      <c r="X29" s="48">
        <v>1000.0</v>
      </c>
      <c r="Y29" s="48">
        <v>2500.0</v>
      </c>
      <c r="Z29" s="48">
        <v>4000.0</v>
      </c>
      <c r="AA29" s="59" t="s">
        <v>62</v>
      </c>
      <c r="AB29" s="48">
        <v>4000.0</v>
      </c>
      <c r="AC29" s="48">
        <f t="shared" si="18"/>
        <v>0.081</v>
      </c>
      <c r="AD29" s="48">
        <f t="shared" si="19"/>
        <v>173.31434</v>
      </c>
      <c r="AE29" s="48">
        <f t="shared" si="20"/>
        <v>57.77144666</v>
      </c>
      <c r="AF29" s="64">
        <v>2.31</v>
      </c>
      <c r="AG29" s="41">
        <f t="shared" ref="AG29:AG30" si="26">0.45*(0.45+0.3)</f>
        <v>0.3375</v>
      </c>
      <c r="AH29" s="41">
        <f t="shared" si="21"/>
        <v>5.194805195</v>
      </c>
      <c r="AI29" s="41">
        <f t="shared" si="22"/>
        <v>33.36301045</v>
      </c>
      <c r="AJ29" s="41">
        <f t="shared" si="23"/>
        <v>11.26001603</v>
      </c>
    </row>
    <row r="30" ht="32.25" customHeight="1">
      <c r="A30" s="42"/>
      <c r="B30" s="42"/>
      <c r="C30" s="42"/>
      <c r="D30" s="42">
        <v>8.0</v>
      </c>
      <c r="E30" s="54" t="s">
        <v>155</v>
      </c>
      <c r="F30" s="55" t="s">
        <v>156</v>
      </c>
      <c r="G30" s="55" t="s">
        <v>157</v>
      </c>
      <c r="H30" s="55" t="s">
        <v>158</v>
      </c>
      <c r="I30" s="56">
        <f>I22/$E36</f>
        <v>0.007692307692</v>
      </c>
      <c r="J30" s="56">
        <f t="shared" si="15"/>
        <v>0.03846153846</v>
      </c>
      <c r="K30" s="57">
        <f t="shared" si="16"/>
        <v>14.03846154</v>
      </c>
      <c r="L30" s="58" t="s">
        <v>151</v>
      </c>
      <c r="M30" s="59" t="s">
        <v>55</v>
      </c>
      <c r="N30" s="59" t="s">
        <v>159</v>
      </c>
      <c r="O30" s="59" t="s">
        <v>103</v>
      </c>
      <c r="P30" s="48"/>
      <c r="Q30" s="60">
        <v>3.0</v>
      </c>
      <c r="R30" s="48"/>
      <c r="S30" s="59" t="s">
        <v>61</v>
      </c>
      <c r="T30" s="48"/>
      <c r="U30" s="59" t="s">
        <v>34</v>
      </c>
      <c r="V30" s="48">
        <f t="shared" si="25"/>
        <v>0.2025</v>
      </c>
      <c r="W30" s="48">
        <f t="shared" si="17"/>
        <v>49382.71605</v>
      </c>
      <c r="X30" s="48">
        <v>1500.0</v>
      </c>
      <c r="Y30" s="48">
        <v>3000.0</v>
      </c>
      <c r="Z30" s="48">
        <v>5000.0</v>
      </c>
      <c r="AA30" s="59" t="s">
        <v>62</v>
      </c>
      <c r="AB30" s="48">
        <v>5000.0</v>
      </c>
      <c r="AC30" s="48">
        <f t="shared" si="18"/>
        <v>0.10125</v>
      </c>
      <c r="AD30" s="48">
        <f t="shared" si="19"/>
        <v>138.651472</v>
      </c>
      <c r="AE30" s="48">
        <f t="shared" si="20"/>
        <v>46.21715733</v>
      </c>
      <c r="AF30" s="64">
        <v>11.31</v>
      </c>
      <c r="AG30" s="41">
        <f t="shared" si="26"/>
        <v>0.3375</v>
      </c>
      <c r="AH30" s="41">
        <f t="shared" si="21"/>
        <v>1.061007958</v>
      </c>
      <c r="AI30" s="41">
        <f t="shared" si="22"/>
        <v>130.6790123</v>
      </c>
      <c r="AJ30" s="41">
        <f t="shared" si="23"/>
        <v>44.10416667</v>
      </c>
    </row>
    <row r="31" ht="32.25" customHeight="1">
      <c r="A31" s="42"/>
      <c r="B31" s="42"/>
      <c r="C31" s="42"/>
      <c r="D31" s="42">
        <v>9.0</v>
      </c>
      <c r="E31" s="54" t="s">
        <v>160</v>
      </c>
      <c r="F31" s="55" t="s">
        <v>161</v>
      </c>
      <c r="G31" s="55" t="s">
        <v>162</v>
      </c>
      <c r="H31" s="55" t="s">
        <v>163</v>
      </c>
      <c r="I31" s="56">
        <f>I22/$E36</f>
        <v>0.007692307692</v>
      </c>
      <c r="J31" s="56">
        <f t="shared" si="15"/>
        <v>0.03846153846</v>
      </c>
      <c r="K31" s="57">
        <f t="shared" si="16"/>
        <v>14.03846154</v>
      </c>
      <c r="L31" s="58" t="s">
        <v>127</v>
      </c>
      <c r="M31" s="59" t="s">
        <v>128</v>
      </c>
      <c r="N31" s="59" t="s">
        <v>164</v>
      </c>
      <c r="O31" s="59" t="s">
        <v>165</v>
      </c>
      <c r="P31" s="48"/>
      <c r="Q31" s="60">
        <v>3.0</v>
      </c>
      <c r="R31" s="59" t="s">
        <v>166</v>
      </c>
      <c r="S31" s="48"/>
      <c r="T31" s="59" t="s">
        <v>167</v>
      </c>
      <c r="U31" s="59" t="s">
        <v>33</v>
      </c>
      <c r="V31" s="48">
        <f>0.2*0.2</f>
        <v>0.04</v>
      </c>
      <c r="W31" s="48">
        <f t="shared" si="17"/>
        <v>250000</v>
      </c>
      <c r="X31" s="48">
        <v>1000.0</v>
      </c>
      <c r="Y31" s="48">
        <v>2000.0</v>
      </c>
      <c r="Z31" s="48">
        <v>3000.0</v>
      </c>
      <c r="AA31" s="59" t="s">
        <v>62</v>
      </c>
      <c r="AB31" s="48">
        <v>3000.0</v>
      </c>
      <c r="AC31" s="48">
        <f t="shared" si="18"/>
        <v>0.012</v>
      </c>
      <c r="AD31" s="65">
        <f t="shared" si="19"/>
        <v>1169.871795</v>
      </c>
      <c r="AE31" s="48">
        <f t="shared" si="20"/>
        <v>389.957265</v>
      </c>
      <c r="AF31" s="64">
        <v>11.31</v>
      </c>
      <c r="AG31" s="41">
        <f>0.25*(0.25+0.3)</f>
        <v>0.1375</v>
      </c>
      <c r="AH31" s="41">
        <f t="shared" si="21"/>
        <v>1.061007958</v>
      </c>
      <c r="AI31" s="70">
        <f t="shared" si="22"/>
        <v>1102.604167</v>
      </c>
      <c r="AJ31" s="41">
        <f t="shared" si="23"/>
        <v>151.6080729</v>
      </c>
    </row>
    <row r="32" ht="20.25" customHeight="1">
      <c r="A32" s="42"/>
      <c r="B32" s="42"/>
      <c r="C32" s="42"/>
      <c r="D32" s="42">
        <v>10.0</v>
      </c>
      <c r="E32" s="54" t="s">
        <v>168</v>
      </c>
      <c r="F32" s="55" t="s">
        <v>168</v>
      </c>
      <c r="G32" s="55" t="s">
        <v>169</v>
      </c>
      <c r="H32" s="55" t="s">
        <v>170</v>
      </c>
      <c r="I32" s="56">
        <f>I22/$E36</f>
        <v>0.007692307692</v>
      </c>
      <c r="J32" s="56">
        <f t="shared" si="15"/>
        <v>0.03846153846</v>
      </c>
      <c r="K32" s="57">
        <f t="shared" si="16"/>
        <v>14.03846154</v>
      </c>
      <c r="L32" s="58" t="s">
        <v>127</v>
      </c>
      <c r="M32" s="59" t="s">
        <v>128</v>
      </c>
      <c r="N32" s="59" t="s">
        <v>135</v>
      </c>
      <c r="O32" s="59" t="s">
        <v>171</v>
      </c>
      <c r="P32" s="48"/>
      <c r="Q32" s="60">
        <v>2.0</v>
      </c>
      <c r="R32" s="48"/>
      <c r="S32" s="59" t="s">
        <v>76</v>
      </c>
      <c r="T32" s="48"/>
      <c r="U32" s="59" t="s">
        <v>34</v>
      </c>
      <c r="V32" s="48">
        <f t="shared" ref="V32:V33" si="27">0.3*0.3</f>
        <v>0.09</v>
      </c>
      <c r="W32" s="48">
        <f t="shared" si="17"/>
        <v>111111.1111</v>
      </c>
      <c r="X32" s="48">
        <v>4000.0</v>
      </c>
      <c r="Y32" s="48">
        <v>6000.0</v>
      </c>
      <c r="Z32" s="48">
        <v>8000.0</v>
      </c>
      <c r="AA32" s="59" t="s">
        <v>62</v>
      </c>
      <c r="AB32" s="48">
        <v>8000.0</v>
      </c>
      <c r="AC32" s="48">
        <f t="shared" si="18"/>
        <v>0.072</v>
      </c>
      <c r="AD32" s="48">
        <f t="shared" si="19"/>
        <v>194.9786325</v>
      </c>
      <c r="AE32" s="48">
        <f t="shared" si="20"/>
        <v>97.48931624</v>
      </c>
      <c r="AF32" s="64">
        <v>11.31</v>
      </c>
      <c r="AG32" s="41">
        <f>0.3*(0.3+0.3)</f>
        <v>0.18</v>
      </c>
      <c r="AH32" s="41">
        <f t="shared" si="21"/>
        <v>1.061007958</v>
      </c>
      <c r="AI32" s="41">
        <f t="shared" si="22"/>
        <v>183.7673611</v>
      </c>
      <c r="AJ32" s="41">
        <f t="shared" si="23"/>
        <v>33.078125</v>
      </c>
    </row>
    <row r="33" ht="20.25" customHeight="1">
      <c r="A33" s="42"/>
      <c r="B33" s="42"/>
      <c r="C33" s="42"/>
      <c r="D33" s="42">
        <v>11.0</v>
      </c>
      <c r="E33" s="54" t="s">
        <v>172</v>
      </c>
      <c r="F33" s="55" t="s">
        <v>173</v>
      </c>
      <c r="G33" s="55" t="s">
        <v>174</v>
      </c>
      <c r="H33" s="55" t="s">
        <v>175</v>
      </c>
      <c r="I33" s="56">
        <f>I22/$E36</f>
        <v>0.007692307692</v>
      </c>
      <c r="J33" s="56">
        <f t="shared" si="15"/>
        <v>0.03846153846</v>
      </c>
      <c r="K33" s="57">
        <f t="shared" si="16"/>
        <v>14.03846154</v>
      </c>
      <c r="L33" s="58" t="s">
        <v>176</v>
      </c>
      <c r="M33" s="59" t="s">
        <v>128</v>
      </c>
      <c r="N33" s="59" t="s">
        <v>177</v>
      </c>
      <c r="O33" s="59" t="s">
        <v>171</v>
      </c>
      <c r="P33" s="59" t="s">
        <v>178</v>
      </c>
      <c r="Q33" s="60">
        <v>3.0</v>
      </c>
      <c r="R33" s="48"/>
      <c r="S33" s="59" t="s">
        <v>179</v>
      </c>
      <c r="T33" s="48"/>
      <c r="U33" s="59" t="s">
        <v>180</v>
      </c>
      <c r="V33" s="48">
        <f t="shared" si="27"/>
        <v>0.09</v>
      </c>
      <c r="W33" s="48">
        <f t="shared" si="17"/>
        <v>111111.1111</v>
      </c>
      <c r="X33" s="48">
        <v>1500.0</v>
      </c>
      <c r="Y33" s="48">
        <v>3000.0</v>
      </c>
      <c r="Z33" s="48">
        <v>5000.0</v>
      </c>
      <c r="AA33" s="59" t="s">
        <v>62</v>
      </c>
      <c r="AB33" s="48">
        <v>5000.0</v>
      </c>
      <c r="AC33" s="48">
        <f t="shared" si="18"/>
        <v>0.045</v>
      </c>
      <c r="AD33" s="48">
        <f t="shared" si="19"/>
        <v>311.965812</v>
      </c>
      <c r="AE33" s="48">
        <f t="shared" si="20"/>
        <v>103.988604</v>
      </c>
      <c r="AF33" s="64">
        <v>1.31</v>
      </c>
      <c r="AG33" s="41">
        <f>0.3*(0.3+1)</f>
        <v>0.39</v>
      </c>
      <c r="AH33" s="41">
        <f t="shared" si="21"/>
        <v>9.160305344</v>
      </c>
      <c r="AI33" s="41">
        <f t="shared" si="22"/>
        <v>34.05626781</v>
      </c>
      <c r="AJ33" s="41">
        <f t="shared" si="23"/>
        <v>13.28194444</v>
      </c>
    </row>
    <row r="34" ht="32.25" customHeight="1">
      <c r="A34" s="42"/>
      <c r="B34" s="42"/>
      <c r="C34" s="42"/>
      <c r="D34" s="42">
        <v>12.0</v>
      </c>
      <c r="E34" s="54" t="s">
        <v>181</v>
      </c>
      <c r="F34" s="55" t="s">
        <v>182</v>
      </c>
      <c r="G34" s="55" t="s">
        <v>183</v>
      </c>
      <c r="H34" s="55" t="s">
        <v>184</v>
      </c>
      <c r="I34" s="56">
        <f>I22/$E36</f>
        <v>0.007692307692</v>
      </c>
      <c r="J34" s="56">
        <f t="shared" si="15"/>
        <v>0.03846153846</v>
      </c>
      <c r="K34" s="57">
        <f t="shared" si="16"/>
        <v>14.03846154</v>
      </c>
      <c r="L34" s="58" t="s">
        <v>185</v>
      </c>
      <c r="M34" s="48">
        <v>2.0</v>
      </c>
      <c r="N34" s="59" t="s">
        <v>186</v>
      </c>
      <c r="O34" s="59" t="s">
        <v>187</v>
      </c>
      <c r="P34" s="59" t="s">
        <v>188</v>
      </c>
      <c r="Q34" s="60">
        <v>3.0</v>
      </c>
      <c r="R34" s="48"/>
      <c r="S34" s="59" t="s">
        <v>189</v>
      </c>
      <c r="T34" s="48"/>
      <c r="U34" s="59" t="s">
        <v>34</v>
      </c>
      <c r="V34" s="48">
        <f t="shared" ref="V34:V35" si="28">0.2*0.2</f>
        <v>0.04</v>
      </c>
      <c r="W34" s="48">
        <f t="shared" si="17"/>
        <v>250000</v>
      </c>
      <c r="X34" s="48">
        <v>1000.0</v>
      </c>
      <c r="Y34" s="48">
        <v>2500.0</v>
      </c>
      <c r="Z34" s="48">
        <v>4000.0</v>
      </c>
      <c r="AA34" s="59" t="s">
        <v>62</v>
      </c>
      <c r="AB34" s="48">
        <v>4000.0</v>
      </c>
      <c r="AC34" s="48">
        <f t="shared" si="18"/>
        <v>0.016</v>
      </c>
      <c r="AD34" s="48">
        <f t="shared" si="19"/>
        <v>877.4038462</v>
      </c>
      <c r="AE34" s="48">
        <f t="shared" si="20"/>
        <v>292.4679487</v>
      </c>
      <c r="AF34" s="64">
        <v>3.31</v>
      </c>
      <c r="AG34" s="41">
        <f>0.25*(0.25+0.3)</f>
        <v>0.1375</v>
      </c>
      <c r="AH34" s="41">
        <f t="shared" si="21"/>
        <v>3.625377644</v>
      </c>
      <c r="AI34" s="41">
        <f t="shared" si="22"/>
        <v>242.0172276</v>
      </c>
      <c r="AJ34" s="41">
        <f t="shared" si="23"/>
        <v>33.27736879</v>
      </c>
    </row>
    <row r="35" ht="32.25" customHeight="1">
      <c r="A35" s="42"/>
      <c r="B35" s="42"/>
      <c r="C35" s="42"/>
      <c r="D35" s="42">
        <v>13.0</v>
      </c>
      <c r="E35" s="54" t="s">
        <v>190</v>
      </c>
      <c r="F35" s="55" t="s">
        <v>191</v>
      </c>
      <c r="G35" s="55" t="s">
        <v>192</v>
      </c>
      <c r="H35" s="55" t="s">
        <v>193</v>
      </c>
      <c r="I35" s="56">
        <f>I22/$E36</f>
        <v>0.007692307692</v>
      </c>
      <c r="J35" s="56">
        <f t="shared" si="15"/>
        <v>0.03846153846</v>
      </c>
      <c r="K35" s="57">
        <f t="shared" si="16"/>
        <v>14.03846154</v>
      </c>
      <c r="L35" s="58" t="s">
        <v>81</v>
      </c>
      <c r="M35" s="59" t="s">
        <v>73</v>
      </c>
      <c r="N35" s="59" t="s">
        <v>164</v>
      </c>
      <c r="O35" s="59" t="s">
        <v>194</v>
      </c>
      <c r="P35" s="48"/>
      <c r="Q35" s="60">
        <v>2.0</v>
      </c>
      <c r="R35" s="48"/>
      <c r="S35" s="59" t="s">
        <v>138</v>
      </c>
      <c r="T35" s="48"/>
      <c r="U35" s="59" t="s">
        <v>34</v>
      </c>
      <c r="V35" s="48">
        <f t="shared" si="28"/>
        <v>0.04</v>
      </c>
      <c r="W35" s="48">
        <f t="shared" si="17"/>
        <v>250000</v>
      </c>
      <c r="X35" s="48">
        <v>1000.0</v>
      </c>
      <c r="Y35" s="48">
        <v>2000.0</v>
      </c>
      <c r="Z35" s="48">
        <v>3000.0</v>
      </c>
      <c r="AA35" s="59" t="s">
        <v>62</v>
      </c>
      <c r="AB35" s="48">
        <v>3000.0</v>
      </c>
      <c r="AC35" s="48">
        <f t="shared" si="18"/>
        <v>0.012</v>
      </c>
      <c r="AD35" s="65">
        <f t="shared" si="19"/>
        <v>1169.871795</v>
      </c>
      <c r="AE35" s="48">
        <f t="shared" si="20"/>
        <v>584.9358974</v>
      </c>
      <c r="AF35" s="64">
        <v>1.31</v>
      </c>
      <c r="AG35" s="41">
        <f>0.2*(0.2+0.3)</f>
        <v>0.1</v>
      </c>
      <c r="AH35" s="41">
        <f t="shared" si="21"/>
        <v>9.160305344</v>
      </c>
      <c r="AI35" s="41">
        <f t="shared" si="22"/>
        <v>127.7110043</v>
      </c>
      <c r="AJ35" s="41">
        <f t="shared" si="23"/>
        <v>12.77110043</v>
      </c>
    </row>
    <row r="36" ht="20.25" customHeight="1">
      <c r="A36" s="54" t="s">
        <v>63</v>
      </c>
      <c r="B36" s="54" t="s">
        <v>64</v>
      </c>
      <c r="C36" s="42"/>
      <c r="D36" s="42">
        <v>1.2</v>
      </c>
      <c r="E36" s="42">
        <f>$D35</f>
        <v>13</v>
      </c>
      <c r="F36" s="56"/>
      <c r="G36" s="56"/>
      <c r="H36" s="56"/>
      <c r="I36" s="56"/>
      <c r="J36" s="56"/>
      <c r="K36" s="57"/>
      <c r="L36" s="47"/>
      <c r="M36" s="48"/>
      <c r="N36" s="48"/>
      <c r="O36" s="48"/>
      <c r="P36" s="48"/>
      <c r="Q36" s="60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9"/>
      <c r="AF36" s="41"/>
      <c r="AG36" s="41"/>
      <c r="AH36" s="41"/>
      <c r="AI36" s="41"/>
      <c r="AJ36" s="41"/>
    </row>
    <row r="37" ht="20.25" customHeight="1">
      <c r="A37" s="54" t="s">
        <v>63</v>
      </c>
      <c r="B37" s="54" t="s">
        <v>66</v>
      </c>
      <c r="C37" s="54" t="s">
        <v>64</v>
      </c>
      <c r="D37" s="42">
        <v>1.2</v>
      </c>
      <c r="E37" s="42"/>
      <c r="F37" s="56"/>
      <c r="G37" s="56"/>
      <c r="H37" s="56"/>
      <c r="I37" s="56"/>
      <c r="J37" s="56"/>
      <c r="K37" s="57"/>
      <c r="L37" s="47"/>
      <c r="M37" s="48"/>
      <c r="N37" s="48"/>
      <c r="O37" s="48"/>
      <c r="P37" s="48"/>
      <c r="Q37" s="60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9"/>
      <c r="AF37" s="41"/>
      <c r="AG37" s="41"/>
      <c r="AH37" s="41"/>
      <c r="AI37" s="41"/>
      <c r="AJ37" s="41">
        <f>SUM(AJ23:AJ35)</f>
        <v>479.7710477</v>
      </c>
    </row>
    <row r="38" ht="20.25" customHeight="1">
      <c r="A38" s="42"/>
      <c r="B38" s="42"/>
      <c r="C38" s="42"/>
      <c r="D38" s="42"/>
      <c r="E38" s="42"/>
      <c r="F38" s="56"/>
      <c r="G38" s="56"/>
      <c r="H38" s="56"/>
      <c r="I38" s="56"/>
      <c r="J38" s="56"/>
      <c r="K38" s="57"/>
      <c r="L38" s="47"/>
      <c r="M38" s="48"/>
      <c r="N38" s="48"/>
      <c r="O38" s="48"/>
      <c r="P38" s="48"/>
      <c r="Q38" s="60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9"/>
      <c r="AF38" s="41"/>
      <c r="AG38" s="41"/>
      <c r="AH38" s="41"/>
      <c r="AI38" s="41"/>
      <c r="AJ38" s="41"/>
    </row>
    <row r="39" ht="20.25" customHeight="1">
      <c r="A39" s="42"/>
      <c r="B39" s="43">
        <v>3.0</v>
      </c>
      <c r="C39" s="43"/>
      <c r="D39" s="43"/>
      <c r="E39" s="44" t="s">
        <v>195</v>
      </c>
      <c r="F39" s="45"/>
      <c r="G39" s="45"/>
      <c r="H39" s="45"/>
      <c r="I39" s="45">
        <v>0.05</v>
      </c>
      <c r="J39" s="45">
        <f t="shared" ref="J39:J45" si="29">I39*5</f>
        <v>0.25</v>
      </c>
      <c r="K39" s="46">
        <f t="shared" ref="K39:K45" si="30">J39*365</f>
        <v>91.25</v>
      </c>
      <c r="L39" s="47"/>
      <c r="M39" s="48"/>
      <c r="N39" s="48"/>
      <c r="O39" s="48"/>
      <c r="P39" s="48"/>
      <c r="Q39" s="60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9"/>
      <c r="AF39" s="41"/>
      <c r="AG39" s="41"/>
      <c r="AH39" s="41"/>
      <c r="AI39" s="41"/>
      <c r="AJ39" s="41"/>
    </row>
    <row r="40" ht="32.25" customHeight="1">
      <c r="A40" s="42"/>
      <c r="B40" s="42"/>
      <c r="C40" s="42"/>
      <c r="D40" s="42">
        <v>1.0</v>
      </c>
      <c r="E40" s="54" t="s">
        <v>196</v>
      </c>
      <c r="F40" s="55" t="s">
        <v>196</v>
      </c>
      <c r="G40" s="55" t="s">
        <v>196</v>
      </c>
      <c r="H40" s="57"/>
      <c r="I40" s="56">
        <f>I39/$E46</f>
        <v>0.008333333333</v>
      </c>
      <c r="J40" s="56">
        <f t="shared" si="29"/>
        <v>0.04166666667</v>
      </c>
      <c r="K40" s="57">
        <f t="shared" si="30"/>
        <v>15.20833333</v>
      </c>
      <c r="L40" s="58" t="s">
        <v>197</v>
      </c>
      <c r="M40" s="59" t="s">
        <v>110</v>
      </c>
      <c r="N40" s="59" t="s">
        <v>198</v>
      </c>
      <c r="O40" s="59" t="s">
        <v>199</v>
      </c>
      <c r="P40" s="48"/>
      <c r="Q40" s="60">
        <v>3.0</v>
      </c>
      <c r="R40" s="48"/>
      <c r="S40" s="59" t="s">
        <v>200</v>
      </c>
      <c r="T40" s="48"/>
      <c r="U40" s="59" t="s">
        <v>547</v>
      </c>
      <c r="V40" s="48">
        <f>0.3*0.3</f>
        <v>0.09</v>
      </c>
      <c r="W40" s="48">
        <f t="shared" ref="W40:W45" si="31">10000/V40</f>
        <v>111111.1111</v>
      </c>
      <c r="X40" s="48">
        <v>10000.0</v>
      </c>
      <c r="Y40" s="48">
        <v>15000.0</v>
      </c>
      <c r="Z40" s="48">
        <v>20000.0</v>
      </c>
      <c r="AA40" s="59" t="s">
        <v>62</v>
      </c>
      <c r="AB40" s="48">
        <v>20000.0</v>
      </c>
      <c r="AC40" s="48">
        <f t="shared" ref="AC40:AC45" si="32">AB40/W40</f>
        <v>0.18</v>
      </c>
      <c r="AD40" s="48">
        <f t="shared" ref="AD40:AD45" si="33">K40/AC40</f>
        <v>84.49074074</v>
      </c>
      <c r="AE40" s="48">
        <f t="shared" ref="AE40:AE45" si="34">AD40/Q40</f>
        <v>28.16358025</v>
      </c>
      <c r="AF40" s="64">
        <v>11.31</v>
      </c>
      <c r="AG40" s="41">
        <f>0.3*(0.3+0.3)</f>
        <v>0.18</v>
      </c>
      <c r="AH40" s="41">
        <f t="shared" ref="AH40:AH45" si="35">12/AF40</f>
        <v>1.061007958</v>
      </c>
      <c r="AI40" s="41">
        <f t="shared" ref="AI40:AI45" si="36">AD40/AH40</f>
        <v>79.63252315</v>
      </c>
      <c r="AJ40" s="41">
        <f t="shared" ref="AJ40:AJ45" si="37">AI40*AG40</f>
        <v>14.33385417</v>
      </c>
    </row>
    <row r="41" ht="32.25" customHeight="1">
      <c r="A41" s="42"/>
      <c r="B41" s="42"/>
      <c r="C41" s="42"/>
      <c r="D41" s="42">
        <v>2.0</v>
      </c>
      <c r="E41" s="54" t="s">
        <v>202</v>
      </c>
      <c r="F41" s="55" t="s">
        <v>203</v>
      </c>
      <c r="G41" s="55" t="s">
        <v>204</v>
      </c>
      <c r="H41" s="55" t="s">
        <v>205</v>
      </c>
      <c r="I41" s="56">
        <f>I39/$E46</f>
        <v>0.008333333333</v>
      </c>
      <c r="J41" s="56">
        <f t="shared" si="29"/>
        <v>0.04166666667</v>
      </c>
      <c r="K41" s="57">
        <f t="shared" si="30"/>
        <v>15.20833333</v>
      </c>
      <c r="L41" s="58" t="s">
        <v>206</v>
      </c>
      <c r="M41" s="59" t="s">
        <v>110</v>
      </c>
      <c r="N41" s="59" t="s">
        <v>207</v>
      </c>
      <c r="O41" s="59" t="s">
        <v>208</v>
      </c>
      <c r="P41" s="48"/>
      <c r="Q41" s="60">
        <v>3.0</v>
      </c>
      <c r="R41" s="59" t="s">
        <v>61</v>
      </c>
      <c r="S41" s="48"/>
      <c r="T41" s="59" t="s">
        <v>209</v>
      </c>
      <c r="U41" s="59" t="s">
        <v>33</v>
      </c>
      <c r="V41" s="48">
        <f>0.45*0.45</f>
        <v>0.2025</v>
      </c>
      <c r="W41" s="48">
        <f t="shared" si="31"/>
        <v>49382.71605</v>
      </c>
      <c r="X41" s="48">
        <v>10000.0</v>
      </c>
      <c r="Y41" s="48">
        <v>15000.0</v>
      </c>
      <c r="Z41" s="48">
        <v>25000.0</v>
      </c>
      <c r="AA41" s="59" t="s">
        <v>62</v>
      </c>
      <c r="AB41" s="48">
        <v>25000.0</v>
      </c>
      <c r="AC41" s="48">
        <f t="shared" si="32"/>
        <v>0.50625</v>
      </c>
      <c r="AD41" s="48">
        <f t="shared" si="33"/>
        <v>30.04115226</v>
      </c>
      <c r="AE41" s="48">
        <f t="shared" si="34"/>
        <v>10.01371742</v>
      </c>
      <c r="AF41" s="64">
        <v>11.31</v>
      </c>
      <c r="AG41" s="41">
        <f t="shared" ref="AG41:AG44" si="38">0.45*(0.45+0.3)</f>
        <v>0.3375</v>
      </c>
      <c r="AH41" s="41">
        <f t="shared" si="35"/>
        <v>1.061007958</v>
      </c>
      <c r="AI41" s="41">
        <f t="shared" si="36"/>
        <v>28.31378601</v>
      </c>
      <c r="AJ41" s="41">
        <f t="shared" si="37"/>
        <v>9.555902778</v>
      </c>
    </row>
    <row r="42" ht="44.25" customHeight="1">
      <c r="A42" s="42"/>
      <c r="B42" s="42"/>
      <c r="C42" s="42"/>
      <c r="D42" s="42">
        <v>3.0</v>
      </c>
      <c r="E42" s="54" t="s">
        <v>210</v>
      </c>
      <c r="F42" s="55" t="s">
        <v>211</v>
      </c>
      <c r="G42" s="55" t="s">
        <v>212</v>
      </c>
      <c r="H42" s="55" t="s">
        <v>213</v>
      </c>
      <c r="I42" s="56">
        <f>I39/$E46</f>
        <v>0.008333333333</v>
      </c>
      <c r="J42" s="56">
        <f t="shared" si="29"/>
        <v>0.04166666667</v>
      </c>
      <c r="K42" s="57">
        <f t="shared" si="30"/>
        <v>15.20833333</v>
      </c>
      <c r="L42" s="58" t="s">
        <v>214</v>
      </c>
      <c r="M42" s="59" t="s">
        <v>55</v>
      </c>
      <c r="N42" s="59" t="s">
        <v>215</v>
      </c>
      <c r="O42" s="59" t="s">
        <v>216</v>
      </c>
      <c r="P42" s="48"/>
      <c r="Q42" s="60">
        <v>3.0</v>
      </c>
      <c r="R42" s="59" t="s">
        <v>217</v>
      </c>
      <c r="S42" s="48"/>
      <c r="T42" s="59" t="s">
        <v>218</v>
      </c>
      <c r="U42" s="59" t="s">
        <v>33</v>
      </c>
      <c r="V42" s="48">
        <f>0.3*0.3</f>
        <v>0.09</v>
      </c>
      <c r="W42" s="48">
        <f t="shared" si="31"/>
        <v>111111.1111</v>
      </c>
      <c r="X42" s="48">
        <v>10000.0</v>
      </c>
      <c r="Y42" s="48">
        <v>15000.0</v>
      </c>
      <c r="Z42" s="48">
        <v>20000.0</v>
      </c>
      <c r="AA42" s="59" t="s">
        <v>62</v>
      </c>
      <c r="AB42" s="48">
        <v>20000.0</v>
      </c>
      <c r="AC42" s="48">
        <f t="shared" si="32"/>
        <v>0.18</v>
      </c>
      <c r="AD42" s="48">
        <f t="shared" si="33"/>
        <v>84.49074074</v>
      </c>
      <c r="AE42" s="48">
        <f t="shared" si="34"/>
        <v>28.16358025</v>
      </c>
      <c r="AF42" s="64">
        <v>11.31</v>
      </c>
      <c r="AG42" s="41">
        <f t="shared" si="38"/>
        <v>0.3375</v>
      </c>
      <c r="AH42" s="41">
        <f t="shared" si="35"/>
        <v>1.061007958</v>
      </c>
      <c r="AI42" s="41">
        <f t="shared" si="36"/>
        <v>79.63252315</v>
      </c>
      <c r="AJ42" s="41">
        <f t="shared" si="37"/>
        <v>26.87597656</v>
      </c>
    </row>
    <row r="43" ht="32.25" customHeight="1">
      <c r="A43" s="42"/>
      <c r="B43" s="42"/>
      <c r="C43" s="42"/>
      <c r="D43" s="42">
        <v>4.0</v>
      </c>
      <c r="E43" s="54" t="s">
        <v>219</v>
      </c>
      <c r="F43" s="55" t="s">
        <v>219</v>
      </c>
      <c r="G43" s="55" t="s">
        <v>219</v>
      </c>
      <c r="H43" s="57"/>
      <c r="I43" s="56">
        <f>I39/$E46</f>
        <v>0.008333333333</v>
      </c>
      <c r="J43" s="56">
        <f t="shared" si="29"/>
        <v>0.04166666667</v>
      </c>
      <c r="K43" s="57">
        <f t="shared" si="30"/>
        <v>15.20833333</v>
      </c>
      <c r="L43" s="58" t="s">
        <v>81</v>
      </c>
      <c r="M43" s="48">
        <v>6.0</v>
      </c>
      <c r="N43" s="59" t="s">
        <v>220</v>
      </c>
      <c r="O43" s="59" t="s">
        <v>221</v>
      </c>
      <c r="P43" s="59" t="s">
        <v>188</v>
      </c>
      <c r="Q43" s="60">
        <v>3.0</v>
      </c>
      <c r="R43" s="48"/>
      <c r="S43" s="59" t="s">
        <v>548</v>
      </c>
      <c r="T43" s="48"/>
      <c r="U43" s="59" t="s">
        <v>180</v>
      </c>
      <c r="V43" s="48">
        <f t="shared" ref="V43:V44" si="39">0.45*0.45</f>
        <v>0.2025</v>
      </c>
      <c r="W43" s="48">
        <f t="shared" si="31"/>
        <v>49382.71605</v>
      </c>
      <c r="X43" s="48">
        <v>8000.0</v>
      </c>
      <c r="Y43" s="48">
        <v>12000.0</v>
      </c>
      <c r="Z43" s="48">
        <v>16000.0</v>
      </c>
      <c r="AA43" s="59" t="s">
        <v>62</v>
      </c>
      <c r="AB43" s="48">
        <v>16000.0</v>
      </c>
      <c r="AC43" s="48">
        <f t="shared" si="32"/>
        <v>0.324</v>
      </c>
      <c r="AD43" s="48">
        <f t="shared" si="33"/>
        <v>46.93930041</v>
      </c>
      <c r="AE43" s="48">
        <f t="shared" si="34"/>
        <v>15.64643347</v>
      </c>
      <c r="AF43" s="64">
        <v>11.31</v>
      </c>
      <c r="AG43" s="41">
        <f t="shared" si="38"/>
        <v>0.3375</v>
      </c>
      <c r="AH43" s="41">
        <f t="shared" si="35"/>
        <v>1.061007958</v>
      </c>
      <c r="AI43" s="41">
        <f t="shared" si="36"/>
        <v>44.24029064</v>
      </c>
      <c r="AJ43" s="41">
        <f t="shared" si="37"/>
        <v>14.93109809</v>
      </c>
    </row>
    <row r="44" ht="20.25" customHeight="1">
      <c r="A44" s="42"/>
      <c r="B44" s="42"/>
      <c r="C44" s="42"/>
      <c r="D44" s="42">
        <v>5.0</v>
      </c>
      <c r="E44" s="54" t="s">
        <v>223</v>
      </c>
      <c r="F44" s="55" t="s">
        <v>224</v>
      </c>
      <c r="G44" s="55" t="s">
        <v>225</v>
      </c>
      <c r="H44" s="55" t="s">
        <v>226</v>
      </c>
      <c r="I44" s="56">
        <f>I39/$E46</f>
        <v>0.008333333333</v>
      </c>
      <c r="J44" s="56">
        <f t="shared" si="29"/>
        <v>0.04166666667</v>
      </c>
      <c r="K44" s="57">
        <f t="shared" si="30"/>
        <v>15.20833333</v>
      </c>
      <c r="L44" s="66" t="s">
        <v>227</v>
      </c>
      <c r="M44" s="67">
        <v>6.0</v>
      </c>
      <c r="N44" s="68" t="s">
        <v>228</v>
      </c>
      <c r="O44" s="68" t="s">
        <v>229</v>
      </c>
      <c r="P44" s="67"/>
      <c r="Q44" s="60">
        <v>2.0</v>
      </c>
      <c r="R44" s="48"/>
      <c r="S44" s="59" t="s">
        <v>230</v>
      </c>
      <c r="T44" s="48"/>
      <c r="U44" s="59" t="s">
        <v>34</v>
      </c>
      <c r="V44" s="48">
        <f t="shared" si="39"/>
        <v>0.2025</v>
      </c>
      <c r="W44" s="48">
        <f t="shared" si="31"/>
        <v>49382.71605</v>
      </c>
      <c r="X44" s="48">
        <v>5000.0</v>
      </c>
      <c r="Y44" s="48">
        <v>8000.0</v>
      </c>
      <c r="Z44" s="48">
        <v>12000.0</v>
      </c>
      <c r="AA44" s="59" t="s">
        <v>62</v>
      </c>
      <c r="AB44" s="48">
        <v>12000.0</v>
      </c>
      <c r="AC44" s="48">
        <f t="shared" si="32"/>
        <v>0.243</v>
      </c>
      <c r="AD44" s="48">
        <f t="shared" si="33"/>
        <v>62.58573388</v>
      </c>
      <c r="AE44" s="48">
        <f t="shared" si="34"/>
        <v>31.29286694</v>
      </c>
      <c r="AF44" s="64">
        <v>5.69</v>
      </c>
      <c r="AG44" s="41">
        <f t="shared" si="38"/>
        <v>0.3375</v>
      </c>
      <c r="AH44" s="41">
        <f t="shared" si="35"/>
        <v>2.108963093</v>
      </c>
      <c r="AI44" s="41">
        <f t="shared" si="36"/>
        <v>29.67606882</v>
      </c>
      <c r="AJ44" s="41">
        <f t="shared" si="37"/>
        <v>10.01567323</v>
      </c>
    </row>
    <row r="45" ht="32.25" customHeight="1">
      <c r="A45" s="42"/>
      <c r="B45" s="42"/>
      <c r="C45" s="42"/>
      <c r="D45" s="42">
        <v>6.0</v>
      </c>
      <c r="E45" s="54" t="s">
        <v>231</v>
      </c>
      <c r="F45" s="55" t="s">
        <v>232</v>
      </c>
      <c r="G45" s="55" t="s">
        <v>233</v>
      </c>
      <c r="H45" s="55" t="s">
        <v>234</v>
      </c>
      <c r="I45" s="56">
        <f>I39/$E46</f>
        <v>0.008333333333</v>
      </c>
      <c r="J45" s="56">
        <f t="shared" si="29"/>
        <v>0.04166666667</v>
      </c>
      <c r="K45" s="57">
        <f t="shared" si="30"/>
        <v>15.20833333</v>
      </c>
      <c r="L45" s="58" t="s">
        <v>81</v>
      </c>
      <c r="M45" s="48">
        <v>6.0</v>
      </c>
      <c r="N45" s="59" t="s">
        <v>235</v>
      </c>
      <c r="O45" s="59" t="s">
        <v>236</v>
      </c>
      <c r="P45" s="59" t="s">
        <v>188</v>
      </c>
      <c r="Q45" s="60">
        <v>2.0</v>
      </c>
      <c r="R45" s="48"/>
      <c r="S45" s="59" t="s">
        <v>237</v>
      </c>
      <c r="T45" s="48"/>
      <c r="U45" s="59" t="s">
        <v>180</v>
      </c>
      <c r="V45" s="48">
        <f>0.3*0.3</f>
        <v>0.09</v>
      </c>
      <c r="W45" s="48">
        <f t="shared" si="31"/>
        <v>111111.1111</v>
      </c>
      <c r="X45" s="48">
        <v>6000.0</v>
      </c>
      <c r="Y45" s="48">
        <v>9000.0</v>
      </c>
      <c r="Z45" s="48">
        <v>12000.0</v>
      </c>
      <c r="AA45" s="59" t="s">
        <v>62</v>
      </c>
      <c r="AB45" s="48">
        <v>12000.0</v>
      </c>
      <c r="AC45" s="48">
        <f t="shared" si="32"/>
        <v>0.108</v>
      </c>
      <c r="AD45" s="48">
        <f t="shared" si="33"/>
        <v>140.8179012</v>
      </c>
      <c r="AE45" s="48">
        <f t="shared" si="34"/>
        <v>70.40895062</v>
      </c>
      <c r="AF45" s="64">
        <v>5.69</v>
      </c>
      <c r="AG45" s="41">
        <f>0.3*(0.3+0.3)</f>
        <v>0.18</v>
      </c>
      <c r="AH45" s="41">
        <f t="shared" si="35"/>
        <v>2.108963093</v>
      </c>
      <c r="AI45" s="41">
        <f t="shared" si="36"/>
        <v>66.77115484</v>
      </c>
      <c r="AJ45" s="41">
        <f t="shared" si="37"/>
        <v>12.01880787</v>
      </c>
    </row>
    <row r="46" ht="32.25" customHeight="1">
      <c r="A46" s="54" t="s">
        <v>63</v>
      </c>
      <c r="B46" s="54" t="s">
        <v>64</v>
      </c>
      <c r="C46" s="42"/>
      <c r="D46" s="42">
        <v>1.3</v>
      </c>
      <c r="E46" s="42">
        <f>$D45</f>
        <v>6</v>
      </c>
      <c r="F46" s="56"/>
      <c r="G46" s="56"/>
      <c r="H46" s="56"/>
      <c r="I46" s="56"/>
      <c r="J46" s="56"/>
      <c r="K46" s="57"/>
      <c r="L46" s="58"/>
      <c r="M46" s="48"/>
      <c r="N46" s="48"/>
      <c r="O46" s="48"/>
      <c r="P46" s="59"/>
      <c r="Q46" s="60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9"/>
      <c r="AF46" s="41"/>
      <c r="AG46" s="41"/>
      <c r="AH46" s="41"/>
      <c r="AI46" s="41"/>
      <c r="AJ46" s="41"/>
    </row>
    <row r="47" ht="20.25" customHeight="1">
      <c r="A47" s="54" t="s">
        <v>63</v>
      </c>
      <c r="B47" s="54" t="s">
        <v>66</v>
      </c>
      <c r="C47" s="54" t="s">
        <v>64</v>
      </c>
      <c r="D47" s="42">
        <v>1.3</v>
      </c>
      <c r="E47" s="42"/>
      <c r="F47" s="56"/>
      <c r="G47" s="56"/>
      <c r="H47" s="56"/>
      <c r="I47" s="56"/>
      <c r="J47" s="56"/>
      <c r="K47" s="57"/>
      <c r="L47" s="47"/>
      <c r="M47" s="48"/>
      <c r="N47" s="48"/>
      <c r="O47" s="48"/>
      <c r="P47" s="48"/>
      <c r="Q47" s="60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9"/>
      <c r="AF47" s="41"/>
      <c r="AG47" s="41"/>
      <c r="AH47" s="41"/>
      <c r="AI47" s="41"/>
      <c r="AJ47" s="41">
        <f>SUM(AJ40:AJ45)</f>
        <v>87.73131269</v>
      </c>
    </row>
    <row r="48" ht="20.25" customHeight="1">
      <c r="A48" s="42"/>
      <c r="B48" s="42"/>
      <c r="C48" s="42"/>
      <c r="D48" s="42"/>
      <c r="E48" s="42"/>
      <c r="F48" s="56"/>
      <c r="G48" s="56"/>
      <c r="H48" s="56"/>
      <c r="I48" s="56"/>
      <c r="J48" s="56"/>
      <c r="K48" s="57"/>
      <c r="L48" s="47"/>
      <c r="M48" s="48"/>
      <c r="N48" s="48"/>
      <c r="O48" s="48"/>
      <c r="P48" s="48"/>
      <c r="Q48" s="60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9"/>
      <c r="AF48" s="41"/>
      <c r="AG48" s="41"/>
      <c r="AH48" s="41"/>
      <c r="AI48" s="41"/>
      <c r="AJ48" s="41"/>
    </row>
    <row r="49" ht="20.25" customHeight="1">
      <c r="A49" s="42"/>
      <c r="B49" s="43">
        <v>4.0</v>
      </c>
      <c r="C49" s="43"/>
      <c r="D49" s="43"/>
      <c r="E49" s="44" t="s">
        <v>238</v>
      </c>
      <c r="F49" s="45"/>
      <c r="G49" s="45"/>
      <c r="H49" s="45"/>
      <c r="I49" s="45">
        <v>0.05</v>
      </c>
      <c r="J49" s="45">
        <f t="shared" ref="J49:J54" si="40">I49*5</f>
        <v>0.25</v>
      </c>
      <c r="K49" s="46">
        <f t="shared" ref="K49:K54" si="41">J49*365</f>
        <v>91.25</v>
      </c>
      <c r="L49" s="47"/>
      <c r="M49" s="48"/>
      <c r="N49" s="48"/>
      <c r="O49" s="48"/>
      <c r="P49" s="48"/>
      <c r="Q49" s="60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9"/>
      <c r="AF49" s="41"/>
      <c r="AG49" s="41"/>
      <c r="AH49" s="41"/>
      <c r="AI49" s="41"/>
      <c r="AJ49" s="41"/>
    </row>
    <row r="50" ht="32.25" customHeight="1">
      <c r="A50" s="42"/>
      <c r="B50" s="42"/>
      <c r="C50" s="42"/>
      <c r="D50" s="42">
        <v>1.0</v>
      </c>
      <c r="E50" s="54" t="s">
        <v>239</v>
      </c>
      <c r="F50" s="55" t="s">
        <v>240</v>
      </c>
      <c r="G50" s="55" t="s">
        <v>241</v>
      </c>
      <c r="H50" s="55" t="s">
        <v>242</v>
      </c>
      <c r="I50" s="56">
        <f>I49/$E55</f>
        <v>0.01</v>
      </c>
      <c r="J50" s="56">
        <f t="shared" si="40"/>
        <v>0.05</v>
      </c>
      <c r="K50" s="57">
        <f t="shared" si="41"/>
        <v>18.25</v>
      </c>
      <c r="L50" s="58" t="s">
        <v>243</v>
      </c>
      <c r="M50" s="59" t="s">
        <v>73</v>
      </c>
      <c r="N50" s="59" t="s">
        <v>244</v>
      </c>
      <c r="O50" s="59" t="s">
        <v>245</v>
      </c>
      <c r="P50" s="59" t="s">
        <v>246</v>
      </c>
      <c r="Q50" s="60">
        <v>2.0</v>
      </c>
      <c r="R50" s="48"/>
      <c r="S50" s="59" t="s">
        <v>209</v>
      </c>
      <c r="T50" s="48"/>
      <c r="U50" s="59" t="s">
        <v>34</v>
      </c>
      <c r="V50" s="48">
        <f>0.45*0.45</f>
        <v>0.2025</v>
      </c>
      <c r="W50" s="48">
        <f t="shared" ref="W50:W54" si="42">10000/V50</f>
        <v>49382.71605</v>
      </c>
      <c r="X50" s="48">
        <v>12000.0</v>
      </c>
      <c r="Y50" s="48">
        <v>18000.0</v>
      </c>
      <c r="Z50" s="48">
        <v>25000.0</v>
      </c>
      <c r="AA50" s="59" t="s">
        <v>62</v>
      </c>
      <c r="AB50" s="48">
        <v>25000.0</v>
      </c>
      <c r="AC50" s="48">
        <f t="shared" ref="AC50:AC54" si="43">AB50/W50</f>
        <v>0.50625</v>
      </c>
      <c r="AD50" s="48">
        <f t="shared" ref="AD50:AD54" si="44">K50/AC50</f>
        <v>36.04938272</v>
      </c>
      <c r="AE50" s="48">
        <f t="shared" ref="AE50:AE54" si="45">AD50/Q50</f>
        <v>18.02469136</v>
      </c>
      <c r="AF50" s="64">
        <v>11.31</v>
      </c>
      <c r="AG50" s="41">
        <f>0.45*(0.45+0.3)</f>
        <v>0.3375</v>
      </c>
      <c r="AH50" s="41">
        <f t="shared" ref="AH50:AH54" si="46">12/AF50</f>
        <v>1.061007958</v>
      </c>
      <c r="AI50" s="41">
        <f t="shared" ref="AI50:AI54" si="47">AD50/AH50</f>
        <v>33.97654321</v>
      </c>
      <c r="AJ50" s="41">
        <f t="shared" ref="AJ50:AJ54" si="48">AI50*AG50</f>
        <v>11.46708333</v>
      </c>
    </row>
    <row r="51" ht="44.25" customHeight="1">
      <c r="A51" s="42"/>
      <c r="B51" s="42"/>
      <c r="C51" s="42"/>
      <c r="D51" s="42">
        <v>2.0</v>
      </c>
      <c r="E51" s="54" t="s">
        <v>247</v>
      </c>
      <c r="F51" s="55" t="s">
        <v>248</v>
      </c>
      <c r="G51" s="55" t="s">
        <v>249</v>
      </c>
      <c r="H51" s="55" t="s">
        <v>250</v>
      </c>
      <c r="I51" s="56">
        <f>I49/$E55</f>
        <v>0.01</v>
      </c>
      <c r="J51" s="56">
        <f t="shared" si="40"/>
        <v>0.05</v>
      </c>
      <c r="K51" s="57">
        <f t="shared" si="41"/>
        <v>18.25</v>
      </c>
      <c r="L51" s="58" t="s">
        <v>251</v>
      </c>
      <c r="M51" s="48">
        <v>6.0</v>
      </c>
      <c r="N51" s="59" t="s">
        <v>252</v>
      </c>
      <c r="O51" s="59" t="s">
        <v>253</v>
      </c>
      <c r="P51" s="59" t="s">
        <v>188</v>
      </c>
      <c r="Q51" s="60">
        <v>1.0</v>
      </c>
      <c r="R51" s="48"/>
      <c r="S51" s="59" t="s">
        <v>237</v>
      </c>
      <c r="T51" s="48"/>
      <c r="U51" s="59" t="s">
        <v>34</v>
      </c>
      <c r="V51" s="48">
        <f t="shared" ref="V51:V52" si="49">0.3*0.3</f>
        <v>0.09</v>
      </c>
      <c r="W51" s="48">
        <f t="shared" si="42"/>
        <v>111111.1111</v>
      </c>
      <c r="X51" s="48">
        <v>8000.0</v>
      </c>
      <c r="Y51" s="48">
        <v>12000.0</v>
      </c>
      <c r="Z51" s="48">
        <v>16000.0</v>
      </c>
      <c r="AA51" s="59" t="s">
        <v>62</v>
      </c>
      <c r="AB51" s="48">
        <v>16000.0</v>
      </c>
      <c r="AC51" s="48">
        <f t="shared" si="43"/>
        <v>0.144</v>
      </c>
      <c r="AD51" s="48">
        <f t="shared" si="44"/>
        <v>126.7361111</v>
      </c>
      <c r="AE51" s="48">
        <f t="shared" si="45"/>
        <v>126.7361111</v>
      </c>
      <c r="AF51" s="64">
        <v>5.69</v>
      </c>
      <c r="AG51" s="41">
        <f t="shared" ref="AG51:AG52" si="50">0.3*(0.3+0.3)</f>
        <v>0.18</v>
      </c>
      <c r="AH51" s="41">
        <f t="shared" si="46"/>
        <v>2.108963093</v>
      </c>
      <c r="AI51" s="41">
        <f t="shared" si="47"/>
        <v>60.09403935</v>
      </c>
      <c r="AJ51" s="41">
        <f t="shared" si="48"/>
        <v>10.81692708</v>
      </c>
    </row>
    <row r="52" ht="32.25" customHeight="1">
      <c r="A52" s="42"/>
      <c r="B52" s="42"/>
      <c r="C52" s="42"/>
      <c r="D52" s="42">
        <v>3.0</v>
      </c>
      <c r="E52" s="54" t="s">
        <v>254</v>
      </c>
      <c r="F52" s="55" t="s">
        <v>255</v>
      </c>
      <c r="G52" s="55" t="s">
        <v>256</v>
      </c>
      <c r="H52" s="55" t="s">
        <v>257</v>
      </c>
      <c r="I52" s="56">
        <f>I49/$E55</f>
        <v>0.01</v>
      </c>
      <c r="J52" s="56">
        <f t="shared" si="40"/>
        <v>0.05</v>
      </c>
      <c r="K52" s="57">
        <f t="shared" si="41"/>
        <v>18.25</v>
      </c>
      <c r="L52" s="58" t="s">
        <v>258</v>
      </c>
      <c r="M52" s="59" t="s">
        <v>128</v>
      </c>
      <c r="N52" s="59" t="s">
        <v>259</v>
      </c>
      <c r="O52" s="59" t="s">
        <v>260</v>
      </c>
      <c r="P52" s="48"/>
      <c r="Q52" s="60">
        <v>2.0</v>
      </c>
      <c r="R52" s="48"/>
      <c r="S52" s="59" t="s">
        <v>261</v>
      </c>
      <c r="T52" s="48"/>
      <c r="U52" s="59" t="s">
        <v>34</v>
      </c>
      <c r="V52" s="48">
        <f t="shared" si="49"/>
        <v>0.09</v>
      </c>
      <c r="W52" s="48">
        <f t="shared" si="42"/>
        <v>111111.1111</v>
      </c>
      <c r="X52" s="48">
        <v>10000.0</v>
      </c>
      <c r="Y52" s="48">
        <v>15000.0</v>
      </c>
      <c r="Z52" s="48">
        <v>20000.0</v>
      </c>
      <c r="AA52" s="59" t="s">
        <v>62</v>
      </c>
      <c r="AB52" s="48">
        <v>20000.0</v>
      </c>
      <c r="AC52" s="48">
        <f t="shared" si="43"/>
        <v>0.18</v>
      </c>
      <c r="AD52" s="48">
        <f t="shared" si="44"/>
        <v>101.3888889</v>
      </c>
      <c r="AE52" s="48">
        <f t="shared" si="45"/>
        <v>50.69444444</v>
      </c>
      <c r="AF52" s="64">
        <v>11.31</v>
      </c>
      <c r="AG52" s="41">
        <f t="shared" si="50"/>
        <v>0.18</v>
      </c>
      <c r="AH52" s="41">
        <f t="shared" si="46"/>
        <v>1.061007958</v>
      </c>
      <c r="AI52" s="41">
        <f t="shared" si="47"/>
        <v>95.55902778</v>
      </c>
      <c r="AJ52" s="41">
        <f t="shared" si="48"/>
        <v>17.200625</v>
      </c>
    </row>
    <row r="53" ht="32.25" customHeight="1">
      <c r="A53" s="42"/>
      <c r="B53" s="42"/>
      <c r="C53" s="42"/>
      <c r="D53" s="42">
        <v>4.0</v>
      </c>
      <c r="E53" s="54" t="s">
        <v>262</v>
      </c>
      <c r="F53" s="55" t="s">
        <v>263</v>
      </c>
      <c r="G53" s="55" t="s">
        <v>264</v>
      </c>
      <c r="H53" s="55" t="s">
        <v>242</v>
      </c>
      <c r="I53" s="56">
        <f>I49/$E55</f>
        <v>0.01</v>
      </c>
      <c r="J53" s="56">
        <f t="shared" si="40"/>
        <v>0.05</v>
      </c>
      <c r="K53" s="57">
        <f t="shared" si="41"/>
        <v>18.25</v>
      </c>
      <c r="L53" s="58" t="s">
        <v>243</v>
      </c>
      <c r="M53" s="59" t="s">
        <v>73</v>
      </c>
      <c r="N53" s="59" t="s">
        <v>244</v>
      </c>
      <c r="O53" s="59" t="s">
        <v>265</v>
      </c>
      <c r="P53" s="59" t="s">
        <v>246</v>
      </c>
      <c r="Q53" s="60">
        <v>2.0</v>
      </c>
      <c r="R53" s="48"/>
      <c r="S53" s="59" t="s">
        <v>218</v>
      </c>
      <c r="T53" s="48"/>
      <c r="U53" s="59" t="s">
        <v>34</v>
      </c>
      <c r="V53" s="48">
        <f>0.45*0.45</f>
        <v>0.2025</v>
      </c>
      <c r="W53" s="48">
        <f t="shared" si="42"/>
        <v>49382.71605</v>
      </c>
      <c r="X53" s="48">
        <v>12000.0</v>
      </c>
      <c r="Y53" s="48">
        <v>18000.0</v>
      </c>
      <c r="Z53" s="48">
        <v>25000.0</v>
      </c>
      <c r="AA53" s="59" t="s">
        <v>62</v>
      </c>
      <c r="AB53" s="48">
        <v>25000.0</v>
      </c>
      <c r="AC53" s="48">
        <f t="shared" si="43"/>
        <v>0.50625</v>
      </c>
      <c r="AD53" s="48">
        <f t="shared" si="44"/>
        <v>36.04938272</v>
      </c>
      <c r="AE53" s="48">
        <f t="shared" si="45"/>
        <v>18.02469136</v>
      </c>
      <c r="AF53" s="64">
        <v>11.31</v>
      </c>
      <c r="AG53" s="41">
        <f>0.45*(0.45+0.3)</f>
        <v>0.3375</v>
      </c>
      <c r="AH53" s="41">
        <f t="shared" si="46"/>
        <v>1.061007958</v>
      </c>
      <c r="AI53" s="41">
        <f t="shared" si="47"/>
        <v>33.97654321</v>
      </c>
      <c r="AJ53" s="41">
        <f t="shared" si="48"/>
        <v>11.46708333</v>
      </c>
    </row>
    <row r="54" ht="20.25" customHeight="1">
      <c r="A54" s="42"/>
      <c r="B54" s="42"/>
      <c r="C54" s="42"/>
      <c r="D54" s="42">
        <v>5.0</v>
      </c>
      <c r="E54" s="54" t="s">
        <v>266</v>
      </c>
      <c r="F54" s="55" t="s">
        <v>267</v>
      </c>
      <c r="G54" s="55" t="s">
        <v>268</v>
      </c>
      <c r="H54" s="55" t="s">
        <v>269</v>
      </c>
      <c r="I54" s="56">
        <f>I49/$E55</f>
        <v>0.01</v>
      </c>
      <c r="J54" s="56">
        <f t="shared" si="40"/>
        <v>0.05</v>
      </c>
      <c r="K54" s="57">
        <f t="shared" si="41"/>
        <v>18.25</v>
      </c>
      <c r="L54" s="58" t="s">
        <v>270</v>
      </c>
      <c r="M54" s="48">
        <v>6.0</v>
      </c>
      <c r="N54" s="59" t="s">
        <v>271</v>
      </c>
      <c r="O54" s="59" t="s">
        <v>272</v>
      </c>
      <c r="P54" s="48"/>
      <c r="Q54" s="60">
        <v>1.0</v>
      </c>
      <c r="R54" s="48"/>
      <c r="S54" s="59" t="s">
        <v>273</v>
      </c>
      <c r="T54" s="48"/>
      <c r="U54" s="59" t="s">
        <v>34</v>
      </c>
      <c r="V54" s="48">
        <f>0.6*0.6</f>
        <v>0.36</v>
      </c>
      <c r="W54" s="48">
        <f t="shared" si="42"/>
        <v>27777.77778</v>
      </c>
      <c r="X54" s="48">
        <v>8000.0</v>
      </c>
      <c r="Y54" s="48">
        <v>12000.0</v>
      </c>
      <c r="Z54" s="48">
        <v>18000.0</v>
      </c>
      <c r="AA54" s="59" t="s">
        <v>62</v>
      </c>
      <c r="AB54" s="48">
        <v>18000.0</v>
      </c>
      <c r="AC54" s="48">
        <f t="shared" si="43"/>
        <v>0.648</v>
      </c>
      <c r="AD54" s="48">
        <f t="shared" si="44"/>
        <v>28.16358025</v>
      </c>
      <c r="AE54" s="48">
        <f t="shared" si="45"/>
        <v>28.16358025</v>
      </c>
      <c r="AF54" s="64">
        <v>5.31</v>
      </c>
      <c r="AG54" s="41">
        <f>0.6*(0.6+0.3)</f>
        <v>0.54</v>
      </c>
      <c r="AH54" s="41">
        <f t="shared" si="46"/>
        <v>2.259887006</v>
      </c>
      <c r="AI54" s="41">
        <f t="shared" si="47"/>
        <v>12.46238426</v>
      </c>
      <c r="AJ54" s="41">
        <f t="shared" si="48"/>
        <v>6.7296875</v>
      </c>
    </row>
    <row r="55" ht="20.25" customHeight="1">
      <c r="A55" s="54" t="s">
        <v>63</v>
      </c>
      <c r="B55" s="54" t="s">
        <v>64</v>
      </c>
      <c r="C55" s="42"/>
      <c r="D55" s="42">
        <v>1.4</v>
      </c>
      <c r="E55" s="42">
        <f>$D54</f>
        <v>5</v>
      </c>
      <c r="F55" s="56"/>
      <c r="G55" s="56"/>
      <c r="H55" s="56"/>
      <c r="I55" s="56"/>
      <c r="J55" s="56"/>
      <c r="K55" s="57"/>
      <c r="L55" s="47"/>
      <c r="M55" s="48"/>
      <c r="N55" s="48"/>
      <c r="O55" s="48"/>
      <c r="P55" s="48"/>
      <c r="Q55" s="60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9"/>
      <c r="AF55" s="41"/>
      <c r="AG55" s="41"/>
      <c r="AH55" s="41"/>
      <c r="AI55" s="41"/>
      <c r="AJ55" s="41"/>
    </row>
    <row r="56" ht="20.25" customHeight="1">
      <c r="A56" s="54" t="s">
        <v>63</v>
      </c>
      <c r="B56" s="54" t="s">
        <v>66</v>
      </c>
      <c r="C56" s="54" t="s">
        <v>64</v>
      </c>
      <c r="D56" s="42">
        <v>1.4</v>
      </c>
      <c r="E56" s="42"/>
      <c r="F56" s="56"/>
      <c r="G56" s="56"/>
      <c r="H56" s="56"/>
      <c r="I56" s="56"/>
      <c r="J56" s="56"/>
      <c r="K56" s="57"/>
      <c r="L56" s="47"/>
      <c r="M56" s="48"/>
      <c r="N56" s="48"/>
      <c r="O56" s="48"/>
      <c r="P56" s="48"/>
      <c r="Q56" s="60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9"/>
      <c r="AF56" s="41"/>
      <c r="AG56" s="41"/>
      <c r="AH56" s="41"/>
      <c r="AI56" s="41"/>
      <c r="AJ56" s="41">
        <f>SUM(AJ50:AJ54)</f>
        <v>57.68140625</v>
      </c>
    </row>
    <row r="57" ht="20.25" customHeight="1">
      <c r="A57" s="42"/>
      <c r="B57" s="43"/>
      <c r="C57" s="43"/>
      <c r="D57" s="43"/>
      <c r="E57" s="44"/>
      <c r="F57" s="45"/>
      <c r="G57" s="45"/>
      <c r="H57" s="45"/>
      <c r="I57" s="45"/>
      <c r="J57" s="45">
        <f t="shared" ref="J57:J71" si="51">I57*5</f>
        <v>0</v>
      </c>
      <c r="K57" s="46">
        <f t="shared" ref="K57:K71" si="52">J57*365</f>
        <v>0</v>
      </c>
      <c r="L57" s="47"/>
      <c r="M57" s="48"/>
      <c r="N57" s="48"/>
      <c r="O57" s="48"/>
      <c r="P57" s="48"/>
      <c r="Q57" s="60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9"/>
      <c r="AF57" s="41"/>
      <c r="AG57" s="41"/>
      <c r="AH57" s="41"/>
      <c r="AI57" s="41"/>
      <c r="AJ57" s="41"/>
    </row>
    <row r="58" ht="20.25" customHeight="1">
      <c r="A58" s="42"/>
      <c r="B58" s="43">
        <v>5.0</v>
      </c>
      <c r="C58" s="43"/>
      <c r="D58" s="43"/>
      <c r="E58" s="44" t="s">
        <v>275</v>
      </c>
      <c r="F58" s="45"/>
      <c r="G58" s="45"/>
      <c r="H58" s="45"/>
      <c r="I58" s="45">
        <v>0.1</v>
      </c>
      <c r="J58" s="45">
        <f t="shared" si="51"/>
        <v>0.5</v>
      </c>
      <c r="K58" s="46">
        <f t="shared" si="52"/>
        <v>182.5</v>
      </c>
      <c r="L58" s="47"/>
      <c r="M58" s="48"/>
      <c r="N58" s="48"/>
      <c r="O58" s="48"/>
      <c r="P58" s="48"/>
      <c r="Q58" s="60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9"/>
      <c r="AF58" s="41"/>
      <c r="AG58" s="41"/>
      <c r="AH58" s="41"/>
      <c r="AI58" s="41"/>
      <c r="AJ58" s="41"/>
    </row>
    <row r="59" ht="32.25" customHeight="1">
      <c r="A59" s="42"/>
      <c r="B59" s="42"/>
      <c r="C59" s="42"/>
      <c r="D59" s="42">
        <v>1.0</v>
      </c>
      <c r="E59" s="54" t="s">
        <v>276</v>
      </c>
      <c r="F59" s="55" t="s">
        <v>276</v>
      </c>
      <c r="G59" s="55" t="s">
        <v>277</v>
      </c>
      <c r="H59" s="55" t="s">
        <v>278</v>
      </c>
      <c r="I59" s="56">
        <f>I58/$E74</f>
        <v>0.006666666667</v>
      </c>
      <c r="J59" s="56">
        <f t="shared" si="51"/>
        <v>0.03333333333</v>
      </c>
      <c r="K59" s="57">
        <f t="shared" si="52"/>
        <v>12.16666667</v>
      </c>
      <c r="L59" s="58" t="s">
        <v>279</v>
      </c>
      <c r="M59" s="48">
        <v>4.0</v>
      </c>
      <c r="N59" s="59" t="s">
        <v>280</v>
      </c>
      <c r="O59" s="59" t="s">
        <v>281</v>
      </c>
      <c r="P59" s="48"/>
      <c r="Q59" s="60">
        <v>3.0</v>
      </c>
      <c r="R59" s="59" t="s">
        <v>549</v>
      </c>
      <c r="S59" s="48"/>
      <c r="T59" s="59" t="s">
        <v>283</v>
      </c>
      <c r="U59" s="59" t="s">
        <v>550</v>
      </c>
      <c r="V59" s="48">
        <f>0.2*0.2</f>
        <v>0.04</v>
      </c>
      <c r="W59" s="48">
        <f t="shared" ref="W59:W71" si="53">10000/V59</f>
        <v>250000</v>
      </c>
      <c r="X59" s="48">
        <v>2500.0</v>
      </c>
      <c r="Y59" s="48">
        <v>4500.0</v>
      </c>
      <c r="Z59" s="48">
        <v>7000.0</v>
      </c>
      <c r="AA59" s="59" t="s">
        <v>62</v>
      </c>
      <c r="AB59" s="48">
        <v>7000.0</v>
      </c>
      <c r="AC59" s="48">
        <f t="shared" ref="AC59:AC71" si="54">AB59/W59</f>
        <v>0.028</v>
      </c>
      <c r="AD59" s="48">
        <f t="shared" ref="AD59:AD71" si="55">K59/AC59</f>
        <v>434.5238095</v>
      </c>
      <c r="AE59" s="48">
        <f t="shared" ref="AE59:AE71" si="56">AD59/Q59</f>
        <v>144.8412698</v>
      </c>
      <c r="AF59" s="64">
        <v>2.31</v>
      </c>
      <c r="AG59" s="41">
        <f>0.3*(0.3+0.3)</f>
        <v>0.18</v>
      </c>
      <c r="AH59" s="41">
        <f t="shared" ref="AH59:AH71" si="57">12/AF59</f>
        <v>5.194805195</v>
      </c>
      <c r="AI59" s="41">
        <f t="shared" ref="AI59:AI73" si="58">AD59/AH59</f>
        <v>83.64583333</v>
      </c>
      <c r="AJ59" s="41">
        <f t="shared" ref="AJ59:AJ71" si="59">AI59*AG59</f>
        <v>15.05625</v>
      </c>
    </row>
    <row r="60" ht="20.25" customHeight="1">
      <c r="A60" s="42"/>
      <c r="B60" s="42"/>
      <c r="C60" s="42"/>
      <c r="D60" s="42">
        <v>2.0</v>
      </c>
      <c r="E60" s="54" t="s">
        <v>284</v>
      </c>
      <c r="F60" s="55" t="s">
        <v>285</v>
      </c>
      <c r="G60" s="55" t="s">
        <v>286</v>
      </c>
      <c r="H60" s="57"/>
      <c r="I60" s="56">
        <f>I58/$E74</f>
        <v>0.006666666667</v>
      </c>
      <c r="J60" s="56">
        <f t="shared" si="51"/>
        <v>0.03333333333</v>
      </c>
      <c r="K60" s="57">
        <f t="shared" si="52"/>
        <v>12.16666667</v>
      </c>
      <c r="L60" s="58" t="s">
        <v>151</v>
      </c>
      <c r="M60" s="48">
        <v>3.0</v>
      </c>
      <c r="N60" s="59" t="s">
        <v>287</v>
      </c>
      <c r="O60" s="59" t="s">
        <v>288</v>
      </c>
      <c r="P60" s="48"/>
      <c r="Q60" s="60">
        <v>3.0</v>
      </c>
      <c r="R60" s="48"/>
      <c r="S60" s="59" t="s">
        <v>289</v>
      </c>
      <c r="T60" s="48"/>
      <c r="U60" s="59" t="s">
        <v>180</v>
      </c>
      <c r="V60" s="48">
        <f>0.2*0.3</f>
        <v>0.06</v>
      </c>
      <c r="W60" s="48">
        <f t="shared" si="53"/>
        <v>166666.6667</v>
      </c>
      <c r="X60" s="48">
        <v>1500.0</v>
      </c>
      <c r="Y60" s="48">
        <v>3000.0</v>
      </c>
      <c r="Z60" s="48">
        <v>5000.0</v>
      </c>
      <c r="AA60" s="59" t="s">
        <v>62</v>
      </c>
      <c r="AB60" s="48">
        <v>5000.0</v>
      </c>
      <c r="AC60" s="48">
        <f t="shared" si="54"/>
        <v>0.03</v>
      </c>
      <c r="AD60" s="48">
        <f t="shared" si="55"/>
        <v>405.5555556</v>
      </c>
      <c r="AE60" s="48">
        <f t="shared" si="56"/>
        <v>135.1851852</v>
      </c>
      <c r="AF60" s="64">
        <v>2.31</v>
      </c>
      <c r="AG60" s="41">
        <f>0.2*(0.2+0.3)</f>
        <v>0.1</v>
      </c>
      <c r="AH60" s="41">
        <f t="shared" si="57"/>
        <v>5.194805195</v>
      </c>
      <c r="AI60" s="41">
        <f t="shared" si="58"/>
        <v>78.06944444</v>
      </c>
      <c r="AJ60" s="41">
        <f t="shared" si="59"/>
        <v>7.806944444</v>
      </c>
    </row>
    <row r="61" ht="20.25" customHeight="1">
      <c r="A61" s="42"/>
      <c r="B61" s="42"/>
      <c r="C61" s="42"/>
      <c r="D61" s="42">
        <v>3.0</v>
      </c>
      <c r="E61" s="54" t="s">
        <v>290</v>
      </c>
      <c r="F61" s="55" t="s">
        <v>291</v>
      </c>
      <c r="G61" s="55" t="s">
        <v>292</v>
      </c>
      <c r="H61" s="55" t="s">
        <v>293</v>
      </c>
      <c r="I61" s="56">
        <f>I58/$E74</f>
        <v>0.006666666667</v>
      </c>
      <c r="J61" s="56">
        <f t="shared" si="51"/>
        <v>0.03333333333</v>
      </c>
      <c r="K61" s="57">
        <f t="shared" si="52"/>
        <v>12.16666667</v>
      </c>
      <c r="L61" s="58" t="s">
        <v>279</v>
      </c>
      <c r="M61" s="48">
        <v>4.0</v>
      </c>
      <c r="N61" s="59" t="s">
        <v>294</v>
      </c>
      <c r="O61" s="59" t="s">
        <v>295</v>
      </c>
      <c r="P61" s="48"/>
      <c r="Q61" s="60">
        <v>2.0</v>
      </c>
      <c r="R61" s="48"/>
      <c r="S61" s="59" t="s">
        <v>296</v>
      </c>
      <c r="T61" s="48"/>
      <c r="U61" s="59" t="s">
        <v>180</v>
      </c>
      <c r="V61" s="48">
        <f>0.5*0.5</f>
        <v>0.25</v>
      </c>
      <c r="W61" s="48">
        <f t="shared" si="53"/>
        <v>40000</v>
      </c>
      <c r="X61" s="48">
        <v>10000.0</v>
      </c>
      <c r="Y61" s="48">
        <v>15000.0</v>
      </c>
      <c r="Z61" s="48">
        <v>20000.0</v>
      </c>
      <c r="AA61" s="59" t="s">
        <v>62</v>
      </c>
      <c r="AB61" s="48">
        <v>20000.0</v>
      </c>
      <c r="AC61" s="48">
        <f t="shared" si="54"/>
        <v>0.5</v>
      </c>
      <c r="AD61" s="48">
        <f t="shared" si="55"/>
        <v>24.33333333</v>
      </c>
      <c r="AE61" s="48">
        <f t="shared" si="56"/>
        <v>12.16666667</v>
      </c>
      <c r="AF61" s="64">
        <v>2.31</v>
      </c>
      <c r="AG61" s="41">
        <f>0.5*(0.5+0.3)</f>
        <v>0.4</v>
      </c>
      <c r="AH61" s="41">
        <f t="shared" si="57"/>
        <v>5.194805195</v>
      </c>
      <c r="AI61" s="41">
        <f t="shared" si="58"/>
        <v>4.684166667</v>
      </c>
      <c r="AJ61" s="41">
        <f t="shared" si="59"/>
        <v>1.873666667</v>
      </c>
    </row>
    <row r="62" ht="20.25" customHeight="1">
      <c r="A62" s="42"/>
      <c r="B62" s="42"/>
      <c r="C62" s="42"/>
      <c r="D62" s="42">
        <v>4.0</v>
      </c>
      <c r="E62" s="54" t="s">
        <v>297</v>
      </c>
      <c r="F62" s="55" t="s">
        <v>298</v>
      </c>
      <c r="G62" s="55" t="s">
        <v>299</v>
      </c>
      <c r="H62" s="55" t="s">
        <v>300</v>
      </c>
      <c r="I62" s="56">
        <f>I58/$E74</f>
        <v>0.006666666667</v>
      </c>
      <c r="J62" s="56">
        <f t="shared" si="51"/>
        <v>0.03333333333</v>
      </c>
      <c r="K62" s="57">
        <f t="shared" si="52"/>
        <v>12.16666667</v>
      </c>
      <c r="L62" s="58" t="s">
        <v>81</v>
      </c>
      <c r="M62" s="48">
        <v>6.0</v>
      </c>
      <c r="N62" s="59" t="s">
        <v>301</v>
      </c>
      <c r="O62" s="59" t="s">
        <v>302</v>
      </c>
      <c r="P62" s="48"/>
      <c r="Q62" s="60">
        <v>2.0</v>
      </c>
      <c r="R62" s="48"/>
      <c r="S62" s="59" t="s">
        <v>303</v>
      </c>
      <c r="T62" s="48"/>
      <c r="U62" s="59" t="s">
        <v>180</v>
      </c>
      <c r="V62" s="48">
        <f>0.75*0.75</f>
        <v>0.5625</v>
      </c>
      <c r="W62" s="48">
        <f t="shared" si="53"/>
        <v>17777.77778</v>
      </c>
      <c r="X62" s="48">
        <v>10000.0</v>
      </c>
      <c r="Y62" s="48">
        <v>15000.0</v>
      </c>
      <c r="Z62" s="48">
        <v>20000.0</v>
      </c>
      <c r="AA62" s="59" t="s">
        <v>62</v>
      </c>
      <c r="AB62" s="48">
        <v>20000.0</v>
      </c>
      <c r="AC62" s="48">
        <f t="shared" si="54"/>
        <v>1.125</v>
      </c>
      <c r="AD62" s="48">
        <f t="shared" si="55"/>
        <v>10.81481481</v>
      </c>
      <c r="AE62" s="48">
        <f t="shared" si="56"/>
        <v>5.407407407</v>
      </c>
      <c r="AF62" s="64">
        <v>2.31</v>
      </c>
      <c r="AG62" s="41">
        <f>0.75*(0.75+0.3)</f>
        <v>0.7875</v>
      </c>
      <c r="AH62" s="41">
        <f t="shared" si="57"/>
        <v>5.194805195</v>
      </c>
      <c r="AI62" s="41">
        <f t="shared" si="58"/>
        <v>2.081851852</v>
      </c>
      <c r="AJ62" s="41">
        <f t="shared" si="59"/>
        <v>1.639458333</v>
      </c>
    </row>
    <row r="63" ht="32.25" customHeight="1">
      <c r="A63" s="42"/>
      <c r="B63" s="42"/>
      <c r="C63" s="42"/>
      <c r="D63" s="42">
        <v>5.0</v>
      </c>
      <c r="E63" s="54" t="s">
        <v>304</v>
      </c>
      <c r="F63" s="55" t="s">
        <v>305</v>
      </c>
      <c r="G63" s="55" t="s">
        <v>306</v>
      </c>
      <c r="H63" s="55" t="s">
        <v>307</v>
      </c>
      <c r="I63" s="56">
        <f>I58/$E74</f>
        <v>0.006666666667</v>
      </c>
      <c r="J63" s="56">
        <f t="shared" si="51"/>
        <v>0.03333333333</v>
      </c>
      <c r="K63" s="57">
        <f t="shared" si="52"/>
        <v>12.16666667</v>
      </c>
      <c r="L63" s="58" t="s">
        <v>308</v>
      </c>
      <c r="M63" s="48">
        <v>3.0</v>
      </c>
      <c r="N63" s="59" t="s">
        <v>309</v>
      </c>
      <c r="O63" s="59" t="s">
        <v>310</v>
      </c>
      <c r="P63" s="48"/>
      <c r="Q63" s="60">
        <v>3.0</v>
      </c>
      <c r="R63" s="48"/>
      <c r="S63" s="59" t="s">
        <v>311</v>
      </c>
      <c r="T63" s="48"/>
      <c r="U63" s="59" t="s">
        <v>180</v>
      </c>
      <c r="V63" s="48">
        <f>0.9*0.9</f>
        <v>0.81</v>
      </c>
      <c r="W63" s="48">
        <f t="shared" si="53"/>
        <v>12345.67901</v>
      </c>
      <c r="X63" s="48">
        <v>6000.0</v>
      </c>
      <c r="Y63" s="48">
        <v>10000.0</v>
      </c>
      <c r="Z63" s="48">
        <v>15000.0</v>
      </c>
      <c r="AA63" s="59" t="s">
        <v>62</v>
      </c>
      <c r="AB63" s="48">
        <v>15000.0</v>
      </c>
      <c r="AC63" s="48">
        <f t="shared" si="54"/>
        <v>1.215</v>
      </c>
      <c r="AD63" s="48">
        <f t="shared" si="55"/>
        <v>10.01371742</v>
      </c>
      <c r="AE63" s="48">
        <f t="shared" si="56"/>
        <v>3.337905807</v>
      </c>
      <c r="AF63" s="64">
        <v>2.31</v>
      </c>
      <c r="AG63" s="41">
        <f>0.9*(0.9+0.3)</f>
        <v>1.08</v>
      </c>
      <c r="AH63" s="41">
        <f t="shared" si="57"/>
        <v>5.194805195</v>
      </c>
      <c r="AI63" s="41">
        <f t="shared" si="58"/>
        <v>1.927640604</v>
      </c>
      <c r="AJ63" s="41">
        <f t="shared" si="59"/>
        <v>2.081851852</v>
      </c>
    </row>
    <row r="64" ht="32.25" customHeight="1">
      <c r="A64" s="42"/>
      <c r="B64" s="42"/>
      <c r="C64" s="42"/>
      <c r="D64" s="42">
        <v>6.0</v>
      </c>
      <c r="E64" s="54" t="s">
        <v>312</v>
      </c>
      <c r="F64" s="55" t="s">
        <v>313</v>
      </c>
      <c r="G64" s="55" t="s">
        <v>314</v>
      </c>
      <c r="H64" s="55" t="s">
        <v>307</v>
      </c>
      <c r="I64" s="56">
        <f>I58/$E74</f>
        <v>0.006666666667</v>
      </c>
      <c r="J64" s="56">
        <f t="shared" si="51"/>
        <v>0.03333333333</v>
      </c>
      <c r="K64" s="57">
        <f t="shared" si="52"/>
        <v>12.16666667</v>
      </c>
      <c r="L64" s="58" t="s">
        <v>127</v>
      </c>
      <c r="M64" s="48">
        <v>12.0</v>
      </c>
      <c r="N64" s="59" t="s">
        <v>315</v>
      </c>
      <c r="O64" s="59" t="s">
        <v>316</v>
      </c>
      <c r="P64" s="48"/>
      <c r="Q64" s="60">
        <v>2.0</v>
      </c>
      <c r="R64" s="48"/>
      <c r="S64" s="59" t="s">
        <v>317</v>
      </c>
      <c r="T64" s="48"/>
      <c r="U64" s="59" t="s">
        <v>180</v>
      </c>
      <c r="V64" s="48">
        <f>1.5*1.5</f>
        <v>2.25</v>
      </c>
      <c r="W64" s="48">
        <f t="shared" si="53"/>
        <v>4444.444444</v>
      </c>
      <c r="X64" s="48">
        <v>2000.0</v>
      </c>
      <c r="Y64" s="48">
        <v>4000.0</v>
      </c>
      <c r="Z64" s="48">
        <v>6000.0</v>
      </c>
      <c r="AA64" s="59" t="s">
        <v>62</v>
      </c>
      <c r="AB64" s="48">
        <v>6000.0</v>
      </c>
      <c r="AC64" s="48">
        <f t="shared" si="54"/>
        <v>1.35</v>
      </c>
      <c r="AD64" s="48">
        <f t="shared" si="55"/>
        <v>9.012345679</v>
      </c>
      <c r="AE64" s="48">
        <f t="shared" si="56"/>
        <v>4.50617284</v>
      </c>
      <c r="AF64" s="64">
        <v>2.31</v>
      </c>
      <c r="AG64" s="41">
        <f>1.5*(1.5+0.3)</f>
        <v>2.7</v>
      </c>
      <c r="AH64" s="41">
        <f t="shared" si="57"/>
        <v>5.194805195</v>
      </c>
      <c r="AI64" s="41">
        <f t="shared" si="58"/>
        <v>1.734876543</v>
      </c>
      <c r="AJ64" s="41">
        <f t="shared" si="59"/>
        <v>4.684166667</v>
      </c>
    </row>
    <row r="65" ht="32.25" customHeight="1">
      <c r="A65" s="42"/>
      <c r="B65" s="42"/>
      <c r="C65" s="42"/>
      <c r="D65" s="42">
        <v>7.0</v>
      </c>
      <c r="E65" s="54" t="s">
        <v>318</v>
      </c>
      <c r="F65" s="55" t="s">
        <v>319</v>
      </c>
      <c r="G65" s="55" t="s">
        <v>320</v>
      </c>
      <c r="H65" s="55" t="s">
        <v>321</v>
      </c>
      <c r="I65" s="56">
        <v>0.00714285714285714</v>
      </c>
      <c r="J65" s="56">
        <f t="shared" si="51"/>
        <v>0.03571428571</v>
      </c>
      <c r="K65" s="57">
        <f t="shared" si="52"/>
        <v>13.03571429</v>
      </c>
      <c r="L65" s="58" t="s">
        <v>322</v>
      </c>
      <c r="M65" s="48">
        <v>4.0</v>
      </c>
      <c r="N65" s="59" t="s">
        <v>323</v>
      </c>
      <c r="O65" s="59" t="s">
        <v>324</v>
      </c>
      <c r="P65" s="48"/>
      <c r="Q65" s="60">
        <v>3.0</v>
      </c>
      <c r="R65" s="48"/>
      <c r="S65" s="69" t="s">
        <v>551</v>
      </c>
      <c r="T65" s="48"/>
      <c r="U65" s="59" t="s">
        <v>180</v>
      </c>
      <c r="V65" s="48">
        <f>1*1</f>
        <v>1</v>
      </c>
      <c r="W65" s="48">
        <f t="shared" si="53"/>
        <v>10000</v>
      </c>
      <c r="X65" s="48">
        <v>8000.0</v>
      </c>
      <c r="Y65" s="48">
        <v>12000.0</v>
      </c>
      <c r="Z65" s="48">
        <v>16000.0</v>
      </c>
      <c r="AA65" s="59" t="s">
        <v>62</v>
      </c>
      <c r="AB65" s="48">
        <v>16000.0</v>
      </c>
      <c r="AC65" s="48">
        <f t="shared" si="54"/>
        <v>1.6</v>
      </c>
      <c r="AD65" s="48">
        <f t="shared" si="55"/>
        <v>8.147321429</v>
      </c>
      <c r="AE65" s="48">
        <f t="shared" si="56"/>
        <v>2.71577381</v>
      </c>
      <c r="AF65" s="64">
        <v>2.31</v>
      </c>
      <c r="AG65" s="41">
        <f>1*(1+0.3)</f>
        <v>1.3</v>
      </c>
      <c r="AH65" s="41">
        <f t="shared" si="57"/>
        <v>5.194805195</v>
      </c>
      <c r="AI65" s="41">
        <f t="shared" si="58"/>
        <v>1.568359375</v>
      </c>
      <c r="AJ65" s="41">
        <f t="shared" si="59"/>
        <v>2.038867188</v>
      </c>
    </row>
    <row r="66" ht="20.25" customHeight="1">
      <c r="A66" s="42"/>
      <c r="B66" s="42"/>
      <c r="C66" s="42"/>
      <c r="D66" s="42">
        <v>8.0</v>
      </c>
      <c r="E66" s="54" t="s">
        <v>326</v>
      </c>
      <c r="F66" s="55" t="s">
        <v>327</v>
      </c>
      <c r="G66" s="55" t="s">
        <v>328</v>
      </c>
      <c r="H66" s="55" t="s">
        <v>242</v>
      </c>
      <c r="I66" s="56">
        <f>I58/$E74</f>
        <v>0.006666666667</v>
      </c>
      <c r="J66" s="56">
        <f t="shared" si="51"/>
        <v>0.03333333333</v>
      </c>
      <c r="K66" s="57">
        <f t="shared" si="52"/>
        <v>12.16666667</v>
      </c>
      <c r="L66" s="58" t="s">
        <v>81</v>
      </c>
      <c r="M66" s="48">
        <v>6.0</v>
      </c>
      <c r="N66" s="59" t="s">
        <v>329</v>
      </c>
      <c r="O66" s="59" t="s">
        <v>330</v>
      </c>
      <c r="P66" s="48"/>
      <c r="Q66" s="60">
        <v>2.0</v>
      </c>
      <c r="R66" s="48"/>
      <c r="S66" s="59" t="s">
        <v>331</v>
      </c>
      <c r="T66" s="48"/>
      <c r="U66" s="59" t="s">
        <v>180</v>
      </c>
      <c r="V66" s="48">
        <f>0.45*0.45</f>
        <v>0.2025</v>
      </c>
      <c r="W66" s="48">
        <f t="shared" si="53"/>
        <v>49382.71605</v>
      </c>
      <c r="X66" s="48">
        <v>12000.0</v>
      </c>
      <c r="Y66" s="48">
        <v>18000.0</v>
      </c>
      <c r="Z66" s="48">
        <v>25000.0</v>
      </c>
      <c r="AA66" s="59" t="s">
        <v>62</v>
      </c>
      <c r="AB66" s="48">
        <v>25000.0</v>
      </c>
      <c r="AC66" s="48">
        <f t="shared" si="54"/>
        <v>0.50625</v>
      </c>
      <c r="AD66" s="48">
        <f t="shared" si="55"/>
        <v>24.03292181</v>
      </c>
      <c r="AE66" s="48">
        <f t="shared" si="56"/>
        <v>12.01646091</v>
      </c>
      <c r="AF66" s="64">
        <v>2.31</v>
      </c>
      <c r="AG66" s="41">
        <f>0.45*(0.45+0.3)</f>
        <v>0.3375</v>
      </c>
      <c r="AH66" s="41">
        <f t="shared" si="57"/>
        <v>5.194805195</v>
      </c>
      <c r="AI66" s="41">
        <f t="shared" si="58"/>
        <v>4.626337449</v>
      </c>
      <c r="AJ66" s="41">
        <f t="shared" si="59"/>
        <v>1.561388889</v>
      </c>
    </row>
    <row r="67" ht="20.25" customHeight="1">
      <c r="A67" s="42"/>
      <c r="B67" s="42"/>
      <c r="C67" s="42"/>
      <c r="D67" s="42">
        <v>9.0</v>
      </c>
      <c r="E67" s="54" t="s">
        <v>332</v>
      </c>
      <c r="F67" s="55" t="s">
        <v>333</v>
      </c>
      <c r="G67" s="55" t="s">
        <v>334</v>
      </c>
      <c r="H67" s="55" t="s">
        <v>335</v>
      </c>
      <c r="I67" s="56">
        <f>I58/$E74</f>
        <v>0.006666666667</v>
      </c>
      <c r="J67" s="56">
        <f t="shared" si="51"/>
        <v>0.03333333333</v>
      </c>
      <c r="K67" s="57">
        <f t="shared" si="52"/>
        <v>12.16666667</v>
      </c>
      <c r="L67" s="58" t="s">
        <v>336</v>
      </c>
      <c r="M67" s="48">
        <v>12.0</v>
      </c>
      <c r="N67" s="59" t="s">
        <v>280</v>
      </c>
      <c r="O67" s="59" t="s">
        <v>94</v>
      </c>
      <c r="P67" s="48"/>
      <c r="Q67" s="60">
        <v>1.0</v>
      </c>
      <c r="R67" s="48"/>
      <c r="S67" s="59" t="s">
        <v>337</v>
      </c>
      <c r="T67" s="48"/>
      <c r="U67" s="59" t="s">
        <v>180</v>
      </c>
      <c r="V67" s="48">
        <f>0.9*0.9</f>
        <v>0.81</v>
      </c>
      <c r="W67" s="48">
        <f t="shared" si="53"/>
        <v>12345.67901</v>
      </c>
      <c r="X67" s="48">
        <v>10000.0</v>
      </c>
      <c r="Y67" s="48">
        <v>15000.0</v>
      </c>
      <c r="Z67" s="48">
        <v>25000.0</v>
      </c>
      <c r="AA67" s="59" t="s">
        <v>62</v>
      </c>
      <c r="AB67" s="48">
        <v>25000.0</v>
      </c>
      <c r="AC67" s="48">
        <f t="shared" si="54"/>
        <v>2.025</v>
      </c>
      <c r="AD67" s="48">
        <f t="shared" si="55"/>
        <v>6.008230453</v>
      </c>
      <c r="AE67" s="48">
        <f t="shared" si="56"/>
        <v>6.008230453</v>
      </c>
      <c r="AF67" s="64">
        <v>2.31</v>
      </c>
      <c r="AG67" s="41">
        <f>0.9*(0.9+0.3)</f>
        <v>1.08</v>
      </c>
      <c r="AH67" s="41">
        <f t="shared" si="57"/>
        <v>5.194805195</v>
      </c>
      <c r="AI67" s="41">
        <f t="shared" si="58"/>
        <v>1.156584362</v>
      </c>
      <c r="AJ67" s="41">
        <f t="shared" si="59"/>
        <v>1.249111111</v>
      </c>
    </row>
    <row r="68" ht="20.25" customHeight="1">
      <c r="A68" s="42"/>
      <c r="B68" s="42"/>
      <c r="C68" s="42"/>
      <c r="D68" s="42">
        <v>10.0</v>
      </c>
      <c r="E68" s="54" t="s">
        <v>338</v>
      </c>
      <c r="F68" s="55" t="s">
        <v>339</v>
      </c>
      <c r="G68" s="55" t="s">
        <v>340</v>
      </c>
      <c r="H68" s="55" t="s">
        <v>341</v>
      </c>
      <c r="I68" s="56">
        <f>I58/$E74</f>
        <v>0.006666666667</v>
      </c>
      <c r="J68" s="56">
        <f t="shared" si="51"/>
        <v>0.03333333333</v>
      </c>
      <c r="K68" s="57">
        <f t="shared" si="52"/>
        <v>12.16666667</v>
      </c>
      <c r="L68" s="58" t="s">
        <v>308</v>
      </c>
      <c r="M68" s="48">
        <v>3.0</v>
      </c>
      <c r="N68" s="59" t="s">
        <v>342</v>
      </c>
      <c r="O68" s="59" t="s">
        <v>343</v>
      </c>
      <c r="P68" s="48"/>
      <c r="Q68" s="60">
        <v>1.0</v>
      </c>
      <c r="R68" s="48"/>
      <c r="S68" s="59" t="s">
        <v>317</v>
      </c>
      <c r="T68" s="48"/>
      <c r="U68" s="59" t="s">
        <v>180</v>
      </c>
      <c r="V68" s="48">
        <f>1.5*1.5</f>
        <v>2.25</v>
      </c>
      <c r="W68" s="48">
        <f t="shared" si="53"/>
        <v>4444.444444</v>
      </c>
      <c r="X68" s="48">
        <v>10000.0</v>
      </c>
      <c r="Y68" s="48">
        <v>15000.0</v>
      </c>
      <c r="Z68" s="48">
        <v>25000.0</v>
      </c>
      <c r="AA68" s="59" t="s">
        <v>62</v>
      </c>
      <c r="AB68" s="48">
        <v>25000.0</v>
      </c>
      <c r="AC68" s="48">
        <f t="shared" si="54"/>
        <v>5.625</v>
      </c>
      <c r="AD68" s="48">
        <f t="shared" si="55"/>
        <v>2.162962963</v>
      </c>
      <c r="AE68" s="48">
        <f t="shared" si="56"/>
        <v>2.162962963</v>
      </c>
      <c r="AF68" s="64">
        <v>2.31</v>
      </c>
      <c r="AG68" s="41">
        <f>1.5*(1.5+0.3)</f>
        <v>2.7</v>
      </c>
      <c r="AH68" s="41">
        <f t="shared" si="57"/>
        <v>5.194805195</v>
      </c>
      <c r="AI68" s="41">
        <f t="shared" si="58"/>
        <v>0.4163703704</v>
      </c>
      <c r="AJ68" s="41">
        <f t="shared" si="59"/>
        <v>1.1242</v>
      </c>
    </row>
    <row r="69" ht="20.25" customHeight="1">
      <c r="A69" s="42"/>
      <c r="B69" s="42"/>
      <c r="C69" s="42"/>
      <c r="D69" s="42">
        <v>11.0</v>
      </c>
      <c r="E69" s="54" t="s">
        <v>344</v>
      </c>
      <c r="F69" s="55" t="s">
        <v>345</v>
      </c>
      <c r="G69" s="55" t="s">
        <v>346</v>
      </c>
      <c r="H69" s="55" t="s">
        <v>100</v>
      </c>
      <c r="I69" s="56">
        <f>I58/$E74</f>
        <v>0.006666666667</v>
      </c>
      <c r="J69" s="56">
        <f t="shared" si="51"/>
        <v>0.03333333333</v>
      </c>
      <c r="K69" s="57">
        <f t="shared" si="52"/>
        <v>12.16666667</v>
      </c>
      <c r="L69" s="58" t="s">
        <v>176</v>
      </c>
      <c r="M69" s="48">
        <v>12.0</v>
      </c>
      <c r="N69" s="59" t="s">
        <v>347</v>
      </c>
      <c r="O69" s="59" t="s">
        <v>348</v>
      </c>
      <c r="P69" s="48"/>
      <c r="Q69" s="60">
        <v>1.0</v>
      </c>
      <c r="R69" s="48"/>
      <c r="S69" s="59" t="s">
        <v>349</v>
      </c>
      <c r="T69" s="48"/>
      <c r="U69" s="59" t="s">
        <v>180</v>
      </c>
      <c r="V69" s="48">
        <f t="shared" ref="V69:V70" si="60">0.2*0.2</f>
        <v>0.04</v>
      </c>
      <c r="W69" s="48">
        <f t="shared" si="53"/>
        <v>250000</v>
      </c>
      <c r="X69" s="48">
        <v>20000.0</v>
      </c>
      <c r="Y69" s="48">
        <v>30000.0</v>
      </c>
      <c r="Z69" s="48">
        <v>50000.0</v>
      </c>
      <c r="AA69" s="59" t="s">
        <v>62</v>
      </c>
      <c r="AB69" s="48">
        <v>50000.0</v>
      </c>
      <c r="AC69" s="48">
        <f t="shared" si="54"/>
        <v>0.2</v>
      </c>
      <c r="AD69" s="48">
        <f t="shared" si="55"/>
        <v>60.83333333</v>
      </c>
      <c r="AE69" s="48">
        <f t="shared" si="56"/>
        <v>60.83333333</v>
      </c>
      <c r="AF69" s="64">
        <v>2.31</v>
      </c>
      <c r="AG69" s="41">
        <f>0.2*(0.2+0.3)</f>
        <v>0.1</v>
      </c>
      <c r="AH69" s="41">
        <f t="shared" si="57"/>
        <v>5.194805195</v>
      </c>
      <c r="AI69" s="41">
        <f t="shared" si="58"/>
        <v>11.71041667</v>
      </c>
      <c r="AJ69" s="41">
        <f t="shared" si="59"/>
        <v>1.171041667</v>
      </c>
    </row>
    <row r="70" ht="20.25" customHeight="1">
      <c r="A70" s="42"/>
      <c r="B70" s="42"/>
      <c r="C70" s="42"/>
      <c r="D70" s="42">
        <v>12.0</v>
      </c>
      <c r="E70" s="54" t="s">
        <v>350</v>
      </c>
      <c r="F70" s="55" t="s">
        <v>351</v>
      </c>
      <c r="G70" s="55" t="s">
        <v>352</v>
      </c>
      <c r="H70" s="55" t="s">
        <v>353</v>
      </c>
      <c r="I70" s="56">
        <f>I58/$E74</f>
        <v>0.006666666667</v>
      </c>
      <c r="J70" s="56">
        <f t="shared" si="51"/>
        <v>0.03333333333</v>
      </c>
      <c r="K70" s="57">
        <f t="shared" si="52"/>
        <v>12.16666667</v>
      </c>
      <c r="L70" s="58" t="s">
        <v>176</v>
      </c>
      <c r="M70" s="48">
        <v>12.0</v>
      </c>
      <c r="N70" s="59" t="s">
        <v>354</v>
      </c>
      <c r="O70" s="59" t="s">
        <v>355</v>
      </c>
      <c r="P70" s="48"/>
      <c r="Q70" s="60">
        <v>2.0</v>
      </c>
      <c r="R70" s="48"/>
      <c r="S70" s="59" t="s">
        <v>356</v>
      </c>
      <c r="T70" s="48"/>
      <c r="U70" s="59" t="s">
        <v>180</v>
      </c>
      <c r="V70" s="48">
        <f t="shared" si="60"/>
        <v>0.04</v>
      </c>
      <c r="W70" s="48">
        <f t="shared" si="53"/>
        <v>250000</v>
      </c>
      <c r="X70" s="48">
        <v>5000.0</v>
      </c>
      <c r="Y70" s="48">
        <v>8000.0</v>
      </c>
      <c r="Z70" s="48">
        <v>12000.0</v>
      </c>
      <c r="AA70" s="59" t="s">
        <v>62</v>
      </c>
      <c r="AB70" s="48">
        <v>12000.0</v>
      </c>
      <c r="AC70" s="48">
        <f t="shared" si="54"/>
        <v>0.048</v>
      </c>
      <c r="AD70" s="48">
        <f t="shared" si="55"/>
        <v>253.4722222</v>
      </c>
      <c r="AE70" s="48">
        <f t="shared" si="56"/>
        <v>126.7361111</v>
      </c>
      <c r="AF70" s="64">
        <v>2.31</v>
      </c>
      <c r="AG70" s="41">
        <f>2*(2+0.3)</f>
        <v>4.6</v>
      </c>
      <c r="AH70" s="41">
        <f t="shared" si="57"/>
        <v>5.194805195</v>
      </c>
      <c r="AI70" s="41">
        <f t="shared" si="58"/>
        <v>48.79340278</v>
      </c>
      <c r="AJ70" s="41">
        <f t="shared" si="59"/>
        <v>224.4496528</v>
      </c>
    </row>
    <row r="71" ht="20.25" customHeight="1">
      <c r="A71" s="42"/>
      <c r="B71" s="42"/>
      <c r="C71" s="42"/>
      <c r="D71" s="42">
        <v>13.0</v>
      </c>
      <c r="E71" s="54" t="s">
        <v>357</v>
      </c>
      <c r="F71" s="55" t="s">
        <v>357</v>
      </c>
      <c r="G71" s="55" t="s">
        <v>358</v>
      </c>
      <c r="H71" s="55" t="s">
        <v>359</v>
      </c>
      <c r="I71" s="56">
        <f>I58/$E74</f>
        <v>0.006666666667</v>
      </c>
      <c r="J71" s="56">
        <f t="shared" si="51"/>
        <v>0.03333333333</v>
      </c>
      <c r="K71" s="57">
        <f t="shared" si="52"/>
        <v>12.16666667</v>
      </c>
      <c r="L71" s="58" t="s">
        <v>360</v>
      </c>
      <c r="M71" s="48">
        <v>3.0</v>
      </c>
      <c r="N71" s="59" t="s">
        <v>361</v>
      </c>
      <c r="O71" s="59" t="s">
        <v>362</v>
      </c>
      <c r="P71" s="48"/>
      <c r="Q71" s="60">
        <v>1.0</v>
      </c>
      <c r="R71" s="48"/>
      <c r="S71" s="59" t="s">
        <v>363</v>
      </c>
      <c r="T71" s="48"/>
      <c r="U71" s="59" t="s">
        <v>180</v>
      </c>
      <c r="V71" s="48">
        <f>0.3*0.1</f>
        <v>0.03</v>
      </c>
      <c r="W71" s="48">
        <f t="shared" si="53"/>
        <v>333333.3333</v>
      </c>
      <c r="X71" s="48">
        <v>10000.0</v>
      </c>
      <c r="Y71" s="48">
        <v>15000.0</v>
      </c>
      <c r="Z71" s="48">
        <v>20000.0</v>
      </c>
      <c r="AA71" s="59" t="s">
        <v>62</v>
      </c>
      <c r="AB71" s="48">
        <v>20000.0</v>
      </c>
      <c r="AC71" s="48">
        <f t="shared" si="54"/>
        <v>0.06</v>
      </c>
      <c r="AD71" s="48">
        <f t="shared" si="55"/>
        <v>202.7777778</v>
      </c>
      <c r="AE71" s="48">
        <f t="shared" si="56"/>
        <v>202.7777778</v>
      </c>
      <c r="AF71" s="64">
        <v>2.31</v>
      </c>
      <c r="AG71" s="41">
        <f>0.1*(0.1+0.3)</f>
        <v>0.04</v>
      </c>
      <c r="AH71" s="41">
        <f t="shared" si="57"/>
        <v>5.194805195</v>
      </c>
      <c r="AI71" s="41">
        <f t="shared" si="58"/>
        <v>39.03472222</v>
      </c>
      <c r="AJ71" s="41">
        <f t="shared" si="59"/>
        <v>1.561388889</v>
      </c>
    </row>
    <row r="72" ht="32.25" customHeight="1">
      <c r="A72" s="42"/>
      <c r="B72" s="42"/>
      <c r="C72" s="42"/>
      <c r="D72" s="42">
        <v>14.0</v>
      </c>
      <c r="E72" s="54" t="s">
        <v>364</v>
      </c>
      <c r="F72" s="55" t="s">
        <v>365</v>
      </c>
      <c r="G72" s="55" t="s">
        <v>366</v>
      </c>
      <c r="H72" s="55" t="s">
        <v>367</v>
      </c>
      <c r="I72" s="56">
        <v>0.005</v>
      </c>
      <c r="J72" s="56">
        <v>0.025</v>
      </c>
      <c r="K72" s="57">
        <v>9.125</v>
      </c>
      <c r="L72" s="58" t="s">
        <v>368</v>
      </c>
      <c r="M72" s="48">
        <v>2.0</v>
      </c>
      <c r="N72" s="59" t="s">
        <v>369</v>
      </c>
      <c r="O72" s="59" t="s">
        <v>370</v>
      </c>
      <c r="P72" s="48"/>
      <c r="Q72" s="60">
        <v>1.0</v>
      </c>
      <c r="R72" s="48"/>
      <c r="S72" s="59" t="s">
        <v>371</v>
      </c>
      <c r="T72" s="48"/>
      <c r="U72" s="59" t="s">
        <v>34</v>
      </c>
      <c r="V72" s="48">
        <f>1.2*1.2</f>
        <v>1.44</v>
      </c>
      <c r="W72" s="48">
        <v>5555.55555555556</v>
      </c>
      <c r="X72" s="48">
        <v>6000.0</v>
      </c>
      <c r="Y72" s="48">
        <v>10000.0</v>
      </c>
      <c r="Z72" s="48">
        <v>15000.0</v>
      </c>
      <c r="AA72" s="59" t="s">
        <v>62</v>
      </c>
      <c r="AB72" s="48">
        <v>15000.0</v>
      </c>
      <c r="AC72" s="48">
        <v>2.7</v>
      </c>
      <c r="AD72" s="48">
        <v>3.37962962962963</v>
      </c>
      <c r="AE72" s="48">
        <v>3.37962962962963</v>
      </c>
      <c r="AF72" s="64">
        <v>1.61</v>
      </c>
      <c r="AG72" s="41">
        <f>1.2*(1.2+0.3)</f>
        <v>1.8</v>
      </c>
      <c r="AH72" s="41">
        <v>7.45341614906832</v>
      </c>
      <c r="AI72" s="41">
        <f t="shared" si="58"/>
        <v>0.453433642</v>
      </c>
      <c r="AJ72" s="41">
        <v>1.19706481481482</v>
      </c>
    </row>
    <row r="73" ht="32.25" customHeight="1">
      <c r="A73" s="42"/>
      <c r="B73" s="42"/>
      <c r="C73" s="42"/>
      <c r="D73" s="42">
        <v>15.0</v>
      </c>
      <c r="E73" s="54" t="s">
        <v>372</v>
      </c>
      <c r="F73" s="55" t="s">
        <v>373</v>
      </c>
      <c r="G73" s="55" t="s">
        <v>374</v>
      </c>
      <c r="H73" s="55" t="s">
        <v>257</v>
      </c>
      <c r="I73" s="56">
        <f>I58/$E74</f>
        <v>0.006666666667</v>
      </c>
      <c r="J73" s="56">
        <f>I73*5</f>
        <v>0.03333333333</v>
      </c>
      <c r="K73" s="57">
        <f>J73*365</f>
        <v>12.16666667</v>
      </c>
      <c r="L73" s="58" t="s">
        <v>375</v>
      </c>
      <c r="M73" s="48">
        <v>4.0</v>
      </c>
      <c r="N73" s="59" t="s">
        <v>347</v>
      </c>
      <c r="O73" s="59" t="s">
        <v>376</v>
      </c>
      <c r="P73" s="48"/>
      <c r="Q73" s="60">
        <v>3.0</v>
      </c>
      <c r="R73" s="48"/>
      <c r="S73" s="59" t="s">
        <v>377</v>
      </c>
      <c r="T73" s="48"/>
      <c r="U73" s="59" t="s">
        <v>180</v>
      </c>
      <c r="V73" s="48">
        <f>0.3*0.3</f>
        <v>0.09</v>
      </c>
      <c r="W73" s="48">
        <f>10000/V73</f>
        <v>111111.1111</v>
      </c>
      <c r="X73" s="48">
        <v>10000.0</v>
      </c>
      <c r="Y73" s="48">
        <v>15000.0</v>
      </c>
      <c r="Z73" s="48">
        <v>20000.0</v>
      </c>
      <c r="AA73" s="59" t="s">
        <v>62</v>
      </c>
      <c r="AB73" s="48">
        <v>20000.0</v>
      </c>
      <c r="AC73" s="48">
        <f>AB73/W73</f>
        <v>0.18</v>
      </c>
      <c r="AD73" s="48">
        <f>K73/AC73</f>
        <v>67.59259259</v>
      </c>
      <c r="AE73" s="48">
        <f>AD73/Q73</f>
        <v>22.5308642</v>
      </c>
      <c r="AF73" s="64">
        <v>2.31</v>
      </c>
      <c r="AG73" s="41">
        <f>0.3*(0.3+0.3)</f>
        <v>0.18</v>
      </c>
      <c r="AH73" s="41">
        <f>12/AF73</f>
        <v>5.194805195</v>
      </c>
      <c r="AI73" s="41">
        <f t="shared" si="58"/>
        <v>13.01157407</v>
      </c>
      <c r="AJ73" s="41">
        <f>AI73*AG73</f>
        <v>2.342083333</v>
      </c>
    </row>
    <row r="74" ht="20.25" customHeight="1">
      <c r="A74" s="54" t="s">
        <v>63</v>
      </c>
      <c r="B74" s="54" t="s">
        <v>64</v>
      </c>
      <c r="C74" s="42"/>
      <c r="D74" s="42">
        <v>1.5</v>
      </c>
      <c r="E74" s="42">
        <f>$D73</f>
        <v>15</v>
      </c>
      <c r="F74" s="56"/>
      <c r="G74" s="56"/>
      <c r="H74" s="56"/>
      <c r="I74" s="56"/>
      <c r="J74" s="56"/>
      <c r="K74" s="57"/>
      <c r="L74" s="47"/>
      <c r="M74" s="48"/>
      <c r="N74" s="48"/>
      <c r="O74" s="48"/>
      <c r="P74" s="48"/>
      <c r="Q74" s="60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9"/>
      <c r="AF74" s="41"/>
      <c r="AG74" s="41"/>
      <c r="AH74" s="41"/>
      <c r="AI74" s="41"/>
      <c r="AJ74" s="41"/>
    </row>
    <row r="75" ht="20.25" customHeight="1">
      <c r="A75" s="54" t="s">
        <v>63</v>
      </c>
      <c r="B75" s="54" t="s">
        <v>66</v>
      </c>
      <c r="C75" s="54" t="s">
        <v>64</v>
      </c>
      <c r="D75" s="42">
        <v>1.5</v>
      </c>
      <c r="E75" s="42"/>
      <c r="F75" s="56"/>
      <c r="G75" s="56"/>
      <c r="H75" s="56"/>
      <c r="I75" s="56"/>
      <c r="J75" s="56"/>
      <c r="K75" s="57"/>
      <c r="L75" s="47"/>
      <c r="M75" s="48"/>
      <c r="N75" s="48"/>
      <c r="O75" s="48"/>
      <c r="P75" s="48"/>
      <c r="Q75" s="60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9"/>
      <c r="AF75" s="41"/>
      <c r="AG75" s="41"/>
      <c r="AH75" s="41"/>
      <c r="AI75" s="41"/>
      <c r="AJ75" s="41">
        <f>SUM(AJ59:AJ73)</f>
        <v>269.8371366</v>
      </c>
    </row>
    <row r="76" ht="20.25" customHeight="1">
      <c r="A76" s="54" t="s">
        <v>63</v>
      </c>
      <c r="B76" s="54" t="s">
        <v>66</v>
      </c>
      <c r="C76" s="54" t="s">
        <v>378</v>
      </c>
      <c r="D76" s="42">
        <v>1.5</v>
      </c>
      <c r="E76" s="42"/>
      <c r="F76" s="56"/>
      <c r="G76" s="56"/>
      <c r="H76" s="56"/>
      <c r="I76" s="56"/>
      <c r="J76" s="56"/>
      <c r="K76" s="57"/>
      <c r="L76" s="47"/>
      <c r="M76" s="48"/>
      <c r="N76" s="48"/>
      <c r="O76" s="48"/>
      <c r="P76" s="48"/>
      <c r="Q76" s="60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9"/>
      <c r="AF76" s="41"/>
      <c r="AG76" s="41"/>
      <c r="AH76" s="41"/>
      <c r="AI76" s="41"/>
      <c r="AJ76" s="41">
        <f>SUM(AJ11,AJ37,AJ47,AJ56,AJ75)</f>
        <v>895.3214706</v>
      </c>
    </row>
    <row r="77" ht="20.25" customHeight="1">
      <c r="A77" s="42"/>
      <c r="B77" s="43"/>
      <c r="C77" s="43"/>
      <c r="D77" s="43"/>
      <c r="E77" s="44"/>
      <c r="F77" s="45"/>
      <c r="G77" s="45"/>
      <c r="H77" s="45"/>
      <c r="I77" s="45"/>
      <c r="J77" s="45">
        <f t="shared" ref="J77:J82" si="61">I77*5</f>
        <v>0</v>
      </c>
      <c r="K77" s="46">
        <f t="shared" ref="K77:K82" si="62">J77*365</f>
        <v>0</v>
      </c>
      <c r="L77" s="47"/>
      <c r="M77" s="48"/>
      <c r="N77" s="48"/>
      <c r="O77" s="48"/>
      <c r="P77" s="48"/>
      <c r="Q77" s="60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9"/>
      <c r="AF77" s="41"/>
      <c r="AG77" s="41"/>
      <c r="AH77" s="41"/>
      <c r="AI77" s="41"/>
      <c r="AJ77" s="41"/>
    </row>
    <row r="78" ht="20.25" customHeight="1">
      <c r="A78" s="42"/>
      <c r="B78" s="43">
        <v>6.0</v>
      </c>
      <c r="C78" s="43"/>
      <c r="D78" s="43"/>
      <c r="E78" s="44" t="s">
        <v>67</v>
      </c>
      <c r="F78" s="45"/>
      <c r="G78" s="45"/>
      <c r="H78" s="45"/>
      <c r="I78" s="45">
        <v>0.1</v>
      </c>
      <c r="J78" s="45">
        <f t="shared" si="61"/>
        <v>0.5</v>
      </c>
      <c r="K78" s="46">
        <f t="shared" si="62"/>
        <v>182.5</v>
      </c>
      <c r="L78" s="47"/>
      <c r="M78" s="48"/>
      <c r="N78" s="48"/>
      <c r="O78" s="48"/>
      <c r="P78" s="48"/>
      <c r="Q78" s="60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9"/>
      <c r="AF78" s="41"/>
      <c r="AG78" s="41"/>
      <c r="AH78" s="41"/>
      <c r="AI78" s="41"/>
      <c r="AJ78" s="41"/>
    </row>
    <row r="79" ht="20.25" customHeight="1">
      <c r="A79" s="42"/>
      <c r="B79" s="42"/>
      <c r="C79" s="50">
        <v>1.0</v>
      </c>
      <c r="D79" s="50"/>
      <c r="E79" s="51" t="s">
        <v>379</v>
      </c>
      <c r="F79" s="52"/>
      <c r="G79" s="52"/>
      <c r="H79" s="52"/>
      <c r="I79" s="52">
        <v>0.075</v>
      </c>
      <c r="J79" s="52">
        <f t="shared" si="61"/>
        <v>0.375</v>
      </c>
      <c r="K79" s="53">
        <f t="shared" si="62"/>
        <v>136.875</v>
      </c>
      <c r="L79" s="47"/>
      <c r="M79" s="48"/>
      <c r="N79" s="48"/>
      <c r="O79" s="48"/>
      <c r="P79" s="48"/>
      <c r="Q79" s="60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9"/>
      <c r="AF79" s="41"/>
      <c r="AG79" s="41"/>
      <c r="AH79" s="41"/>
      <c r="AI79" s="41"/>
      <c r="AJ79" s="41"/>
    </row>
    <row r="80" ht="32.25" customHeight="1">
      <c r="A80" s="42"/>
      <c r="B80" s="42"/>
      <c r="C80" s="42"/>
      <c r="D80" s="42">
        <v>1.0</v>
      </c>
      <c r="E80" s="54" t="s">
        <v>380</v>
      </c>
      <c r="F80" s="55" t="s">
        <v>381</v>
      </c>
      <c r="G80" s="55" t="s">
        <v>380</v>
      </c>
      <c r="H80" s="55" t="s">
        <v>382</v>
      </c>
      <c r="I80" s="56">
        <f>I79/$E83</f>
        <v>0.025</v>
      </c>
      <c r="J80" s="56">
        <f t="shared" si="61"/>
        <v>0.125</v>
      </c>
      <c r="K80" s="57">
        <f t="shared" si="62"/>
        <v>45.625</v>
      </c>
      <c r="L80" s="58" t="s">
        <v>81</v>
      </c>
      <c r="M80" s="59" t="s">
        <v>73</v>
      </c>
      <c r="N80" s="59" t="s">
        <v>383</v>
      </c>
      <c r="O80" s="59" t="s">
        <v>103</v>
      </c>
      <c r="P80" s="48"/>
      <c r="Q80" s="60">
        <v>2.0</v>
      </c>
      <c r="R80" s="48"/>
      <c r="S80" s="59" t="s">
        <v>61</v>
      </c>
      <c r="T80" s="48"/>
      <c r="U80" s="59" t="s">
        <v>34</v>
      </c>
      <c r="V80" s="48">
        <f>0.45*0.45</f>
        <v>0.2025</v>
      </c>
      <c r="W80" s="48">
        <f t="shared" ref="W80:W82" si="63">10000/V80</f>
        <v>49382.71605</v>
      </c>
      <c r="X80" s="48">
        <v>20000.0</v>
      </c>
      <c r="Y80" s="48">
        <v>30000.0</v>
      </c>
      <c r="Z80" s="48">
        <v>40000.0</v>
      </c>
      <c r="AA80" s="59" t="s">
        <v>62</v>
      </c>
      <c r="AB80" s="48">
        <v>40000.0</v>
      </c>
      <c r="AC80" s="48">
        <f t="shared" ref="AC80:AC82" si="64">AB80/W80</f>
        <v>0.81</v>
      </c>
      <c r="AD80" s="48">
        <f t="shared" ref="AD80:AD82" si="65">K80/AC80</f>
        <v>56.32716049</v>
      </c>
      <c r="AE80" s="48">
        <f t="shared" ref="AE80:AE82" si="66">AD80/Q80</f>
        <v>28.16358025</v>
      </c>
      <c r="AF80" s="64">
        <v>5.3</v>
      </c>
      <c r="AG80" s="41">
        <f t="shared" ref="AG80:AG81" si="67">0.45*(0.45+0.3)</f>
        <v>0.3375</v>
      </c>
      <c r="AH80" s="41">
        <f t="shared" ref="AH80:AH82" si="68">12/AF80</f>
        <v>2.264150943</v>
      </c>
      <c r="AI80" s="41">
        <f t="shared" ref="AI80:AI82" si="69">AD80/AH80</f>
        <v>24.87782922</v>
      </c>
      <c r="AJ80" s="41">
        <f t="shared" ref="AJ80:AJ82" si="70">AI80*AG80</f>
        <v>8.396267361</v>
      </c>
    </row>
    <row r="81" ht="32.25" customHeight="1">
      <c r="A81" s="42"/>
      <c r="B81" s="42"/>
      <c r="C81" s="42"/>
      <c r="D81" s="42">
        <v>2.0</v>
      </c>
      <c r="E81" s="54" t="s">
        <v>384</v>
      </c>
      <c r="F81" s="55" t="s">
        <v>385</v>
      </c>
      <c r="G81" s="55" t="s">
        <v>386</v>
      </c>
      <c r="H81" s="55" t="s">
        <v>387</v>
      </c>
      <c r="I81" s="56">
        <f>I79/$E83</f>
        <v>0.025</v>
      </c>
      <c r="J81" s="56">
        <f t="shared" si="61"/>
        <v>0.125</v>
      </c>
      <c r="K81" s="57">
        <f t="shared" si="62"/>
        <v>45.625</v>
      </c>
      <c r="L81" s="58" t="s">
        <v>375</v>
      </c>
      <c r="M81" s="59" t="s">
        <v>110</v>
      </c>
      <c r="N81" s="59" t="s">
        <v>388</v>
      </c>
      <c r="O81" s="59" t="s">
        <v>265</v>
      </c>
      <c r="P81" s="48"/>
      <c r="Q81" s="60">
        <v>2.0</v>
      </c>
      <c r="R81" s="48"/>
      <c r="S81" s="59" t="s">
        <v>218</v>
      </c>
      <c r="T81" s="48"/>
      <c r="U81" s="59" t="s">
        <v>34</v>
      </c>
      <c r="V81" s="48">
        <f>0.6*0.45</f>
        <v>0.27</v>
      </c>
      <c r="W81" s="48">
        <f t="shared" si="63"/>
        <v>37037.03704</v>
      </c>
      <c r="X81" s="48">
        <v>20000.0</v>
      </c>
      <c r="Y81" s="48">
        <v>30000.0</v>
      </c>
      <c r="Z81" s="48">
        <v>50000.0</v>
      </c>
      <c r="AA81" s="59" t="s">
        <v>62</v>
      </c>
      <c r="AB81" s="48">
        <v>50000.0</v>
      </c>
      <c r="AC81" s="48">
        <f t="shared" si="64"/>
        <v>1.35</v>
      </c>
      <c r="AD81" s="48">
        <f t="shared" si="65"/>
        <v>33.7962963</v>
      </c>
      <c r="AE81" s="48">
        <f t="shared" si="66"/>
        <v>16.89814815</v>
      </c>
      <c r="AF81" s="64">
        <v>11.31</v>
      </c>
      <c r="AG81" s="41">
        <f t="shared" si="67"/>
        <v>0.3375</v>
      </c>
      <c r="AH81" s="41">
        <f t="shared" si="68"/>
        <v>1.061007958</v>
      </c>
      <c r="AI81" s="41">
        <f t="shared" si="69"/>
        <v>31.85300926</v>
      </c>
      <c r="AJ81" s="41">
        <f t="shared" si="70"/>
        <v>10.75039063</v>
      </c>
    </row>
    <row r="82" ht="20.25" customHeight="1">
      <c r="A82" s="42"/>
      <c r="B82" s="42"/>
      <c r="C82" s="42"/>
      <c r="D82" s="42">
        <v>3.0</v>
      </c>
      <c r="E82" s="54" t="s">
        <v>389</v>
      </c>
      <c r="F82" s="55" t="s">
        <v>389</v>
      </c>
      <c r="G82" s="55" t="s">
        <v>390</v>
      </c>
      <c r="H82" s="57"/>
      <c r="I82" s="56">
        <f>I79/$E83</f>
        <v>0.025</v>
      </c>
      <c r="J82" s="56">
        <f t="shared" si="61"/>
        <v>0.125</v>
      </c>
      <c r="K82" s="57">
        <f t="shared" si="62"/>
        <v>45.625</v>
      </c>
      <c r="L82" s="58" t="s">
        <v>127</v>
      </c>
      <c r="M82" s="48">
        <v>12.0</v>
      </c>
      <c r="N82" s="59" t="s">
        <v>391</v>
      </c>
      <c r="O82" s="59" t="s">
        <v>392</v>
      </c>
      <c r="P82" s="48"/>
      <c r="Q82" s="60">
        <v>3.0</v>
      </c>
      <c r="R82" s="48"/>
      <c r="S82" s="59" t="s">
        <v>289</v>
      </c>
      <c r="T82" s="48"/>
      <c r="U82" s="59" t="s">
        <v>34</v>
      </c>
      <c r="V82" s="48">
        <f>0.2*0.3</f>
        <v>0.06</v>
      </c>
      <c r="W82" s="48">
        <f t="shared" si="63"/>
        <v>166666.6667</v>
      </c>
      <c r="X82" s="48">
        <v>15000.0</v>
      </c>
      <c r="Y82" s="48">
        <v>25000.0</v>
      </c>
      <c r="Z82" s="48">
        <v>40000.0</v>
      </c>
      <c r="AA82" s="59" t="s">
        <v>62</v>
      </c>
      <c r="AB82" s="48">
        <v>40000.0</v>
      </c>
      <c r="AC82" s="48">
        <f t="shared" si="64"/>
        <v>0.24</v>
      </c>
      <c r="AD82" s="48">
        <f t="shared" si="65"/>
        <v>190.1041667</v>
      </c>
      <c r="AE82" s="48">
        <f t="shared" si="66"/>
        <v>63.36805556</v>
      </c>
      <c r="AF82" s="64">
        <v>11.31</v>
      </c>
      <c r="AG82" s="41">
        <f>0.2*(0.2+0.3)</f>
        <v>0.1</v>
      </c>
      <c r="AH82" s="41">
        <f t="shared" si="68"/>
        <v>1.061007958</v>
      </c>
      <c r="AI82" s="41">
        <f t="shared" si="69"/>
        <v>179.1731771</v>
      </c>
      <c r="AJ82" s="41">
        <f t="shared" si="70"/>
        <v>17.91731771</v>
      </c>
    </row>
    <row r="83" ht="20.25" customHeight="1">
      <c r="A83" s="54" t="s">
        <v>63</v>
      </c>
      <c r="B83" s="54" t="s">
        <v>64</v>
      </c>
      <c r="C83" s="42"/>
      <c r="D83" s="54" t="s">
        <v>393</v>
      </c>
      <c r="E83" s="42">
        <f>$D82</f>
        <v>3</v>
      </c>
      <c r="F83" s="56"/>
      <c r="G83" s="56"/>
      <c r="H83" s="56"/>
      <c r="I83" s="56"/>
      <c r="J83" s="56"/>
      <c r="K83" s="57"/>
      <c r="L83" s="47"/>
      <c r="M83" s="48"/>
      <c r="N83" s="48"/>
      <c r="O83" s="48"/>
      <c r="P83" s="48"/>
      <c r="Q83" s="60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9"/>
      <c r="AF83" s="41"/>
      <c r="AG83" s="41"/>
      <c r="AH83" s="41"/>
      <c r="AI83" s="41"/>
      <c r="AJ83" s="41"/>
    </row>
    <row r="84" ht="20.25" customHeight="1">
      <c r="A84" s="54" t="s">
        <v>63</v>
      </c>
      <c r="B84" s="54" t="s">
        <v>66</v>
      </c>
      <c r="C84" s="54" t="s">
        <v>64</v>
      </c>
      <c r="D84" s="54" t="s">
        <v>393</v>
      </c>
      <c r="E84" s="42"/>
      <c r="F84" s="56"/>
      <c r="G84" s="56"/>
      <c r="H84" s="56"/>
      <c r="I84" s="56"/>
      <c r="J84" s="56"/>
      <c r="K84" s="57"/>
      <c r="L84" s="47"/>
      <c r="M84" s="48"/>
      <c r="N84" s="48"/>
      <c r="O84" s="48"/>
      <c r="P84" s="48"/>
      <c r="Q84" s="60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9"/>
      <c r="AF84" s="41"/>
      <c r="AG84" s="41"/>
      <c r="AH84" s="41"/>
      <c r="AI84" s="41"/>
      <c r="AJ84" s="41">
        <f>SUM(AJ80:AJ82)</f>
        <v>37.06397569</v>
      </c>
    </row>
    <row r="85" ht="20.25" customHeight="1">
      <c r="A85" s="54"/>
      <c r="B85" s="54"/>
      <c r="C85" s="42"/>
      <c r="D85" s="54"/>
      <c r="E85" s="42"/>
      <c r="F85" s="56"/>
      <c r="G85" s="56"/>
      <c r="H85" s="56"/>
      <c r="I85" s="56"/>
      <c r="J85" s="56"/>
      <c r="K85" s="57"/>
      <c r="L85" s="47"/>
      <c r="M85" s="48"/>
      <c r="N85" s="48"/>
      <c r="O85" s="48"/>
      <c r="P85" s="48"/>
      <c r="Q85" s="60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9"/>
      <c r="AF85" s="41"/>
      <c r="AG85" s="41"/>
      <c r="AH85" s="41"/>
      <c r="AI85" s="41"/>
      <c r="AJ85" s="41"/>
    </row>
    <row r="86" ht="20.25" customHeight="1">
      <c r="A86" s="42"/>
      <c r="B86" s="42"/>
      <c r="C86" s="50">
        <v>2.0</v>
      </c>
      <c r="D86" s="50"/>
      <c r="E86" s="51" t="s">
        <v>394</v>
      </c>
      <c r="F86" s="52"/>
      <c r="G86" s="52"/>
      <c r="H86" s="52"/>
      <c r="I86" s="52">
        <v>0.01</v>
      </c>
      <c r="J86" s="52">
        <f t="shared" ref="J86:J88" si="71">I86*5</f>
        <v>0.05</v>
      </c>
      <c r="K86" s="53">
        <f t="shared" ref="K86:K88" si="72">J86*365</f>
        <v>18.25</v>
      </c>
      <c r="L86" s="47"/>
      <c r="M86" s="48"/>
      <c r="N86" s="48"/>
      <c r="O86" s="48"/>
      <c r="P86" s="48"/>
      <c r="Q86" s="60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9"/>
      <c r="AF86" s="41"/>
      <c r="AG86" s="41"/>
      <c r="AH86" s="41"/>
      <c r="AI86" s="41"/>
      <c r="AJ86" s="41"/>
    </row>
    <row r="87" ht="32.25" customHeight="1">
      <c r="A87" s="42"/>
      <c r="B87" s="42"/>
      <c r="C87" s="42"/>
      <c r="D87" s="42">
        <v>1.0</v>
      </c>
      <c r="E87" s="54" t="s">
        <v>395</v>
      </c>
      <c r="F87" s="55" t="s">
        <v>396</v>
      </c>
      <c r="G87" s="55" t="s">
        <v>397</v>
      </c>
      <c r="H87" s="55" t="s">
        <v>398</v>
      </c>
      <c r="I87" s="56">
        <v>0.005</v>
      </c>
      <c r="J87" s="56">
        <f t="shared" si="71"/>
        <v>0.025</v>
      </c>
      <c r="K87" s="57">
        <f t="shared" si="72"/>
        <v>9.125</v>
      </c>
      <c r="L87" s="58" t="s">
        <v>360</v>
      </c>
      <c r="M87" s="59" t="s">
        <v>55</v>
      </c>
      <c r="N87" s="59" t="s">
        <v>120</v>
      </c>
      <c r="O87" s="59" t="s">
        <v>399</v>
      </c>
      <c r="P87" s="48"/>
      <c r="Q87" s="60">
        <v>1.0</v>
      </c>
      <c r="R87" s="48"/>
      <c r="S87" s="59" t="s">
        <v>400</v>
      </c>
      <c r="T87" s="48"/>
      <c r="U87" s="59" t="s">
        <v>34</v>
      </c>
      <c r="V87" s="48">
        <f>0.15*0.1</f>
        <v>0.015</v>
      </c>
      <c r="W87" s="48">
        <f t="shared" ref="W87:W88" si="73">10000/V87</f>
        <v>666666.6667</v>
      </c>
      <c r="X87" s="48">
        <v>3000.0</v>
      </c>
      <c r="Y87" s="48">
        <v>6000.0</v>
      </c>
      <c r="Z87" s="48">
        <v>9000.0</v>
      </c>
      <c r="AA87" s="59" t="s">
        <v>62</v>
      </c>
      <c r="AB87" s="48">
        <v>9000.0</v>
      </c>
      <c r="AC87" s="48">
        <f t="shared" ref="AC87:AC88" si="74">AB87/W87</f>
        <v>0.0135</v>
      </c>
      <c r="AD87" s="48">
        <f t="shared" ref="AD87:AD88" si="75">K87/AC87</f>
        <v>675.9259259</v>
      </c>
      <c r="AE87" s="48">
        <f t="shared" ref="AE87:AE88" si="76">AD87/Q87</f>
        <v>675.9259259</v>
      </c>
      <c r="AF87" s="64">
        <v>2.81</v>
      </c>
      <c r="AG87" s="41">
        <f>0.1*(0.1+0.3)</f>
        <v>0.04</v>
      </c>
      <c r="AH87" s="41">
        <f t="shared" ref="AH87:AH88" si="77">12/AF87</f>
        <v>4.270462633</v>
      </c>
      <c r="AI87" s="41">
        <f t="shared" ref="AI87:AI88" si="78">AD87/AH87</f>
        <v>158.279321</v>
      </c>
      <c r="AJ87" s="41">
        <f t="shared" ref="AJ87:AJ88" si="79">AI87*AG87</f>
        <v>6.33117284</v>
      </c>
    </row>
    <row r="88" ht="20.25" customHeight="1">
      <c r="A88" s="42"/>
      <c r="B88" s="42"/>
      <c r="C88" s="42"/>
      <c r="D88" s="42">
        <v>2.0</v>
      </c>
      <c r="E88" s="54" t="s">
        <v>401</v>
      </c>
      <c r="F88" s="55" t="s">
        <v>402</v>
      </c>
      <c r="G88" s="55" t="s">
        <v>403</v>
      </c>
      <c r="H88" s="57"/>
      <c r="I88" s="56">
        <v>0.005</v>
      </c>
      <c r="J88" s="56">
        <f t="shared" si="71"/>
        <v>0.025</v>
      </c>
      <c r="K88" s="57">
        <f t="shared" si="72"/>
        <v>9.125</v>
      </c>
      <c r="L88" s="58" t="s">
        <v>404</v>
      </c>
      <c r="M88" s="48">
        <v>12.0</v>
      </c>
      <c r="N88" s="59" t="s">
        <v>405</v>
      </c>
      <c r="O88" s="59" t="s">
        <v>406</v>
      </c>
      <c r="P88" s="48"/>
      <c r="Q88" s="60">
        <v>1.0</v>
      </c>
      <c r="R88" s="48"/>
      <c r="S88" s="69" t="s">
        <v>552</v>
      </c>
      <c r="T88" s="48"/>
      <c r="U88" s="59" t="s">
        <v>34</v>
      </c>
      <c r="V88" s="48">
        <f>0.2*0.25</f>
        <v>0.05</v>
      </c>
      <c r="W88" s="48">
        <f t="shared" si="73"/>
        <v>200000</v>
      </c>
      <c r="X88" s="48">
        <v>4000.0</v>
      </c>
      <c r="Y88" s="48">
        <v>8000.0</v>
      </c>
      <c r="Z88" s="48">
        <v>12000.0</v>
      </c>
      <c r="AA88" s="59" t="s">
        <v>62</v>
      </c>
      <c r="AB88" s="48">
        <v>12000.0</v>
      </c>
      <c r="AC88" s="48">
        <f t="shared" si="74"/>
        <v>0.06</v>
      </c>
      <c r="AD88" s="48">
        <f t="shared" si="75"/>
        <v>152.0833333</v>
      </c>
      <c r="AE88" s="48">
        <f t="shared" si="76"/>
        <v>152.0833333</v>
      </c>
      <c r="AF88" s="64">
        <v>8.31</v>
      </c>
      <c r="AG88" s="41">
        <f>0.2*(0.2+0.3)</f>
        <v>0.1</v>
      </c>
      <c r="AH88" s="41">
        <f t="shared" si="77"/>
        <v>1.444043321</v>
      </c>
      <c r="AI88" s="41">
        <f t="shared" si="78"/>
        <v>105.3177083</v>
      </c>
      <c r="AJ88" s="41">
        <f t="shared" si="79"/>
        <v>10.53177083</v>
      </c>
    </row>
    <row r="89" ht="20.25" customHeight="1">
      <c r="A89" s="54" t="s">
        <v>63</v>
      </c>
      <c r="B89" s="54" t="s">
        <v>64</v>
      </c>
      <c r="C89" s="42"/>
      <c r="D89" s="54" t="s">
        <v>408</v>
      </c>
      <c r="E89" s="42">
        <f>$D88</f>
        <v>2</v>
      </c>
      <c r="F89" s="56"/>
      <c r="G89" s="56"/>
      <c r="H89" s="56"/>
      <c r="I89" s="56"/>
      <c r="J89" s="56"/>
      <c r="K89" s="57"/>
      <c r="L89" s="47"/>
      <c r="M89" s="48"/>
      <c r="N89" s="48"/>
      <c r="O89" s="48"/>
      <c r="P89" s="48"/>
      <c r="Q89" s="60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9"/>
      <c r="AF89" s="41"/>
      <c r="AG89" s="41"/>
      <c r="AH89" s="41"/>
      <c r="AI89" s="41"/>
      <c r="AJ89" s="41"/>
    </row>
    <row r="90" ht="20.25" customHeight="1">
      <c r="A90" s="54" t="s">
        <v>63</v>
      </c>
      <c r="B90" s="54" t="s">
        <v>66</v>
      </c>
      <c r="C90" s="54" t="s">
        <v>64</v>
      </c>
      <c r="D90" s="54" t="s">
        <v>408</v>
      </c>
      <c r="E90" s="42"/>
      <c r="F90" s="56"/>
      <c r="G90" s="56"/>
      <c r="H90" s="56"/>
      <c r="I90" s="56"/>
      <c r="J90" s="56"/>
      <c r="K90" s="57"/>
      <c r="L90" s="47"/>
      <c r="M90" s="48"/>
      <c r="N90" s="48"/>
      <c r="O90" s="48"/>
      <c r="P90" s="48"/>
      <c r="Q90" s="60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9"/>
      <c r="AF90" s="41"/>
      <c r="AG90" s="41"/>
      <c r="AH90" s="41"/>
      <c r="AI90" s="41"/>
      <c r="AJ90" s="41">
        <f>SUM(AJ87:AJ88)</f>
        <v>16.86294367</v>
      </c>
    </row>
    <row r="91" ht="20.25" customHeight="1">
      <c r="A91" s="54"/>
      <c r="B91" s="54"/>
      <c r="C91" s="42"/>
      <c r="D91" s="54"/>
      <c r="E91" s="42"/>
      <c r="F91" s="56"/>
      <c r="G91" s="56"/>
      <c r="H91" s="56"/>
      <c r="I91" s="56"/>
      <c r="J91" s="56"/>
      <c r="K91" s="57"/>
      <c r="L91" s="47"/>
      <c r="M91" s="48"/>
      <c r="N91" s="48"/>
      <c r="O91" s="48"/>
      <c r="P91" s="48"/>
      <c r="Q91" s="60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9"/>
      <c r="AF91" s="41"/>
      <c r="AG91" s="41"/>
      <c r="AH91" s="41"/>
      <c r="AI91" s="41"/>
      <c r="AJ91" s="41"/>
    </row>
    <row r="92" ht="20.25" customHeight="1">
      <c r="A92" s="42"/>
      <c r="B92" s="42"/>
      <c r="C92" s="50">
        <v>3.0</v>
      </c>
      <c r="D92" s="50"/>
      <c r="E92" s="51" t="s">
        <v>409</v>
      </c>
      <c r="F92" s="52"/>
      <c r="G92" s="52"/>
      <c r="H92" s="52"/>
      <c r="I92" s="52">
        <v>0.015</v>
      </c>
      <c r="J92" s="52">
        <f t="shared" ref="J92:J95" si="80">I92*5</f>
        <v>0.075</v>
      </c>
      <c r="K92" s="53">
        <f t="shared" ref="K92:K95" si="81">J92*365</f>
        <v>27.375</v>
      </c>
      <c r="L92" s="47"/>
      <c r="M92" s="48"/>
      <c r="N92" s="48"/>
      <c r="O92" s="48"/>
      <c r="P92" s="48"/>
      <c r="Q92" s="60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9"/>
      <c r="AF92" s="41"/>
      <c r="AG92" s="41"/>
      <c r="AH92" s="41"/>
      <c r="AI92" s="41"/>
      <c r="AJ92" s="41"/>
    </row>
    <row r="93" ht="20.25" customHeight="1">
      <c r="A93" s="42"/>
      <c r="B93" s="42"/>
      <c r="C93" s="42"/>
      <c r="D93" s="42">
        <v>1.0</v>
      </c>
      <c r="E93" s="54" t="s">
        <v>410</v>
      </c>
      <c r="F93" s="55" t="s">
        <v>411</v>
      </c>
      <c r="G93" s="55" t="s">
        <v>412</v>
      </c>
      <c r="H93" s="55" t="s">
        <v>413</v>
      </c>
      <c r="I93" s="56">
        <f>I92/$E96</f>
        <v>0.005</v>
      </c>
      <c r="J93" s="56">
        <f t="shared" si="80"/>
        <v>0.025</v>
      </c>
      <c r="K93" s="57">
        <f t="shared" si="81"/>
        <v>9.125</v>
      </c>
      <c r="L93" s="58" t="s">
        <v>414</v>
      </c>
      <c r="M93" s="48">
        <v>6.0</v>
      </c>
      <c r="N93" s="59" t="s">
        <v>415</v>
      </c>
      <c r="O93" s="59" t="s">
        <v>416</v>
      </c>
      <c r="P93" s="48"/>
      <c r="Q93" s="60">
        <v>2.0</v>
      </c>
      <c r="R93" s="48"/>
      <c r="S93" s="59" t="s">
        <v>237</v>
      </c>
      <c r="T93" s="48"/>
      <c r="U93" s="59" t="s">
        <v>34</v>
      </c>
      <c r="V93" s="48">
        <f>0.3*0.45</f>
        <v>0.135</v>
      </c>
      <c r="W93" s="48">
        <f t="shared" ref="W93:W95" si="82">10000/V93</f>
        <v>74074.07407</v>
      </c>
      <c r="X93" s="48">
        <v>10000.0</v>
      </c>
      <c r="Y93" s="48">
        <v>15000.0</v>
      </c>
      <c r="Z93" s="48">
        <v>20000.0</v>
      </c>
      <c r="AA93" s="59" t="s">
        <v>62</v>
      </c>
      <c r="AB93" s="48">
        <v>20000.0</v>
      </c>
      <c r="AC93" s="48">
        <f t="shared" ref="AC93:AC95" si="83">AB93/W93</f>
        <v>0.27</v>
      </c>
      <c r="AD93" s="48">
        <f t="shared" ref="AD93:AD95" si="84">K93/AC93</f>
        <v>33.7962963</v>
      </c>
      <c r="AE93" s="48">
        <f t="shared" ref="AE93:AE95" si="85">AD93/Q93</f>
        <v>16.89814815</v>
      </c>
      <c r="AF93" s="64">
        <v>5.31</v>
      </c>
      <c r="AG93" s="41">
        <f>0.3*(0.3+0.3)</f>
        <v>0.18</v>
      </c>
      <c r="AH93" s="41">
        <f t="shared" ref="AH93:AH95" si="86">12/AF93</f>
        <v>2.259887006</v>
      </c>
      <c r="AI93" s="41">
        <f t="shared" ref="AI93:AI95" si="87">AD93/AH93</f>
        <v>14.95486111</v>
      </c>
      <c r="AJ93" s="41">
        <f t="shared" ref="AJ93:AJ95" si="88">AI93*AG93</f>
        <v>2.691875</v>
      </c>
    </row>
    <row r="94" ht="32.25" customHeight="1">
      <c r="A94" s="42"/>
      <c r="B94" s="42"/>
      <c r="C94" s="42"/>
      <c r="D94" s="42">
        <v>2.0</v>
      </c>
      <c r="E94" s="54" t="s">
        <v>417</v>
      </c>
      <c r="F94" s="55" t="s">
        <v>417</v>
      </c>
      <c r="G94" s="55" t="s">
        <v>418</v>
      </c>
      <c r="H94" s="55" t="s">
        <v>132</v>
      </c>
      <c r="I94" s="56">
        <f>I92/$E96</f>
        <v>0.005</v>
      </c>
      <c r="J94" s="56">
        <f t="shared" si="80"/>
        <v>0.025</v>
      </c>
      <c r="K94" s="57">
        <f t="shared" si="81"/>
        <v>9.125</v>
      </c>
      <c r="L94" s="58" t="s">
        <v>151</v>
      </c>
      <c r="M94" s="59" t="s">
        <v>55</v>
      </c>
      <c r="N94" s="59" t="s">
        <v>159</v>
      </c>
      <c r="O94" s="59" t="s">
        <v>103</v>
      </c>
      <c r="P94" s="48"/>
      <c r="Q94" s="60">
        <v>6.0</v>
      </c>
      <c r="R94" s="48"/>
      <c r="S94" s="59" t="s">
        <v>61</v>
      </c>
      <c r="T94" s="48"/>
      <c r="U94" s="59" t="s">
        <v>34</v>
      </c>
      <c r="V94" s="48">
        <f>0.45*0.45</f>
        <v>0.2025</v>
      </c>
      <c r="W94" s="48">
        <f t="shared" si="82"/>
        <v>49382.71605</v>
      </c>
      <c r="X94" s="48">
        <v>1500.0</v>
      </c>
      <c r="Y94" s="48">
        <v>3000.0</v>
      </c>
      <c r="Z94" s="48">
        <v>5000.0</v>
      </c>
      <c r="AA94" s="59" t="s">
        <v>62</v>
      </c>
      <c r="AB94" s="48">
        <v>5000.0</v>
      </c>
      <c r="AC94" s="48">
        <f t="shared" si="83"/>
        <v>0.10125</v>
      </c>
      <c r="AD94" s="48">
        <f t="shared" si="84"/>
        <v>90.12345679</v>
      </c>
      <c r="AE94" s="48">
        <f t="shared" si="85"/>
        <v>15.02057613</v>
      </c>
      <c r="AF94" s="64">
        <v>2.31</v>
      </c>
      <c r="AG94" s="41">
        <f>0.45*(0.45+0.3)</f>
        <v>0.3375</v>
      </c>
      <c r="AH94" s="41">
        <f t="shared" si="86"/>
        <v>5.194805195</v>
      </c>
      <c r="AI94" s="41">
        <f t="shared" si="87"/>
        <v>17.34876543</v>
      </c>
      <c r="AJ94" s="41">
        <f t="shared" si="88"/>
        <v>5.855208333</v>
      </c>
    </row>
    <row r="95" ht="32.25" customHeight="1">
      <c r="A95" s="42"/>
      <c r="B95" s="42"/>
      <c r="C95" s="42"/>
      <c r="D95" s="42">
        <v>3.0</v>
      </c>
      <c r="E95" s="54" t="s">
        <v>419</v>
      </c>
      <c r="F95" s="55" t="s">
        <v>420</v>
      </c>
      <c r="G95" s="55" t="s">
        <v>421</v>
      </c>
      <c r="H95" s="57"/>
      <c r="I95" s="56">
        <f>I92/$E96</f>
        <v>0.005</v>
      </c>
      <c r="J95" s="56">
        <f t="shared" si="80"/>
        <v>0.025</v>
      </c>
      <c r="K95" s="57">
        <f t="shared" si="81"/>
        <v>9.125</v>
      </c>
      <c r="L95" s="58" t="s">
        <v>151</v>
      </c>
      <c r="M95" s="59" t="s">
        <v>55</v>
      </c>
      <c r="N95" s="59" t="s">
        <v>422</v>
      </c>
      <c r="O95" s="59" t="s">
        <v>423</v>
      </c>
      <c r="P95" s="48"/>
      <c r="Q95" s="60">
        <v>3.0</v>
      </c>
      <c r="R95" s="48"/>
      <c r="S95" s="59" t="s">
        <v>138</v>
      </c>
      <c r="T95" s="48"/>
      <c r="U95" s="59" t="s">
        <v>34</v>
      </c>
      <c r="V95" s="48">
        <f>0.2*0.2</f>
        <v>0.04</v>
      </c>
      <c r="W95" s="48">
        <f t="shared" si="82"/>
        <v>250000</v>
      </c>
      <c r="X95" s="48">
        <v>3000.0</v>
      </c>
      <c r="Y95" s="48">
        <v>5000.0</v>
      </c>
      <c r="Z95" s="48">
        <v>7000.0</v>
      </c>
      <c r="AA95" s="59" t="s">
        <v>62</v>
      </c>
      <c r="AB95" s="48">
        <v>7000.0</v>
      </c>
      <c r="AC95" s="48">
        <f t="shared" si="83"/>
        <v>0.028</v>
      </c>
      <c r="AD95" s="48">
        <f t="shared" si="84"/>
        <v>325.8928571</v>
      </c>
      <c r="AE95" s="48">
        <f t="shared" si="85"/>
        <v>108.6309524</v>
      </c>
      <c r="AF95" s="64">
        <v>3.31</v>
      </c>
      <c r="AG95" s="41">
        <f>0.2*(0.2+0.3)</f>
        <v>0.1</v>
      </c>
      <c r="AH95" s="41">
        <f t="shared" si="86"/>
        <v>3.625377644</v>
      </c>
      <c r="AI95" s="41">
        <f t="shared" si="87"/>
        <v>89.8921131</v>
      </c>
      <c r="AJ95" s="41">
        <f t="shared" si="88"/>
        <v>8.98921131</v>
      </c>
    </row>
    <row r="96" ht="20.25" customHeight="1">
      <c r="A96" s="54" t="s">
        <v>424</v>
      </c>
      <c r="B96" s="54" t="s">
        <v>64</v>
      </c>
      <c r="C96" s="42"/>
      <c r="D96" s="54" t="s">
        <v>425</v>
      </c>
      <c r="E96" s="42">
        <f>$D95</f>
        <v>3</v>
      </c>
      <c r="F96" s="56"/>
      <c r="G96" s="56"/>
      <c r="H96" s="56"/>
      <c r="I96" s="56"/>
      <c r="J96" s="56"/>
      <c r="K96" s="57"/>
      <c r="L96" s="47"/>
      <c r="M96" s="48"/>
      <c r="N96" s="48"/>
      <c r="O96" s="48"/>
      <c r="P96" s="48"/>
      <c r="Q96" s="60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9"/>
      <c r="AF96" s="41"/>
      <c r="AG96" s="41"/>
      <c r="AH96" s="41"/>
      <c r="AI96" s="41"/>
      <c r="AJ96" s="41"/>
    </row>
    <row r="97" ht="20.25" customHeight="1">
      <c r="A97" s="54" t="s">
        <v>63</v>
      </c>
      <c r="B97" s="54" t="s">
        <v>66</v>
      </c>
      <c r="C97" s="54" t="s">
        <v>64</v>
      </c>
      <c r="D97" s="54" t="s">
        <v>425</v>
      </c>
      <c r="E97" s="42">
        <f>$E83+$E89+$E96</f>
        <v>8</v>
      </c>
      <c r="F97" s="56"/>
      <c r="G97" s="56"/>
      <c r="H97" s="56"/>
      <c r="I97" s="56"/>
      <c r="J97" s="56"/>
      <c r="K97" s="57"/>
      <c r="L97" s="47"/>
      <c r="M97" s="48"/>
      <c r="N97" s="48"/>
      <c r="O97" s="48"/>
      <c r="P97" s="48"/>
      <c r="Q97" s="60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9"/>
      <c r="AF97" s="41"/>
      <c r="AG97" s="41"/>
      <c r="AH97" s="41"/>
      <c r="AI97" s="41"/>
      <c r="AJ97" s="41">
        <f>SUM(AJ93:AJ95)</f>
        <v>17.53629464</v>
      </c>
    </row>
    <row r="98" ht="20.25" customHeight="1">
      <c r="A98" s="54" t="s">
        <v>63</v>
      </c>
      <c r="B98" s="54" t="s">
        <v>66</v>
      </c>
      <c r="C98" s="54" t="s">
        <v>64</v>
      </c>
      <c r="D98" s="42">
        <v>1.6</v>
      </c>
      <c r="E98" s="42"/>
      <c r="F98" s="56"/>
      <c r="G98" s="56"/>
      <c r="H98" s="56"/>
      <c r="I98" s="56"/>
      <c r="J98" s="56"/>
      <c r="K98" s="57"/>
      <c r="L98" s="47"/>
      <c r="M98" s="48"/>
      <c r="N98" s="48"/>
      <c r="O98" s="48"/>
      <c r="P98" s="48"/>
      <c r="Q98" s="60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9"/>
      <c r="AF98" s="41"/>
      <c r="AG98" s="41"/>
      <c r="AH98" s="41"/>
      <c r="AI98" s="41"/>
      <c r="AJ98" s="41">
        <f>SUM(AJ84,AJ90,AJ97)</f>
        <v>71.46321401</v>
      </c>
    </row>
    <row r="99" ht="20.25" customHeight="1">
      <c r="A99" s="42"/>
      <c r="B99" s="42"/>
      <c r="C99" s="42"/>
      <c r="D99" s="42"/>
      <c r="E99" s="42"/>
      <c r="F99" s="56"/>
      <c r="G99" s="56"/>
      <c r="H99" s="56"/>
      <c r="I99" s="56"/>
      <c r="J99" s="56"/>
      <c r="K99" s="57"/>
      <c r="L99" s="47"/>
      <c r="M99" s="48"/>
      <c r="N99" s="48"/>
      <c r="O99" s="48"/>
      <c r="P99" s="48"/>
      <c r="Q99" s="60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9"/>
      <c r="AF99" s="41"/>
      <c r="AG99" s="41"/>
      <c r="AH99" s="41"/>
      <c r="AI99" s="41"/>
      <c r="AJ99" s="41"/>
    </row>
    <row r="100" ht="20.25" customHeight="1">
      <c r="A100" s="42"/>
      <c r="B100" s="43">
        <v>7.0</v>
      </c>
      <c r="C100" s="43"/>
      <c r="D100" s="43"/>
      <c r="E100" s="44" t="s">
        <v>426</v>
      </c>
      <c r="F100" s="45"/>
      <c r="G100" s="45"/>
      <c r="H100" s="45"/>
      <c r="I100" s="45">
        <v>0.01</v>
      </c>
      <c r="J100" s="45">
        <f t="shared" ref="J100:J101" si="89">I100*5</f>
        <v>0.05</v>
      </c>
      <c r="K100" s="46">
        <f t="shared" ref="K100:K101" si="90">J100*365</f>
        <v>18.25</v>
      </c>
      <c r="L100" s="47"/>
      <c r="M100" s="48"/>
      <c r="N100" s="48"/>
      <c r="O100" s="48"/>
      <c r="P100" s="48"/>
      <c r="Q100" s="60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9"/>
      <c r="AF100" s="41"/>
      <c r="AG100" s="41"/>
      <c r="AH100" s="41"/>
      <c r="AI100" s="41"/>
      <c r="AJ100" s="41"/>
    </row>
    <row r="101" ht="20.25" customHeight="1">
      <c r="A101" s="42"/>
      <c r="B101" s="42"/>
      <c r="C101" s="42"/>
      <c r="D101" s="42">
        <v>1.0</v>
      </c>
      <c r="E101" s="54" t="s">
        <v>427</v>
      </c>
      <c r="F101" s="55" t="s">
        <v>428</v>
      </c>
      <c r="G101" s="55" t="s">
        <v>429</v>
      </c>
      <c r="H101" s="55" t="s">
        <v>430</v>
      </c>
      <c r="I101" s="56">
        <f>I100/$E102</f>
        <v>0.01</v>
      </c>
      <c r="J101" s="56">
        <f t="shared" si="89"/>
        <v>0.05</v>
      </c>
      <c r="K101" s="57">
        <f t="shared" si="90"/>
        <v>18.25</v>
      </c>
      <c r="L101" s="58" t="s">
        <v>176</v>
      </c>
      <c r="M101" s="48">
        <v>12.0</v>
      </c>
      <c r="N101" s="59" t="s">
        <v>431</v>
      </c>
      <c r="O101" s="59" t="s">
        <v>432</v>
      </c>
      <c r="P101" s="48"/>
      <c r="Q101" s="60">
        <v>1.0</v>
      </c>
      <c r="R101" s="48"/>
      <c r="S101" s="59" t="s">
        <v>433</v>
      </c>
      <c r="T101" s="48"/>
      <c r="U101" s="59" t="s">
        <v>34</v>
      </c>
      <c r="V101" s="48">
        <f>2*2.5</f>
        <v>5</v>
      </c>
      <c r="W101" s="48">
        <f>10000/V101</f>
        <v>2000</v>
      </c>
      <c r="X101" s="48">
        <v>5000.0</v>
      </c>
      <c r="Y101" s="48">
        <v>8000.0</v>
      </c>
      <c r="Z101" s="48">
        <v>12000.0</v>
      </c>
      <c r="AA101" s="59" t="s">
        <v>62</v>
      </c>
      <c r="AB101" s="48">
        <v>12000.0</v>
      </c>
      <c r="AC101" s="48">
        <f>AB101/W101</f>
        <v>6</v>
      </c>
      <c r="AD101" s="48">
        <f>K101/AC101</f>
        <v>3.041666667</v>
      </c>
      <c r="AE101" s="48">
        <f>AD101/Q101</f>
        <v>3.041666667</v>
      </c>
      <c r="AF101" s="64">
        <v>11.31</v>
      </c>
      <c r="AG101" s="41">
        <f>2*(2+0.3)</f>
        <v>4.6</v>
      </c>
      <c r="AH101" s="41">
        <f>12/AF101</f>
        <v>1.061007958</v>
      </c>
      <c r="AI101" s="41">
        <f>AD101/AH101</f>
        <v>2.866770833</v>
      </c>
      <c r="AJ101" s="41">
        <f>AI101*AG101</f>
        <v>13.18714583</v>
      </c>
    </row>
    <row r="102" ht="20.25" customHeight="1">
      <c r="A102" s="54" t="s">
        <v>63</v>
      </c>
      <c r="B102" s="54" t="s">
        <v>64</v>
      </c>
      <c r="C102" s="42"/>
      <c r="D102" s="42">
        <v>1.7</v>
      </c>
      <c r="E102" s="42">
        <f>$D101</f>
        <v>1</v>
      </c>
      <c r="F102" s="57"/>
      <c r="G102" s="57"/>
      <c r="H102" s="57"/>
      <c r="I102" s="56"/>
      <c r="J102" s="56"/>
      <c r="K102" s="57"/>
      <c r="L102" s="47"/>
      <c r="M102" s="48"/>
      <c r="N102" s="48"/>
      <c r="O102" s="48"/>
      <c r="P102" s="48"/>
      <c r="Q102" s="60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9"/>
      <c r="AF102" s="41"/>
      <c r="AG102" s="41"/>
      <c r="AH102" s="41"/>
      <c r="AI102" s="41"/>
      <c r="AJ102" s="41"/>
    </row>
    <row r="103" ht="20.25" customHeight="1">
      <c r="A103" s="54" t="s">
        <v>63</v>
      </c>
      <c r="B103" s="54" t="s">
        <v>66</v>
      </c>
      <c r="C103" s="54" t="s">
        <v>64</v>
      </c>
      <c r="D103" s="42">
        <v>1.7</v>
      </c>
      <c r="E103" s="42">
        <f>$E19+$E36+$E46+$E55+$E74+$E97+$E102</f>
        <v>53</v>
      </c>
      <c r="F103" s="56"/>
      <c r="G103" s="56"/>
      <c r="H103" s="56"/>
      <c r="I103" s="56"/>
      <c r="J103" s="56"/>
      <c r="K103" s="57"/>
      <c r="L103" s="47"/>
      <c r="M103" s="48"/>
      <c r="N103" s="48"/>
      <c r="O103" s="48"/>
      <c r="P103" s="48"/>
      <c r="Q103" s="60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9"/>
      <c r="AF103" s="41"/>
      <c r="AG103" s="41"/>
      <c r="AH103" s="41"/>
      <c r="AI103" s="41"/>
      <c r="AJ103" s="41">
        <f>SUM(AJ101)</f>
        <v>13.18714583</v>
      </c>
    </row>
    <row r="104" ht="20.25" customHeight="1">
      <c r="A104" s="54" t="s">
        <v>63</v>
      </c>
      <c r="B104" s="54" t="s">
        <v>66</v>
      </c>
      <c r="C104" s="54" t="s">
        <v>64</v>
      </c>
      <c r="D104" s="54" t="s">
        <v>434</v>
      </c>
      <c r="E104" s="42"/>
      <c r="F104" s="56"/>
      <c r="G104" s="56"/>
      <c r="H104" s="56"/>
      <c r="I104" s="56"/>
      <c r="J104" s="56"/>
      <c r="K104" s="57"/>
      <c r="L104" s="47"/>
      <c r="M104" s="48"/>
      <c r="N104" s="48"/>
      <c r="O104" s="48"/>
      <c r="P104" s="48"/>
      <c r="Q104" s="60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9"/>
      <c r="AF104" s="41"/>
      <c r="AG104" s="41"/>
      <c r="AH104" s="41"/>
      <c r="AI104" s="41"/>
      <c r="AJ104" s="41">
        <f>SUM(AJ98,AJ103)</f>
        <v>84.65035984</v>
      </c>
    </row>
    <row r="105" ht="20.25" customHeight="1">
      <c r="A105" s="42"/>
      <c r="B105" s="42"/>
      <c r="C105" s="42"/>
      <c r="D105" s="42"/>
      <c r="E105" s="42"/>
      <c r="F105" s="56"/>
      <c r="G105" s="56"/>
      <c r="H105" s="56"/>
      <c r="I105" s="56"/>
      <c r="J105" s="56"/>
      <c r="K105" s="57"/>
      <c r="L105" s="47"/>
      <c r="M105" s="48"/>
      <c r="N105" s="48"/>
      <c r="O105" s="48"/>
      <c r="P105" s="48"/>
      <c r="Q105" s="60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9"/>
      <c r="AF105" s="41"/>
      <c r="AG105" s="41"/>
      <c r="AH105" s="41"/>
      <c r="AI105" s="41"/>
      <c r="AJ105" s="41"/>
    </row>
    <row r="106" ht="20.25" customHeight="1">
      <c r="A106" s="35">
        <v>2.0</v>
      </c>
      <c r="B106" s="35"/>
      <c r="C106" s="35"/>
      <c r="D106" s="35"/>
      <c r="E106" s="34" t="s">
        <v>435</v>
      </c>
      <c r="F106" s="36"/>
      <c r="G106" s="36"/>
      <c r="H106" s="36"/>
      <c r="I106" s="36">
        <v>0.01</v>
      </c>
      <c r="J106" s="36">
        <f t="shared" ref="J106:J117" si="91">I106*5</f>
        <v>0.05</v>
      </c>
      <c r="K106" s="37">
        <f t="shared" ref="K106:K117" si="92">J106*365</f>
        <v>18.25</v>
      </c>
      <c r="L106" s="47"/>
      <c r="M106" s="48"/>
      <c r="N106" s="48"/>
      <c r="O106" s="48"/>
      <c r="P106" s="48"/>
      <c r="Q106" s="60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9"/>
      <c r="AF106" s="41"/>
      <c r="AG106" s="41"/>
      <c r="AH106" s="41"/>
      <c r="AI106" s="41"/>
      <c r="AJ106" s="41"/>
    </row>
    <row r="107" ht="32.25" customHeight="1">
      <c r="A107" s="42"/>
      <c r="B107" s="42"/>
      <c r="C107" s="42"/>
      <c r="D107" s="42">
        <v>1.0</v>
      </c>
      <c r="E107" s="54" t="s">
        <v>436</v>
      </c>
      <c r="F107" s="55" t="s">
        <v>436</v>
      </c>
      <c r="G107" s="55" t="s">
        <v>437</v>
      </c>
      <c r="H107" s="55" t="s">
        <v>438</v>
      </c>
      <c r="I107" s="56">
        <f>I106/$E118</f>
        <v>0.0009090909091</v>
      </c>
      <c r="J107" s="56">
        <f t="shared" si="91"/>
        <v>0.004545454545</v>
      </c>
      <c r="K107" s="57">
        <f t="shared" si="92"/>
        <v>1.659090909</v>
      </c>
      <c r="L107" s="58" t="s">
        <v>439</v>
      </c>
      <c r="M107" s="59" t="s">
        <v>128</v>
      </c>
      <c r="N107" s="59" t="s">
        <v>198</v>
      </c>
      <c r="O107" s="59" t="s">
        <v>362</v>
      </c>
      <c r="P107" s="48"/>
      <c r="Q107" s="60">
        <v>3.0</v>
      </c>
      <c r="R107" s="48"/>
      <c r="S107" s="59" t="s">
        <v>440</v>
      </c>
      <c r="T107" s="48"/>
      <c r="U107" s="59" t="s">
        <v>34</v>
      </c>
      <c r="V107" s="48">
        <f t="shared" ref="V107:V108" si="93">0.3*0.1</f>
        <v>0.03</v>
      </c>
      <c r="W107" s="48">
        <f t="shared" ref="W107:W117" si="94">10000/V107</f>
        <v>333333.3333</v>
      </c>
      <c r="X107" s="48">
        <v>1000.0</v>
      </c>
      <c r="Y107" s="48">
        <v>2000.0</v>
      </c>
      <c r="Z107" s="48">
        <v>4000.0</v>
      </c>
      <c r="AA107" s="59" t="s">
        <v>62</v>
      </c>
      <c r="AB107" s="48">
        <v>4000.0</v>
      </c>
      <c r="AC107" s="48">
        <f t="shared" ref="AC107:AC117" si="95">AB107/W107</f>
        <v>0.012</v>
      </c>
      <c r="AD107" s="48">
        <f t="shared" ref="AD107:AD117" si="96">K107/AC107</f>
        <v>138.2575758</v>
      </c>
      <c r="AE107" s="48">
        <f t="shared" ref="AE107:AE117" si="97">AD107/Q107</f>
        <v>46.08585859</v>
      </c>
      <c r="AF107" s="64">
        <v>11.31</v>
      </c>
      <c r="AG107" s="41">
        <f t="shared" ref="AG107:AG109" si="98">0.3*(0.3+0.3)</f>
        <v>0.18</v>
      </c>
      <c r="AH107" s="41">
        <f t="shared" ref="AH107:AH117" si="99">12/AF107</f>
        <v>1.061007958</v>
      </c>
      <c r="AI107" s="41">
        <f t="shared" ref="AI107:AI117" si="100">AD107/AH107</f>
        <v>130.3077652</v>
      </c>
      <c r="AJ107" s="41">
        <f t="shared" ref="AJ107:AJ117" si="101">AI107*AG107</f>
        <v>23.45539773</v>
      </c>
    </row>
    <row r="108" ht="20.25" customHeight="1">
      <c r="A108" s="42"/>
      <c r="B108" s="42"/>
      <c r="C108" s="42"/>
      <c r="D108" s="42">
        <v>2.0</v>
      </c>
      <c r="E108" s="54" t="s">
        <v>441</v>
      </c>
      <c r="F108" s="55" t="s">
        <v>442</v>
      </c>
      <c r="G108" s="55" t="s">
        <v>443</v>
      </c>
      <c r="H108" s="56"/>
      <c r="I108" s="56">
        <f>I106/$E118</f>
        <v>0.0009090909091</v>
      </c>
      <c r="J108" s="56">
        <f t="shared" si="91"/>
        <v>0.004545454545</v>
      </c>
      <c r="K108" s="57">
        <f t="shared" si="92"/>
        <v>1.659090909</v>
      </c>
      <c r="L108" s="58" t="s">
        <v>444</v>
      </c>
      <c r="M108" s="59" t="s">
        <v>128</v>
      </c>
      <c r="N108" s="59" t="s">
        <v>445</v>
      </c>
      <c r="O108" s="59" t="s">
        <v>362</v>
      </c>
      <c r="P108" s="48"/>
      <c r="Q108" s="60">
        <v>4.0</v>
      </c>
      <c r="R108" s="48"/>
      <c r="S108" s="59" t="s">
        <v>446</v>
      </c>
      <c r="T108" s="48"/>
      <c r="U108" s="59" t="s">
        <v>34</v>
      </c>
      <c r="V108" s="48">
        <f t="shared" si="93"/>
        <v>0.03</v>
      </c>
      <c r="W108" s="48">
        <f t="shared" si="94"/>
        <v>333333.3333</v>
      </c>
      <c r="X108" s="48">
        <v>1000.0</v>
      </c>
      <c r="Y108" s="48">
        <v>1500.0</v>
      </c>
      <c r="Z108" s="48">
        <v>2500.0</v>
      </c>
      <c r="AA108" s="59" t="s">
        <v>62</v>
      </c>
      <c r="AB108" s="48">
        <v>2500.0</v>
      </c>
      <c r="AC108" s="48">
        <f t="shared" si="95"/>
        <v>0.0075</v>
      </c>
      <c r="AD108" s="48">
        <f t="shared" si="96"/>
        <v>221.2121212</v>
      </c>
      <c r="AE108" s="48">
        <f t="shared" si="97"/>
        <v>55.3030303</v>
      </c>
      <c r="AF108" s="64">
        <v>5.31</v>
      </c>
      <c r="AG108" s="41">
        <f t="shared" si="98"/>
        <v>0.18</v>
      </c>
      <c r="AH108" s="41">
        <f t="shared" si="99"/>
        <v>2.259887006</v>
      </c>
      <c r="AI108" s="41">
        <f t="shared" si="100"/>
        <v>97.88636364</v>
      </c>
      <c r="AJ108" s="41">
        <f t="shared" si="101"/>
        <v>17.61954545</v>
      </c>
    </row>
    <row r="109" ht="32.25" customHeight="1">
      <c r="A109" s="42"/>
      <c r="B109" s="42"/>
      <c r="C109" s="42"/>
      <c r="D109" s="42">
        <v>3.0</v>
      </c>
      <c r="E109" s="54" t="s">
        <v>447</v>
      </c>
      <c r="F109" s="55" t="s">
        <v>448</v>
      </c>
      <c r="G109" s="55" t="s">
        <v>449</v>
      </c>
      <c r="H109" s="56"/>
      <c r="I109" s="56">
        <f>I106/$E118</f>
        <v>0.0009090909091</v>
      </c>
      <c r="J109" s="56">
        <f t="shared" si="91"/>
        <v>0.004545454545</v>
      </c>
      <c r="K109" s="57">
        <f t="shared" si="92"/>
        <v>1.659090909</v>
      </c>
      <c r="L109" s="58" t="s">
        <v>450</v>
      </c>
      <c r="M109" s="59" t="s">
        <v>128</v>
      </c>
      <c r="N109" s="59" t="s">
        <v>451</v>
      </c>
      <c r="O109" s="59" t="s">
        <v>260</v>
      </c>
      <c r="P109" s="48"/>
      <c r="Q109" s="60">
        <v>2.0</v>
      </c>
      <c r="R109" s="48"/>
      <c r="S109" s="59" t="s">
        <v>261</v>
      </c>
      <c r="T109" s="48"/>
      <c r="U109" s="59" t="s">
        <v>34</v>
      </c>
      <c r="V109" s="48">
        <f>0.3*0.45</f>
        <v>0.135</v>
      </c>
      <c r="W109" s="48">
        <f t="shared" si="94"/>
        <v>74074.07407</v>
      </c>
      <c r="X109" s="48">
        <v>1500.0</v>
      </c>
      <c r="Y109" s="48">
        <v>2500.0</v>
      </c>
      <c r="Z109" s="48">
        <v>4000.0</v>
      </c>
      <c r="AA109" s="59" t="s">
        <v>62</v>
      </c>
      <c r="AB109" s="48">
        <v>4000.0</v>
      </c>
      <c r="AC109" s="48">
        <f t="shared" si="95"/>
        <v>0.054</v>
      </c>
      <c r="AD109" s="48">
        <f t="shared" si="96"/>
        <v>30.72390572</v>
      </c>
      <c r="AE109" s="48">
        <f t="shared" si="97"/>
        <v>15.36195286</v>
      </c>
      <c r="AF109" s="64">
        <v>5.31</v>
      </c>
      <c r="AG109" s="41">
        <f t="shared" si="98"/>
        <v>0.18</v>
      </c>
      <c r="AH109" s="41">
        <f t="shared" si="99"/>
        <v>2.259887006</v>
      </c>
      <c r="AI109" s="41">
        <f t="shared" si="100"/>
        <v>13.59532828</v>
      </c>
      <c r="AJ109" s="41">
        <f t="shared" si="101"/>
        <v>2.447159091</v>
      </c>
    </row>
    <row r="110" ht="32.25" customHeight="1">
      <c r="A110" s="42"/>
      <c r="B110" s="42"/>
      <c r="C110" s="42"/>
      <c r="D110" s="42">
        <v>4.0</v>
      </c>
      <c r="E110" s="54" t="s">
        <v>452</v>
      </c>
      <c r="F110" s="55" t="s">
        <v>452</v>
      </c>
      <c r="G110" s="55" t="s">
        <v>453</v>
      </c>
      <c r="H110" s="56"/>
      <c r="I110" s="56">
        <f>I106/$E118</f>
        <v>0.0009090909091</v>
      </c>
      <c r="J110" s="56">
        <f t="shared" si="91"/>
        <v>0.004545454545</v>
      </c>
      <c r="K110" s="57">
        <f t="shared" si="92"/>
        <v>1.659090909</v>
      </c>
      <c r="L110" s="58" t="s">
        <v>454</v>
      </c>
      <c r="M110" s="59" t="s">
        <v>128</v>
      </c>
      <c r="N110" s="59" t="s">
        <v>455</v>
      </c>
      <c r="O110" s="59" t="s">
        <v>245</v>
      </c>
      <c r="P110" s="48"/>
      <c r="Q110" s="60">
        <v>4.0</v>
      </c>
      <c r="R110" s="48"/>
      <c r="S110" s="59" t="s">
        <v>209</v>
      </c>
      <c r="T110" s="48"/>
      <c r="U110" s="59" t="s">
        <v>34</v>
      </c>
      <c r="V110" s="48">
        <f>0.45*0.6</f>
        <v>0.27</v>
      </c>
      <c r="W110" s="48">
        <f t="shared" si="94"/>
        <v>37037.03704</v>
      </c>
      <c r="X110" s="48">
        <v>1500.0</v>
      </c>
      <c r="Y110" s="48">
        <v>2500.0</v>
      </c>
      <c r="Z110" s="48">
        <v>4000.0</v>
      </c>
      <c r="AA110" s="59" t="s">
        <v>62</v>
      </c>
      <c r="AB110" s="48">
        <v>4000.0</v>
      </c>
      <c r="AC110" s="48">
        <f t="shared" si="95"/>
        <v>0.108</v>
      </c>
      <c r="AD110" s="48">
        <f t="shared" si="96"/>
        <v>15.36195286</v>
      </c>
      <c r="AE110" s="48">
        <f t="shared" si="97"/>
        <v>3.840488215</v>
      </c>
      <c r="AF110" s="64">
        <v>5.31</v>
      </c>
      <c r="AG110" s="41">
        <f>0.45*(0.45+0.3)</f>
        <v>0.3375</v>
      </c>
      <c r="AH110" s="41">
        <f t="shared" si="99"/>
        <v>2.259887006</v>
      </c>
      <c r="AI110" s="41">
        <f t="shared" si="100"/>
        <v>6.797664141</v>
      </c>
      <c r="AJ110" s="41">
        <f t="shared" si="101"/>
        <v>2.294211648</v>
      </c>
    </row>
    <row r="111" ht="20.25" customHeight="1">
      <c r="A111" s="42"/>
      <c r="B111" s="42"/>
      <c r="C111" s="42"/>
      <c r="D111" s="42">
        <v>5.0</v>
      </c>
      <c r="E111" s="54" t="s">
        <v>456</v>
      </c>
      <c r="F111" s="55" t="s">
        <v>457</v>
      </c>
      <c r="G111" s="55" t="s">
        <v>456</v>
      </c>
      <c r="H111" s="56"/>
      <c r="I111" s="56">
        <f>I106/$E118</f>
        <v>0.0009090909091</v>
      </c>
      <c r="J111" s="56">
        <f t="shared" si="91"/>
        <v>0.004545454545</v>
      </c>
      <c r="K111" s="57">
        <f t="shared" si="92"/>
        <v>1.659090909</v>
      </c>
      <c r="L111" s="58" t="s">
        <v>458</v>
      </c>
      <c r="M111" s="59" t="s">
        <v>128</v>
      </c>
      <c r="N111" s="59" t="s">
        <v>164</v>
      </c>
      <c r="O111" s="59" t="s">
        <v>260</v>
      </c>
      <c r="P111" s="48"/>
      <c r="Q111" s="60">
        <v>4.0</v>
      </c>
      <c r="R111" s="48"/>
      <c r="S111" s="59" t="s">
        <v>261</v>
      </c>
      <c r="T111" s="48"/>
      <c r="U111" s="59" t="s">
        <v>34</v>
      </c>
      <c r="V111" s="48">
        <f t="shared" ref="V111:V112" si="102">0.3*0.45</f>
        <v>0.135</v>
      </c>
      <c r="W111" s="48">
        <f t="shared" si="94"/>
        <v>74074.07407</v>
      </c>
      <c r="X111" s="48">
        <v>1000.0</v>
      </c>
      <c r="Y111" s="48">
        <v>1500.0</v>
      </c>
      <c r="Z111" s="48">
        <v>2000.0</v>
      </c>
      <c r="AA111" s="59" t="s">
        <v>62</v>
      </c>
      <c r="AB111" s="48">
        <v>2000.0</v>
      </c>
      <c r="AC111" s="48">
        <f t="shared" si="95"/>
        <v>0.027</v>
      </c>
      <c r="AD111" s="48">
        <f t="shared" si="96"/>
        <v>61.44781145</v>
      </c>
      <c r="AE111" s="48">
        <f t="shared" si="97"/>
        <v>15.36195286</v>
      </c>
      <c r="AF111" s="64">
        <v>5.31</v>
      </c>
      <c r="AG111" s="41">
        <f t="shared" ref="AG111:AG112" si="103">0.3*(0.3+0.3)</f>
        <v>0.18</v>
      </c>
      <c r="AH111" s="41">
        <f t="shared" si="99"/>
        <v>2.259887006</v>
      </c>
      <c r="AI111" s="41">
        <f t="shared" si="100"/>
        <v>27.19065657</v>
      </c>
      <c r="AJ111" s="41">
        <f t="shared" si="101"/>
        <v>4.894318182</v>
      </c>
    </row>
    <row r="112" ht="20.25" customHeight="1">
      <c r="A112" s="42"/>
      <c r="B112" s="42"/>
      <c r="C112" s="42"/>
      <c r="D112" s="42">
        <v>6.0</v>
      </c>
      <c r="E112" s="54" t="s">
        <v>459</v>
      </c>
      <c r="F112" s="55" t="s">
        <v>459</v>
      </c>
      <c r="G112" s="55" t="s">
        <v>460</v>
      </c>
      <c r="H112" s="56"/>
      <c r="I112" s="56">
        <f>I106/$E118</f>
        <v>0.0009090909091</v>
      </c>
      <c r="J112" s="56">
        <f t="shared" si="91"/>
        <v>0.004545454545</v>
      </c>
      <c r="K112" s="57">
        <f t="shared" si="92"/>
        <v>1.659090909</v>
      </c>
      <c r="L112" s="58" t="s">
        <v>461</v>
      </c>
      <c r="M112" s="59" t="s">
        <v>128</v>
      </c>
      <c r="N112" s="59" t="s">
        <v>462</v>
      </c>
      <c r="O112" s="59" t="s">
        <v>260</v>
      </c>
      <c r="P112" s="48"/>
      <c r="Q112" s="60">
        <v>3.0</v>
      </c>
      <c r="R112" s="48"/>
      <c r="S112" s="59" t="s">
        <v>261</v>
      </c>
      <c r="T112" s="48"/>
      <c r="U112" s="59" t="s">
        <v>34</v>
      </c>
      <c r="V112" s="48">
        <f t="shared" si="102"/>
        <v>0.135</v>
      </c>
      <c r="W112" s="48">
        <f t="shared" si="94"/>
        <v>74074.07407</v>
      </c>
      <c r="X112" s="48">
        <v>120.0</v>
      </c>
      <c r="Y112" s="48">
        <v>1800.0</v>
      </c>
      <c r="Z112" s="48">
        <v>2500.0</v>
      </c>
      <c r="AA112" s="59" t="s">
        <v>62</v>
      </c>
      <c r="AB112" s="48">
        <v>2500.0</v>
      </c>
      <c r="AC112" s="48">
        <f t="shared" si="95"/>
        <v>0.03375</v>
      </c>
      <c r="AD112" s="48">
        <f t="shared" si="96"/>
        <v>49.15824916</v>
      </c>
      <c r="AE112" s="48">
        <f t="shared" si="97"/>
        <v>16.38608305</v>
      </c>
      <c r="AF112" s="64">
        <v>5.31</v>
      </c>
      <c r="AG112" s="41">
        <f t="shared" si="103"/>
        <v>0.18</v>
      </c>
      <c r="AH112" s="41">
        <f t="shared" si="99"/>
        <v>2.259887006</v>
      </c>
      <c r="AI112" s="41">
        <f t="shared" si="100"/>
        <v>21.75252525</v>
      </c>
      <c r="AJ112" s="41">
        <f t="shared" si="101"/>
        <v>3.915454545</v>
      </c>
    </row>
    <row r="113" ht="32.25" customHeight="1">
      <c r="A113" s="42"/>
      <c r="B113" s="42"/>
      <c r="C113" s="42"/>
      <c r="D113" s="42">
        <v>7.0</v>
      </c>
      <c r="E113" s="54" t="s">
        <v>463</v>
      </c>
      <c r="F113" s="55" t="s">
        <v>463</v>
      </c>
      <c r="G113" s="55" t="s">
        <v>464</v>
      </c>
      <c r="H113" s="56"/>
      <c r="I113" s="56">
        <f>I106/$E118</f>
        <v>0.0009090909091</v>
      </c>
      <c r="J113" s="56">
        <f t="shared" si="91"/>
        <v>0.004545454545</v>
      </c>
      <c r="K113" s="57">
        <f t="shared" si="92"/>
        <v>1.659090909</v>
      </c>
      <c r="L113" s="58" t="s">
        <v>439</v>
      </c>
      <c r="M113" s="59" t="s">
        <v>128</v>
      </c>
      <c r="N113" s="59" t="s">
        <v>465</v>
      </c>
      <c r="O113" s="59" t="s">
        <v>466</v>
      </c>
      <c r="P113" s="48"/>
      <c r="Q113" s="60">
        <v>3.0</v>
      </c>
      <c r="R113" s="48"/>
      <c r="S113" s="59" t="s">
        <v>467</v>
      </c>
      <c r="T113" s="48"/>
      <c r="U113" s="59" t="s">
        <v>34</v>
      </c>
      <c r="V113" s="48">
        <f>0.45*0.15</f>
        <v>0.0675</v>
      </c>
      <c r="W113" s="48">
        <f t="shared" si="94"/>
        <v>148148.1481</v>
      </c>
      <c r="X113" s="48">
        <v>1000.0</v>
      </c>
      <c r="Y113" s="48">
        <v>2000.0</v>
      </c>
      <c r="Z113" s="48">
        <v>3000.0</v>
      </c>
      <c r="AA113" s="59" t="s">
        <v>62</v>
      </c>
      <c r="AB113" s="48">
        <v>3000.0</v>
      </c>
      <c r="AC113" s="48">
        <f t="shared" si="95"/>
        <v>0.02025</v>
      </c>
      <c r="AD113" s="48">
        <f t="shared" si="96"/>
        <v>81.93041526</v>
      </c>
      <c r="AE113" s="48">
        <f t="shared" si="97"/>
        <v>27.31013842</v>
      </c>
      <c r="AF113" s="64">
        <v>5.31</v>
      </c>
      <c r="AG113" s="41">
        <f>0.15*(0.15+0.3)</f>
        <v>0.0675</v>
      </c>
      <c r="AH113" s="41">
        <f t="shared" si="99"/>
        <v>2.259887006</v>
      </c>
      <c r="AI113" s="41">
        <f t="shared" si="100"/>
        <v>36.25420875</v>
      </c>
      <c r="AJ113" s="41">
        <f t="shared" si="101"/>
        <v>2.447159091</v>
      </c>
    </row>
    <row r="114" ht="20.25" customHeight="1">
      <c r="A114" s="42"/>
      <c r="B114" s="42"/>
      <c r="C114" s="42"/>
      <c r="D114" s="42">
        <v>8.0</v>
      </c>
      <c r="E114" s="54" t="s">
        <v>468</v>
      </c>
      <c r="F114" s="55" t="s">
        <v>469</v>
      </c>
      <c r="G114" s="55" t="s">
        <v>470</v>
      </c>
      <c r="H114" s="56"/>
      <c r="I114" s="56">
        <f>I106/$E118</f>
        <v>0.0009090909091</v>
      </c>
      <c r="J114" s="56">
        <f t="shared" si="91"/>
        <v>0.004545454545</v>
      </c>
      <c r="K114" s="57">
        <f t="shared" si="92"/>
        <v>1.659090909</v>
      </c>
      <c r="L114" s="58" t="s">
        <v>176</v>
      </c>
      <c r="M114" s="59" t="s">
        <v>128</v>
      </c>
      <c r="N114" s="59" t="s">
        <v>471</v>
      </c>
      <c r="O114" s="59" t="s">
        <v>362</v>
      </c>
      <c r="P114" s="48"/>
      <c r="Q114" s="60">
        <v>1.0</v>
      </c>
      <c r="R114" s="48"/>
      <c r="S114" s="59" t="s">
        <v>446</v>
      </c>
      <c r="T114" s="48"/>
      <c r="U114" s="59" t="s">
        <v>34</v>
      </c>
      <c r="V114" s="48">
        <f>0.3*0.1</f>
        <v>0.03</v>
      </c>
      <c r="W114" s="48">
        <f t="shared" si="94"/>
        <v>333333.3333</v>
      </c>
      <c r="X114" s="48">
        <v>1000.0</v>
      </c>
      <c r="Y114" s="48">
        <v>1500.0</v>
      </c>
      <c r="Z114" s="48">
        <v>2500.0</v>
      </c>
      <c r="AA114" s="59" t="s">
        <v>62</v>
      </c>
      <c r="AB114" s="48">
        <v>2500.0</v>
      </c>
      <c r="AC114" s="48">
        <f t="shared" si="95"/>
        <v>0.0075</v>
      </c>
      <c r="AD114" s="48">
        <f t="shared" si="96"/>
        <v>221.2121212</v>
      </c>
      <c r="AE114" s="48">
        <f t="shared" si="97"/>
        <v>221.2121212</v>
      </c>
      <c r="AF114" s="64">
        <v>5.31</v>
      </c>
      <c r="AG114" s="41">
        <f>0.3*(0.3+0.3)</f>
        <v>0.18</v>
      </c>
      <c r="AH114" s="41">
        <f t="shared" si="99"/>
        <v>2.259887006</v>
      </c>
      <c r="AI114" s="41">
        <f t="shared" si="100"/>
        <v>97.88636364</v>
      </c>
      <c r="AJ114" s="41">
        <f t="shared" si="101"/>
        <v>17.61954545</v>
      </c>
    </row>
    <row r="115" ht="20.25" customHeight="1">
      <c r="A115" s="42"/>
      <c r="B115" s="42"/>
      <c r="C115" s="42"/>
      <c r="D115" s="42">
        <v>9.0</v>
      </c>
      <c r="E115" s="54" t="s">
        <v>472</v>
      </c>
      <c r="F115" s="55" t="s">
        <v>472</v>
      </c>
      <c r="G115" s="55" t="s">
        <v>473</v>
      </c>
      <c r="H115" s="56"/>
      <c r="I115" s="56">
        <f>I106/$E118</f>
        <v>0.0009090909091</v>
      </c>
      <c r="J115" s="56">
        <f t="shared" si="91"/>
        <v>0.004545454545</v>
      </c>
      <c r="K115" s="57">
        <f t="shared" si="92"/>
        <v>1.659090909</v>
      </c>
      <c r="L115" s="58" t="s">
        <v>474</v>
      </c>
      <c r="M115" s="48">
        <v>6.0</v>
      </c>
      <c r="N115" s="59" t="s">
        <v>475</v>
      </c>
      <c r="O115" s="59" t="s">
        <v>476</v>
      </c>
      <c r="P115" s="48"/>
      <c r="Q115" s="60">
        <v>3.0</v>
      </c>
      <c r="R115" s="48"/>
      <c r="S115" s="59" t="s">
        <v>477</v>
      </c>
      <c r="T115" s="48"/>
      <c r="U115" s="59" t="s">
        <v>34</v>
      </c>
      <c r="V115" s="48">
        <f>0.25*0.3</f>
        <v>0.075</v>
      </c>
      <c r="W115" s="48">
        <f t="shared" si="94"/>
        <v>133333.3333</v>
      </c>
      <c r="X115" s="48">
        <v>1000.0</v>
      </c>
      <c r="Y115" s="48">
        <v>1500.0</v>
      </c>
      <c r="Z115" s="48">
        <v>2500.0</v>
      </c>
      <c r="AA115" s="59" t="s">
        <v>62</v>
      </c>
      <c r="AB115" s="48">
        <v>2500.0</v>
      </c>
      <c r="AC115" s="48">
        <f t="shared" si="95"/>
        <v>0.01875</v>
      </c>
      <c r="AD115" s="48">
        <f t="shared" si="96"/>
        <v>88.48484848</v>
      </c>
      <c r="AE115" s="48">
        <f t="shared" si="97"/>
        <v>29.49494949</v>
      </c>
      <c r="AF115" s="64">
        <v>5.31</v>
      </c>
      <c r="AG115" s="41">
        <f t="shared" ref="AG115:AG117" si="104">0.25*(0.25+0.3)</f>
        <v>0.1375</v>
      </c>
      <c r="AH115" s="41">
        <f t="shared" si="99"/>
        <v>2.259887006</v>
      </c>
      <c r="AI115" s="41">
        <f t="shared" si="100"/>
        <v>39.15454545</v>
      </c>
      <c r="AJ115" s="41">
        <f t="shared" si="101"/>
        <v>5.38375</v>
      </c>
    </row>
    <row r="116" ht="32.25" customHeight="1">
      <c r="A116" s="42"/>
      <c r="B116" s="42"/>
      <c r="C116" s="42"/>
      <c r="D116" s="42">
        <v>10.0</v>
      </c>
      <c r="E116" s="54" t="s">
        <v>478</v>
      </c>
      <c r="F116" s="55" t="s">
        <v>478</v>
      </c>
      <c r="G116" s="55" t="s">
        <v>478</v>
      </c>
      <c r="H116" s="56"/>
      <c r="I116" s="56">
        <f>I106/$E118</f>
        <v>0.0009090909091</v>
      </c>
      <c r="J116" s="56">
        <f t="shared" si="91"/>
        <v>0.004545454545</v>
      </c>
      <c r="K116" s="57">
        <f t="shared" si="92"/>
        <v>1.659090909</v>
      </c>
      <c r="L116" s="58" t="s">
        <v>439</v>
      </c>
      <c r="M116" s="59" t="s">
        <v>55</v>
      </c>
      <c r="N116" s="59" t="s">
        <v>479</v>
      </c>
      <c r="O116" s="59" t="s">
        <v>260</v>
      </c>
      <c r="P116" s="48"/>
      <c r="Q116" s="60">
        <v>1.0</v>
      </c>
      <c r="R116" s="48"/>
      <c r="S116" s="59" t="s">
        <v>261</v>
      </c>
      <c r="T116" s="48"/>
      <c r="U116" s="59" t="s">
        <v>34</v>
      </c>
      <c r="V116" s="48">
        <f>0.3*0.45</f>
        <v>0.135</v>
      </c>
      <c r="W116" s="48">
        <f t="shared" si="94"/>
        <v>74074.07407</v>
      </c>
      <c r="X116" s="48">
        <v>1500.0</v>
      </c>
      <c r="Y116" s="48">
        <v>2500.0</v>
      </c>
      <c r="Z116" s="48">
        <v>4000.0</v>
      </c>
      <c r="AA116" s="59" t="s">
        <v>62</v>
      </c>
      <c r="AB116" s="48">
        <v>4000.0</v>
      </c>
      <c r="AC116" s="48">
        <f t="shared" si="95"/>
        <v>0.054</v>
      </c>
      <c r="AD116" s="48">
        <f t="shared" si="96"/>
        <v>30.72390572</v>
      </c>
      <c r="AE116" s="48">
        <f t="shared" si="97"/>
        <v>30.72390572</v>
      </c>
      <c r="AF116" s="64">
        <v>5.31</v>
      </c>
      <c r="AG116" s="41">
        <f t="shared" si="104"/>
        <v>0.1375</v>
      </c>
      <c r="AH116" s="41">
        <f t="shared" si="99"/>
        <v>2.259887006</v>
      </c>
      <c r="AI116" s="41">
        <f t="shared" si="100"/>
        <v>13.59532828</v>
      </c>
      <c r="AJ116" s="41">
        <f t="shared" si="101"/>
        <v>1.869357639</v>
      </c>
    </row>
    <row r="117" ht="20.25" customHeight="1">
      <c r="A117" s="42"/>
      <c r="B117" s="42"/>
      <c r="C117" s="42"/>
      <c r="D117" s="42">
        <v>11.0</v>
      </c>
      <c r="E117" s="54" t="s">
        <v>480</v>
      </c>
      <c r="F117" s="55" t="s">
        <v>481</v>
      </c>
      <c r="G117" s="55" t="s">
        <v>482</v>
      </c>
      <c r="H117" s="55" t="s">
        <v>483</v>
      </c>
      <c r="I117" s="56">
        <f>I106/$E118</f>
        <v>0.0009090909091</v>
      </c>
      <c r="J117" s="56">
        <f t="shared" si="91"/>
        <v>0.004545454545</v>
      </c>
      <c r="K117" s="57">
        <f t="shared" si="92"/>
        <v>1.659090909</v>
      </c>
      <c r="L117" s="58" t="s">
        <v>176</v>
      </c>
      <c r="M117" s="48">
        <v>12.0</v>
      </c>
      <c r="N117" s="59" t="s">
        <v>484</v>
      </c>
      <c r="O117" s="59" t="s">
        <v>485</v>
      </c>
      <c r="P117" s="48"/>
      <c r="Q117" s="60">
        <v>2.0</v>
      </c>
      <c r="R117" s="48"/>
      <c r="S117" s="59" t="s">
        <v>486</v>
      </c>
      <c r="T117" s="48"/>
      <c r="U117" s="59" t="s">
        <v>34</v>
      </c>
      <c r="V117" s="48">
        <f>0.25*0.5</f>
        <v>0.125</v>
      </c>
      <c r="W117" s="48">
        <f t="shared" si="94"/>
        <v>80000</v>
      </c>
      <c r="X117" s="48">
        <v>1000.0</v>
      </c>
      <c r="Y117" s="48">
        <v>2000.0</v>
      </c>
      <c r="Z117" s="48">
        <v>3000.0</v>
      </c>
      <c r="AA117" s="59" t="s">
        <v>62</v>
      </c>
      <c r="AB117" s="48">
        <v>3000.0</v>
      </c>
      <c r="AC117" s="48">
        <f t="shared" si="95"/>
        <v>0.0375</v>
      </c>
      <c r="AD117" s="48">
        <f t="shared" si="96"/>
        <v>44.24242424</v>
      </c>
      <c r="AE117" s="48">
        <f t="shared" si="97"/>
        <v>22.12121212</v>
      </c>
      <c r="AF117" s="64">
        <v>5.31</v>
      </c>
      <c r="AG117" s="41">
        <f t="shared" si="104"/>
        <v>0.1375</v>
      </c>
      <c r="AH117" s="41">
        <f t="shared" si="99"/>
        <v>2.259887006</v>
      </c>
      <c r="AI117" s="41">
        <f t="shared" si="100"/>
        <v>19.57727273</v>
      </c>
      <c r="AJ117" s="41">
        <f t="shared" si="101"/>
        <v>2.691875</v>
      </c>
    </row>
    <row r="118" ht="20.25" customHeight="1">
      <c r="A118" s="54" t="s">
        <v>63</v>
      </c>
      <c r="B118" s="54" t="s">
        <v>64</v>
      </c>
      <c r="C118" s="42"/>
      <c r="D118" s="42">
        <v>2.0</v>
      </c>
      <c r="E118" s="42">
        <f>$D117</f>
        <v>11</v>
      </c>
      <c r="F118" s="56"/>
      <c r="G118" s="56"/>
      <c r="H118" s="56"/>
      <c r="I118" s="56"/>
      <c r="J118" s="56"/>
      <c r="K118" s="57"/>
      <c r="L118" s="47"/>
      <c r="M118" s="48"/>
      <c r="N118" s="48"/>
      <c r="O118" s="48"/>
      <c r="P118" s="48"/>
      <c r="Q118" s="60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9"/>
      <c r="AF118" s="41"/>
      <c r="AG118" s="41"/>
      <c r="AH118" s="41"/>
      <c r="AI118" s="41"/>
      <c r="AJ118" s="41"/>
    </row>
    <row r="119" ht="20.25" customHeight="1">
      <c r="A119" s="54" t="s">
        <v>63</v>
      </c>
      <c r="B119" s="54" t="s">
        <v>66</v>
      </c>
      <c r="C119" s="54" t="s">
        <v>64</v>
      </c>
      <c r="D119" s="42">
        <v>2.0</v>
      </c>
      <c r="E119" s="42"/>
      <c r="F119" s="56"/>
      <c r="G119" s="56"/>
      <c r="H119" s="56"/>
      <c r="I119" s="56"/>
      <c r="J119" s="56"/>
      <c r="K119" s="57"/>
      <c r="L119" s="47"/>
      <c r="M119" s="48"/>
      <c r="N119" s="48"/>
      <c r="O119" s="48"/>
      <c r="P119" s="48"/>
      <c r="Q119" s="60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9"/>
      <c r="AF119" s="41"/>
      <c r="AG119" s="41"/>
      <c r="AH119" s="41"/>
      <c r="AI119" s="41"/>
      <c r="AJ119" s="41">
        <f>SUM(AJ107:AJ117)</f>
        <v>84.63777383</v>
      </c>
    </row>
    <row r="120" ht="20.25" customHeight="1">
      <c r="A120" s="42"/>
      <c r="B120" s="42"/>
      <c r="C120" s="42"/>
      <c r="D120" s="42"/>
      <c r="E120" s="42"/>
      <c r="F120" s="56"/>
      <c r="G120" s="56"/>
      <c r="H120" s="56"/>
      <c r="I120" s="56"/>
      <c r="J120" s="56"/>
      <c r="K120" s="57"/>
      <c r="L120" s="47"/>
      <c r="M120" s="48"/>
      <c r="N120" s="48"/>
      <c r="O120" s="48"/>
      <c r="P120" s="48"/>
      <c r="Q120" s="60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9"/>
      <c r="AF120" s="41"/>
      <c r="AG120" s="41"/>
      <c r="AH120" s="41"/>
      <c r="AI120" s="41"/>
      <c r="AJ120" s="41"/>
    </row>
    <row r="121" ht="20.25" customHeight="1">
      <c r="A121" s="35">
        <v>3.0</v>
      </c>
      <c r="B121" s="35"/>
      <c r="C121" s="35"/>
      <c r="D121" s="35"/>
      <c r="E121" s="34" t="s">
        <v>487</v>
      </c>
      <c r="F121" s="36"/>
      <c r="G121" s="36"/>
      <c r="H121" s="36"/>
      <c r="I121" s="36">
        <v>0.03</v>
      </c>
      <c r="J121" s="36">
        <f t="shared" ref="J121:J122" si="105">I121*5</f>
        <v>0.15</v>
      </c>
      <c r="K121" s="37">
        <f t="shared" ref="K121:K122" si="106">J121*365</f>
        <v>54.75</v>
      </c>
      <c r="L121" s="47"/>
      <c r="M121" s="48"/>
      <c r="N121" s="48"/>
      <c r="O121" s="48"/>
      <c r="P121" s="48"/>
      <c r="Q121" s="60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9"/>
      <c r="AF121" s="41"/>
      <c r="AG121" s="41"/>
      <c r="AH121" s="41"/>
      <c r="AI121" s="41"/>
      <c r="AJ121" s="41"/>
    </row>
    <row r="122" ht="20.25" customHeight="1">
      <c r="A122" s="42"/>
      <c r="B122" s="42"/>
      <c r="C122" s="42"/>
      <c r="D122" s="42">
        <v>1.0</v>
      </c>
      <c r="E122" s="54" t="s">
        <v>488</v>
      </c>
      <c r="F122" s="55" t="s">
        <v>489</v>
      </c>
      <c r="G122" s="55" t="s">
        <v>490</v>
      </c>
      <c r="H122" s="56"/>
      <c r="I122" s="56">
        <f>I121/$E123</f>
        <v>0.03</v>
      </c>
      <c r="J122" s="56">
        <f t="shared" si="105"/>
        <v>0.15</v>
      </c>
      <c r="K122" s="57">
        <f t="shared" si="106"/>
        <v>54.75</v>
      </c>
      <c r="L122" s="58" t="s">
        <v>491</v>
      </c>
      <c r="M122" s="48">
        <v>4.0</v>
      </c>
      <c r="N122" s="59" t="s">
        <v>492</v>
      </c>
      <c r="O122" s="59" t="s">
        <v>493</v>
      </c>
      <c r="P122" s="48"/>
      <c r="Q122" s="60">
        <v>2.0</v>
      </c>
      <c r="R122" s="48"/>
      <c r="S122" s="59" t="s">
        <v>494</v>
      </c>
      <c r="T122" s="48"/>
      <c r="U122" s="59" t="s">
        <v>34</v>
      </c>
      <c r="V122" s="48">
        <f>0.3*0.7</f>
        <v>0.21</v>
      </c>
      <c r="W122" s="48">
        <f>10000/V122</f>
        <v>47619.04762</v>
      </c>
      <c r="X122" s="48">
        <v>1000.0</v>
      </c>
      <c r="Y122" s="48">
        <v>1500.0</v>
      </c>
      <c r="Z122" s="48">
        <v>2000.0</v>
      </c>
      <c r="AA122" s="59" t="s">
        <v>62</v>
      </c>
      <c r="AB122" s="48">
        <v>2000.0</v>
      </c>
      <c r="AC122" s="48">
        <f>AB122/W122</f>
        <v>0.042</v>
      </c>
      <c r="AD122" s="65">
        <f>K122/AC122</f>
        <v>1303.571429</v>
      </c>
      <c r="AE122" s="48">
        <f>AD122/Q122</f>
        <v>651.7857143</v>
      </c>
      <c r="AF122" s="64">
        <v>4.31</v>
      </c>
      <c r="AG122" s="41">
        <f>0.3*(0.3+0.3)</f>
        <v>0.18</v>
      </c>
      <c r="AH122" s="41">
        <f>12/AF122</f>
        <v>2.784222738</v>
      </c>
      <c r="AI122" s="41">
        <f>AD122/AH122</f>
        <v>468.1994048</v>
      </c>
      <c r="AJ122" s="41">
        <f>AI122*AG122</f>
        <v>84.27589286</v>
      </c>
    </row>
    <row r="123" ht="20.25" customHeight="1">
      <c r="A123" s="54" t="s">
        <v>63</v>
      </c>
      <c r="B123" s="54" t="s">
        <v>64</v>
      </c>
      <c r="C123" s="42"/>
      <c r="D123" s="42">
        <v>3.0</v>
      </c>
      <c r="E123" s="42">
        <f>$D122</f>
        <v>1</v>
      </c>
      <c r="F123" s="56"/>
      <c r="G123" s="56"/>
      <c r="H123" s="56"/>
      <c r="I123" s="56"/>
      <c r="J123" s="56"/>
      <c r="K123" s="57"/>
      <c r="L123" s="47"/>
      <c r="M123" s="48"/>
      <c r="N123" s="48"/>
      <c r="O123" s="48"/>
      <c r="P123" s="48"/>
      <c r="Q123" s="60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9"/>
      <c r="AF123" s="41"/>
      <c r="AG123" s="41"/>
      <c r="AH123" s="41"/>
      <c r="AI123" s="41"/>
      <c r="AJ123" s="41"/>
    </row>
    <row r="124" ht="20.25" customHeight="1">
      <c r="A124" s="54" t="s">
        <v>63</v>
      </c>
      <c r="B124" s="54" t="s">
        <v>66</v>
      </c>
      <c r="C124" s="54" t="s">
        <v>64</v>
      </c>
      <c r="D124" s="42">
        <v>3.0</v>
      </c>
      <c r="E124" s="42"/>
      <c r="F124" s="56"/>
      <c r="G124" s="56"/>
      <c r="H124" s="56"/>
      <c r="I124" s="56"/>
      <c r="J124" s="56"/>
      <c r="K124" s="57"/>
      <c r="L124" s="47"/>
      <c r="M124" s="48"/>
      <c r="N124" s="48"/>
      <c r="O124" s="48"/>
      <c r="P124" s="48"/>
      <c r="Q124" s="60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9"/>
      <c r="AF124" s="41"/>
      <c r="AG124" s="41"/>
      <c r="AH124" s="41"/>
      <c r="AI124" s="41"/>
      <c r="AJ124" s="41">
        <f>SUM(AJ122)</f>
        <v>84.27589286</v>
      </c>
    </row>
    <row r="125" ht="20.25" customHeight="1">
      <c r="A125" s="42"/>
      <c r="B125" s="42"/>
      <c r="C125" s="42"/>
      <c r="D125" s="42"/>
      <c r="E125" s="42"/>
      <c r="F125" s="56"/>
      <c r="G125" s="56"/>
      <c r="H125" s="56"/>
      <c r="I125" s="56"/>
      <c r="J125" s="56"/>
      <c r="K125" s="57"/>
      <c r="L125" s="47"/>
      <c r="M125" s="48"/>
      <c r="N125" s="48"/>
      <c r="O125" s="48"/>
      <c r="P125" s="48"/>
      <c r="Q125" s="60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9"/>
      <c r="AF125" s="41"/>
      <c r="AG125" s="41"/>
      <c r="AH125" s="41"/>
      <c r="AI125" s="41"/>
      <c r="AJ125" s="41"/>
    </row>
    <row r="126" ht="20.25" customHeight="1">
      <c r="A126" s="35">
        <v>4.0</v>
      </c>
      <c r="B126" s="35"/>
      <c r="C126" s="35"/>
      <c r="D126" s="35"/>
      <c r="E126" s="34" t="s">
        <v>495</v>
      </c>
      <c r="F126" s="36"/>
      <c r="G126" s="36"/>
      <c r="H126" s="36"/>
      <c r="I126" s="36">
        <v>0.085</v>
      </c>
      <c r="J126" s="36">
        <f t="shared" ref="J126:J130" si="107">I126*5</f>
        <v>0.425</v>
      </c>
      <c r="K126" s="37">
        <f t="shared" ref="K126:K130" si="108">J126*365</f>
        <v>155.125</v>
      </c>
      <c r="L126" s="47"/>
      <c r="M126" s="48"/>
      <c r="N126" s="48"/>
      <c r="O126" s="48"/>
      <c r="P126" s="48"/>
      <c r="Q126" s="60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9"/>
      <c r="AF126" s="41"/>
      <c r="AG126" s="41"/>
      <c r="AH126" s="41"/>
      <c r="AI126" s="41"/>
      <c r="AJ126" s="41"/>
    </row>
    <row r="127" ht="20.25" customHeight="1">
      <c r="A127" s="42"/>
      <c r="B127" s="42"/>
      <c r="C127" s="42"/>
      <c r="D127" s="42">
        <v>1.0</v>
      </c>
      <c r="E127" s="54" t="s">
        <v>496</v>
      </c>
      <c r="F127" s="55" t="s">
        <v>497</v>
      </c>
      <c r="G127" s="55" t="s">
        <v>498</v>
      </c>
      <c r="H127" s="57"/>
      <c r="I127" s="56">
        <f>I126/$E131</f>
        <v>0.02125</v>
      </c>
      <c r="J127" s="56">
        <f t="shared" si="107"/>
        <v>0.10625</v>
      </c>
      <c r="K127" s="57">
        <f t="shared" si="108"/>
        <v>38.78125</v>
      </c>
      <c r="L127" s="58" t="s">
        <v>499</v>
      </c>
      <c r="M127" s="59" t="s">
        <v>128</v>
      </c>
      <c r="N127" s="59" t="s">
        <v>479</v>
      </c>
      <c r="O127" s="59" t="s">
        <v>245</v>
      </c>
      <c r="P127" s="48"/>
      <c r="Q127" s="60">
        <v>1.0</v>
      </c>
      <c r="R127" s="48"/>
      <c r="S127" s="59" t="s">
        <v>209</v>
      </c>
      <c r="T127" s="48"/>
      <c r="U127" s="59" t="s">
        <v>34</v>
      </c>
      <c r="V127" s="48">
        <f>0.45*0.6</f>
        <v>0.27</v>
      </c>
      <c r="W127" s="48">
        <f t="shared" ref="W127:W130" si="109">10000/V127</f>
        <v>37037.03704</v>
      </c>
      <c r="X127" s="48">
        <v>1200.0</v>
      </c>
      <c r="Y127" s="48">
        <v>1800.0</v>
      </c>
      <c r="Z127" s="48">
        <v>2500.0</v>
      </c>
      <c r="AA127" s="59" t="s">
        <v>62</v>
      </c>
      <c r="AB127" s="48">
        <v>2500.0</v>
      </c>
      <c r="AC127" s="48">
        <f t="shared" ref="AC127:AC130" si="110">AB127/W127</f>
        <v>0.0675</v>
      </c>
      <c r="AD127" s="48">
        <f t="shared" ref="AD127:AD130" si="111">K127/AC127</f>
        <v>574.537037</v>
      </c>
      <c r="AE127" s="48">
        <f t="shared" ref="AE127:AE130" si="112">AD127/Q127</f>
        <v>574.537037</v>
      </c>
      <c r="AF127" s="64">
        <v>4.31</v>
      </c>
      <c r="AG127" s="41">
        <f>0.45*(0.45+0.3)</f>
        <v>0.3375</v>
      </c>
      <c r="AH127" s="41">
        <f t="shared" ref="AH127:AH130" si="113">12/AF127</f>
        <v>2.784222738</v>
      </c>
      <c r="AI127" s="41">
        <f t="shared" ref="AI127:AI130" si="114">AD127/AH127</f>
        <v>206.3545525</v>
      </c>
      <c r="AJ127" s="41">
        <f t="shared" ref="AJ127:AJ130" si="115">AI127*AG127</f>
        <v>69.64466146</v>
      </c>
    </row>
    <row r="128" ht="32.25" customHeight="1">
      <c r="A128" s="42"/>
      <c r="B128" s="42"/>
      <c r="C128" s="42"/>
      <c r="D128" s="42">
        <v>2.0</v>
      </c>
      <c r="E128" s="54" t="s">
        <v>500</v>
      </c>
      <c r="F128" s="55" t="s">
        <v>500</v>
      </c>
      <c r="G128" s="55" t="s">
        <v>501</v>
      </c>
      <c r="H128" s="57"/>
      <c r="I128" s="56">
        <f>I126/$E131</f>
        <v>0.02125</v>
      </c>
      <c r="J128" s="56">
        <f t="shared" si="107"/>
        <v>0.10625</v>
      </c>
      <c r="K128" s="57">
        <f t="shared" si="108"/>
        <v>38.78125</v>
      </c>
      <c r="L128" s="58" t="s">
        <v>450</v>
      </c>
      <c r="M128" s="59" t="s">
        <v>55</v>
      </c>
      <c r="N128" s="59" t="s">
        <v>502</v>
      </c>
      <c r="O128" s="59" t="s">
        <v>260</v>
      </c>
      <c r="P128" s="48"/>
      <c r="Q128" s="60">
        <v>3.0</v>
      </c>
      <c r="R128" s="48"/>
      <c r="S128" s="59" t="s">
        <v>261</v>
      </c>
      <c r="T128" s="48"/>
      <c r="U128" s="59" t="s">
        <v>34</v>
      </c>
      <c r="V128" s="48">
        <f>0.3*0.45</f>
        <v>0.135</v>
      </c>
      <c r="W128" s="48">
        <f t="shared" si="109"/>
        <v>74074.07407</v>
      </c>
      <c r="X128" s="48">
        <v>1200.0</v>
      </c>
      <c r="Y128" s="48">
        <v>1800.0</v>
      </c>
      <c r="Z128" s="48">
        <v>2500.0</v>
      </c>
      <c r="AA128" s="59" t="s">
        <v>62</v>
      </c>
      <c r="AB128" s="48">
        <v>2500.0</v>
      </c>
      <c r="AC128" s="48">
        <f t="shared" si="110"/>
        <v>0.03375</v>
      </c>
      <c r="AD128" s="65">
        <f t="shared" si="111"/>
        <v>1149.074074</v>
      </c>
      <c r="AE128" s="48">
        <f t="shared" si="112"/>
        <v>383.0246914</v>
      </c>
      <c r="AF128" s="64">
        <v>4.31</v>
      </c>
      <c r="AG128" s="41">
        <f>0.3*(0.3+0.3)</f>
        <v>0.18</v>
      </c>
      <c r="AH128" s="41">
        <f t="shared" si="113"/>
        <v>2.784222738</v>
      </c>
      <c r="AI128" s="41">
        <f t="shared" si="114"/>
        <v>412.7091049</v>
      </c>
      <c r="AJ128" s="41">
        <f t="shared" si="115"/>
        <v>74.28763889</v>
      </c>
    </row>
    <row r="129" ht="20.25" customHeight="1">
      <c r="A129" s="42"/>
      <c r="B129" s="42"/>
      <c r="C129" s="42"/>
      <c r="D129" s="42">
        <v>3.0</v>
      </c>
      <c r="E129" s="54" t="s">
        <v>503</v>
      </c>
      <c r="F129" s="55" t="s">
        <v>503</v>
      </c>
      <c r="G129" s="57"/>
      <c r="H129" s="57"/>
      <c r="I129" s="56">
        <f>I126/$E131</f>
        <v>0.02125</v>
      </c>
      <c r="J129" s="56">
        <f t="shared" si="107"/>
        <v>0.10625</v>
      </c>
      <c r="K129" s="57">
        <f t="shared" si="108"/>
        <v>38.78125</v>
      </c>
      <c r="L129" s="58" t="s">
        <v>127</v>
      </c>
      <c r="M129" s="48">
        <v>12.0</v>
      </c>
      <c r="N129" s="59" t="s">
        <v>504</v>
      </c>
      <c r="O129" s="59" t="s">
        <v>505</v>
      </c>
      <c r="P129" s="48"/>
      <c r="Q129" s="60">
        <v>3.0</v>
      </c>
      <c r="R129" s="48"/>
      <c r="S129" s="59" t="s">
        <v>506</v>
      </c>
      <c r="T129" s="48"/>
      <c r="U129" s="59" t="s">
        <v>180</v>
      </c>
      <c r="V129" s="48">
        <f>0.45*0.45</f>
        <v>0.2025</v>
      </c>
      <c r="W129" s="48">
        <f t="shared" si="109"/>
        <v>49382.71605</v>
      </c>
      <c r="X129" s="48">
        <v>1000.0</v>
      </c>
      <c r="Y129" s="48">
        <v>1500.0</v>
      </c>
      <c r="Z129" s="48">
        <v>2000.0</v>
      </c>
      <c r="AA129" s="59" t="s">
        <v>62</v>
      </c>
      <c r="AB129" s="48">
        <v>2000.0</v>
      </c>
      <c r="AC129" s="48">
        <f t="shared" si="110"/>
        <v>0.0405</v>
      </c>
      <c r="AD129" s="48">
        <f t="shared" si="111"/>
        <v>957.5617284</v>
      </c>
      <c r="AE129" s="48">
        <f t="shared" si="112"/>
        <v>319.1872428</v>
      </c>
      <c r="AF129" s="64">
        <v>4.31</v>
      </c>
      <c r="AG129" s="41">
        <f>0.45*(0.45+0.3)</f>
        <v>0.3375</v>
      </c>
      <c r="AH129" s="41">
        <f t="shared" si="113"/>
        <v>2.784222738</v>
      </c>
      <c r="AI129" s="41">
        <f t="shared" si="114"/>
        <v>343.9242541</v>
      </c>
      <c r="AJ129" s="41">
        <f t="shared" si="115"/>
        <v>116.0744358</v>
      </c>
    </row>
    <row r="130" ht="32.25" customHeight="1">
      <c r="A130" s="42"/>
      <c r="B130" s="42"/>
      <c r="C130" s="42"/>
      <c r="D130" s="42">
        <v>4.0</v>
      </c>
      <c r="E130" s="54" t="s">
        <v>507</v>
      </c>
      <c r="F130" s="55" t="s">
        <v>507</v>
      </c>
      <c r="G130" s="55" t="s">
        <v>508</v>
      </c>
      <c r="H130" s="57"/>
      <c r="I130" s="56">
        <f>I126/$E131</f>
        <v>0.02125</v>
      </c>
      <c r="J130" s="56">
        <f t="shared" si="107"/>
        <v>0.10625</v>
      </c>
      <c r="K130" s="57">
        <f t="shared" si="108"/>
        <v>38.78125</v>
      </c>
      <c r="L130" s="58" t="s">
        <v>439</v>
      </c>
      <c r="M130" s="59" t="s">
        <v>55</v>
      </c>
      <c r="N130" s="59" t="s">
        <v>509</v>
      </c>
      <c r="O130" s="59" t="s">
        <v>510</v>
      </c>
      <c r="P130" s="48"/>
      <c r="Q130" s="60">
        <v>3.0</v>
      </c>
      <c r="R130" s="48"/>
      <c r="S130" s="59" t="s">
        <v>511</v>
      </c>
      <c r="T130" s="48"/>
      <c r="U130" s="59" t="s">
        <v>34</v>
      </c>
      <c r="V130" s="48">
        <f>0.2*0.3</f>
        <v>0.06</v>
      </c>
      <c r="W130" s="48">
        <f t="shared" si="109"/>
        <v>166666.6667</v>
      </c>
      <c r="X130" s="48">
        <v>1000.0</v>
      </c>
      <c r="Y130" s="48">
        <v>1500.0</v>
      </c>
      <c r="Z130" s="48">
        <v>2000.0</v>
      </c>
      <c r="AA130" s="59" t="s">
        <v>62</v>
      </c>
      <c r="AB130" s="48">
        <v>2000.0</v>
      </c>
      <c r="AC130" s="48">
        <f t="shared" si="110"/>
        <v>0.012</v>
      </c>
      <c r="AD130" s="65">
        <f t="shared" si="111"/>
        <v>3231.770833</v>
      </c>
      <c r="AE130" s="65">
        <f t="shared" si="112"/>
        <v>1077.256944</v>
      </c>
      <c r="AF130" s="64">
        <v>4.31</v>
      </c>
      <c r="AG130" s="41">
        <f>0.2*(0.2+0.3)</f>
        <v>0.1</v>
      </c>
      <c r="AH130" s="41">
        <f t="shared" si="113"/>
        <v>2.784222738</v>
      </c>
      <c r="AI130" s="70">
        <f t="shared" si="114"/>
        <v>1160.744358</v>
      </c>
      <c r="AJ130" s="41">
        <f t="shared" si="115"/>
        <v>116.0744358</v>
      </c>
    </row>
    <row r="131" ht="20.25" customHeight="1">
      <c r="A131" s="54" t="s">
        <v>63</v>
      </c>
      <c r="B131" s="54" t="s">
        <v>64</v>
      </c>
      <c r="C131" s="42"/>
      <c r="D131" s="42">
        <v>4.0</v>
      </c>
      <c r="E131" s="42">
        <f>$D130</f>
        <v>4</v>
      </c>
      <c r="F131" s="56"/>
      <c r="G131" s="56"/>
      <c r="H131" s="56"/>
      <c r="I131" s="56"/>
      <c r="J131" s="56"/>
      <c r="K131" s="57"/>
      <c r="L131" s="47"/>
      <c r="M131" s="48"/>
      <c r="N131" s="48"/>
      <c r="O131" s="48"/>
      <c r="P131" s="48"/>
      <c r="Q131" s="60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9"/>
      <c r="AF131" s="41"/>
      <c r="AG131" s="41"/>
      <c r="AH131" s="41"/>
      <c r="AI131" s="41"/>
      <c r="AJ131" s="41"/>
    </row>
    <row r="132" ht="20.25" customHeight="1">
      <c r="A132" s="54" t="s">
        <v>63</v>
      </c>
      <c r="B132" s="54" t="s">
        <v>66</v>
      </c>
      <c r="C132" s="54" t="s">
        <v>64</v>
      </c>
      <c r="D132" s="42">
        <v>4.0</v>
      </c>
      <c r="E132" s="42"/>
      <c r="F132" s="56"/>
      <c r="G132" s="56"/>
      <c r="H132" s="56"/>
      <c r="I132" s="56"/>
      <c r="J132" s="56"/>
      <c r="K132" s="57"/>
      <c r="L132" s="47"/>
      <c r="M132" s="48"/>
      <c r="N132" s="48"/>
      <c r="O132" s="48"/>
      <c r="P132" s="48"/>
      <c r="Q132" s="60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9"/>
      <c r="AF132" s="41"/>
      <c r="AG132" s="41"/>
      <c r="AH132" s="41"/>
      <c r="AI132" s="41"/>
      <c r="AJ132" s="41">
        <f>SUM(AJ127:AJ130)</f>
        <v>376.0811719</v>
      </c>
    </row>
    <row r="133" ht="20.25" customHeight="1">
      <c r="A133" s="42"/>
      <c r="B133" s="42"/>
      <c r="C133" s="42"/>
      <c r="D133" s="42"/>
      <c r="E133" s="42"/>
      <c r="F133" s="56"/>
      <c r="G133" s="56"/>
      <c r="H133" s="56"/>
      <c r="I133" s="56"/>
      <c r="J133" s="56"/>
      <c r="K133" s="57"/>
      <c r="L133" s="47"/>
      <c r="M133" s="48"/>
      <c r="N133" s="48"/>
      <c r="O133" s="48"/>
      <c r="P133" s="48"/>
      <c r="Q133" s="60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9"/>
      <c r="AF133" s="41"/>
      <c r="AG133" s="41"/>
      <c r="AH133" s="41"/>
      <c r="AI133" s="41"/>
      <c r="AJ133" s="41"/>
    </row>
    <row r="134" ht="20.25" customHeight="1">
      <c r="A134" s="35">
        <v>5.0</v>
      </c>
      <c r="B134" s="35"/>
      <c r="C134" s="35"/>
      <c r="D134" s="35"/>
      <c r="E134" s="34" t="s">
        <v>512</v>
      </c>
      <c r="F134" s="36"/>
      <c r="G134" s="36"/>
      <c r="H134" s="36"/>
      <c r="I134" s="36">
        <v>0.305</v>
      </c>
      <c r="J134" s="36">
        <f t="shared" ref="J134:J136" si="116">I134*5</f>
        <v>1.525</v>
      </c>
      <c r="K134" s="37">
        <f t="shared" ref="K134:K136" si="117">J134*365</f>
        <v>556.625</v>
      </c>
      <c r="L134" s="47"/>
      <c r="M134" s="48"/>
      <c r="N134" s="48"/>
      <c r="O134" s="48"/>
      <c r="P134" s="48"/>
      <c r="Q134" s="60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9"/>
      <c r="AF134" s="41"/>
      <c r="AG134" s="41"/>
      <c r="AH134" s="41"/>
      <c r="AI134" s="41"/>
      <c r="AJ134" s="41"/>
    </row>
    <row r="135" ht="20.25" customHeight="1">
      <c r="A135" s="42"/>
      <c r="B135" s="43">
        <v>1.0</v>
      </c>
      <c r="C135" s="43"/>
      <c r="D135" s="43"/>
      <c r="E135" s="44" t="s">
        <v>513</v>
      </c>
      <c r="F135" s="45"/>
      <c r="G135" s="45"/>
      <c r="H135" s="45"/>
      <c r="I135" s="45">
        <v>0.03</v>
      </c>
      <c r="J135" s="45">
        <f t="shared" si="116"/>
        <v>0.15</v>
      </c>
      <c r="K135" s="46">
        <f t="shared" si="117"/>
        <v>54.75</v>
      </c>
      <c r="L135" s="47"/>
      <c r="M135" s="48"/>
      <c r="N135" s="48"/>
      <c r="O135" s="48"/>
      <c r="P135" s="48"/>
      <c r="Q135" s="60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9"/>
      <c r="AF135" s="41"/>
      <c r="AG135" s="41"/>
      <c r="AH135" s="41"/>
      <c r="AI135" s="41"/>
      <c r="AJ135" s="41"/>
    </row>
    <row r="136" ht="20.25" customHeight="1">
      <c r="A136" s="42"/>
      <c r="B136" s="42"/>
      <c r="C136" s="42"/>
      <c r="D136" s="42">
        <v>1.0</v>
      </c>
      <c r="E136" s="54" t="s">
        <v>514</v>
      </c>
      <c r="F136" s="55" t="s">
        <v>515</v>
      </c>
      <c r="G136" s="55" t="s">
        <v>513</v>
      </c>
      <c r="H136" s="56"/>
      <c r="I136" s="56">
        <f>I135/$E137</f>
        <v>0.03</v>
      </c>
      <c r="J136" s="56">
        <f t="shared" si="116"/>
        <v>0.15</v>
      </c>
      <c r="K136" s="57">
        <f t="shared" si="117"/>
        <v>54.75</v>
      </c>
      <c r="L136" s="58" t="s">
        <v>516</v>
      </c>
      <c r="M136" s="59" t="s">
        <v>128</v>
      </c>
      <c r="N136" s="59" t="s">
        <v>517</v>
      </c>
      <c r="O136" s="59" t="s">
        <v>518</v>
      </c>
      <c r="P136" s="48"/>
      <c r="Q136" s="60">
        <v>2.0</v>
      </c>
      <c r="R136" s="48"/>
      <c r="S136" s="59" t="s">
        <v>519</v>
      </c>
      <c r="T136" s="48"/>
      <c r="U136" s="59" t="s">
        <v>34</v>
      </c>
      <c r="V136" s="48">
        <f>0.25*0.1</f>
        <v>0.025</v>
      </c>
      <c r="W136" s="48">
        <f>10000/V136</f>
        <v>400000</v>
      </c>
      <c r="X136" s="48">
        <v>3000.0</v>
      </c>
      <c r="Y136" s="48">
        <v>5000.0</v>
      </c>
      <c r="Z136" s="48">
        <v>7000.0</v>
      </c>
      <c r="AA136" s="59" t="s">
        <v>62</v>
      </c>
      <c r="AB136" s="48">
        <v>7000.0</v>
      </c>
      <c r="AC136" s="48">
        <f>AB136/W136</f>
        <v>0.0175</v>
      </c>
      <c r="AD136" s="65">
        <f>K136/AC136</f>
        <v>3128.571429</v>
      </c>
      <c r="AE136" s="65">
        <f>AD136/Q136</f>
        <v>1564.285714</v>
      </c>
      <c r="AF136" s="64">
        <v>11.31</v>
      </c>
      <c r="AG136" s="41">
        <f>0.25*(0.25+0.3)</f>
        <v>0.1375</v>
      </c>
      <c r="AH136" s="41">
        <f>12/AF136</f>
        <v>1.061007958</v>
      </c>
      <c r="AI136" s="70">
        <f>AD136/AH136</f>
        <v>2948.678571</v>
      </c>
      <c r="AJ136" s="41">
        <f>AI136*AG136</f>
        <v>405.4433036</v>
      </c>
    </row>
    <row r="137" ht="20.25" customHeight="1">
      <c r="A137" s="54" t="s">
        <v>63</v>
      </c>
      <c r="B137" s="54" t="s">
        <v>64</v>
      </c>
      <c r="C137" s="42"/>
      <c r="D137" s="42">
        <v>5.1</v>
      </c>
      <c r="E137" s="42">
        <f>$D136</f>
        <v>1</v>
      </c>
      <c r="F137" s="56"/>
      <c r="G137" s="56"/>
      <c r="H137" s="56"/>
      <c r="I137" s="56"/>
      <c r="J137" s="56"/>
      <c r="K137" s="57"/>
      <c r="L137" s="47"/>
      <c r="M137" s="48"/>
      <c r="N137" s="48"/>
      <c r="O137" s="48"/>
      <c r="P137" s="48"/>
      <c r="Q137" s="60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9"/>
      <c r="AF137" s="41"/>
      <c r="AG137" s="41"/>
      <c r="AH137" s="41"/>
      <c r="AI137" s="41"/>
      <c r="AJ137" s="41"/>
    </row>
    <row r="138" ht="20.25" customHeight="1">
      <c r="A138" s="54" t="s">
        <v>63</v>
      </c>
      <c r="B138" s="54" t="s">
        <v>66</v>
      </c>
      <c r="C138" s="54" t="s">
        <v>64</v>
      </c>
      <c r="D138" s="42">
        <v>5.1</v>
      </c>
      <c r="E138" s="42"/>
      <c r="F138" s="56"/>
      <c r="G138" s="56"/>
      <c r="H138" s="56"/>
      <c r="I138" s="56"/>
      <c r="J138" s="56"/>
      <c r="K138" s="57"/>
      <c r="L138" s="47"/>
      <c r="M138" s="48"/>
      <c r="N138" s="48"/>
      <c r="O138" s="48"/>
      <c r="P138" s="48"/>
      <c r="Q138" s="60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9"/>
      <c r="AF138" s="41"/>
      <c r="AG138" s="41"/>
      <c r="AH138" s="41"/>
      <c r="AI138" s="41"/>
      <c r="AJ138" s="41">
        <f>SUM(AJ136)</f>
        <v>405.4433036</v>
      </c>
    </row>
    <row r="139" ht="20.25" customHeight="1">
      <c r="A139" s="54"/>
      <c r="B139" s="54"/>
      <c r="C139" s="42"/>
      <c r="D139" s="42"/>
      <c r="E139" s="42"/>
      <c r="F139" s="56"/>
      <c r="G139" s="56"/>
      <c r="H139" s="56"/>
      <c r="I139" s="56"/>
      <c r="J139" s="56"/>
      <c r="K139" s="57"/>
      <c r="L139" s="47"/>
      <c r="M139" s="48"/>
      <c r="N139" s="48"/>
      <c r="O139" s="48"/>
      <c r="P139" s="48"/>
      <c r="Q139" s="60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9"/>
      <c r="AF139" s="41"/>
      <c r="AG139" s="41"/>
      <c r="AH139" s="41"/>
      <c r="AI139" s="41"/>
      <c r="AJ139" s="41"/>
    </row>
    <row r="140" ht="20.25" customHeight="1">
      <c r="A140" s="42"/>
      <c r="B140" s="43">
        <v>2.0</v>
      </c>
      <c r="C140" s="43"/>
      <c r="D140" s="43"/>
      <c r="E140" s="44" t="s">
        <v>520</v>
      </c>
      <c r="F140" s="45"/>
      <c r="G140" s="45"/>
      <c r="H140" s="45"/>
      <c r="I140" s="45">
        <v>0.275</v>
      </c>
      <c r="J140" s="45">
        <f t="shared" ref="J140:J144" si="118">I140*5</f>
        <v>1.375</v>
      </c>
      <c r="K140" s="46">
        <f t="shared" ref="K140:K144" si="119">J140*365</f>
        <v>501.875</v>
      </c>
      <c r="L140" s="47"/>
      <c r="M140" s="48"/>
      <c r="N140" s="48"/>
      <c r="O140" s="48"/>
      <c r="P140" s="48"/>
      <c r="Q140" s="60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9"/>
      <c r="AF140" s="41"/>
      <c r="AG140" s="41"/>
      <c r="AH140" s="41"/>
      <c r="AI140" s="41"/>
      <c r="AJ140" s="41"/>
    </row>
    <row r="141" ht="20.25" customHeight="1">
      <c r="A141" s="42"/>
      <c r="B141" s="42"/>
      <c r="C141" s="42"/>
      <c r="D141" s="42">
        <v>1.0</v>
      </c>
      <c r="E141" s="54" t="s">
        <v>521</v>
      </c>
      <c r="F141" s="55" t="s">
        <v>521</v>
      </c>
      <c r="G141" s="55" t="s">
        <v>522</v>
      </c>
      <c r="H141" s="56"/>
      <c r="I141" s="56">
        <f>I140/$E145</f>
        <v>0.06875</v>
      </c>
      <c r="J141" s="56">
        <f t="shared" si="118"/>
        <v>0.34375</v>
      </c>
      <c r="K141" s="57">
        <f t="shared" si="119"/>
        <v>125.46875</v>
      </c>
      <c r="L141" s="58" t="s">
        <v>127</v>
      </c>
      <c r="M141" s="59" t="s">
        <v>128</v>
      </c>
      <c r="N141" s="59" t="s">
        <v>135</v>
      </c>
      <c r="O141" s="59" t="s">
        <v>466</v>
      </c>
      <c r="P141" s="48"/>
      <c r="Q141" s="60">
        <v>3.0</v>
      </c>
      <c r="R141" s="48"/>
      <c r="S141" s="59" t="s">
        <v>467</v>
      </c>
      <c r="T141" s="48"/>
      <c r="U141" s="59" t="s">
        <v>34</v>
      </c>
      <c r="V141" s="48">
        <f t="shared" ref="V141:V142" si="120">0.45*0.15</f>
        <v>0.0675</v>
      </c>
      <c r="W141" s="48">
        <f t="shared" ref="W141:W144" si="121">10000/V141</f>
        <v>148148.1481</v>
      </c>
      <c r="X141" s="48">
        <v>1500.0</v>
      </c>
      <c r="Y141" s="48">
        <v>2500.0</v>
      </c>
      <c r="Z141" s="48">
        <v>4000.0</v>
      </c>
      <c r="AA141" s="59" t="s">
        <v>62</v>
      </c>
      <c r="AB141" s="48">
        <v>4000.0</v>
      </c>
      <c r="AC141" s="48">
        <f t="shared" ref="AC141:AC144" si="122">AB141/W141</f>
        <v>0.027</v>
      </c>
      <c r="AD141" s="65">
        <f t="shared" ref="AD141:AD144" si="123">K141/AC141</f>
        <v>4646.990741</v>
      </c>
      <c r="AE141" s="65">
        <f t="shared" ref="AE141:AE144" si="124">AD141/Q141</f>
        <v>1548.996914</v>
      </c>
      <c r="AF141" s="64">
        <v>11.31</v>
      </c>
      <c r="AG141" s="41">
        <f t="shared" ref="AG141:AG144" si="125">0.3*(0.3+0.3)</f>
        <v>0.18</v>
      </c>
      <c r="AH141" s="41">
        <f t="shared" ref="AH141:AH144" si="126">12/AF141</f>
        <v>1.061007958</v>
      </c>
      <c r="AI141" s="70">
        <f t="shared" ref="AI141:AI144" si="127">AD141/AH141</f>
        <v>4379.788773</v>
      </c>
      <c r="AJ141" s="41">
        <f t="shared" ref="AJ141:AJ144" si="128">AI141*AG141</f>
        <v>788.3619792</v>
      </c>
    </row>
    <row r="142" ht="32.25" customHeight="1">
      <c r="A142" s="42"/>
      <c r="B142" s="42"/>
      <c r="C142" s="42"/>
      <c r="D142" s="42">
        <v>2.0</v>
      </c>
      <c r="E142" s="54" t="s">
        <v>523</v>
      </c>
      <c r="F142" s="55" t="s">
        <v>524</v>
      </c>
      <c r="G142" s="55" t="s">
        <v>525</v>
      </c>
      <c r="H142" s="56"/>
      <c r="I142" s="56">
        <f>I140/$E145</f>
        <v>0.06875</v>
      </c>
      <c r="J142" s="56">
        <f t="shared" si="118"/>
        <v>0.34375</v>
      </c>
      <c r="K142" s="57">
        <f t="shared" si="119"/>
        <v>125.46875</v>
      </c>
      <c r="L142" s="58" t="s">
        <v>526</v>
      </c>
      <c r="M142" s="59" t="s">
        <v>128</v>
      </c>
      <c r="N142" s="59" t="s">
        <v>527</v>
      </c>
      <c r="O142" s="59" t="s">
        <v>466</v>
      </c>
      <c r="P142" s="48"/>
      <c r="Q142" s="60">
        <v>3.0</v>
      </c>
      <c r="R142" s="48"/>
      <c r="S142" s="59" t="s">
        <v>467</v>
      </c>
      <c r="T142" s="48"/>
      <c r="U142" s="59" t="s">
        <v>34</v>
      </c>
      <c r="V142" s="48">
        <f t="shared" si="120"/>
        <v>0.0675</v>
      </c>
      <c r="W142" s="48">
        <f t="shared" si="121"/>
        <v>148148.1481</v>
      </c>
      <c r="X142" s="48">
        <v>1200.0</v>
      </c>
      <c r="Y142" s="48">
        <v>2000.0</v>
      </c>
      <c r="Z142" s="48">
        <v>3500.0</v>
      </c>
      <c r="AA142" s="59" t="s">
        <v>62</v>
      </c>
      <c r="AB142" s="48">
        <v>3500.0</v>
      </c>
      <c r="AC142" s="48">
        <f t="shared" si="122"/>
        <v>0.023625</v>
      </c>
      <c r="AD142" s="65">
        <f t="shared" si="123"/>
        <v>5310.846561</v>
      </c>
      <c r="AE142" s="65">
        <f t="shared" si="124"/>
        <v>1770.282187</v>
      </c>
      <c r="AF142" s="64">
        <v>11.31</v>
      </c>
      <c r="AG142" s="41">
        <f t="shared" si="125"/>
        <v>0.18</v>
      </c>
      <c r="AH142" s="41">
        <f t="shared" si="126"/>
        <v>1.061007958</v>
      </c>
      <c r="AI142" s="70">
        <f t="shared" si="127"/>
        <v>5005.472884</v>
      </c>
      <c r="AJ142" s="41">
        <f t="shared" si="128"/>
        <v>900.985119</v>
      </c>
    </row>
    <row r="143" ht="32.25" customHeight="1">
      <c r="A143" s="42"/>
      <c r="B143" s="42"/>
      <c r="C143" s="42"/>
      <c r="D143" s="42">
        <v>3.0</v>
      </c>
      <c r="E143" s="54" t="s">
        <v>528</v>
      </c>
      <c r="F143" s="55" t="s">
        <v>529</v>
      </c>
      <c r="G143" s="55" t="s">
        <v>530</v>
      </c>
      <c r="H143" s="56"/>
      <c r="I143" s="56">
        <f>I140/$E145</f>
        <v>0.06875</v>
      </c>
      <c r="J143" s="56">
        <f t="shared" si="118"/>
        <v>0.34375</v>
      </c>
      <c r="K143" s="57">
        <f t="shared" si="119"/>
        <v>125.46875</v>
      </c>
      <c r="L143" s="58" t="s">
        <v>531</v>
      </c>
      <c r="M143" s="59" t="s">
        <v>128</v>
      </c>
      <c r="N143" s="59" t="s">
        <v>135</v>
      </c>
      <c r="O143" s="59" t="s">
        <v>532</v>
      </c>
      <c r="P143" s="48"/>
      <c r="Q143" s="60">
        <v>1.0</v>
      </c>
      <c r="R143" s="48"/>
      <c r="S143" s="59" t="s">
        <v>533</v>
      </c>
      <c r="T143" s="48"/>
      <c r="U143" s="59" t="s">
        <v>34</v>
      </c>
      <c r="V143" s="48">
        <f>0.25*0.15</f>
        <v>0.0375</v>
      </c>
      <c r="W143" s="48">
        <f t="shared" si="121"/>
        <v>266666.6667</v>
      </c>
      <c r="X143" s="48">
        <v>800.0</v>
      </c>
      <c r="Y143" s="48">
        <v>1500.0</v>
      </c>
      <c r="Z143" s="48">
        <v>2500.0</v>
      </c>
      <c r="AA143" s="59" t="s">
        <v>62</v>
      </c>
      <c r="AB143" s="48">
        <v>2500.0</v>
      </c>
      <c r="AC143" s="48">
        <f t="shared" si="122"/>
        <v>0.009375</v>
      </c>
      <c r="AD143" s="65">
        <f t="shared" si="123"/>
        <v>13383.33333</v>
      </c>
      <c r="AE143" s="65">
        <f t="shared" si="124"/>
        <v>13383.33333</v>
      </c>
      <c r="AF143" s="64">
        <v>11.31</v>
      </c>
      <c r="AG143" s="41">
        <f t="shared" si="125"/>
        <v>0.18</v>
      </c>
      <c r="AH143" s="41">
        <f t="shared" si="126"/>
        <v>1.061007958</v>
      </c>
      <c r="AI143" s="70">
        <f t="shared" si="127"/>
        <v>12613.79167</v>
      </c>
      <c r="AJ143" s="70">
        <f t="shared" si="128"/>
        <v>2270.4825</v>
      </c>
    </row>
    <row r="144" ht="20.25" customHeight="1">
      <c r="A144" s="42"/>
      <c r="B144" s="42"/>
      <c r="C144" s="42"/>
      <c r="D144" s="42">
        <v>4.0</v>
      </c>
      <c r="E144" s="54" t="s">
        <v>534</v>
      </c>
      <c r="F144" s="55" t="s">
        <v>535</v>
      </c>
      <c r="G144" s="55" t="s">
        <v>536</v>
      </c>
      <c r="H144" s="56"/>
      <c r="I144" s="56">
        <f>I140/$E145</f>
        <v>0.06875</v>
      </c>
      <c r="J144" s="56">
        <f t="shared" si="118"/>
        <v>0.34375</v>
      </c>
      <c r="K144" s="57">
        <f t="shared" si="119"/>
        <v>125.46875</v>
      </c>
      <c r="L144" s="58" t="s">
        <v>537</v>
      </c>
      <c r="M144" s="59" t="s">
        <v>128</v>
      </c>
      <c r="N144" s="59" t="s">
        <v>129</v>
      </c>
      <c r="O144" s="59" t="s">
        <v>538</v>
      </c>
      <c r="P144" s="48"/>
      <c r="Q144" s="60">
        <v>1.0</v>
      </c>
      <c r="R144" s="48"/>
      <c r="S144" s="59" t="s">
        <v>539</v>
      </c>
      <c r="T144" s="48"/>
      <c r="U144" s="59" t="s">
        <v>540</v>
      </c>
      <c r="V144" s="48">
        <f>0.25*0.3</f>
        <v>0.075</v>
      </c>
      <c r="W144" s="48">
        <f t="shared" si="121"/>
        <v>133333.3333</v>
      </c>
      <c r="X144" s="48">
        <v>2000.0</v>
      </c>
      <c r="Y144" s="48">
        <v>3500.0</v>
      </c>
      <c r="Z144" s="48">
        <v>5000.0</v>
      </c>
      <c r="AA144" s="59" t="s">
        <v>62</v>
      </c>
      <c r="AB144" s="48">
        <v>5000.0</v>
      </c>
      <c r="AC144" s="48">
        <f t="shared" si="122"/>
        <v>0.0375</v>
      </c>
      <c r="AD144" s="65">
        <f t="shared" si="123"/>
        <v>3345.833333</v>
      </c>
      <c r="AE144" s="65">
        <f t="shared" si="124"/>
        <v>3345.833333</v>
      </c>
      <c r="AF144" s="64">
        <v>11.31</v>
      </c>
      <c r="AG144" s="41">
        <f t="shared" si="125"/>
        <v>0.18</v>
      </c>
      <c r="AH144" s="41">
        <f t="shared" si="126"/>
        <v>1.061007958</v>
      </c>
      <c r="AI144" s="70">
        <f t="shared" si="127"/>
        <v>3153.447917</v>
      </c>
      <c r="AJ144" s="41">
        <f t="shared" si="128"/>
        <v>567.620625</v>
      </c>
    </row>
    <row r="145" ht="20.25" customHeight="1">
      <c r="A145" s="54" t="s">
        <v>63</v>
      </c>
      <c r="B145" s="54" t="s">
        <v>64</v>
      </c>
      <c r="C145" s="42"/>
      <c r="D145" s="42">
        <v>5.2</v>
      </c>
      <c r="E145" s="42">
        <f>$D144</f>
        <v>4</v>
      </c>
      <c r="F145" s="56"/>
      <c r="G145" s="56"/>
      <c r="H145" s="56"/>
      <c r="I145" s="56"/>
      <c r="J145" s="56"/>
      <c r="K145" s="57"/>
      <c r="L145" s="47"/>
      <c r="M145" s="48"/>
      <c r="N145" s="48"/>
      <c r="O145" s="48"/>
      <c r="P145" s="48"/>
      <c r="Q145" s="60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9"/>
      <c r="AF145" s="41"/>
      <c r="AG145" s="41"/>
      <c r="AH145" s="41"/>
      <c r="AI145" s="41"/>
      <c r="AJ145" s="41"/>
    </row>
    <row r="146" ht="20.25" customHeight="1">
      <c r="A146" s="54" t="s">
        <v>63</v>
      </c>
      <c r="B146" s="54" t="s">
        <v>66</v>
      </c>
      <c r="C146" s="54" t="s">
        <v>64</v>
      </c>
      <c r="D146" s="42">
        <v>5.2</v>
      </c>
      <c r="E146" s="42"/>
      <c r="F146" s="56"/>
      <c r="G146" s="56"/>
      <c r="H146" s="56"/>
      <c r="I146" s="56"/>
      <c r="J146" s="56"/>
      <c r="K146" s="57"/>
      <c r="L146" s="47"/>
      <c r="M146" s="48"/>
      <c r="N146" s="48"/>
      <c r="O146" s="48"/>
      <c r="P146" s="48"/>
      <c r="Q146" s="60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9"/>
      <c r="AF146" s="41"/>
      <c r="AG146" s="41"/>
      <c r="AH146" s="41"/>
      <c r="AI146" s="41"/>
      <c r="AJ146" s="70">
        <f>SUM(AJ141:AJ144)</f>
        <v>4527.450223</v>
      </c>
    </row>
    <row r="147" ht="20.25" customHeight="1">
      <c r="A147" s="54" t="s">
        <v>63</v>
      </c>
      <c r="B147" s="54" t="s">
        <v>64</v>
      </c>
      <c r="C147" s="42"/>
      <c r="D147" s="42">
        <v>5.0</v>
      </c>
      <c r="E147" s="42">
        <f>$E137+$E145</f>
        <v>5</v>
      </c>
      <c r="F147" s="56"/>
      <c r="G147" s="56"/>
      <c r="H147" s="56"/>
      <c r="I147" s="56"/>
      <c r="J147" s="56"/>
      <c r="K147" s="57"/>
      <c r="L147" s="47"/>
      <c r="M147" s="48"/>
      <c r="N147" s="48"/>
      <c r="O147" s="48"/>
      <c r="P147" s="48"/>
      <c r="Q147" s="60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9"/>
      <c r="AF147" s="41"/>
      <c r="AG147" s="41"/>
      <c r="AH147" s="41"/>
      <c r="AI147" s="41"/>
      <c r="AJ147" s="41"/>
    </row>
    <row r="148" ht="20.25" customHeight="1">
      <c r="A148" s="54" t="s">
        <v>63</v>
      </c>
      <c r="B148" s="54" t="s">
        <v>66</v>
      </c>
      <c r="C148" s="54" t="s">
        <v>64</v>
      </c>
      <c r="D148" s="42">
        <v>5.0</v>
      </c>
      <c r="E148" s="42"/>
      <c r="F148" s="56"/>
      <c r="G148" s="56"/>
      <c r="H148" s="56"/>
      <c r="I148" s="56"/>
      <c r="J148" s="56"/>
      <c r="K148" s="57"/>
      <c r="L148" s="47"/>
      <c r="M148" s="48"/>
      <c r="N148" s="48"/>
      <c r="O148" s="48"/>
      <c r="P148" s="48"/>
      <c r="Q148" s="60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9"/>
      <c r="AF148" s="41"/>
      <c r="AG148" s="41"/>
      <c r="AH148" s="41"/>
      <c r="AI148" s="41"/>
      <c r="AJ148" s="70">
        <f>SUM(AJ138,AJ146)</f>
        <v>4932.893527</v>
      </c>
    </row>
    <row r="149" ht="20.25" customHeight="1">
      <c r="A149" s="54"/>
      <c r="B149" s="54"/>
      <c r="C149" s="42"/>
      <c r="D149" s="42"/>
      <c r="E149" s="42"/>
      <c r="F149" s="56"/>
      <c r="G149" s="56"/>
      <c r="H149" s="56"/>
      <c r="I149" s="56"/>
      <c r="J149" s="56"/>
      <c r="K149" s="57"/>
      <c r="L149" s="47"/>
      <c r="M149" s="48"/>
      <c r="N149" s="48"/>
      <c r="O149" s="48"/>
      <c r="P149" s="48"/>
      <c r="Q149" s="60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9"/>
      <c r="AF149" s="41"/>
      <c r="AG149" s="41"/>
      <c r="AH149" s="41"/>
      <c r="AI149" s="41"/>
      <c r="AJ149" s="41"/>
    </row>
    <row r="150" ht="20.25" customHeight="1">
      <c r="A150" s="42"/>
      <c r="B150" s="42"/>
      <c r="C150" s="42"/>
      <c r="D150" s="42"/>
      <c r="E150" s="42"/>
      <c r="F150" s="56"/>
      <c r="G150" s="56"/>
      <c r="H150" s="56"/>
      <c r="I150" s="56"/>
      <c r="J150" s="56"/>
      <c r="K150" s="57"/>
      <c r="L150" s="71"/>
      <c r="M150" s="72"/>
      <c r="N150" s="72"/>
      <c r="O150" s="72"/>
      <c r="P150" s="72"/>
      <c r="Q150" s="73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4"/>
      <c r="AF150" s="41"/>
      <c r="AG150" s="41"/>
      <c r="AH150" s="41"/>
      <c r="AI150" s="41"/>
      <c r="AJ150" s="41"/>
    </row>
    <row r="151" ht="20.25" customHeight="1">
      <c r="A151" s="62" t="s">
        <v>63</v>
      </c>
      <c r="B151" s="62" t="s">
        <v>64</v>
      </c>
      <c r="C151" s="63"/>
      <c r="D151" s="62" t="s">
        <v>541</v>
      </c>
      <c r="E151" s="63">
        <f>$E118+$E123+$E131+$E147</f>
        <v>21</v>
      </c>
      <c r="F151" s="75"/>
      <c r="G151" s="75"/>
      <c r="H151" s="75"/>
      <c r="I151" s="75"/>
      <c r="J151" s="75"/>
      <c r="K151" s="76"/>
      <c r="L151" s="77"/>
      <c r="M151" s="78"/>
      <c r="N151" s="78"/>
      <c r="O151" s="78"/>
      <c r="P151" s="78"/>
      <c r="Q151" s="79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80"/>
      <c r="AF151" s="81"/>
      <c r="AG151" s="81"/>
      <c r="AH151" s="81"/>
      <c r="AI151" s="81"/>
      <c r="AJ151" s="81"/>
    </row>
    <row r="152" ht="20.25" customHeight="1">
      <c r="A152" s="63"/>
      <c r="B152" s="63"/>
      <c r="C152" s="63"/>
      <c r="D152" s="63"/>
      <c r="E152" s="63"/>
      <c r="F152" s="75"/>
      <c r="G152" s="75"/>
      <c r="H152" s="75"/>
      <c r="I152" s="75"/>
      <c r="J152" s="75"/>
      <c r="K152" s="76"/>
      <c r="L152" s="82"/>
      <c r="M152" s="83"/>
      <c r="N152" s="83"/>
      <c r="O152" s="83"/>
      <c r="P152" s="83"/>
      <c r="Q152" s="84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5"/>
      <c r="AF152" s="81"/>
      <c r="AG152" s="81"/>
      <c r="AH152" s="81"/>
      <c r="AI152" s="81"/>
      <c r="AJ152" s="81"/>
    </row>
    <row r="153" ht="20.25" customHeight="1">
      <c r="A153" s="62" t="s">
        <v>542</v>
      </c>
      <c r="B153" s="62" t="s">
        <v>63</v>
      </c>
      <c r="C153" s="63"/>
      <c r="D153" s="62" t="s">
        <v>543</v>
      </c>
      <c r="E153" s="63">
        <f>$E103+$E118+$E123+$E131+$E147</f>
        <v>74</v>
      </c>
      <c r="F153" s="75"/>
      <c r="G153" s="75"/>
      <c r="H153" s="75"/>
      <c r="I153" s="75"/>
      <c r="J153" s="75"/>
      <c r="K153" s="76"/>
      <c r="L153" s="82"/>
      <c r="M153" s="83"/>
      <c r="N153" s="83"/>
      <c r="O153" s="83"/>
      <c r="P153" s="83"/>
      <c r="Q153" s="84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5"/>
      <c r="AF153" s="81"/>
      <c r="AG153" s="81"/>
      <c r="AH153" s="81"/>
      <c r="AI153" s="81"/>
      <c r="AJ153" s="81"/>
    </row>
    <row r="154" ht="20.25" customHeight="1">
      <c r="A154" s="63"/>
      <c r="B154" s="63"/>
      <c r="C154" s="63"/>
      <c r="D154" s="63"/>
      <c r="E154" s="63"/>
      <c r="F154" s="75"/>
      <c r="G154" s="75"/>
      <c r="H154" s="75"/>
      <c r="I154" s="75"/>
      <c r="J154" s="75"/>
      <c r="K154" s="76"/>
      <c r="L154" s="82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5"/>
      <c r="AF154" s="81"/>
      <c r="AG154" s="81"/>
      <c r="AH154" s="81"/>
      <c r="AI154" s="81"/>
      <c r="AJ154" s="81"/>
    </row>
    <row r="155" ht="20.25" customHeight="1">
      <c r="A155" s="63"/>
      <c r="B155" s="63"/>
      <c r="C155" s="63"/>
      <c r="D155" s="63"/>
      <c r="E155" s="63"/>
      <c r="F155" s="75"/>
      <c r="G155" s="75"/>
      <c r="H155" s="75"/>
      <c r="I155" s="75"/>
      <c r="J155" s="75"/>
      <c r="K155" s="76"/>
      <c r="L155" s="82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5"/>
      <c r="AF155" s="81"/>
      <c r="AG155" s="81"/>
      <c r="AH155" s="81"/>
      <c r="AI155" s="81"/>
      <c r="AJ155" s="81"/>
    </row>
    <row r="156" ht="19.5" customHeight="1">
      <c r="A156" s="86"/>
      <c r="B156" s="86"/>
      <c r="C156" s="86"/>
      <c r="D156" s="86"/>
      <c r="E156" s="86"/>
      <c r="F156" s="87"/>
      <c r="G156" s="87"/>
      <c r="H156" s="87"/>
      <c r="I156" s="87"/>
      <c r="J156" s="87"/>
      <c r="K156" s="87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9"/>
      <c r="AG156" s="89"/>
      <c r="AH156" s="89"/>
      <c r="AI156" s="89"/>
      <c r="AJ156" s="90"/>
    </row>
    <row r="157" ht="19.5" customHeight="1">
      <c r="A157" s="91"/>
      <c r="B157" s="91"/>
      <c r="C157" s="91"/>
      <c r="D157" s="91"/>
      <c r="E157" s="91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3"/>
    </row>
    <row r="158" ht="19.5" customHeight="1">
      <c r="A158" s="91"/>
      <c r="B158" s="91"/>
      <c r="C158" s="91"/>
      <c r="D158" s="91"/>
      <c r="E158" s="91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3"/>
    </row>
    <row r="159" ht="19.5" customHeight="1">
      <c r="A159" s="91"/>
      <c r="B159" s="91"/>
      <c r="C159" s="91"/>
      <c r="D159" s="91"/>
      <c r="E159" s="91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3"/>
    </row>
    <row r="160" ht="19.5" customHeight="1">
      <c r="A160" s="91"/>
      <c r="B160" s="91"/>
      <c r="C160" s="91"/>
      <c r="D160" s="91"/>
      <c r="E160" s="91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3"/>
    </row>
    <row r="161" ht="19.5" customHeight="1">
      <c r="A161" s="91"/>
      <c r="B161" s="91"/>
      <c r="C161" s="91"/>
      <c r="D161" s="91"/>
      <c r="E161" s="91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3"/>
    </row>
    <row r="162" ht="19.5" customHeight="1">
      <c r="A162" s="91"/>
      <c r="B162" s="91"/>
      <c r="C162" s="91"/>
      <c r="D162" s="91"/>
      <c r="E162" s="91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3"/>
    </row>
    <row r="163" ht="19.5" customHeight="1">
      <c r="A163" s="91"/>
      <c r="B163" s="91"/>
      <c r="C163" s="91"/>
      <c r="D163" s="91"/>
      <c r="E163" s="91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3"/>
    </row>
    <row r="164" ht="19.5" customHeight="1">
      <c r="A164" s="91"/>
      <c r="B164" s="91"/>
      <c r="C164" s="91"/>
      <c r="D164" s="91"/>
      <c r="E164" s="91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3"/>
    </row>
    <row r="165" ht="19.5" customHeight="1">
      <c r="A165" s="91"/>
      <c r="B165" s="91"/>
      <c r="C165" s="91"/>
      <c r="D165" s="91"/>
      <c r="E165" s="91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3"/>
    </row>
    <row r="166" ht="19.5" customHeight="1">
      <c r="A166" s="91"/>
      <c r="B166" s="91"/>
      <c r="C166" s="91"/>
      <c r="D166" s="91"/>
      <c r="E166" s="91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3"/>
    </row>
    <row r="167" ht="19.5" customHeight="1">
      <c r="A167" s="91"/>
      <c r="B167" s="91"/>
      <c r="C167" s="91"/>
      <c r="D167" s="91"/>
      <c r="E167" s="91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3"/>
    </row>
    <row r="168" ht="19.5" customHeight="1">
      <c r="A168" s="91"/>
      <c r="B168" s="91"/>
      <c r="C168" s="91"/>
      <c r="D168" s="91"/>
      <c r="E168" s="91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3"/>
    </row>
    <row r="169" ht="19.5" customHeight="1">
      <c r="A169" s="91"/>
      <c r="B169" s="91"/>
      <c r="C169" s="91"/>
      <c r="D169" s="91"/>
      <c r="E169" s="91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3"/>
    </row>
    <row r="170" ht="19.5" customHeight="1">
      <c r="A170" s="91"/>
      <c r="B170" s="91"/>
      <c r="C170" s="91"/>
      <c r="D170" s="91"/>
      <c r="E170" s="91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3"/>
    </row>
    <row r="171" ht="19.5" customHeight="1">
      <c r="A171" s="91"/>
      <c r="B171" s="91"/>
      <c r="C171" s="91"/>
      <c r="D171" s="91"/>
      <c r="E171" s="91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3"/>
    </row>
    <row r="172" ht="19.5" customHeight="1">
      <c r="A172" s="91"/>
      <c r="B172" s="91"/>
      <c r="C172" s="91"/>
      <c r="D172" s="91"/>
      <c r="E172" s="91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3"/>
    </row>
    <row r="173" ht="19.5" customHeight="1">
      <c r="A173" s="91"/>
      <c r="B173" s="91"/>
      <c r="C173" s="91"/>
      <c r="D173" s="91"/>
      <c r="E173" s="91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3"/>
    </row>
    <row r="174" ht="19.5" customHeight="1">
      <c r="A174" s="91"/>
      <c r="B174" s="91"/>
      <c r="C174" s="91"/>
      <c r="D174" s="91"/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3"/>
    </row>
    <row r="175" ht="19.5" customHeight="1">
      <c r="A175" s="91"/>
      <c r="B175" s="91"/>
      <c r="C175" s="91"/>
      <c r="D175" s="91"/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3"/>
    </row>
    <row r="176" ht="19.5" customHeight="1">
      <c r="A176" s="91"/>
      <c r="B176" s="91"/>
      <c r="C176" s="91"/>
      <c r="D176" s="91"/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3"/>
    </row>
    <row r="177" ht="19.5" customHeight="1">
      <c r="A177" s="91"/>
      <c r="B177" s="91"/>
      <c r="C177" s="91"/>
      <c r="D177" s="91"/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3"/>
    </row>
    <row r="178" ht="19.5" customHeight="1">
      <c r="A178" s="91"/>
      <c r="B178" s="91"/>
      <c r="C178" s="91"/>
      <c r="D178" s="91"/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3"/>
    </row>
    <row r="179" ht="19.5" customHeight="1">
      <c r="A179" s="91"/>
      <c r="B179" s="91"/>
      <c r="C179" s="91"/>
      <c r="D179" s="91"/>
      <c r="E179" s="91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3"/>
    </row>
    <row r="180" ht="19.5" customHeight="1">
      <c r="A180" s="91"/>
      <c r="B180" s="91"/>
      <c r="C180" s="91"/>
      <c r="D180" s="91"/>
      <c r="E180" s="91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3"/>
    </row>
    <row r="181" ht="19.5" customHeight="1">
      <c r="A181" s="91"/>
      <c r="B181" s="91"/>
      <c r="C181" s="91"/>
      <c r="D181" s="91"/>
      <c r="E181" s="91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3"/>
    </row>
    <row r="182" ht="19.5" customHeight="1">
      <c r="A182" s="91"/>
      <c r="B182" s="91"/>
      <c r="C182" s="91"/>
      <c r="D182" s="91"/>
      <c r="E182" s="91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3"/>
    </row>
    <row r="183" ht="19.5" customHeight="1">
      <c r="A183" s="91"/>
      <c r="B183" s="91"/>
      <c r="C183" s="91"/>
      <c r="D183" s="91"/>
      <c r="E183" s="91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3"/>
    </row>
    <row r="184" ht="19.5" customHeight="1">
      <c r="A184" s="91"/>
      <c r="B184" s="91"/>
      <c r="C184" s="91"/>
      <c r="D184" s="91"/>
      <c r="E184" s="91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3"/>
    </row>
    <row r="185" ht="19.5" customHeight="1">
      <c r="A185" s="91"/>
      <c r="B185" s="91"/>
      <c r="C185" s="91"/>
      <c r="D185" s="91"/>
      <c r="E185" s="91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3"/>
    </row>
    <row r="186" ht="19.5" customHeight="1">
      <c r="A186" s="91"/>
      <c r="B186" s="91"/>
      <c r="C186" s="91"/>
      <c r="D186" s="91"/>
      <c r="E186" s="91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3"/>
    </row>
    <row r="187" ht="19.5" customHeight="1">
      <c r="A187" s="91"/>
      <c r="B187" s="91"/>
      <c r="C187" s="91"/>
      <c r="D187" s="91"/>
      <c r="E187" s="91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3"/>
    </row>
    <row r="188" ht="19.5" customHeight="1">
      <c r="A188" s="91"/>
      <c r="B188" s="91"/>
      <c r="C188" s="91"/>
      <c r="D188" s="91"/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3"/>
    </row>
    <row r="189" ht="19.5" customHeight="1">
      <c r="A189" s="91"/>
      <c r="B189" s="91"/>
      <c r="C189" s="91"/>
      <c r="D189" s="91"/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3"/>
    </row>
    <row r="190" ht="19.5" customHeight="1">
      <c r="A190" s="91"/>
      <c r="B190" s="91"/>
      <c r="C190" s="91"/>
      <c r="D190" s="91"/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3"/>
    </row>
    <row r="191" ht="19.5" customHeight="1">
      <c r="A191" s="91"/>
      <c r="B191" s="91"/>
      <c r="C191" s="91"/>
      <c r="D191" s="91"/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3"/>
    </row>
    <row r="192" ht="19.5" customHeight="1">
      <c r="A192" s="91"/>
      <c r="B192" s="91"/>
      <c r="C192" s="91"/>
      <c r="D192" s="91"/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3"/>
    </row>
    <row r="193" ht="19.5" customHeight="1">
      <c r="A193" s="91"/>
      <c r="B193" s="91"/>
      <c r="C193" s="91"/>
      <c r="D193" s="91"/>
      <c r="E193" s="91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3"/>
    </row>
    <row r="194" ht="19.5" customHeight="1">
      <c r="A194" s="91"/>
      <c r="B194" s="91"/>
      <c r="C194" s="91"/>
      <c r="D194" s="91"/>
      <c r="E194" s="91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3"/>
    </row>
    <row r="195" ht="19.5" customHeight="1">
      <c r="A195" s="91"/>
      <c r="B195" s="91"/>
      <c r="C195" s="91"/>
      <c r="D195" s="91"/>
      <c r="E195" s="91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3"/>
    </row>
    <row r="196" ht="19.5" customHeight="1">
      <c r="A196" s="91"/>
      <c r="B196" s="91"/>
      <c r="C196" s="91"/>
      <c r="D196" s="91"/>
      <c r="E196" s="91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3"/>
    </row>
    <row r="197" ht="19.5" customHeight="1">
      <c r="A197" s="91"/>
      <c r="B197" s="91"/>
      <c r="C197" s="91"/>
      <c r="D197" s="91"/>
      <c r="E197" s="91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3"/>
    </row>
    <row r="198" ht="19.5" customHeight="1">
      <c r="A198" s="91"/>
      <c r="B198" s="91"/>
      <c r="C198" s="91"/>
      <c r="D198" s="91"/>
      <c r="E198" s="91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3"/>
    </row>
    <row r="199" ht="19.5" customHeight="1">
      <c r="A199" s="91"/>
      <c r="B199" s="91"/>
      <c r="C199" s="91"/>
      <c r="D199" s="91"/>
      <c r="E199" s="91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3"/>
    </row>
    <row r="200" ht="19.5" customHeight="1">
      <c r="A200" s="91"/>
      <c r="B200" s="91"/>
      <c r="C200" s="91"/>
      <c r="D200" s="91"/>
      <c r="E200" s="91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3"/>
    </row>
    <row r="201" ht="19.5" customHeight="1">
      <c r="A201" s="91"/>
      <c r="B201" s="91"/>
      <c r="C201" s="91"/>
      <c r="D201" s="91"/>
      <c r="E201" s="91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3"/>
    </row>
    <row r="202" ht="19.5" customHeight="1">
      <c r="A202" s="91"/>
      <c r="B202" s="91"/>
      <c r="C202" s="91"/>
      <c r="D202" s="91"/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3"/>
    </row>
    <row r="203" ht="19.5" customHeight="1">
      <c r="A203" s="91"/>
      <c r="B203" s="91"/>
      <c r="C203" s="91"/>
      <c r="D203" s="91"/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3"/>
    </row>
    <row r="204" ht="19.5" customHeight="1">
      <c r="A204" s="91"/>
      <c r="B204" s="91"/>
      <c r="C204" s="91"/>
      <c r="D204" s="91"/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3"/>
    </row>
    <row r="205" ht="19.5" customHeight="1">
      <c r="A205" s="91"/>
      <c r="B205" s="91"/>
      <c r="C205" s="91"/>
      <c r="D205" s="91"/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3"/>
    </row>
    <row r="206" ht="19.5" customHeight="1">
      <c r="A206" s="91"/>
      <c r="B206" s="91"/>
      <c r="C206" s="91"/>
      <c r="D206" s="91"/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3"/>
    </row>
    <row r="207" ht="19.5" customHeight="1">
      <c r="A207" s="91"/>
      <c r="B207" s="91"/>
      <c r="C207" s="91"/>
      <c r="D207" s="91"/>
      <c r="E207" s="91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3"/>
    </row>
    <row r="208" ht="19.5" customHeight="1">
      <c r="A208" s="91"/>
      <c r="B208" s="91"/>
      <c r="C208" s="91"/>
      <c r="D208" s="91"/>
      <c r="E208" s="91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3"/>
    </row>
    <row r="209" ht="19.5" customHeight="1">
      <c r="A209" s="91"/>
      <c r="B209" s="91"/>
      <c r="C209" s="91"/>
      <c r="D209" s="91"/>
      <c r="E209" s="91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3"/>
    </row>
    <row r="210" ht="19.5" customHeight="1">
      <c r="A210" s="91"/>
      <c r="B210" s="91"/>
      <c r="C210" s="91"/>
      <c r="D210" s="91"/>
      <c r="E210" s="91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3"/>
    </row>
    <row r="211" ht="19.5" customHeight="1">
      <c r="A211" s="91"/>
      <c r="B211" s="91"/>
      <c r="C211" s="91"/>
      <c r="D211" s="91"/>
      <c r="E211" s="91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3"/>
    </row>
    <row r="212" ht="19.5" customHeight="1">
      <c r="A212" s="91"/>
      <c r="B212" s="91"/>
      <c r="C212" s="91"/>
      <c r="D212" s="91"/>
      <c r="E212" s="91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3"/>
    </row>
    <row r="213" ht="19.5" customHeight="1">
      <c r="A213" s="91"/>
      <c r="B213" s="91"/>
      <c r="C213" s="91"/>
      <c r="D213" s="91"/>
      <c r="E213" s="91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3"/>
    </row>
    <row r="214" ht="19.5" customHeight="1">
      <c r="A214" s="91"/>
      <c r="B214" s="91"/>
      <c r="C214" s="91"/>
      <c r="D214" s="91"/>
      <c r="E214" s="91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3"/>
    </row>
    <row r="215" ht="19.5" customHeight="1">
      <c r="A215" s="91"/>
      <c r="B215" s="91"/>
      <c r="C215" s="91"/>
      <c r="D215" s="91"/>
      <c r="E215" s="91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3"/>
    </row>
    <row r="216" ht="19.5" customHeight="1">
      <c r="A216" s="91"/>
      <c r="B216" s="91"/>
      <c r="C216" s="91"/>
      <c r="D216" s="91"/>
      <c r="E216" s="91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3"/>
    </row>
    <row r="217" ht="19.5" customHeight="1">
      <c r="A217" s="91"/>
      <c r="B217" s="91"/>
      <c r="C217" s="91"/>
      <c r="D217" s="91"/>
      <c r="E217" s="91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3"/>
    </row>
    <row r="218" ht="19.5" customHeight="1">
      <c r="A218" s="91"/>
      <c r="B218" s="91"/>
      <c r="C218" s="91"/>
      <c r="D218" s="91"/>
      <c r="E218" s="91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3"/>
    </row>
    <row r="219" ht="19.5" customHeight="1">
      <c r="A219" s="91"/>
      <c r="B219" s="91"/>
      <c r="C219" s="91"/>
      <c r="D219" s="91"/>
      <c r="E219" s="91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3"/>
    </row>
    <row r="220" ht="19.5" customHeight="1">
      <c r="A220" s="91"/>
      <c r="B220" s="91"/>
      <c r="C220" s="91"/>
      <c r="D220" s="91"/>
      <c r="E220" s="91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3"/>
    </row>
    <row r="221" ht="19.5" customHeight="1">
      <c r="A221" s="91"/>
      <c r="B221" s="91"/>
      <c r="C221" s="91"/>
      <c r="D221" s="91"/>
      <c r="E221" s="91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3"/>
    </row>
    <row r="222" ht="19.5" customHeight="1">
      <c r="A222" s="91"/>
      <c r="B222" s="91"/>
      <c r="C222" s="91"/>
      <c r="D222" s="91"/>
      <c r="E222" s="91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3"/>
    </row>
    <row r="223" ht="19.5" customHeight="1">
      <c r="A223" s="91"/>
      <c r="B223" s="91"/>
      <c r="C223" s="91"/>
      <c r="D223" s="91"/>
      <c r="E223" s="91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3"/>
    </row>
    <row r="224" ht="19.5" customHeight="1">
      <c r="A224" s="91"/>
      <c r="B224" s="91"/>
      <c r="C224" s="91"/>
      <c r="D224" s="91"/>
      <c r="E224" s="91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3"/>
    </row>
    <row r="225" ht="19.5" customHeight="1">
      <c r="A225" s="91"/>
      <c r="B225" s="91"/>
      <c r="C225" s="91"/>
      <c r="D225" s="91"/>
      <c r="E225" s="91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3"/>
    </row>
    <row r="226" ht="19.5" customHeight="1">
      <c r="A226" s="91"/>
      <c r="B226" s="91"/>
      <c r="C226" s="91"/>
      <c r="D226" s="91"/>
      <c r="E226" s="91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3"/>
    </row>
    <row r="227" ht="19.5" customHeight="1">
      <c r="A227" s="91"/>
      <c r="B227" s="91"/>
      <c r="C227" s="91"/>
      <c r="D227" s="91"/>
      <c r="E227" s="91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3"/>
    </row>
    <row r="228" ht="19.5" customHeight="1">
      <c r="A228" s="91"/>
      <c r="B228" s="91"/>
      <c r="C228" s="91"/>
      <c r="D228" s="91"/>
      <c r="E228" s="91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3"/>
    </row>
    <row r="229" ht="19.5" customHeight="1">
      <c r="A229" s="91"/>
      <c r="B229" s="91"/>
      <c r="C229" s="91"/>
      <c r="D229" s="91"/>
      <c r="E229" s="91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3"/>
    </row>
    <row r="230" ht="19.5" customHeight="1">
      <c r="A230" s="91"/>
      <c r="B230" s="91"/>
      <c r="C230" s="91"/>
      <c r="D230" s="91"/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3"/>
    </row>
    <row r="231" ht="19.5" customHeight="1">
      <c r="A231" s="91"/>
      <c r="B231" s="91"/>
      <c r="C231" s="91"/>
      <c r="D231" s="91"/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3"/>
    </row>
    <row r="232" ht="19.5" customHeight="1">
      <c r="A232" s="91"/>
      <c r="B232" s="91"/>
      <c r="C232" s="91"/>
      <c r="D232" s="91"/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3"/>
    </row>
    <row r="233" ht="19.5" customHeight="1">
      <c r="A233" s="91"/>
      <c r="B233" s="91"/>
      <c r="C233" s="91"/>
      <c r="D233" s="91"/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3"/>
    </row>
    <row r="234" ht="19.5" customHeight="1">
      <c r="A234" s="91"/>
      <c r="B234" s="91"/>
      <c r="C234" s="91"/>
      <c r="D234" s="91"/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3"/>
    </row>
    <row r="235" ht="19.5" customHeight="1">
      <c r="A235" s="91"/>
      <c r="B235" s="91"/>
      <c r="C235" s="91"/>
      <c r="D235" s="91"/>
      <c r="E235" s="91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3"/>
    </row>
    <row r="236" ht="19.5" customHeight="1">
      <c r="A236" s="91"/>
      <c r="B236" s="91"/>
      <c r="C236" s="91"/>
      <c r="D236" s="91"/>
      <c r="E236" s="91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3"/>
    </row>
    <row r="237" ht="19.5" customHeight="1">
      <c r="A237" s="91"/>
      <c r="B237" s="91"/>
      <c r="C237" s="91"/>
      <c r="D237" s="91"/>
      <c r="E237" s="91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3"/>
    </row>
    <row r="238" ht="19.5" customHeight="1">
      <c r="A238" s="91"/>
      <c r="B238" s="91"/>
      <c r="C238" s="91"/>
      <c r="D238" s="91"/>
      <c r="E238" s="91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3"/>
    </row>
    <row r="239" ht="19.5" customHeight="1">
      <c r="A239" s="91"/>
      <c r="B239" s="91"/>
      <c r="C239" s="91"/>
      <c r="D239" s="91"/>
      <c r="E239" s="91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3"/>
    </row>
    <row r="240" ht="19.5" customHeight="1">
      <c r="A240" s="91"/>
      <c r="B240" s="91"/>
      <c r="C240" s="91"/>
      <c r="D240" s="91"/>
      <c r="E240" s="91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3"/>
    </row>
    <row r="241" ht="19.5" customHeight="1">
      <c r="A241" s="91"/>
      <c r="B241" s="91"/>
      <c r="C241" s="91"/>
      <c r="D241" s="91"/>
      <c r="E241" s="91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3"/>
    </row>
    <row r="242" ht="19.5" customHeight="1">
      <c r="A242" s="91"/>
      <c r="B242" s="91"/>
      <c r="C242" s="91"/>
      <c r="D242" s="91"/>
      <c r="E242" s="91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3"/>
    </row>
    <row r="243" ht="19.5" customHeight="1">
      <c r="A243" s="91"/>
      <c r="B243" s="91"/>
      <c r="C243" s="91"/>
      <c r="D243" s="91"/>
      <c r="E243" s="91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3"/>
    </row>
    <row r="244" ht="19.5" customHeight="1">
      <c r="A244" s="91"/>
      <c r="B244" s="91"/>
      <c r="C244" s="91"/>
      <c r="D244" s="91"/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3"/>
    </row>
    <row r="245" ht="19.5" customHeight="1">
      <c r="A245" s="91"/>
      <c r="B245" s="91"/>
      <c r="C245" s="91"/>
      <c r="D245" s="91"/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3"/>
    </row>
    <row r="246" ht="19.5" customHeight="1">
      <c r="A246" s="91"/>
      <c r="B246" s="91"/>
      <c r="C246" s="91"/>
      <c r="D246" s="91"/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3"/>
    </row>
    <row r="247" ht="19.5" customHeight="1">
      <c r="A247" s="91"/>
      <c r="B247" s="91"/>
      <c r="C247" s="91"/>
      <c r="D247" s="91"/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3"/>
    </row>
    <row r="248" ht="19.5" customHeight="1">
      <c r="A248" s="91"/>
      <c r="B248" s="91"/>
      <c r="C248" s="91"/>
      <c r="D248" s="91"/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3"/>
    </row>
    <row r="249" ht="19.5" customHeight="1">
      <c r="A249" s="91"/>
      <c r="B249" s="91"/>
      <c r="C249" s="91"/>
      <c r="D249" s="91"/>
      <c r="E249" s="91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3"/>
    </row>
    <row r="250" ht="19.5" customHeight="1">
      <c r="A250" s="91"/>
      <c r="B250" s="91"/>
      <c r="C250" s="91"/>
      <c r="D250" s="91"/>
      <c r="E250" s="91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3"/>
    </row>
    <row r="251" ht="19.5" customHeight="1">
      <c r="A251" s="91"/>
      <c r="B251" s="91"/>
      <c r="C251" s="91"/>
      <c r="D251" s="91"/>
      <c r="E251" s="91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3"/>
    </row>
    <row r="252" ht="19.5" customHeight="1">
      <c r="A252" s="91"/>
      <c r="B252" s="91"/>
      <c r="C252" s="91"/>
      <c r="D252" s="91"/>
      <c r="E252" s="91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3"/>
    </row>
    <row r="253" ht="19.5" customHeight="1">
      <c r="A253" s="91"/>
      <c r="B253" s="91"/>
      <c r="C253" s="91"/>
      <c r="D253" s="91"/>
      <c r="E253" s="91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3"/>
    </row>
    <row r="254" ht="19.5" customHeight="1">
      <c r="A254" s="91"/>
      <c r="B254" s="91"/>
      <c r="C254" s="91"/>
      <c r="D254" s="91"/>
      <c r="E254" s="91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3"/>
    </row>
    <row r="255" ht="19.5" customHeight="1">
      <c r="A255" s="91"/>
      <c r="B255" s="91"/>
      <c r="C255" s="91"/>
      <c r="D255" s="91"/>
      <c r="E255" s="91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3"/>
    </row>
    <row r="256" ht="19.5" customHeight="1">
      <c r="A256" s="91"/>
      <c r="B256" s="91"/>
      <c r="C256" s="91"/>
      <c r="D256" s="91"/>
      <c r="E256" s="91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3"/>
    </row>
    <row r="257" ht="19.5" customHeight="1">
      <c r="A257" s="91"/>
      <c r="B257" s="91"/>
      <c r="C257" s="91"/>
      <c r="D257" s="91"/>
      <c r="E257" s="91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3"/>
    </row>
    <row r="258" ht="19.5" customHeight="1">
      <c r="A258" s="91"/>
      <c r="B258" s="91"/>
      <c r="C258" s="91"/>
      <c r="D258" s="91"/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3"/>
    </row>
    <row r="259" ht="19.5" customHeight="1">
      <c r="A259" s="91"/>
      <c r="B259" s="91"/>
      <c r="C259" s="91"/>
      <c r="D259" s="91"/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3"/>
    </row>
    <row r="260" ht="19.5" customHeight="1">
      <c r="A260" s="91"/>
      <c r="B260" s="91"/>
      <c r="C260" s="91"/>
      <c r="D260" s="91"/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3"/>
    </row>
    <row r="261" ht="19.5" customHeight="1">
      <c r="A261" s="91"/>
      <c r="B261" s="91"/>
      <c r="C261" s="91"/>
      <c r="D261" s="91"/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3"/>
    </row>
    <row r="262" ht="19.5" customHeight="1">
      <c r="A262" s="91"/>
      <c r="B262" s="91"/>
      <c r="C262" s="91"/>
      <c r="D262" s="91"/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3"/>
    </row>
    <row r="263" ht="19.5" customHeight="1">
      <c r="A263" s="91"/>
      <c r="B263" s="91"/>
      <c r="C263" s="91"/>
      <c r="D263" s="91"/>
      <c r="E263" s="91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3"/>
    </row>
    <row r="264" ht="19.5" customHeight="1">
      <c r="A264" s="91"/>
      <c r="B264" s="91"/>
      <c r="C264" s="91"/>
      <c r="D264" s="91"/>
      <c r="E264" s="91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3"/>
    </row>
    <row r="265" ht="19.5" customHeight="1">
      <c r="A265" s="91"/>
      <c r="B265" s="91"/>
      <c r="C265" s="91"/>
      <c r="D265" s="91"/>
      <c r="E265" s="91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3"/>
    </row>
    <row r="266" ht="19.5" customHeight="1">
      <c r="A266" s="91"/>
      <c r="B266" s="91"/>
      <c r="C266" s="91"/>
      <c r="D266" s="91"/>
      <c r="E266" s="91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3"/>
    </row>
    <row r="267" ht="19.5" customHeight="1">
      <c r="A267" s="91"/>
      <c r="B267" s="91"/>
      <c r="C267" s="91"/>
      <c r="D267" s="91"/>
      <c r="E267" s="91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3"/>
    </row>
    <row r="268" ht="19.5" customHeight="1">
      <c r="A268" s="91"/>
      <c r="B268" s="91"/>
      <c r="C268" s="91"/>
      <c r="D268" s="91"/>
      <c r="E268" s="91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3"/>
    </row>
    <row r="269" ht="19.5" customHeight="1">
      <c r="A269" s="91"/>
      <c r="B269" s="91"/>
      <c r="C269" s="91"/>
      <c r="D269" s="91"/>
      <c r="E269" s="91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3"/>
    </row>
    <row r="270" ht="19.5" customHeight="1">
      <c r="A270" s="91"/>
      <c r="B270" s="91"/>
      <c r="C270" s="91"/>
      <c r="D270" s="91"/>
      <c r="E270" s="91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3"/>
    </row>
    <row r="271" ht="19.5" customHeight="1">
      <c r="A271" s="91"/>
      <c r="B271" s="91"/>
      <c r="C271" s="91"/>
      <c r="D271" s="91"/>
      <c r="E271" s="91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3"/>
    </row>
    <row r="272" ht="19.5" customHeight="1">
      <c r="A272" s="91"/>
      <c r="B272" s="91"/>
      <c r="C272" s="91"/>
      <c r="D272" s="91"/>
      <c r="E272" s="91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3"/>
    </row>
    <row r="273" ht="19.5" customHeight="1">
      <c r="A273" s="91"/>
      <c r="B273" s="91"/>
      <c r="C273" s="91"/>
      <c r="D273" s="91"/>
      <c r="E273" s="91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3"/>
    </row>
    <row r="274" ht="19.5" customHeight="1">
      <c r="A274" s="91"/>
      <c r="B274" s="91"/>
      <c r="C274" s="91"/>
      <c r="D274" s="91"/>
      <c r="E274" s="91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3"/>
    </row>
    <row r="275" ht="19.5" customHeight="1">
      <c r="A275" s="91"/>
      <c r="B275" s="91"/>
      <c r="C275" s="91"/>
      <c r="D275" s="91"/>
      <c r="E275" s="91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3"/>
    </row>
    <row r="276" ht="19.5" customHeight="1">
      <c r="A276" s="91"/>
      <c r="B276" s="91"/>
      <c r="C276" s="91"/>
      <c r="D276" s="91"/>
      <c r="E276" s="91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3"/>
    </row>
    <row r="277" ht="19.5" customHeight="1">
      <c r="A277" s="91"/>
      <c r="B277" s="91"/>
      <c r="C277" s="91"/>
      <c r="D277" s="91"/>
      <c r="E277" s="91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3"/>
    </row>
    <row r="278" ht="19.5" customHeight="1">
      <c r="A278" s="91"/>
      <c r="B278" s="91"/>
      <c r="C278" s="91"/>
      <c r="D278" s="91"/>
      <c r="E278" s="91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3"/>
    </row>
    <row r="279" ht="19.5" customHeight="1">
      <c r="A279" s="91"/>
      <c r="B279" s="91"/>
      <c r="C279" s="91"/>
      <c r="D279" s="91"/>
      <c r="E279" s="91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3"/>
    </row>
    <row r="280" ht="19.5" customHeight="1">
      <c r="A280" s="91"/>
      <c r="B280" s="91"/>
      <c r="C280" s="91"/>
      <c r="D280" s="91"/>
      <c r="E280" s="91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3"/>
    </row>
    <row r="281" ht="19.5" customHeight="1">
      <c r="A281" s="91"/>
      <c r="B281" s="91"/>
      <c r="C281" s="91"/>
      <c r="D281" s="91"/>
      <c r="E281" s="91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3"/>
    </row>
    <row r="282" ht="19.5" customHeight="1">
      <c r="A282" s="91"/>
      <c r="B282" s="91"/>
      <c r="C282" s="91"/>
      <c r="D282" s="91"/>
      <c r="E282" s="91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3"/>
    </row>
    <row r="283" ht="19.5" customHeight="1">
      <c r="A283" s="91"/>
      <c r="B283" s="91"/>
      <c r="C283" s="91"/>
      <c r="D283" s="91"/>
      <c r="E283" s="91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3"/>
    </row>
    <row r="284" ht="19.5" customHeight="1">
      <c r="A284" s="91"/>
      <c r="B284" s="91"/>
      <c r="C284" s="91"/>
      <c r="D284" s="91"/>
      <c r="E284" s="91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3"/>
    </row>
    <row r="285" ht="19.5" customHeight="1">
      <c r="A285" s="91"/>
      <c r="B285" s="91"/>
      <c r="C285" s="91"/>
      <c r="D285" s="91"/>
      <c r="E285" s="91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3"/>
    </row>
    <row r="286" ht="19.5" customHeight="1">
      <c r="A286" s="91"/>
      <c r="B286" s="91"/>
      <c r="C286" s="91"/>
      <c r="D286" s="91"/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3"/>
    </row>
    <row r="287" ht="19.5" customHeight="1">
      <c r="A287" s="91"/>
      <c r="B287" s="91"/>
      <c r="C287" s="91"/>
      <c r="D287" s="91"/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3"/>
    </row>
    <row r="288" ht="19.5" customHeight="1">
      <c r="A288" s="91"/>
      <c r="B288" s="91"/>
      <c r="C288" s="91"/>
      <c r="D288" s="91"/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3"/>
    </row>
    <row r="289" ht="19.5" customHeight="1">
      <c r="A289" s="91"/>
      <c r="B289" s="91"/>
      <c r="C289" s="91"/>
      <c r="D289" s="91"/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3"/>
    </row>
    <row r="290" ht="19.5" customHeight="1">
      <c r="A290" s="91"/>
      <c r="B290" s="91"/>
      <c r="C290" s="91"/>
      <c r="D290" s="91"/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3"/>
    </row>
    <row r="291" ht="19.5" customHeight="1">
      <c r="A291" s="91"/>
      <c r="B291" s="91"/>
      <c r="C291" s="91"/>
      <c r="D291" s="91"/>
      <c r="E291" s="91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3"/>
    </row>
    <row r="292" ht="19.5" customHeight="1">
      <c r="A292" s="91"/>
      <c r="B292" s="91"/>
      <c r="C292" s="91"/>
      <c r="D292" s="91"/>
      <c r="E292" s="91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3"/>
    </row>
    <row r="293" ht="19.5" customHeight="1">
      <c r="A293" s="91"/>
      <c r="B293" s="91"/>
      <c r="C293" s="91"/>
      <c r="D293" s="91"/>
      <c r="E293" s="91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3"/>
    </row>
    <row r="294" ht="19.5" customHeight="1">
      <c r="A294" s="91"/>
      <c r="B294" s="91"/>
      <c r="C294" s="91"/>
      <c r="D294" s="91"/>
      <c r="E294" s="91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3"/>
    </row>
    <row r="295" ht="19.5" customHeight="1">
      <c r="A295" s="91"/>
      <c r="B295" s="91"/>
      <c r="C295" s="91"/>
      <c r="D295" s="91"/>
      <c r="E295" s="91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3"/>
    </row>
    <row r="296" ht="19.5" customHeight="1">
      <c r="A296" s="91"/>
      <c r="B296" s="91"/>
      <c r="C296" s="91"/>
      <c r="D296" s="91"/>
      <c r="E296" s="91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3"/>
    </row>
    <row r="297" ht="19.5" customHeight="1">
      <c r="A297" s="91"/>
      <c r="B297" s="91"/>
      <c r="C297" s="91"/>
      <c r="D297" s="91"/>
      <c r="E297" s="91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3"/>
    </row>
    <row r="298" ht="19.5" customHeight="1">
      <c r="A298" s="91"/>
      <c r="B298" s="91"/>
      <c r="C298" s="91"/>
      <c r="D298" s="91"/>
      <c r="E298" s="91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3"/>
    </row>
    <row r="299" ht="19.5" customHeight="1">
      <c r="A299" s="91"/>
      <c r="B299" s="91"/>
      <c r="C299" s="91"/>
      <c r="D299" s="91"/>
      <c r="E299" s="91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3"/>
    </row>
    <row r="300" ht="19.5" customHeight="1">
      <c r="A300" s="91"/>
      <c r="B300" s="91"/>
      <c r="C300" s="91"/>
      <c r="D300" s="91"/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3"/>
    </row>
    <row r="301" ht="19.5" customHeight="1">
      <c r="A301" s="91"/>
      <c r="B301" s="91"/>
      <c r="C301" s="91"/>
      <c r="D301" s="91"/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3"/>
    </row>
    <row r="302" ht="19.5" customHeight="1">
      <c r="A302" s="91"/>
      <c r="B302" s="91"/>
      <c r="C302" s="91"/>
      <c r="D302" s="91"/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3"/>
    </row>
    <row r="303" ht="19.5" customHeight="1">
      <c r="A303" s="91"/>
      <c r="B303" s="91"/>
      <c r="C303" s="91"/>
      <c r="D303" s="91"/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3"/>
    </row>
    <row r="304" ht="19.5" customHeight="1">
      <c r="A304" s="91"/>
      <c r="B304" s="91"/>
      <c r="C304" s="91"/>
      <c r="D304" s="91"/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3"/>
    </row>
    <row r="305" ht="19.5" customHeight="1">
      <c r="A305" s="91"/>
      <c r="B305" s="91"/>
      <c r="C305" s="91"/>
      <c r="D305" s="91"/>
      <c r="E305" s="91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3"/>
    </row>
    <row r="306" ht="19.5" customHeight="1">
      <c r="A306" s="91"/>
      <c r="B306" s="91"/>
      <c r="C306" s="91"/>
      <c r="D306" s="91"/>
      <c r="E306" s="91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3"/>
    </row>
    <row r="307" ht="19.5" customHeight="1">
      <c r="A307" s="91"/>
      <c r="B307" s="91"/>
      <c r="C307" s="91"/>
      <c r="D307" s="91"/>
      <c r="E307" s="91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3"/>
    </row>
    <row r="308" ht="19.5" customHeight="1">
      <c r="A308" s="91"/>
      <c r="B308" s="91"/>
      <c r="C308" s="91"/>
      <c r="D308" s="91"/>
      <c r="E308" s="91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3"/>
    </row>
    <row r="309" ht="19.5" customHeight="1">
      <c r="A309" s="91"/>
      <c r="B309" s="91"/>
      <c r="C309" s="91"/>
      <c r="D309" s="91"/>
      <c r="E309" s="91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3"/>
    </row>
    <row r="310" ht="19.5" customHeight="1">
      <c r="A310" s="91"/>
      <c r="B310" s="91"/>
      <c r="C310" s="91"/>
      <c r="D310" s="91"/>
      <c r="E310" s="91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3"/>
    </row>
    <row r="311" ht="19.5" customHeight="1">
      <c r="A311" s="91"/>
      <c r="B311" s="91"/>
      <c r="C311" s="91"/>
      <c r="D311" s="91"/>
      <c r="E311" s="91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3"/>
    </row>
    <row r="312" ht="19.5" customHeight="1">
      <c r="A312" s="91"/>
      <c r="B312" s="91"/>
      <c r="C312" s="91"/>
      <c r="D312" s="91"/>
      <c r="E312" s="91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3"/>
    </row>
    <row r="313" ht="19.5" customHeight="1">
      <c r="A313" s="91"/>
      <c r="B313" s="91"/>
      <c r="C313" s="91"/>
      <c r="D313" s="91"/>
      <c r="E313" s="91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3"/>
    </row>
    <row r="314" ht="19.5" customHeight="1">
      <c r="A314" s="91"/>
      <c r="B314" s="91"/>
      <c r="C314" s="91"/>
      <c r="D314" s="91"/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3"/>
    </row>
    <row r="315" ht="19.5" customHeight="1">
      <c r="A315" s="91"/>
      <c r="B315" s="91"/>
      <c r="C315" s="91"/>
      <c r="D315" s="91"/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3"/>
    </row>
    <row r="316" ht="19.5" customHeight="1">
      <c r="A316" s="91"/>
      <c r="B316" s="91"/>
      <c r="C316" s="91"/>
      <c r="D316" s="91"/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3"/>
    </row>
    <row r="317" ht="19.5" customHeight="1">
      <c r="A317" s="91"/>
      <c r="B317" s="91"/>
      <c r="C317" s="91"/>
      <c r="D317" s="91"/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3"/>
    </row>
    <row r="318" ht="19.5" customHeight="1">
      <c r="A318" s="91"/>
      <c r="B318" s="91"/>
      <c r="C318" s="91"/>
      <c r="D318" s="91"/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3"/>
    </row>
    <row r="319" ht="19.5" customHeight="1">
      <c r="A319" s="91"/>
      <c r="B319" s="91"/>
      <c r="C319" s="91"/>
      <c r="D319" s="91"/>
      <c r="E319" s="91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3"/>
    </row>
    <row r="320" ht="19.5" customHeight="1">
      <c r="A320" s="91"/>
      <c r="B320" s="91"/>
      <c r="C320" s="91"/>
      <c r="D320" s="91"/>
      <c r="E320" s="91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3"/>
    </row>
    <row r="321" ht="19.5" customHeight="1">
      <c r="A321" s="91"/>
      <c r="B321" s="91"/>
      <c r="C321" s="91"/>
      <c r="D321" s="91"/>
      <c r="E321" s="91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3"/>
    </row>
    <row r="322" ht="19.5" customHeight="1">
      <c r="A322" s="91"/>
      <c r="B322" s="91"/>
      <c r="C322" s="91"/>
      <c r="D322" s="91"/>
      <c r="E322" s="91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3"/>
    </row>
    <row r="323" ht="19.5" customHeight="1">
      <c r="A323" s="91"/>
      <c r="B323" s="91"/>
      <c r="C323" s="91"/>
      <c r="D323" s="91"/>
      <c r="E323" s="91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3"/>
    </row>
    <row r="324" ht="19.5" customHeight="1">
      <c r="A324" s="91"/>
      <c r="B324" s="91"/>
      <c r="C324" s="91"/>
      <c r="D324" s="91"/>
      <c r="E324" s="91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3"/>
    </row>
    <row r="325" ht="19.5" customHeight="1">
      <c r="A325" s="91"/>
      <c r="B325" s="91"/>
      <c r="C325" s="91"/>
      <c r="D325" s="91"/>
      <c r="E325" s="91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3"/>
    </row>
    <row r="326" ht="19.5" customHeight="1">
      <c r="A326" s="91"/>
      <c r="B326" s="91"/>
      <c r="C326" s="91"/>
      <c r="D326" s="91"/>
      <c r="E326" s="91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3"/>
    </row>
    <row r="327" ht="19.5" customHeight="1">
      <c r="A327" s="91"/>
      <c r="B327" s="91"/>
      <c r="C327" s="91"/>
      <c r="D327" s="91"/>
      <c r="E327" s="91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3"/>
    </row>
    <row r="328" ht="19.5" customHeight="1">
      <c r="A328" s="91"/>
      <c r="B328" s="91"/>
      <c r="C328" s="91"/>
      <c r="D328" s="91"/>
      <c r="E328" s="91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3"/>
    </row>
    <row r="329" ht="19.5" customHeight="1">
      <c r="A329" s="91"/>
      <c r="B329" s="91"/>
      <c r="C329" s="91"/>
      <c r="D329" s="91"/>
      <c r="E329" s="91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3"/>
    </row>
    <row r="330" ht="19.5" customHeight="1">
      <c r="A330" s="91"/>
      <c r="B330" s="91"/>
      <c r="C330" s="91"/>
      <c r="D330" s="91"/>
      <c r="E330" s="91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3"/>
    </row>
    <row r="331" ht="19.5" customHeight="1">
      <c r="A331" s="91"/>
      <c r="B331" s="91"/>
      <c r="C331" s="91"/>
      <c r="D331" s="91"/>
      <c r="E331" s="91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3"/>
    </row>
    <row r="332" ht="19.5" customHeight="1">
      <c r="A332" s="91"/>
      <c r="B332" s="91"/>
      <c r="C332" s="91"/>
      <c r="D332" s="91"/>
      <c r="E332" s="91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3"/>
    </row>
    <row r="333" ht="19.5" customHeight="1">
      <c r="A333" s="91"/>
      <c r="B333" s="91"/>
      <c r="C333" s="91"/>
      <c r="D333" s="91"/>
      <c r="E333" s="91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3"/>
    </row>
    <row r="334" ht="19.5" customHeight="1">
      <c r="A334" s="91"/>
      <c r="B334" s="91"/>
      <c r="C334" s="91"/>
      <c r="D334" s="91"/>
      <c r="E334" s="91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3"/>
    </row>
    <row r="335" ht="19.5" customHeight="1">
      <c r="A335" s="91"/>
      <c r="B335" s="91"/>
      <c r="C335" s="91"/>
      <c r="D335" s="91"/>
      <c r="E335" s="91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3"/>
    </row>
    <row r="336" ht="19.5" customHeight="1">
      <c r="A336" s="91"/>
      <c r="B336" s="91"/>
      <c r="C336" s="91"/>
      <c r="D336" s="91"/>
      <c r="E336" s="91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3"/>
    </row>
    <row r="337" ht="19.5" customHeight="1">
      <c r="A337" s="91"/>
      <c r="B337" s="91"/>
      <c r="C337" s="91"/>
      <c r="D337" s="91"/>
      <c r="E337" s="91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3"/>
    </row>
    <row r="338" ht="19.5" customHeight="1">
      <c r="A338" s="91"/>
      <c r="B338" s="91"/>
      <c r="C338" s="91"/>
      <c r="D338" s="91"/>
      <c r="E338" s="91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3"/>
    </row>
    <row r="339" ht="19.5" customHeight="1">
      <c r="A339" s="91"/>
      <c r="B339" s="91"/>
      <c r="C339" s="91"/>
      <c r="D339" s="91"/>
      <c r="E339" s="91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3"/>
    </row>
    <row r="340" ht="19.5" customHeight="1">
      <c r="A340" s="91"/>
      <c r="B340" s="91"/>
      <c r="C340" s="91"/>
      <c r="D340" s="91"/>
      <c r="E340" s="91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3"/>
    </row>
    <row r="341" ht="19.5" customHeight="1">
      <c r="A341" s="91"/>
      <c r="B341" s="91"/>
      <c r="C341" s="91"/>
      <c r="D341" s="91"/>
      <c r="E341" s="91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3"/>
    </row>
    <row r="342" ht="19.5" customHeight="1">
      <c r="A342" s="91"/>
      <c r="B342" s="91"/>
      <c r="C342" s="91"/>
      <c r="D342" s="91"/>
      <c r="E342" s="91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3"/>
    </row>
    <row r="343" ht="19.5" customHeight="1">
      <c r="A343" s="91"/>
      <c r="B343" s="91"/>
      <c r="C343" s="91"/>
      <c r="D343" s="91"/>
      <c r="E343" s="91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3"/>
    </row>
    <row r="344" ht="19.5" customHeight="1">
      <c r="A344" s="91"/>
      <c r="B344" s="91"/>
      <c r="C344" s="91"/>
      <c r="D344" s="91"/>
      <c r="E344" s="91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3"/>
    </row>
    <row r="345" ht="19.5" customHeight="1">
      <c r="A345" s="91"/>
      <c r="B345" s="91"/>
      <c r="C345" s="91"/>
      <c r="D345" s="91"/>
      <c r="E345" s="91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3"/>
    </row>
    <row r="346" ht="19.5" customHeight="1">
      <c r="A346" s="91"/>
      <c r="B346" s="91"/>
      <c r="C346" s="91"/>
      <c r="D346" s="91"/>
      <c r="E346" s="91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3"/>
    </row>
    <row r="347" ht="19.5" customHeight="1">
      <c r="A347" s="91"/>
      <c r="B347" s="91"/>
      <c r="C347" s="91"/>
      <c r="D347" s="91"/>
      <c r="E347" s="91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3"/>
    </row>
    <row r="348" ht="19.5" customHeight="1">
      <c r="A348" s="91"/>
      <c r="B348" s="91"/>
      <c r="C348" s="91"/>
      <c r="D348" s="91"/>
      <c r="E348" s="91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3"/>
    </row>
    <row r="349" ht="19.5" customHeight="1">
      <c r="A349" s="91"/>
      <c r="B349" s="91"/>
      <c r="C349" s="91"/>
      <c r="D349" s="91"/>
      <c r="E349" s="91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3"/>
    </row>
    <row r="350" ht="19.5" customHeight="1">
      <c r="A350" s="91"/>
      <c r="B350" s="91"/>
      <c r="C350" s="91"/>
      <c r="D350" s="91"/>
      <c r="E350" s="91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3"/>
    </row>
    <row r="351" ht="19.5" customHeight="1">
      <c r="A351" s="91"/>
      <c r="B351" s="91"/>
      <c r="C351" s="91"/>
      <c r="D351" s="91"/>
      <c r="E351" s="91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3"/>
    </row>
    <row r="352" ht="19.5" customHeight="1">
      <c r="A352" s="91"/>
      <c r="B352" s="91"/>
      <c r="C352" s="91"/>
      <c r="D352" s="91"/>
      <c r="E352" s="91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3"/>
    </row>
    <row r="353" ht="19.5" customHeight="1">
      <c r="A353" s="91"/>
      <c r="B353" s="91"/>
      <c r="C353" s="91"/>
      <c r="D353" s="91"/>
      <c r="E353" s="91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3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</row>
  </sheetData>
  <mergeCells count="8">
    <mergeCell ref="A1:AG1"/>
    <mergeCell ref="A2:D2"/>
    <mergeCell ref="I2:K2"/>
    <mergeCell ref="L2:P2"/>
    <mergeCell ref="R2:T2"/>
    <mergeCell ref="U2:V2"/>
    <mergeCell ref="X2:Z2"/>
    <mergeCell ref="AA2:AB2"/>
  </mergeCells>
  <printOptions/>
  <pageMargins bottom="0.75" footer="0.0" header="0.0" left="0.5" right="0.5" top="0.75"/>
  <pageSetup scale="72" orientation="portrait"/>
  <headerFooter>
    <oddFooter>&amp;C000000000000&amp;P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