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 tabRatio="772" activeTab="6"/>
  </bookViews>
  <sheets>
    <sheet name="INCOME STATEMENTS" sheetId="1" r:id="rId1"/>
    <sheet name="BALANCE SHEETS" sheetId="2" r:id="rId2"/>
    <sheet name="CASH FLOW" sheetId="16" r:id="rId3"/>
    <sheet name="LIMITATIONS" sheetId="17" r:id="rId4"/>
    <sheet name="CHARTS" sheetId="19" r:id="rId5"/>
    <sheet name="TREND ANALYSIS" sheetId="18" r:id="rId6"/>
    <sheet name="KPI REPORT YEAR ONE" sheetId="13" r:id="rId7"/>
    <sheet name="KPI REPORT YEAR TWO" sheetId="10" r:id="rId8"/>
    <sheet name="KPI REPORT YEAR THREE" sheetId="14" r:id="rId9"/>
    <sheet name="KPI REPORT YEAR FOUR" sheetId="15" r:id="rId10"/>
  </sheets>
  <calcPr calcId="144525"/>
</workbook>
</file>

<file path=xl/calcChain.xml><?xml version="1.0" encoding="utf-8"?>
<calcChain xmlns="http://schemas.openxmlformats.org/spreadsheetml/2006/main">
  <c r="N13" i="2" l="1"/>
  <c r="N10" i="2"/>
  <c r="E37" i="18" l="1"/>
  <c r="D37" i="18"/>
  <c r="C37" i="18"/>
  <c r="B37" i="18"/>
  <c r="W37" i="15"/>
  <c r="N37" i="15"/>
  <c r="C37" i="15" s="1"/>
  <c r="W37" i="14"/>
  <c r="N37" i="14"/>
  <c r="C37" i="14" s="1"/>
  <c r="W37" i="10"/>
  <c r="N37" i="10"/>
  <c r="C37" i="10" s="1"/>
  <c r="C37" i="13"/>
  <c r="W37" i="13"/>
  <c r="W8" i="13"/>
  <c r="B40" i="18"/>
  <c r="B39" i="18"/>
  <c r="C40" i="18"/>
  <c r="C39" i="18"/>
  <c r="D40" i="18"/>
  <c r="D39" i="18"/>
  <c r="E40" i="18"/>
  <c r="E39" i="18"/>
  <c r="D1" i="18"/>
  <c r="C1" i="18" s="1"/>
  <c r="B1" i="18" s="1"/>
  <c r="B32" i="16"/>
  <c r="B28" i="16"/>
  <c r="B26" i="16"/>
  <c r="B25" i="16"/>
  <c r="B21" i="16"/>
  <c r="B20" i="16"/>
  <c r="B19" i="16"/>
  <c r="B13" i="16"/>
  <c r="B12" i="16"/>
  <c r="B11" i="16"/>
  <c r="B6" i="16"/>
  <c r="B5" i="16"/>
  <c r="B3" i="16"/>
  <c r="B30" i="16" s="1"/>
  <c r="B34" i="16" s="1"/>
  <c r="C32" i="16"/>
  <c r="C28" i="16"/>
  <c r="C26" i="16"/>
  <c r="C25" i="16"/>
  <c r="C21" i="16"/>
  <c r="C20" i="16"/>
  <c r="C19" i="16"/>
  <c r="C13" i="16"/>
  <c r="C12" i="16"/>
  <c r="C11" i="16"/>
  <c r="C6" i="16"/>
  <c r="C5" i="16"/>
  <c r="C3" i="16"/>
  <c r="C30" i="16" s="1"/>
  <c r="C34" i="16" s="1"/>
  <c r="D32" i="16"/>
  <c r="D28" i="16"/>
  <c r="D26" i="16"/>
  <c r="D25" i="16"/>
  <c r="D21" i="16"/>
  <c r="D20" i="16"/>
  <c r="D19" i="16"/>
  <c r="D13" i="16"/>
  <c r="D12" i="16"/>
  <c r="D11" i="16"/>
  <c r="D6" i="16"/>
  <c r="D5" i="16"/>
  <c r="D3" i="16"/>
  <c r="D30" i="16" s="1"/>
  <c r="D34" i="16" s="1"/>
  <c r="B1" i="16"/>
  <c r="C1" i="16"/>
  <c r="D1" i="16"/>
  <c r="E13" i="16"/>
  <c r="E12" i="16"/>
  <c r="E11" i="16"/>
  <c r="E26" i="16"/>
  <c r="E25" i="16"/>
  <c r="E21" i="16"/>
  <c r="E20" i="16"/>
  <c r="E19" i="16"/>
  <c r="E6" i="16"/>
  <c r="E5" i="16"/>
  <c r="E32" i="16"/>
  <c r="E28" i="16"/>
  <c r="E3" i="16"/>
  <c r="E30" i="16" l="1"/>
  <c r="E34" i="16" s="1"/>
  <c r="AE43" i="15" l="1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O43" i="15"/>
  <c r="M43" i="15"/>
  <c r="L43" i="15"/>
  <c r="I43" i="15"/>
  <c r="H43" i="15"/>
  <c r="G43" i="15"/>
  <c r="C2" i="15"/>
  <c r="I1" i="15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O43" i="14"/>
  <c r="M43" i="14"/>
  <c r="L43" i="14"/>
  <c r="I43" i="14"/>
  <c r="H43" i="14"/>
  <c r="G43" i="14"/>
  <c r="C2" i="14"/>
  <c r="I1" i="14"/>
  <c r="AF43" i="13"/>
  <c r="AE43" i="13"/>
  <c r="AD43" i="13"/>
  <c r="AC43" i="13"/>
  <c r="AB43" i="13"/>
  <c r="AA43" i="13"/>
  <c r="Z43" i="13"/>
  <c r="Y43" i="13"/>
  <c r="X43" i="13"/>
  <c r="V43" i="13"/>
  <c r="U43" i="13"/>
  <c r="T43" i="13"/>
  <c r="S43" i="13"/>
  <c r="R43" i="13"/>
  <c r="Q43" i="13"/>
  <c r="O43" i="13"/>
  <c r="M43" i="13"/>
  <c r="L43" i="13"/>
  <c r="I43" i="13"/>
  <c r="H43" i="13"/>
  <c r="G43" i="13"/>
  <c r="C2" i="13"/>
  <c r="I1" i="13"/>
  <c r="N37" i="13" s="1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O43" i="10"/>
  <c r="M43" i="10"/>
  <c r="L43" i="10"/>
  <c r="I43" i="10"/>
  <c r="I14" i="10" s="1"/>
  <c r="H43" i="10"/>
  <c r="G43" i="10"/>
  <c r="C2" i="10"/>
  <c r="I1" i="10"/>
  <c r="K14" i="10" s="1"/>
  <c r="V8" i="15" l="1"/>
  <c r="AC38" i="15"/>
  <c r="AC38" i="14"/>
  <c r="V8" i="14"/>
  <c r="AC38" i="10"/>
  <c r="K16" i="10"/>
  <c r="V8" i="10"/>
  <c r="K13" i="10"/>
  <c r="AE8" i="15"/>
  <c r="C8" i="15" s="1"/>
  <c r="B8" i="18" s="1"/>
  <c r="AE8" i="14"/>
  <c r="C8" i="14" s="1"/>
  <c r="C8" i="18" s="1"/>
  <c r="AE8" i="10"/>
  <c r="C8" i="10" s="1"/>
  <c r="D8" i="18" s="1"/>
  <c r="AE7" i="15"/>
  <c r="AE7" i="14"/>
  <c r="AE7" i="10"/>
  <c r="AB40" i="13"/>
  <c r="N7" i="13"/>
  <c r="N7" i="14"/>
  <c r="C7" i="14" s="1"/>
  <c r="C7" i="18" s="1"/>
  <c r="N7" i="15"/>
  <c r="C7" i="15" s="1"/>
  <c r="B7" i="18" s="1"/>
  <c r="N7" i="10"/>
  <c r="AD38" i="13"/>
  <c r="AA40" i="15"/>
  <c r="AA40" i="10"/>
  <c r="AA40" i="14"/>
  <c r="W5" i="15"/>
  <c r="AE6" i="15"/>
  <c r="K13" i="15"/>
  <c r="K14" i="15"/>
  <c r="S15" i="15"/>
  <c r="K16" i="15"/>
  <c r="W21" i="15"/>
  <c r="X23" i="15"/>
  <c r="Y25" i="15"/>
  <c r="W29" i="15"/>
  <c r="M34" i="15"/>
  <c r="V35" i="15"/>
  <c r="U36" i="15"/>
  <c r="AB38" i="15"/>
  <c r="X39" i="15"/>
  <c r="Z39" i="15"/>
  <c r="T40" i="15"/>
  <c r="X40" i="15"/>
  <c r="Z40" i="15"/>
  <c r="AB40" i="15"/>
  <c r="X5" i="15"/>
  <c r="W6" i="15"/>
  <c r="S13" i="15"/>
  <c r="I14" i="15"/>
  <c r="S14" i="15"/>
  <c r="G15" i="15"/>
  <c r="C15" i="15" s="1"/>
  <c r="B15" i="18" s="1"/>
  <c r="S16" i="15"/>
  <c r="H21" i="15"/>
  <c r="J23" i="15"/>
  <c r="P25" i="15"/>
  <c r="Z25" i="15"/>
  <c r="Z26" i="15"/>
  <c r="N29" i="15"/>
  <c r="U34" i="15"/>
  <c r="C34" i="15" s="1"/>
  <c r="B34" i="18" s="1"/>
  <c r="M35" i="15"/>
  <c r="V36" i="15"/>
  <c r="AA38" i="15"/>
  <c r="C38" i="15" s="1"/>
  <c r="B38" i="18" s="1"/>
  <c r="W39" i="15"/>
  <c r="Y39" i="15"/>
  <c r="Q40" i="15"/>
  <c r="W40" i="15"/>
  <c r="Y40" i="15"/>
  <c r="W5" i="14"/>
  <c r="AE6" i="14"/>
  <c r="K13" i="14"/>
  <c r="K14" i="14"/>
  <c r="S15" i="14"/>
  <c r="K16" i="14"/>
  <c r="W21" i="14"/>
  <c r="X23" i="14"/>
  <c r="Y25" i="14"/>
  <c r="W29" i="14"/>
  <c r="M34" i="14"/>
  <c r="V35" i="14"/>
  <c r="U36" i="14"/>
  <c r="AB38" i="14"/>
  <c r="X39" i="14"/>
  <c r="Z39" i="14"/>
  <c r="T40" i="14"/>
  <c r="X40" i="14"/>
  <c r="Z40" i="14"/>
  <c r="AB40" i="14"/>
  <c r="X5" i="14"/>
  <c r="W6" i="14"/>
  <c r="S13" i="14"/>
  <c r="I14" i="14"/>
  <c r="S14" i="14"/>
  <c r="G15" i="14"/>
  <c r="S16" i="14"/>
  <c r="H21" i="14"/>
  <c r="J23" i="14"/>
  <c r="P25" i="14"/>
  <c r="Z25" i="14"/>
  <c r="Z26" i="14"/>
  <c r="N29" i="14"/>
  <c r="U34" i="14"/>
  <c r="M35" i="14"/>
  <c r="V36" i="14"/>
  <c r="AA38" i="14"/>
  <c r="C38" i="14" s="1"/>
  <c r="C38" i="18" s="1"/>
  <c r="W39" i="14"/>
  <c r="Y39" i="14"/>
  <c r="Q40" i="14"/>
  <c r="W40" i="14"/>
  <c r="Y40" i="14"/>
  <c r="X5" i="13"/>
  <c r="AF6" i="13"/>
  <c r="AF8" i="13"/>
  <c r="K13" i="13"/>
  <c r="K14" i="13"/>
  <c r="S15" i="13"/>
  <c r="K16" i="13"/>
  <c r="X21" i="13"/>
  <c r="Y23" i="13"/>
  <c r="Z25" i="13"/>
  <c r="X29" i="13"/>
  <c r="M34" i="13"/>
  <c r="V35" i="13"/>
  <c r="U36" i="13"/>
  <c r="AC38" i="13"/>
  <c r="Y39" i="13"/>
  <c r="AA39" i="13"/>
  <c r="T40" i="13"/>
  <c r="Y40" i="13"/>
  <c r="AA40" i="13"/>
  <c r="AC40" i="13"/>
  <c r="Y5" i="13"/>
  <c r="X6" i="13"/>
  <c r="AF7" i="13"/>
  <c r="S13" i="13"/>
  <c r="I14" i="13"/>
  <c r="S14" i="13"/>
  <c r="G15" i="13"/>
  <c r="S16" i="13"/>
  <c r="H21" i="13"/>
  <c r="J23" i="13"/>
  <c r="P25" i="13"/>
  <c r="AA25" i="13"/>
  <c r="AA26" i="13"/>
  <c r="N29" i="13"/>
  <c r="U34" i="13"/>
  <c r="M35" i="13"/>
  <c r="V36" i="13"/>
  <c r="AB38" i="13"/>
  <c r="X39" i="13"/>
  <c r="Z39" i="13"/>
  <c r="Q40" i="13"/>
  <c r="X40" i="13"/>
  <c r="Z40" i="13"/>
  <c r="X5" i="10"/>
  <c r="W6" i="10"/>
  <c r="S13" i="10"/>
  <c r="S14" i="10"/>
  <c r="C14" i="10" s="1"/>
  <c r="D14" i="18" s="1"/>
  <c r="G15" i="10"/>
  <c r="S16" i="10"/>
  <c r="H21" i="10"/>
  <c r="X23" i="10"/>
  <c r="P25" i="10"/>
  <c r="Y25" i="10"/>
  <c r="C25" i="10" s="1"/>
  <c r="W29" i="10"/>
  <c r="M34" i="10"/>
  <c r="V35" i="10"/>
  <c r="U36" i="10"/>
  <c r="AB38" i="10"/>
  <c r="X39" i="10"/>
  <c r="Z39" i="10"/>
  <c r="T40" i="10"/>
  <c r="X40" i="10"/>
  <c r="Z40" i="10"/>
  <c r="AB40" i="10"/>
  <c r="W5" i="10"/>
  <c r="AE6" i="10"/>
  <c r="C6" i="10" s="1"/>
  <c r="D6" i="18" s="1"/>
  <c r="S15" i="10"/>
  <c r="W21" i="10"/>
  <c r="C21" i="10" s="1"/>
  <c r="J23" i="10"/>
  <c r="Z25" i="10"/>
  <c r="Z26" i="10"/>
  <c r="N29" i="10"/>
  <c r="U34" i="10"/>
  <c r="C34" i="10" s="1"/>
  <c r="D34" i="18" s="1"/>
  <c r="M35" i="10"/>
  <c r="V36" i="10"/>
  <c r="AA38" i="10"/>
  <c r="C38" i="10" s="1"/>
  <c r="D38" i="18" s="1"/>
  <c r="W39" i="10"/>
  <c r="Y39" i="10"/>
  <c r="Q40" i="10"/>
  <c r="W40" i="10"/>
  <c r="Y40" i="10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6" i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6" i="2"/>
  <c r="C26" i="10" l="1"/>
  <c r="D26" i="18" s="1"/>
  <c r="D25" i="18"/>
  <c r="C22" i="10"/>
  <c r="D22" i="18" s="1"/>
  <c r="D21" i="18"/>
  <c r="C15" i="10"/>
  <c r="D15" i="18" s="1"/>
  <c r="C13" i="10"/>
  <c r="D13" i="18" s="1"/>
  <c r="C16" i="10"/>
  <c r="D16" i="18" s="1"/>
  <c r="C7" i="10"/>
  <c r="D7" i="18" s="1"/>
  <c r="C7" i="13"/>
  <c r="E7" i="18" s="1"/>
  <c r="C38" i="13"/>
  <c r="E38" i="18" s="1"/>
  <c r="C5" i="10"/>
  <c r="D5" i="18" s="1"/>
  <c r="C35" i="15"/>
  <c r="B35" i="18" s="1"/>
  <c r="C29" i="15"/>
  <c r="B29" i="18" s="1"/>
  <c r="C23" i="15"/>
  <c r="C16" i="15"/>
  <c r="B16" i="18" s="1"/>
  <c r="C14" i="15"/>
  <c r="B14" i="18" s="1"/>
  <c r="C6" i="15"/>
  <c r="B6" i="18" s="1"/>
  <c r="C36" i="15"/>
  <c r="B36" i="18" s="1"/>
  <c r="C25" i="15"/>
  <c r="C21" i="15"/>
  <c r="C13" i="15"/>
  <c r="B13" i="18" s="1"/>
  <c r="C5" i="15"/>
  <c r="B5" i="18" s="1"/>
  <c r="C34" i="14"/>
  <c r="C34" i="18" s="1"/>
  <c r="C15" i="14"/>
  <c r="C15" i="18" s="1"/>
  <c r="C35" i="14"/>
  <c r="C35" i="18" s="1"/>
  <c r="C29" i="14"/>
  <c r="C29" i="18" s="1"/>
  <c r="C23" i="14"/>
  <c r="C16" i="14"/>
  <c r="C16" i="18" s="1"/>
  <c r="C14" i="14"/>
  <c r="C14" i="18" s="1"/>
  <c r="C6" i="14"/>
  <c r="C6" i="18" s="1"/>
  <c r="C36" i="14"/>
  <c r="C36" i="18" s="1"/>
  <c r="C25" i="14"/>
  <c r="C21" i="14"/>
  <c r="C13" i="14"/>
  <c r="C13" i="18" s="1"/>
  <c r="C5" i="14"/>
  <c r="C5" i="18" s="1"/>
  <c r="C34" i="13"/>
  <c r="E34" i="18" s="1"/>
  <c r="C15" i="13"/>
  <c r="E15" i="18" s="1"/>
  <c r="C35" i="13"/>
  <c r="E35" i="18" s="1"/>
  <c r="C29" i="13"/>
  <c r="E29" i="18" s="1"/>
  <c r="C23" i="13"/>
  <c r="C16" i="13"/>
  <c r="E16" i="18" s="1"/>
  <c r="C14" i="13"/>
  <c r="E14" i="18" s="1"/>
  <c r="C8" i="13"/>
  <c r="E8" i="18" s="1"/>
  <c r="C6" i="13"/>
  <c r="E6" i="18" s="1"/>
  <c r="C36" i="13"/>
  <c r="E36" i="18" s="1"/>
  <c r="C25" i="13"/>
  <c r="C21" i="13"/>
  <c r="C13" i="13"/>
  <c r="E13" i="18" s="1"/>
  <c r="C5" i="13"/>
  <c r="E5" i="18" s="1"/>
  <c r="C36" i="10"/>
  <c r="D36" i="18" s="1"/>
  <c r="C35" i="10"/>
  <c r="D35" i="18" s="1"/>
  <c r="C29" i="10"/>
  <c r="D29" i="18" s="1"/>
  <c r="C23" i="10"/>
  <c r="E6" i="1"/>
  <c r="F6" i="1"/>
  <c r="D26" i="2"/>
  <c r="D25" i="1"/>
  <c r="D6" i="1"/>
  <c r="D5" i="1"/>
  <c r="C26" i="2"/>
  <c r="D10" i="1"/>
  <c r="D24" i="1"/>
  <c r="F28" i="2"/>
  <c r="E28" i="2"/>
  <c r="D28" i="2"/>
  <c r="C28" i="2"/>
  <c r="B28" i="2"/>
  <c r="B12" i="2"/>
  <c r="C25" i="1"/>
  <c r="B25" i="1"/>
  <c r="C24" i="1"/>
  <c r="C22" i="15" l="1"/>
  <c r="B21" i="18"/>
  <c r="C24" i="15"/>
  <c r="B24" i="18" s="1"/>
  <c r="B23" i="18"/>
  <c r="C26" i="15"/>
  <c r="B26" i="18" s="1"/>
  <c r="B25" i="18"/>
  <c r="C26" i="14"/>
  <c r="C26" i="18" s="1"/>
  <c r="C25" i="18"/>
  <c r="C22" i="14"/>
  <c r="C21" i="18"/>
  <c r="C24" i="14"/>
  <c r="C24" i="18" s="1"/>
  <c r="C23" i="18"/>
  <c r="C24" i="10"/>
  <c r="D23" i="18"/>
  <c r="C26" i="13"/>
  <c r="E26" i="18" s="1"/>
  <c r="E25" i="18"/>
  <c r="C24" i="13"/>
  <c r="E24" i="18" s="1"/>
  <c r="E23" i="18"/>
  <c r="C22" i="13"/>
  <c r="E21" i="18"/>
  <c r="F23" i="2"/>
  <c r="F30" i="2" s="1"/>
  <c r="E23" i="2"/>
  <c r="E30" i="2" s="1"/>
  <c r="D23" i="2"/>
  <c r="D30" i="2" s="1"/>
  <c r="C23" i="2"/>
  <c r="C30" i="2" s="1"/>
  <c r="B23" i="2"/>
  <c r="B30" i="2" s="1"/>
  <c r="F8" i="2"/>
  <c r="E8" i="2"/>
  <c r="D8" i="2"/>
  <c r="C8" i="2"/>
  <c r="B8" i="2"/>
  <c r="G7" i="1"/>
  <c r="H7" i="1"/>
  <c r="H13" i="1" s="1"/>
  <c r="H21" i="1" s="1"/>
  <c r="H27" i="1" s="1"/>
  <c r="H38" i="2" s="1"/>
  <c r="I7" i="1"/>
  <c r="J7" i="1"/>
  <c r="J13" i="1" s="1"/>
  <c r="J21" i="1" s="1"/>
  <c r="J27" i="1" s="1"/>
  <c r="K7" i="1"/>
  <c r="G13" i="1"/>
  <c r="G21" i="1" s="1"/>
  <c r="G27" i="1" s="1"/>
  <c r="G38" i="2" s="1"/>
  <c r="I13" i="1"/>
  <c r="I21" i="1" s="1"/>
  <c r="I27" i="1" s="1"/>
  <c r="I38" i="2" s="1"/>
  <c r="I40" i="2" s="1"/>
  <c r="K13" i="1"/>
  <c r="K21" i="1"/>
  <c r="K27" i="1"/>
  <c r="G23" i="2"/>
  <c r="G30" i="2" s="1"/>
  <c r="H23" i="2"/>
  <c r="H30" i="2" s="1"/>
  <c r="I23" i="2"/>
  <c r="I30" i="2" s="1"/>
  <c r="E15" i="2"/>
  <c r="F15" i="2"/>
  <c r="G15" i="2"/>
  <c r="H15" i="2"/>
  <c r="I15" i="2"/>
  <c r="G8" i="2"/>
  <c r="H8" i="2"/>
  <c r="I8" i="2"/>
  <c r="F7" i="1"/>
  <c r="F13" i="1" s="1"/>
  <c r="F21" i="1" s="1"/>
  <c r="F27" i="1" s="1"/>
  <c r="F38" i="2" s="1"/>
  <c r="E7" i="1"/>
  <c r="C27" i="15" l="1"/>
  <c r="B22" i="18"/>
  <c r="C27" i="14"/>
  <c r="C22" i="18"/>
  <c r="C27" i="10"/>
  <c r="D24" i="18"/>
  <c r="C27" i="13"/>
  <c r="E22" i="18"/>
  <c r="F36" i="2"/>
  <c r="E36" i="2" s="1"/>
  <c r="E13" i="1"/>
  <c r="E21" i="1" s="1"/>
  <c r="H36" i="2"/>
  <c r="I42" i="2"/>
  <c r="I17" i="2"/>
  <c r="H17" i="2"/>
  <c r="G17" i="2"/>
  <c r="F17" i="2"/>
  <c r="E17" i="2"/>
  <c r="B27" i="18" l="1"/>
  <c r="C28" i="15"/>
  <c r="B28" i="18" s="1"/>
  <c r="C27" i="18"/>
  <c r="C28" i="14"/>
  <c r="C28" i="18" s="1"/>
  <c r="C28" i="10"/>
  <c r="D28" i="18" s="1"/>
  <c r="D27" i="18"/>
  <c r="C28" i="13"/>
  <c r="E28" i="18" s="1"/>
  <c r="E27" i="18"/>
  <c r="E27" i="1"/>
  <c r="G36" i="2"/>
  <c r="H40" i="2"/>
  <c r="H42" i="2" s="1"/>
  <c r="H44" i="2" s="1"/>
  <c r="I44" i="2"/>
  <c r="E38" i="2" l="1"/>
  <c r="G40" i="2"/>
  <c r="G42" i="2" s="1"/>
  <c r="G44" i="2" s="1"/>
  <c r="F40" i="2" l="1"/>
  <c r="F42" i="2" s="1"/>
  <c r="F44" i="2" s="1"/>
  <c r="D15" i="2"/>
  <c r="C15" i="2"/>
  <c r="B15" i="2"/>
  <c r="B17" i="2" l="1"/>
  <c r="C17" i="2"/>
  <c r="D17" i="2"/>
  <c r="E40" i="2"/>
  <c r="D7" i="1"/>
  <c r="C7" i="1"/>
  <c r="B7" i="1"/>
  <c r="D13" i="1" l="1"/>
  <c r="B13" i="1"/>
  <c r="E42" i="2"/>
  <c r="E44" i="2" s="1"/>
  <c r="C13" i="1"/>
  <c r="D21" i="1"/>
  <c r="D27" i="1" l="1"/>
  <c r="D38" i="2" s="1"/>
  <c r="D36" i="2" s="1"/>
  <c r="C36" i="2" s="1"/>
  <c r="C21" i="1"/>
  <c r="B21" i="1"/>
  <c r="C27" i="1" l="1"/>
  <c r="C38" i="2" s="1"/>
  <c r="B27" i="1"/>
  <c r="B38" i="2" s="1"/>
  <c r="D40" i="2"/>
  <c r="D42" i="2" l="1"/>
  <c r="D44" i="2" s="1"/>
  <c r="B36" i="2"/>
  <c r="B40" i="2" s="1"/>
  <c r="C40" i="2"/>
  <c r="C42" i="2" l="1"/>
  <c r="C44" i="2" s="1"/>
  <c r="B42" i="2"/>
  <c r="B44" i="2" s="1"/>
</calcChain>
</file>

<file path=xl/sharedStrings.xml><?xml version="1.0" encoding="utf-8"?>
<sst xmlns="http://schemas.openxmlformats.org/spreadsheetml/2006/main" count="665" uniqueCount="153">
  <si>
    <t>REVENUE</t>
  </si>
  <si>
    <t>COST OF SALES</t>
  </si>
  <si>
    <t>GROSS PROFIT</t>
  </si>
  <si>
    <t>NET PROFIT/(LOSS)</t>
  </si>
  <si>
    <t>ADMINISTRATIVE EXPENSES</t>
  </si>
  <si>
    <t>OPERATING PROFIT/(LOSS)</t>
  </si>
  <si>
    <t>LOSS ON DISPOSAL OF JOINT VENTURE INVESTMENT</t>
  </si>
  <si>
    <t>INTEREST RECEIVABLE</t>
  </si>
  <si>
    <t>INTEREST PAYABLE</t>
  </si>
  <si>
    <t>TAXATION</t>
  </si>
  <si>
    <t>CASH</t>
  </si>
  <si>
    <t>CURRENT ASSETS</t>
  </si>
  <si>
    <t>ACCOUNTS RECEIVABLE</t>
  </si>
  <si>
    <t>LONG-TERM ASSETS</t>
  </si>
  <si>
    <t>TANGIBLE FIXED ASSETS</t>
  </si>
  <si>
    <t>INTANGIBLE FIXED ASSETS</t>
  </si>
  <si>
    <t>CURRENT LIABILITIES</t>
  </si>
  <si>
    <t>ACCOUNTS PAYABLE</t>
  </si>
  <si>
    <t>PROVISIONS FOR LIABILITIES</t>
  </si>
  <si>
    <t>EQUITY</t>
  </si>
  <si>
    <t>CAPITAL STOCK</t>
  </si>
  <si>
    <t>PREMIUM ON CAPITAL STOCK</t>
  </si>
  <si>
    <t>TOTAL ASSETS</t>
  </si>
  <si>
    <t>TOTAL LIABILITIES AND EQUITY</t>
  </si>
  <si>
    <t>TOTAL LIABILITIES</t>
  </si>
  <si>
    <t>TOTAL EQUITY</t>
  </si>
  <si>
    <t>LONG-TERM LIABILITIES</t>
  </si>
  <si>
    <t>VARIANCE</t>
  </si>
  <si>
    <r>
      <rPr>
        <sz val="11"/>
        <color rgb="FFFF0000"/>
        <rFont val="Calibri"/>
        <family val="2"/>
        <scheme val="minor"/>
      </rPr>
      <t>(RETAINED EARNINGS)</t>
    </r>
    <r>
      <rPr>
        <sz val="11"/>
        <color theme="1"/>
        <rFont val="Calibri"/>
        <family val="2"/>
        <scheme val="minor"/>
      </rPr>
      <t>/DEFICIT</t>
    </r>
  </si>
  <si>
    <r>
      <rPr>
        <sz val="11"/>
        <color rgb="FFFF0000"/>
        <rFont val="Calibri"/>
        <family val="2"/>
        <scheme val="minor"/>
      </rPr>
      <t>(NET PROFIT)</t>
    </r>
    <r>
      <rPr>
        <sz val="11"/>
        <color theme="1"/>
        <rFont val="Calibri"/>
        <family val="2"/>
        <scheme val="minor"/>
      </rPr>
      <t>/LOSS</t>
    </r>
  </si>
  <si>
    <t>SUBTOTAL: CURRENT ASSETS</t>
  </si>
  <si>
    <t>SUBTOTAL: LONG-TERM ASSETS</t>
  </si>
  <si>
    <t>SUBTOTAL: CURRENT LIABILITIES</t>
  </si>
  <si>
    <t>BALANCE SHEETS</t>
  </si>
  <si>
    <t>INCOME STATEMENTS</t>
  </si>
  <si>
    <t>GROUP AND FORMULA</t>
  </si>
  <si>
    <t>Profitability Ratios</t>
  </si>
  <si>
    <t>Gross Profit Margin (Rate) = Gross Profit ÷ Net Sales</t>
  </si>
  <si>
    <t>Net Profit Margin (Return on Sales) = Net Income ÷ Net Sales</t>
  </si>
  <si>
    <t>Liquidity Ratios</t>
  </si>
  <si>
    <t>Current/Working Capital Ratio = Current Assets ÷ Current Liabilities</t>
  </si>
  <si>
    <t>Net Working Capital = Current Assets - Current Liabilities</t>
  </si>
  <si>
    <t>Receivable Turnover = Net Credit Sales ÷ Average Accounts Receivable</t>
  </si>
  <si>
    <t>Days Sales Outstanding = 360 Days ÷ Receivable Turnover</t>
  </si>
  <si>
    <t>Inventory Turnover = Cost of Sales ÷ Average Inventory</t>
  </si>
  <si>
    <t>Days Inventory Outstanding = 360 Days ÷ Inventory Turnover</t>
  </si>
  <si>
    <t>Accounts Payable Turnover = Net Credit Purchases ÷ Average Accounts Payable</t>
  </si>
  <si>
    <t>Days Payable Outstanding = 360 Days ÷ Accounts Payable Turnover</t>
  </si>
  <si>
    <t>Operating Cycle = Days Sales Outstanding + Days Inventory Outstanding</t>
  </si>
  <si>
    <t>Cash Conversion Cycle = Operating Cycle - Days Payable Outstanding</t>
  </si>
  <si>
    <t>Total Asset Turnover = Net Sales ÷ Average Total Assets</t>
  </si>
  <si>
    <t>Debt Ratio = Total Liabilities ÷ Total Assets</t>
  </si>
  <si>
    <t>Equity Ratio = Total Equity ÷ Total Assets</t>
  </si>
  <si>
    <t>Debt-Equity Ratio = Total Liabilities ÷ Total Equity</t>
  </si>
  <si>
    <t>Operating Leverage = (Sales - Cost of Goods Sold - Variable Costs) ÷ Fixed Costs</t>
  </si>
  <si>
    <t>REPORT DOES NOT PROVIDE DETAIL OF INDIVIDUAL EXPENSE ACCOUNTS, DO NOT CALCULATE</t>
  </si>
  <si>
    <t>FINDING</t>
  </si>
  <si>
    <t>WHAT IS GOOD?</t>
  </si>
  <si>
    <t>HIGHER IS GOOD</t>
  </si>
  <si>
    <t>LOWER IS GOOD</t>
  </si>
  <si>
    <t>PROFIT ON DISPOSAL OF SUBSIDIARY UNDERTAKING</t>
  </si>
  <si>
    <t>PRIOR YEAR ADJUSTMENT</t>
  </si>
  <si>
    <t>PROVISION AGAINST CARRYING VALUE OF FIXED ASSET INVESTMENTS</t>
  </si>
  <si>
    <t>DISTRIBUTION COSTS</t>
  </si>
  <si>
    <t>EXCEPTIONAL ADMINISTRATIVE EXPENSES</t>
  </si>
  <si>
    <t>INVENTORY (STOCKS)</t>
  </si>
  <si>
    <t>INVENTORY</t>
  </si>
  <si>
    <t>FIXED ASSETS</t>
  </si>
  <si>
    <t>FIXED OPERATING EXPENSES</t>
  </si>
  <si>
    <t>VARIABLE OPERATING EXPENSES</t>
  </si>
  <si>
    <t>TAXES</t>
  </si>
  <si>
    <t>QUESTION</t>
  </si>
  <si>
    <t>HOW WELL IS MONEY ON MATERIALS AND LABOR BEING USED TO GENERATE SALES?</t>
  </si>
  <si>
    <t>IS THE BUSINESS RUNNING EFFICIENTLY?</t>
  </si>
  <si>
    <t>HOW WELL IS THE BUSINESS USING THE MONEY FROM INVESTORS AND LENDERS?</t>
  </si>
  <si>
    <t>HOW WELL CAN THE BUSINESS PAY OFF OUTSTANDING BILLS?</t>
  </si>
  <si>
    <r>
      <t>HOW WELL CAN THE BUSINESS PAY OFF OUTSTANDING BILLS IF THERE ARE NO SALES</t>
    </r>
    <r>
      <rPr>
        <sz val="11"/>
        <color theme="1"/>
        <rFont val="Calibri"/>
        <family val="2"/>
      </rPr>
      <t xml:space="preserve"> AND THE BUSINESS DOES NOT GET A LOAN?</t>
    </r>
  </si>
  <si>
    <t>HOW WELL CAN THE BUSINESS PAY OFF BILLS WITH THE CASH AND INVESTMENTS IT CURRENTLY HAS?</t>
  </si>
  <si>
    <t>HOW QUICKLY IS THE MONEY BEING COLLECTED FROM CUSTOMERS?</t>
  </si>
  <si>
    <t>HOW QUICKLY IS INVENTORY BEING SOLD AND REPLACED?</t>
  </si>
  <si>
    <t>HOW QUICKLY ARE BILLS BEING PAID OFF?</t>
  </si>
  <si>
    <t>HOW LONG IS IT TAKING TO TURN INVENTORY INTO CASH?</t>
  </si>
  <si>
    <t>IF THE BUSINESS HAS A LOAN, HOW QUICKLY CAN THE BUSINESS PAY THE INTEREST OWED?</t>
  </si>
  <si>
    <t>HOW WELL IS THE BUSINESS MANAGING FIXED COSTS TO EARN A PROFIT?</t>
  </si>
  <si>
    <t>IF THE BUSINESS HAS A LOAN, HOW QUICKLY CAN THE BUSINESS PAY THE PRINCIPAL AND THE INTEREST OWED?</t>
  </si>
  <si>
    <t>CURRENT ACCOUNTS PAYABLE</t>
  </si>
  <si>
    <t>DEPR/ AMORT</t>
  </si>
  <si>
    <t>HOW EFFICIENTLY IS THE BUSINESS USING ITS ASSETS TO GENERATE REVENUE?</t>
  </si>
  <si>
    <t>HOW MANY DAYS DOES IT TAKE TO COLLECT THE MONEY THAT CUSTOMERS OWE THE BUSINESS?</t>
  </si>
  <si>
    <t>HOW MANY DAYS DOES IT TAKE TO SELL AND REPLACE INVENTORY?</t>
  </si>
  <si>
    <t>HOW MANY DAYS DOES IT TAKE TO PAY BILLS?</t>
  </si>
  <si>
    <t>Cash Ratio = (Cash + Marketable Securities) ÷ Current Liabilities</t>
  </si>
  <si>
    <t>HOW MANY DAYS DOES IT TAKE TO BUY INVENTORY, SELL INVENORY AND RECEIVE CASH?</t>
  </si>
  <si>
    <t>DEFERRED TAX ASSETS</t>
  </si>
  <si>
    <t>LOANS PAYABLE</t>
  </si>
  <si>
    <t>EMPLOYEE BENEFITS</t>
  </si>
  <si>
    <t>SUBTOTAL: LONG-TERM LIABILITIES</t>
  </si>
  <si>
    <t>IDVERDE LIMITED</t>
  </si>
  <si>
    <t>Net Credit Sales (Net Sales) = Gross Sales, less Sales Returns and Sales Allowances</t>
  </si>
  <si>
    <r>
      <t>HOW MUCH OF THE BUSINESS</t>
    </r>
    <r>
      <rPr>
        <sz val="11"/>
        <color theme="1"/>
        <rFont val="Calibri"/>
        <family val="2"/>
      </rPr>
      <t>' NET WORTH IS BASED ON LOANS?</t>
    </r>
  </si>
  <si>
    <r>
      <t>HOW MUCH OF THE BUSINESS</t>
    </r>
    <r>
      <rPr>
        <sz val="11"/>
        <color theme="1"/>
        <rFont val="Calibri"/>
        <family val="2"/>
      </rPr>
      <t>' NET WORTH IS BASED ON NET PROFIT AND OUTSIDE INVESTMENTS?</t>
    </r>
  </si>
  <si>
    <r>
      <t>HOW MUCH OF THE BUSINESS</t>
    </r>
    <r>
      <rPr>
        <sz val="11"/>
        <color theme="1"/>
        <rFont val="Calibri"/>
        <family val="2"/>
      </rPr>
      <t>' NET WORTH IS BASED ON LOANS COMPARED TO NET PROFITS AND OUTSIDE INVESTMENTS?</t>
    </r>
  </si>
  <si>
    <t>REPORT DOES NOT PROVIDE DETAIL OF DEPRECIATION, DO NOT CALCULATE</t>
  </si>
  <si>
    <t>IDEAL BENCHMARK (DEPENDS ON INDUSTRY)</t>
  </si>
  <si>
    <t>GREATER THAN ZERO</t>
  </si>
  <si>
    <t>GREATER THAN ONE</t>
  </si>
  <si>
    <t xml:space="preserve">GREATER THAN TWELVE </t>
  </si>
  <si>
    <t xml:space="preserve">LESS THAN THIRTY </t>
  </si>
  <si>
    <t xml:space="preserve">GREATER THAN SIX </t>
  </si>
  <si>
    <t xml:space="preserve">LESS THAN SIXTY </t>
  </si>
  <si>
    <t>GREATER THAN 2.5</t>
  </si>
  <si>
    <t>GREATER THAN .55</t>
  </si>
  <si>
    <t>LESS THAN .45</t>
  </si>
  <si>
    <t xml:space="preserve">LESS THAN TWO </t>
  </si>
  <si>
    <t xml:space="preserve">HIGHER THAN TWELVE </t>
  </si>
  <si>
    <t>YEAR</t>
  </si>
  <si>
    <t>ROW</t>
  </si>
  <si>
    <t>COLUMN</t>
  </si>
  <si>
    <t>CATEGORY</t>
  </si>
  <si>
    <t>INTANGIBLE ASSETS</t>
  </si>
  <si>
    <t>CURRENT LOANS PAYABLE</t>
  </si>
  <si>
    <t>CURRENT PROVISION FOR LIABILITIES</t>
  </si>
  <si>
    <t>LONG-TERM LOANS PAYABLE</t>
  </si>
  <si>
    <t>LONG-TERM EMPLOYEE BENEFITS</t>
  </si>
  <si>
    <t>INTEREST EXPENSE</t>
  </si>
  <si>
    <t>EARNINGS BEFORE INTEREST AND TAXES</t>
  </si>
  <si>
    <t>TOTAL CURRENT LIABILITIES</t>
  </si>
  <si>
    <t>AVERAGE ASSETS</t>
  </si>
  <si>
    <t>AVERAGE INVENTORY</t>
  </si>
  <si>
    <t>AVERAGE CURRENT ACCOUNTS PAYABLE</t>
  </si>
  <si>
    <t>Quick/Acid Test Ratio = (Current Assets - Inventory) ÷ Current Liabilities</t>
  </si>
  <si>
    <t>Interest Coverage/Times Interest Earned = Earnings Before Interest and Taxes ÷ Interest Expense</t>
  </si>
  <si>
    <t xml:space="preserve">Debt Service Coverage = ((Earnings Before Interest and Taxes - </t>
  </si>
  <si>
    <t>Capital Expenditures) ÷ (Loan Interest + Loan Principal)</t>
  </si>
  <si>
    <t>Return on Equity = Net Income ÷ Average Total Equity</t>
  </si>
  <si>
    <t>Return on Assets = Net Income ÷ Average Total Assets</t>
  </si>
  <si>
    <t>Management Efficiency/Resource Utilization Ratios</t>
  </si>
  <si>
    <t>Leverage/Solvency Ratios</t>
  </si>
  <si>
    <t>PERIOD</t>
  </si>
  <si>
    <t>NET INCOME</t>
  </si>
  <si>
    <t>A/R</t>
  </si>
  <si>
    <t>TEST</t>
  </si>
  <si>
    <t>VAR</t>
  </si>
  <si>
    <t>BEGINNING CASH</t>
  </si>
  <si>
    <t>ENDING CASH</t>
  </si>
  <si>
    <t>Limitations to ratio analysis include:</t>
  </si>
  <si>
    <t>comparing companies is difficult sometimes due to the heterogeneity or homogeneity of their operating activities;</t>
  </si>
  <si>
    <t>sometimes the use of several ratios in ratio analysis may lead to inconsistent results;</t>
  </si>
  <si>
    <t>judgment must be used sometimes; and</t>
  </si>
  <si>
    <t>the use of different accounting methods by companies necessitates adjustments of financial data before meaningful comparisons can be made.</t>
  </si>
  <si>
    <t>AVERAGE TOTAL EQUITY</t>
  </si>
  <si>
    <r>
      <t>HOW MUCH OF THE BUSINESS</t>
    </r>
    <r>
      <rPr>
        <sz val="11"/>
        <color theme="1"/>
        <rFont val="Calibri"/>
        <family val="2"/>
      </rPr>
      <t>' ASSETS IS BASED ON EQUITY?</t>
    </r>
  </si>
  <si>
    <t>Asset-Equity Ratio = Average Total Assets ÷ Average 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</si>
</sst>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£-809]#,##0;[Red]\-[$£-809]#,##0"/>
    <numFmt numFmtId="165" formatCode="[$£-809]#,##0;[Red][$£-809]\(#,##0\)"/>
    <numFmt numFmtId="166" formatCode="0.00%;[Red]\(0.00%\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165" fontId="0" fillId="0" borderId="0" xfId="0" applyNumberFormat="1" applyFont="1"/>
    <xf numFmtId="165" fontId="0" fillId="0" borderId="0" xfId="0" applyNumberFormat="1"/>
    <xf numFmtId="165" fontId="0" fillId="0" borderId="1" xfId="0" applyNumberFormat="1" applyFont="1" applyBorder="1"/>
    <xf numFmtId="165" fontId="0" fillId="0" borderId="1" xfId="0" applyNumberFormat="1" applyBorder="1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166" fontId="0" fillId="0" borderId="0" xfId="1" applyNumberFormat="1" applyFont="1"/>
    <xf numFmtId="0" fontId="4" fillId="0" borderId="0" xfId="0" applyFont="1" applyAlignment="1"/>
    <xf numFmtId="0" fontId="5" fillId="0" borderId="0" xfId="0" applyFont="1" applyAlignment="1"/>
    <xf numFmtId="40" fontId="0" fillId="0" borderId="0" xfId="0" applyNumberFormat="1"/>
    <xf numFmtId="38" fontId="0" fillId="0" borderId="0" xfId="0" applyNumberFormat="1"/>
    <xf numFmtId="10" fontId="0" fillId="0" borderId="0" xfId="1" applyNumberFormat="1" applyFont="1"/>
    <xf numFmtId="0" fontId="0" fillId="2" borderId="0" xfId="0" applyFill="1"/>
    <xf numFmtId="165" fontId="0" fillId="0" borderId="0" xfId="0" applyNumberFormat="1" applyFont="1" applyBorder="1"/>
    <xf numFmtId="165" fontId="0" fillId="0" borderId="0" xfId="0" applyNumberFormat="1" applyBorder="1"/>
    <xf numFmtId="0" fontId="6" fillId="0" borderId="0" xfId="0" quotePrefix="1" applyFont="1"/>
    <xf numFmtId="0" fontId="0" fillId="0" borderId="0" xfId="0" applyAlignment="1">
      <alignment wrapText="1"/>
    </xf>
    <xf numFmtId="2" fontId="0" fillId="0" borderId="0" xfId="1" applyNumberFormat="1" applyFont="1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ont="1"/>
  </cellXfs>
  <cellStyles count="2">
    <cellStyle name="Normal" xfId="0" builtinId="0"/>
    <cellStyle name="Percent" xfId="1" builtinId="5"/>
  </cellStyles>
  <dxfs count="3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Tracking Profitability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Profit Margin</c:v>
          </c:tx>
          <c:marker>
            <c:symbol val="none"/>
          </c:marker>
          <c:cat>
            <c:numRef>
              <c:f>'TREND ANALYSIS'!$B$1:$E$1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'TREND ANALYSIS'!$B$5:$E$5</c:f>
              <c:numCache>
                <c:formatCode>0.00%;[Red]\(0.00%\)</c:formatCode>
                <c:ptCount val="4"/>
                <c:pt idx="0">
                  <c:v>0.13997506320784123</c:v>
                </c:pt>
                <c:pt idx="1">
                  <c:v>0.1012544089956772</c:v>
                </c:pt>
                <c:pt idx="2">
                  <c:v>0.1337054847496385</c:v>
                </c:pt>
                <c:pt idx="3">
                  <c:v>0.10953541139711352</c:v>
                </c:pt>
              </c:numCache>
            </c:numRef>
          </c:val>
          <c:smooth val="0"/>
        </c:ser>
        <c:ser>
          <c:idx val="1"/>
          <c:order val="1"/>
          <c:tx>
            <c:v>Net Profit Margin</c:v>
          </c:tx>
          <c:marker>
            <c:symbol val="none"/>
          </c:marker>
          <c:cat>
            <c:numRef>
              <c:f>'TREND ANALYSIS'!$B$1:$E$1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'TREND ANALYSIS'!$B$6:$E$6</c:f>
              <c:numCache>
                <c:formatCode>0.00%;[Red]\(0.00%\)</c:formatCode>
                <c:ptCount val="4"/>
                <c:pt idx="0">
                  <c:v>5.2540435701174108E-2</c:v>
                </c:pt>
                <c:pt idx="1">
                  <c:v>2.2860476834540004E-2</c:v>
                </c:pt>
                <c:pt idx="2">
                  <c:v>5.4769030724910607E-2</c:v>
                </c:pt>
                <c:pt idx="3">
                  <c:v>3.5801963993453353E-2</c:v>
                </c:pt>
              </c:numCache>
            </c:numRef>
          </c:val>
          <c:smooth val="0"/>
        </c:ser>
        <c:ser>
          <c:idx val="2"/>
          <c:order val="2"/>
          <c:tx>
            <c:v>Return on Assets</c:v>
          </c:tx>
          <c:marker>
            <c:symbol val="none"/>
          </c:marker>
          <c:val>
            <c:numRef>
              <c:f>'TREND ANALYSIS'!$B$7:$E$7</c:f>
              <c:numCache>
                <c:formatCode>0.00%;[Red]\(0.00%\)</c:formatCode>
                <c:ptCount val="4"/>
                <c:pt idx="0">
                  <c:v>8.2226303874247147E-2</c:v>
                </c:pt>
                <c:pt idx="1">
                  <c:v>7.7233244398082213E-2</c:v>
                </c:pt>
                <c:pt idx="2">
                  <c:v>7.5493156594376248E-2</c:v>
                </c:pt>
                <c:pt idx="3">
                  <c:v>6.2507103079895446E-2</c:v>
                </c:pt>
              </c:numCache>
            </c:numRef>
          </c:val>
          <c:smooth val="0"/>
        </c:ser>
        <c:ser>
          <c:idx val="3"/>
          <c:order val="3"/>
          <c:tx>
            <c:v>Return on Equity</c:v>
          </c:tx>
          <c:marker>
            <c:symbol val="none"/>
          </c:marker>
          <c:val>
            <c:numRef>
              <c:f>'TREND ANALYSIS'!$B$8:$E$8</c:f>
              <c:numCache>
                <c:formatCode>0.00%;[Red]\(0.00%\)</c:formatCode>
                <c:ptCount val="4"/>
                <c:pt idx="0">
                  <c:v>0.21723184562432996</c:v>
                </c:pt>
                <c:pt idx="1">
                  <c:v>0.19152323151925182</c:v>
                </c:pt>
                <c:pt idx="2">
                  <c:v>0.16448071089844918</c:v>
                </c:pt>
                <c:pt idx="3">
                  <c:v>0.13861386138613863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22624"/>
        <c:axId val="202425472"/>
      </c:lineChart>
      <c:catAx>
        <c:axId val="1957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425472"/>
        <c:crosses val="autoZero"/>
        <c:auto val="1"/>
        <c:lblAlgn val="ctr"/>
        <c:lblOffset val="100"/>
        <c:noMultiLvlLbl val="0"/>
      </c:catAx>
      <c:valAx>
        <c:axId val="202425472"/>
        <c:scaling>
          <c:orientation val="minMax"/>
        </c:scaling>
        <c:delete val="0"/>
        <c:axPos val="l"/>
        <c:majorGridlines/>
        <c:numFmt formatCode="0.00%;[Red]\(0.00%\)" sourceLinked="1"/>
        <c:majorTickMark val="out"/>
        <c:minorTickMark val="none"/>
        <c:tickLblPos val="nextTo"/>
        <c:crossAx val="19572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Tracking Liquidity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Current Ratio</c:v>
          </c:tx>
          <c:marker>
            <c:symbol val="none"/>
          </c:marker>
          <c:cat>
            <c:numRef>
              <c:f>'TREND ANALYSIS'!$B$1:$E$1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'TREND ANALYSIS'!$B$13:$E$13</c:f>
              <c:numCache>
                <c:formatCode>#,##0.00_);[Red]\(#,##0.00\)</c:formatCode>
                <c:ptCount val="4"/>
                <c:pt idx="0">
                  <c:v>1.5480040193660363</c:v>
                </c:pt>
                <c:pt idx="1">
                  <c:v>1.6511764175606238</c:v>
                </c:pt>
                <c:pt idx="2">
                  <c:v>1.7881693533444507</c:v>
                </c:pt>
                <c:pt idx="3">
                  <c:v>1.6936722679246754</c:v>
                </c:pt>
              </c:numCache>
            </c:numRef>
          </c:val>
          <c:smooth val="0"/>
        </c:ser>
        <c:ser>
          <c:idx val="1"/>
          <c:order val="1"/>
          <c:tx>
            <c:v>Quick Ratio</c:v>
          </c:tx>
          <c:marker>
            <c:symbol val="none"/>
          </c:marker>
          <c:val>
            <c:numRef>
              <c:f>'TREND ANALYSIS'!$B$14:$E$14</c:f>
              <c:numCache>
                <c:formatCode>#,##0.00_);[Red]\(#,##0.00\)</c:formatCode>
                <c:ptCount val="4"/>
                <c:pt idx="0">
                  <c:v>1.5425687402941446</c:v>
                </c:pt>
                <c:pt idx="1">
                  <c:v>1.642973046065086</c:v>
                </c:pt>
                <c:pt idx="2">
                  <c:v>1.7823327774689643</c:v>
                </c:pt>
                <c:pt idx="3">
                  <c:v>1.6850169597255253</c:v>
                </c:pt>
              </c:numCache>
            </c:numRef>
          </c:val>
          <c:smooth val="0"/>
        </c:ser>
        <c:ser>
          <c:idx val="2"/>
          <c:order val="2"/>
          <c:tx>
            <c:v>Cash Ratio</c:v>
          </c:tx>
          <c:marker>
            <c:symbol val="none"/>
          </c:marker>
          <c:val>
            <c:numRef>
              <c:f>'TREND ANALYSIS'!$B$15:$E$15</c:f>
              <c:numCache>
                <c:formatCode>#,##0.00_);[Red]\(#,##0.00\)</c:formatCode>
                <c:ptCount val="4"/>
                <c:pt idx="0">
                  <c:v>0.1834749246368868</c:v>
                </c:pt>
                <c:pt idx="1">
                  <c:v>0.16037140539078698</c:v>
                </c:pt>
                <c:pt idx="2">
                  <c:v>0.13271261812117843</c:v>
                </c:pt>
                <c:pt idx="3">
                  <c:v>0.10893212211002379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50144"/>
        <c:axId val="204956032"/>
      </c:lineChart>
      <c:catAx>
        <c:axId val="2049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956032"/>
        <c:crosses val="autoZero"/>
        <c:auto val="1"/>
        <c:lblAlgn val="ctr"/>
        <c:lblOffset val="100"/>
        <c:noMultiLvlLbl val="0"/>
      </c:catAx>
      <c:valAx>
        <c:axId val="204956032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20495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Tracking Efficiency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Operating Cycle</c:v>
          </c:tx>
          <c:marker>
            <c:symbol val="none"/>
          </c:marker>
          <c:cat>
            <c:numRef>
              <c:f>'TREND ANALYSIS'!$B$1:$E$1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'TREND ANALYSIS'!$B$27:$E$27</c:f>
              <c:numCache>
                <c:formatCode>#,##0.00_);[Red]\(#,##0.00\)</c:formatCode>
                <c:ptCount val="4"/>
                <c:pt idx="0">
                  <c:v>150.0434904030501</c:v>
                </c:pt>
                <c:pt idx="1">
                  <c:v>150.33155678168976</c:v>
                </c:pt>
                <c:pt idx="2">
                  <c:v>138.9391074117294</c:v>
                </c:pt>
                <c:pt idx="3">
                  <c:v>127.92930089964788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84704"/>
        <c:axId val="204986240"/>
      </c:lineChart>
      <c:catAx>
        <c:axId val="20498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986240"/>
        <c:crosses val="autoZero"/>
        <c:auto val="1"/>
        <c:lblAlgn val="ctr"/>
        <c:lblOffset val="100"/>
        <c:noMultiLvlLbl val="0"/>
      </c:catAx>
      <c:valAx>
        <c:axId val="204986240"/>
        <c:scaling>
          <c:orientation val="minMax"/>
        </c:scaling>
        <c:delete val="0"/>
        <c:axPos val="l"/>
        <c:majorGridlines/>
        <c:numFmt formatCode="#,##0.00_);[Red]\(#,##0.00\)" sourceLinked="1"/>
        <c:majorTickMark val="out"/>
        <c:minorTickMark val="none"/>
        <c:tickLblPos val="nextTo"/>
        <c:crossAx val="20498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Tracking Solvency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Debt Ratio</c:v>
          </c:tx>
          <c:marker>
            <c:symbol val="none"/>
          </c:marker>
          <c:cat>
            <c:numRef>
              <c:f>'TREND ANALYSIS'!$B$1:$E$1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'TREND ANALYSIS'!$B$34:$E$34</c:f>
              <c:numCache>
                <c:formatCode>0.00</c:formatCode>
                <c:ptCount val="4"/>
                <c:pt idx="0">
                  <c:v>0.54884397129859774</c:v>
                </c:pt>
                <c:pt idx="1">
                  <c:v>0.56952772073921976</c:v>
                </c:pt>
                <c:pt idx="2">
                  <c:v>0.49311737715204518</c:v>
                </c:pt>
                <c:pt idx="3">
                  <c:v>0.58857427827339726</c:v>
                </c:pt>
              </c:numCache>
            </c:numRef>
          </c:val>
          <c:smooth val="0"/>
        </c:ser>
        <c:ser>
          <c:idx val="1"/>
          <c:order val="1"/>
          <c:tx>
            <c:v>Equity Ratio</c:v>
          </c:tx>
          <c:marker>
            <c:symbol val="none"/>
          </c:marker>
          <c:val>
            <c:numRef>
              <c:f>'TREND ANALYSIS'!$B$35:$E$35</c:f>
              <c:numCache>
                <c:formatCode>0.00</c:formatCode>
                <c:ptCount val="4"/>
                <c:pt idx="0">
                  <c:v>0.45115602870140226</c:v>
                </c:pt>
                <c:pt idx="1">
                  <c:v>0.4304722792607803</c:v>
                </c:pt>
                <c:pt idx="2">
                  <c:v>0.50688262284795482</c:v>
                </c:pt>
                <c:pt idx="3">
                  <c:v>0.41142572172660274</c:v>
                </c:pt>
              </c:numCache>
            </c:numRef>
          </c:val>
          <c:smooth val="0"/>
        </c:ser>
        <c:ser>
          <c:idx val="2"/>
          <c:order val="2"/>
          <c:tx>
            <c:v>Debt-Equity Ratio</c:v>
          </c:tx>
          <c:marker>
            <c:symbol val="none"/>
          </c:marker>
          <c:val>
            <c:numRef>
              <c:f>'TREND ANALYSIS'!$B$36:$E$36</c:f>
              <c:numCache>
                <c:formatCode>0.00</c:formatCode>
                <c:ptCount val="4"/>
                <c:pt idx="0">
                  <c:v>1.2165280665280664</c:v>
                </c:pt>
                <c:pt idx="1">
                  <c:v>1.3230299561152452</c:v>
                </c:pt>
                <c:pt idx="2">
                  <c:v>0.97284332688588004</c:v>
                </c:pt>
                <c:pt idx="3">
                  <c:v>1.4305723905723906</c:v>
                </c:pt>
              </c:numCache>
            </c:numRef>
          </c:val>
          <c:smooth val="0"/>
        </c:ser>
        <c:ser>
          <c:idx val="3"/>
          <c:order val="3"/>
          <c:tx>
            <c:v>Asset-Equity Ratio</c:v>
          </c:tx>
          <c:marker>
            <c:symbol val="none"/>
          </c:marker>
          <c:val>
            <c:numRef>
              <c:f>'TREND ANALYSIS'!$B$37:$E$37</c:f>
              <c:numCache>
                <c:formatCode>0.00</c:formatCode>
                <c:ptCount val="4"/>
                <c:pt idx="0">
                  <c:v>2.105427974947808</c:v>
                </c:pt>
                <c:pt idx="1">
                  <c:v>2.2720624813451398</c:v>
                </c:pt>
                <c:pt idx="2">
                  <c:v>2.1296620669030633</c:v>
                </c:pt>
                <c:pt idx="3">
                  <c:v>2.2175697569756974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06720"/>
        <c:axId val="205008256"/>
      </c:lineChart>
      <c:catAx>
        <c:axId val="20500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008256"/>
        <c:crosses val="autoZero"/>
        <c:auto val="1"/>
        <c:lblAlgn val="ctr"/>
        <c:lblOffset val="100"/>
        <c:noMultiLvlLbl val="0"/>
      </c:catAx>
      <c:valAx>
        <c:axId val="205008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00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228600</xdr:colOff>
      <xdr:row>16</xdr:row>
      <xdr:rowOff>152395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0</xdr:row>
      <xdr:rowOff>80962</xdr:rowOff>
    </xdr:from>
    <xdr:to>
      <xdr:col>16</xdr:col>
      <xdr:colOff>552450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18</xdr:row>
      <xdr:rowOff>144461</xdr:rowOff>
    </xdr:from>
    <xdr:to>
      <xdr:col>8</xdr:col>
      <xdr:colOff>342900</xdr:colOff>
      <xdr:row>34</xdr:row>
      <xdr:rowOff>15874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18</xdr:row>
      <xdr:rowOff>42862</xdr:rowOff>
    </xdr:from>
    <xdr:to>
      <xdr:col>17</xdr:col>
      <xdr:colOff>57150</xdr:colOff>
      <xdr:row>32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zoomScale="135" zoomScaleNormal="135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A28" sqref="A28"/>
    </sheetView>
  </sheetViews>
  <sheetFormatPr defaultRowHeight="15" x14ac:dyDescent="0.25"/>
  <cols>
    <col min="1" max="1" width="63.5703125" bestFit="1" customWidth="1"/>
    <col min="2" max="3" width="12.5703125" bestFit="1" customWidth="1"/>
    <col min="4" max="4" width="13.7109375" customWidth="1"/>
    <col min="5" max="5" width="12.5703125" bestFit="1" customWidth="1"/>
    <col min="6" max="6" width="11.5703125" customWidth="1"/>
    <col min="7" max="9" width="10.7109375" hidden="1" customWidth="1"/>
    <col min="10" max="10" width="12.5703125" hidden="1" customWidth="1"/>
    <col min="11" max="11" width="10.7109375" hidden="1" customWidth="1"/>
  </cols>
  <sheetData>
    <row r="1" spans="1:14" x14ac:dyDescent="0.25">
      <c r="A1" t="s">
        <v>97</v>
      </c>
    </row>
    <row r="2" spans="1:14" x14ac:dyDescent="0.25">
      <c r="A2" t="s">
        <v>34</v>
      </c>
    </row>
    <row r="3" spans="1:14" x14ac:dyDescent="0.25">
      <c r="B3" s="1">
        <v>43830</v>
      </c>
      <c r="C3" s="1">
        <v>43465</v>
      </c>
      <c r="D3" s="1">
        <v>43100</v>
      </c>
      <c r="E3" s="1">
        <v>42735</v>
      </c>
      <c r="F3" s="1">
        <v>42369</v>
      </c>
      <c r="G3" s="1">
        <v>42004</v>
      </c>
      <c r="H3" s="1">
        <v>41639</v>
      </c>
      <c r="I3" s="1">
        <v>41274</v>
      </c>
      <c r="J3" s="1">
        <v>40908</v>
      </c>
      <c r="K3" s="1">
        <v>40543</v>
      </c>
      <c r="M3" t="s">
        <v>118</v>
      </c>
      <c r="N3" t="s">
        <v>116</v>
      </c>
    </row>
    <row r="5" spans="1:14" x14ac:dyDescent="0.25">
      <c r="A5" t="s">
        <v>0</v>
      </c>
      <c r="B5" s="6">
        <v>107536</v>
      </c>
      <c r="C5" s="6">
        <v>89211</v>
      </c>
      <c r="D5" s="6">
        <f>75414</f>
        <v>75414</v>
      </c>
      <c r="E5" s="6">
        <v>57746</v>
      </c>
      <c r="F5" s="6">
        <v>39032</v>
      </c>
      <c r="G5" s="6"/>
      <c r="H5" s="6"/>
      <c r="I5" s="6"/>
      <c r="J5" s="6"/>
      <c r="K5" s="6"/>
      <c r="L5" s="6"/>
      <c r="M5" t="s">
        <v>0</v>
      </c>
      <c r="N5">
        <v>1</v>
      </c>
    </row>
    <row r="6" spans="1:14" x14ac:dyDescent="0.25">
      <c r="A6" t="s">
        <v>1</v>
      </c>
      <c r="B6" s="6">
        <v>95757</v>
      </c>
      <c r="C6" s="6">
        <v>77283</v>
      </c>
      <c r="D6" s="6">
        <f>68438-660</f>
        <v>67778</v>
      </c>
      <c r="E6" s="6">
        <f>49383+280</f>
        <v>49663</v>
      </c>
      <c r="F6" s="6">
        <f>33797-113</f>
        <v>33684</v>
      </c>
      <c r="G6" s="6"/>
      <c r="H6" s="6"/>
      <c r="I6" s="6"/>
      <c r="J6" s="6"/>
      <c r="K6" s="6"/>
      <c r="L6" s="6"/>
      <c r="M6" t="s">
        <v>1</v>
      </c>
      <c r="N6">
        <f>+N5+1</f>
        <v>2</v>
      </c>
    </row>
    <row r="7" spans="1:14" x14ac:dyDescent="0.25">
      <c r="A7" t="s">
        <v>2</v>
      </c>
      <c r="B7" s="6">
        <f>B5-B6</f>
        <v>11779</v>
      </c>
      <c r="C7" s="6">
        <f>C5-C6</f>
        <v>11928</v>
      </c>
      <c r="D7" s="6">
        <f>D5-D6</f>
        <v>7636</v>
      </c>
      <c r="E7" s="6">
        <f t="shared" ref="E7:K7" si="0">E5-E6</f>
        <v>8083</v>
      </c>
      <c r="F7" s="6">
        <f t="shared" si="0"/>
        <v>5348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/>
      <c r="M7" t="s">
        <v>2</v>
      </c>
      <c r="N7">
        <f t="shared" ref="N7:N27" si="1">+N6+1</f>
        <v>3</v>
      </c>
    </row>
    <row r="8" spans="1:14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N8">
        <f t="shared" si="1"/>
        <v>4</v>
      </c>
    </row>
    <row r="9" spans="1:14" x14ac:dyDescent="0.25">
      <c r="A9" t="s">
        <v>63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t="s">
        <v>69</v>
      </c>
      <c r="N9">
        <f t="shared" si="1"/>
        <v>5</v>
      </c>
    </row>
    <row r="10" spans="1:14" x14ac:dyDescent="0.25">
      <c r="A10" t="s">
        <v>4</v>
      </c>
      <c r="B10" s="6">
        <v>-6005</v>
      </c>
      <c r="C10" s="6">
        <v>-5284</v>
      </c>
      <c r="D10" s="6">
        <f>-4354</f>
        <v>-4354</v>
      </c>
      <c r="E10" s="6">
        <v>-4773</v>
      </c>
      <c r="F10" s="6">
        <v>-2648</v>
      </c>
      <c r="G10" s="6"/>
      <c r="H10" s="6"/>
      <c r="I10" s="6"/>
      <c r="J10" s="6"/>
      <c r="K10" s="6"/>
      <c r="L10" s="6"/>
      <c r="M10" t="s">
        <v>68</v>
      </c>
      <c r="N10">
        <f t="shared" si="1"/>
        <v>6</v>
      </c>
    </row>
    <row r="11" spans="1:14" x14ac:dyDescent="0.25">
      <c r="A11" t="s">
        <v>64</v>
      </c>
      <c r="B11" s="6">
        <v>-1481</v>
      </c>
      <c r="C11" s="6">
        <v>-585</v>
      </c>
      <c r="D11" s="6">
        <v>-1132</v>
      </c>
      <c r="E11" s="6">
        <v>-257</v>
      </c>
      <c r="F11" s="6">
        <v>-98</v>
      </c>
      <c r="G11" s="6"/>
      <c r="H11" s="6"/>
      <c r="I11" s="6"/>
      <c r="J11" s="6"/>
      <c r="K11" s="6"/>
      <c r="L11" s="6"/>
      <c r="N11">
        <f t="shared" si="1"/>
        <v>7</v>
      </c>
    </row>
    <row r="12" spans="1:14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N12">
        <f t="shared" si="1"/>
        <v>8</v>
      </c>
    </row>
    <row r="13" spans="1:14" x14ac:dyDescent="0.25">
      <c r="A13" t="s">
        <v>5</v>
      </c>
      <c r="B13" s="6">
        <f>SUM(B7:B11)</f>
        <v>4293</v>
      </c>
      <c r="C13" s="6">
        <f>SUM(C7:C11)</f>
        <v>6059</v>
      </c>
      <c r="D13" s="6">
        <f>SUM(D7:D11)</f>
        <v>2150</v>
      </c>
      <c r="E13" s="6">
        <f t="shared" ref="E13:K13" si="2">SUM(E7:E11)</f>
        <v>3053</v>
      </c>
      <c r="F13" s="6">
        <f t="shared" si="2"/>
        <v>2602</v>
      </c>
      <c r="G13" s="6">
        <f t="shared" si="2"/>
        <v>0</v>
      </c>
      <c r="H13" s="6">
        <f t="shared" si="2"/>
        <v>0</v>
      </c>
      <c r="I13" s="6">
        <f t="shared" si="2"/>
        <v>0</v>
      </c>
      <c r="J13" s="6">
        <f t="shared" si="2"/>
        <v>0</v>
      </c>
      <c r="K13" s="6">
        <f t="shared" si="2"/>
        <v>0</v>
      </c>
      <c r="L13" s="6"/>
      <c r="N13">
        <f t="shared" si="1"/>
        <v>9</v>
      </c>
    </row>
    <row r="14" spans="1:14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N14">
        <f t="shared" si="1"/>
        <v>10</v>
      </c>
    </row>
    <row r="15" spans="1:14" x14ac:dyDescent="0.25">
      <c r="A15" t="s">
        <v>60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/>
      <c r="H15" s="6"/>
      <c r="I15" s="6"/>
      <c r="J15" s="6"/>
      <c r="K15" s="6"/>
      <c r="L15" s="6"/>
      <c r="N15">
        <f t="shared" si="1"/>
        <v>11</v>
      </c>
    </row>
    <row r="16" spans="1:14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N16">
        <f t="shared" si="1"/>
        <v>12</v>
      </c>
    </row>
    <row r="17" spans="1:14" x14ac:dyDescent="0.25">
      <c r="A17" t="s">
        <v>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/>
      <c r="H17" s="6"/>
      <c r="I17" s="6"/>
      <c r="J17" s="6"/>
      <c r="K17" s="6"/>
      <c r="L17" s="6"/>
      <c r="N17">
        <f t="shared" si="1"/>
        <v>13</v>
      </c>
    </row>
    <row r="18" spans="1:14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N18">
        <f t="shared" si="1"/>
        <v>14</v>
      </c>
    </row>
    <row r="19" spans="1:14" x14ac:dyDescent="0.25">
      <c r="A19" t="s">
        <v>62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/>
      <c r="H19" s="6"/>
      <c r="I19" s="6"/>
      <c r="J19" s="6"/>
      <c r="K19" s="6"/>
      <c r="L19" s="6"/>
      <c r="N19">
        <f t="shared" si="1"/>
        <v>15</v>
      </c>
    </row>
    <row r="20" spans="1:14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N20">
        <f t="shared" si="1"/>
        <v>16</v>
      </c>
    </row>
    <row r="21" spans="1:14" x14ac:dyDescent="0.25">
      <c r="A21" t="s">
        <v>125</v>
      </c>
      <c r="B21" s="6">
        <f>SUM(B13:B19)</f>
        <v>4293</v>
      </c>
      <c r="C21" s="6">
        <f t="shared" ref="C21:K21" si="3">SUM(C13:C19)</f>
        <v>6059</v>
      </c>
      <c r="D21" s="6">
        <f t="shared" si="3"/>
        <v>2150</v>
      </c>
      <c r="E21" s="6">
        <f t="shared" si="3"/>
        <v>3053</v>
      </c>
      <c r="F21" s="6">
        <f t="shared" si="3"/>
        <v>2602</v>
      </c>
      <c r="G21" s="6">
        <f t="shared" si="3"/>
        <v>0</v>
      </c>
      <c r="H21" s="6">
        <f t="shared" si="3"/>
        <v>0</v>
      </c>
      <c r="I21" s="6">
        <f t="shared" si="3"/>
        <v>0</v>
      </c>
      <c r="J21" s="6">
        <f t="shared" si="3"/>
        <v>0</v>
      </c>
      <c r="K21" s="6">
        <f t="shared" si="3"/>
        <v>0</v>
      </c>
      <c r="L21" s="6"/>
      <c r="M21" t="s">
        <v>125</v>
      </c>
      <c r="N21">
        <f t="shared" si="1"/>
        <v>17</v>
      </c>
    </row>
    <row r="22" spans="1:14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>
        <f t="shared" si="1"/>
        <v>18</v>
      </c>
    </row>
    <row r="23" spans="1:14" x14ac:dyDescent="0.25">
      <c r="A23" t="s">
        <v>7</v>
      </c>
      <c r="B23" s="6">
        <v>8</v>
      </c>
      <c r="C23" s="6">
        <v>2</v>
      </c>
      <c r="D23" s="6">
        <v>1</v>
      </c>
      <c r="E23" s="6">
        <v>0</v>
      </c>
      <c r="F23" s="6">
        <v>0</v>
      </c>
      <c r="G23" s="6"/>
      <c r="H23" s="6"/>
      <c r="I23" s="6"/>
      <c r="J23" s="6"/>
      <c r="K23" s="6"/>
      <c r="L23" s="6"/>
      <c r="N23">
        <f t="shared" si="1"/>
        <v>19</v>
      </c>
    </row>
    <row r="24" spans="1:14" x14ac:dyDescent="0.25">
      <c r="A24" t="s">
        <v>8</v>
      </c>
      <c r="B24" s="6">
        <v>-301</v>
      </c>
      <c r="C24" s="6">
        <f>-154-125</f>
        <v>-279</v>
      </c>
      <c r="D24" s="6">
        <f>-176-15</f>
        <v>-191</v>
      </c>
      <c r="E24" s="6">
        <v>-107</v>
      </c>
      <c r="F24" s="6">
        <v>-103</v>
      </c>
      <c r="G24" s="6"/>
      <c r="H24" s="6"/>
      <c r="I24" s="6"/>
      <c r="J24" s="6"/>
      <c r="K24" s="6"/>
      <c r="L24" s="6"/>
      <c r="M24" t="s">
        <v>124</v>
      </c>
      <c r="N24">
        <f t="shared" si="1"/>
        <v>20</v>
      </c>
    </row>
    <row r="25" spans="1:14" x14ac:dyDescent="0.25">
      <c r="A25" t="s">
        <v>9</v>
      </c>
      <c r="B25" s="6">
        <f>-224+74</f>
        <v>-150</v>
      </c>
      <c r="C25" s="6">
        <f>-1025+129</f>
        <v>-896</v>
      </c>
      <c r="D25" s="6">
        <f>-556+320</f>
        <v>-236</v>
      </c>
      <c r="E25" s="6">
        <v>88</v>
      </c>
      <c r="F25" s="6">
        <v>423</v>
      </c>
      <c r="G25" s="6"/>
      <c r="H25" s="6"/>
      <c r="I25" s="6"/>
      <c r="J25" s="6"/>
      <c r="K25" s="6"/>
      <c r="L25" s="6"/>
      <c r="M25" s="23" t="s">
        <v>70</v>
      </c>
      <c r="N25">
        <f t="shared" si="1"/>
        <v>21</v>
      </c>
    </row>
    <row r="26" spans="1:14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N26">
        <f t="shared" si="1"/>
        <v>22</v>
      </c>
    </row>
    <row r="27" spans="1:14" x14ac:dyDescent="0.25">
      <c r="A27" t="s">
        <v>3</v>
      </c>
      <c r="B27" s="6">
        <f>SUM(B21:B25)</f>
        <v>3850</v>
      </c>
      <c r="C27" s="6">
        <f>SUM(C21:C25)</f>
        <v>4886</v>
      </c>
      <c r="D27" s="6">
        <f>SUM(D21:D25)</f>
        <v>1724</v>
      </c>
      <c r="E27" s="6">
        <f>SUM(E21:E25)</f>
        <v>3034</v>
      </c>
      <c r="F27" s="6">
        <f t="shared" ref="F27:K27" si="4">SUM(F21:F25)</f>
        <v>2922</v>
      </c>
      <c r="G27" s="6">
        <f t="shared" si="4"/>
        <v>0</v>
      </c>
      <c r="H27" s="6">
        <f t="shared" si="4"/>
        <v>0</v>
      </c>
      <c r="I27" s="6">
        <f t="shared" si="4"/>
        <v>0</v>
      </c>
      <c r="J27" s="6">
        <f t="shared" si="4"/>
        <v>0</v>
      </c>
      <c r="K27" s="6">
        <f t="shared" si="4"/>
        <v>0</v>
      </c>
      <c r="L27" s="6"/>
      <c r="M27" t="s">
        <v>3</v>
      </c>
      <c r="N27">
        <f t="shared" si="1"/>
        <v>23</v>
      </c>
    </row>
    <row r="28" spans="1:14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4" x14ac:dyDescent="0.25">
      <c r="B29" s="27">
        <v>1</v>
      </c>
      <c r="C29" s="27">
        <v>2</v>
      </c>
      <c r="D29" s="27">
        <v>3</v>
      </c>
      <c r="E29" s="27">
        <v>4</v>
      </c>
      <c r="F29" s="6"/>
      <c r="G29" s="6"/>
      <c r="H29" s="6"/>
      <c r="I29" s="6"/>
      <c r="J29" s="6"/>
      <c r="K29" s="6"/>
      <c r="L29" s="6"/>
      <c r="N29" t="s">
        <v>117</v>
      </c>
    </row>
    <row r="30" spans="1:14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4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4" x14ac:dyDescent="0.25">
      <c r="B32" s="6"/>
      <c r="C32" s="6"/>
      <c r="D32" s="6"/>
      <c r="E32" s="6"/>
      <c r="F32" s="6"/>
    </row>
    <row r="33" spans="2:6" x14ac:dyDescent="0.25">
      <c r="B33" s="6"/>
      <c r="C33" s="6"/>
      <c r="D33" s="6"/>
      <c r="E33" s="6"/>
      <c r="F33" s="6"/>
    </row>
    <row r="34" spans="2:6" x14ac:dyDescent="0.25">
      <c r="B34" s="6"/>
      <c r="C34" s="6"/>
      <c r="D34" s="6"/>
      <c r="E34" s="6"/>
      <c r="F34" s="6"/>
    </row>
    <row r="35" spans="2:6" x14ac:dyDescent="0.25">
      <c r="B35" s="6"/>
      <c r="C35" s="6"/>
      <c r="D35" s="6"/>
      <c r="E35" s="6"/>
      <c r="F35" s="6"/>
    </row>
    <row r="36" spans="2:6" x14ac:dyDescent="0.25">
      <c r="B36" s="6"/>
      <c r="C36" s="6"/>
      <c r="D36" s="6"/>
      <c r="E36" s="6"/>
      <c r="F36" s="6"/>
    </row>
    <row r="37" spans="2:6" x14ac:dyDescent="0.25">
      <c r="B37" s="6"/>
      <c r="C37" s="6"/>
      <c r="D37" s="6"/>
      <c r="E37" s="6"/>
      <c r="F37" s="6"/>
    </row>
    <row r="38" spans="2:6" x14ac:dyDescent="0.25">
      <c r="B38" s="6"/>
      <c r="C38" s="6"/>
      <c r="D38" s="6"/>
      <c r="E38" s="6"/>
      <c r="F38" s="6"/>
    </row>
    <row r="39" spans="2:6" x14ac:dyDescent="0.25">
      <c r="B39" s="6"/>
      <c r="C39" s="6"/>
      <c r="D39" s="6"/>
      <c r="E39" s="6"/>
      <c r="F39" s="6"/>
    </row>
    <row r="40" spans="2:6" x14ac:dyDescent="0.25">
      <c r="B40" s="6"/>
      <c r="C40" s="6"/>
      <c r="D40" s="6"/>
      <c r="E40" s="6"/>
      <c r="F40" s="6"/>
    </row>
    <row r="41" spans="2:6" x14ac:dyDescent="0.25">
      <c r="B41" s="6"/>
      <c r="C41" s="6"/>
      <c r="D41" s="6"/>
      <c r="E41" s="6"/>
      <c r="F41" s="6"/>
    </row>
    <row r="42" spans="2:6" x14ac:dyDescent="0.25">
      <c r="B42" s="6"/>
      <c r="C42" s="6"/>
      <c r="D42" s="6"/>
      <c r="E42" s="6"/>
      <c r="F42" s="6"/>
    </row>
    <row r="43" spans="2:6" x14ac:dyDescent="0.25">
      <c r="B43" s="6"/>
      <c r="C43" s="6"/>
      <c r="D43" s="6"/>
      <c r="E43" s="6"/>
      <c r="F43" s="6"/>
    </row>
    <row r="44" spans="2:6" x14ac:dyDescent="0.25">
      <c r="B44" s="6"/>
      <c r="C44" s="6"/>
      <c r="D44" s="6"/>
      <c r="E44" s="6"/>
      <c r="F44" s="6"/>
    </row>
    <row r="45" spans="2:6" x14ac:dyDescent="0.25">
      <c r="B45" s="6"/>
      <c r="C45" s="6"/>
      <c r="D45" s="6"/>
      <c r="E45" s="6"/>
      <c r="F45" s="6"/>
    </row>
    <row r="46" spans="2:6" x14ac:dyDescent="0.25">
      <c r="B46" s="6"/>
      <c r="C46" s="6"/>
      <c r="D46" s="6"/>
      <c r="E46" s="6"/>
      <c r="F46" s="6"/>
    </row>
    <row r="47" spans="2:6" x14ac:dyDescent="0.25">
      <c r="B47" s="6"/>
      <c r="C47" s="6"/>
      <c r="D47" s="6"/>
      <c r="E47" s="6"/>
      <c r="F47" s="6"/>
    </row>
    <row r="48" spans="2:6" x14ac:dyDescent="0.25">
      <c r="B48" s="6"/>
      <c r="C48" s="6"/>
      <c r="D48" s="6"/>
      <c r="E48" s="6"/>
      <c r="F48" s="6"/>
    </row>
    <row r="49" spans="2:6" x14ac:dyDescent="0.25">
      <c r="B49" s="6"/>
      <c r="C49" s="6"/>
      <c r="D49" s="6"/>
      <c r="E49" s="6"/>
      <c r="F49" s="6"/>
    </row>
    <row r="50" spans="2:6" x14ac:dyDescent="0.25">
      <c r="B50" s="6"/>
      <c r="C50" s="6"/>
      <c r="D50" s="6"/>
      <c r="E50" s="6"/>
      <c r="F50" s="6"/>
    </row>
    <row r="51" spans="2:6" x14ac:dyDescent="0.25">
      <c r="B51" s="6"/>
      <c r="C51" s="6"/>
      <c r="D51" s="6"/>
      <c r="E51" s="6"/>
      <c r="F51" s="6"/>
    </row>
    <row r="52" spans="2:6" x14ac:dyDescent="0.25">
      <c r="B52" s="6"/>
      <c r="C52" s="6"/>
      <c r="D52" s="6"/>
      <c r="E52" s="6"/>
      <c r="F52" s="6"/>
    </row>
    <row r="53" spans="2:6" x14ac:dyDescent="0.25">
      <c r="B53" s="6"/>
      <c r="C53" s="6"/>
      <c r="D53" s="6"/>
      <c r="E53" s="6"/>
      <c r="F53" s="6"/>
    </row>
    <row r="54" spans="2:6" x14ac:dyDescent="0.25">
      <c r="B54" s="6"/>
      <c r="C54" s="6"/>
      <c r="D54" s="6"/>
      <c r="E54" s="6"/>
      <c r="F54" s="6"/>
    </row>
    <row r="55" spans="2:6" x14ac:dyDescent="0.25">
      <c r="B55" s="6"/>
      <c r="C55" s="6"/>
      <c r="D55" s="6"/>
      <c r="E55" s="6"/>
      <c r="F55" s="6"/>
    </row>
    <row r="56" spans="2:6" x14ac:dyDescent="0.25">
      <c r="B56" s="6"/>
      <c r="C56" s="6"/>
      <c r="D56" s="6"/>
      <c r="E56" s="6"/>
      <c r="F56" s="6"/>
    </row>
    <row r="57" spans="2:6" x14ac:dyDescent="0.25">
      <c r="B57" s="6"/>
      <c r="C57" s="6"/>
      <c r="D57" s="6"/>
      <c r="E57" s="6"/>
      <c r="F57" s="6"/>
    </row>
    <row r="58" spans="2:6" x14ac:dyDescent="0.25">
      <c r="B58" s="6"/>
      <c r="C58" s="6"/>
      <c r="D58" s="6"/>
      <c r="E58" s="6"/>
      <c r="F58" s="6"/>
    </row>
    <row r="59" spans="2:6" x14ac:dyDescent="0.25">
      <c r="B59" s="6"/>
      <c r="C59" s="6"/>
      <c r="D59" s="6"/>
      <c r="E59" s="6"/>
      <c r="F59" s="6"/>
    </row>
    <row r="60" spans="2:6" x14ac:dyDescent="0.25">
      <c r="B60" s="6"/>
      <c r="C60" s="6"/>
      <c r="D60" s="6"/>
      <c r="E60" s="6"/>
      <c r="F60" s="6"/>
    </row>
    <row r="61" spans="2:6" x14ac:dyDescent="0.25">
      <c r="B61" s="6"/>
      <c r="C61" s="6"/>
      <c r="D61" s="6"/>
      <c r="E61" s="6"/>
      <c r="F61" s="6"/>
    </row>
    <row r="62" spans="2:6" x14ac:dyDescent="0.25">
      <c r="B62" s="6"/>
      <c r="C62" s="6"/>
      <c r="D62" s="6"/>
      <c r="E62" s="6"/>
      <c r="F62" s="6"/>
    </row>
    <row r="63" spans="2:6" x14ac:dyDescent="0.25">
      <c r="B63" s="6"/>
      <c r="C63" s="6"/>
      <c r="D63" s="6"/>
      <c r="E63" s="6"/>
      <c r="F63" s="6"/>
    </row>
    <row r="64" spans="2:6" x14ac:dyDescent="0.25">
      <c r="B64" s="6"/>
      <c r="C64" s="6"/>
      <c r="D64" s="6"/>
      <c r="E64" s="6"/>
      <c r="F64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zoomScaleNormal="100" workbookViewId="0">
      <pane xSplit="3" ySplit="2" topLeftCell="E30" activePane="bottomRight" state="frozen"/>
      <selection pane="topRight" activeCell="G1" sqref="G1"/>
      <selection pane="bottomLeft" activeCell="A3" sqref="A3"/>
      <selection pane="bottomRight" activeCell="A38" sqref="A38"/>
    </sheetView>
  </sheetViews>
  <sheetFormatPr defaultRowHeight="15" x14ac:dyDescent="0.25"/>
  <cols>
    <col min="1" max="1" width="88.5703125" style="15" bestFit="1" customWidth="1"/>
    <col min="2" max="2" width="120.7109375" style="15" hidden="1" customWidth="1"/>
    <col min="3" max="3" width="12.28515625" customWidth="1"/>
    <col min="4" max="4" width="48.7109375" bestFit="1" customWidth="1"/>
    <col min="5" max="5" width="17.28515625" customWidth="1"/>
    <col min="6" max="6" width="88" customWidth="1"/>
    <col min="8" max="11" width="12.7109375" customWidth="1"/>
    <col min="15" max="19" width="12.7109375" customWidth="1"/>
    <col min="21" max="21" width="10.7109375" customWidth="1"/>
    <col min="23" max="23" width="12.7109375" customWidth="1"/>
    <col min="25" max="28" width="12.7109375" customWidth="1"/>
    <col min="31" max="31" width="13.7109375" customWidth="1"/>
  </cols>
  <sheetData>
    <row r="1" spans="1:31" x14ac:dyDescent="0.25">
      <c r="G1" t="s">
        <v>115</v>
      </c>
      <c r="H1" s="1">
        <v>42735</v>
      </c>
      <c r="I1">
        <f>HLOOKUP($H$1,'BALANCE SHEETS'!$B$3:$E$46,44,FALSE)</f>
        <v>4</v>
      </c>
    </row>
    <row r="2" spans="1:31" ht="60" x14ac:dyDescent="0.25">
      <c r="A2" s="10" t="s">
        <v>35</v>
      </c>
      <c r="B2" s="10" t="s">
        <v>71</v>
      </c>
      <c r="C2" s="1">
        <f>H1</f>
        <v>42735</v>
      </c>
      <c r="D2" s="1" t="s">
        <v>103</v>
      </c>
      <c r="E2" t="s">
        <v>57</v>
      </c>
      <c r="F2" t="s">
        <v>56</v>
      </c>
      <c r="G2" s="23" t="s">
        <v>10</v>
      </c>
      <c r="H2" s="23" t="s">
        <v>12</v>
      </c>
      <c r="I2" s="23" t="s">
        <v>66</v>
      </c>
      <c r="J2" s="23" t="s">
        <v>128</v>
      </c>
      <c r="K2" s="23" t="s">
        <v>11</v>
      </c>
      <c r="L2" s="23" t="s">
        <v>67</v>
      </c>
      <c r="M2" s="23" t="s">
        <v>22</v>
      </c>
      <c r="N2" s="23" t="s">
        <v>127</v>
      </c>
      <c r="O2" s="23" t="s">
        <v>85</v>
      </c>
      <c r="P2" s="23" t="s">
        <v>129</v>
      </c>
      <c r="Q2" s="23" t="s">
        <v>120</v>
      </c>
      <c r="R2" s="23" t="s">
        <v>121</v>
      </c>
      <c r="S2" s="23" t="s">
        <v>126</v>
      </c>
      <c r="T2" s="23" t="s">
        <v>122</v>
      </c>
      <c r="U2" s="23" t="s">
        <v>24</v>
      </c>
      <c r="V2" s="23" t="s">
        <v>25</v>
      </c>
      <c r="W2" s="23" t="s">
        <v>0</v>
      </c>
      <c r="X2" s="23" t="s">
        <v>1</v>
      </c>
      <c r="Y2" s="23" t="s">
        <v>68</v>
      </c>
      <c r="Z2" s="23" t="s">
        <v>69</v>
      </c>
      <c r="AA2" s="23" t="s">
        <v>125</v>
      </c>
      <c r="AB2" s="23" t="s">
        <v>124</v>
      </c>
      <c r="AC2" s="23" t="s">
        <v>70</v>
      </c>
      <c r="AD2" s="23" t="s">
        <v>86</v>
      </c>
      <c r="AE2" s="23" t="s">
        <v>3</v>
      </c>
    </row>
    <row r="4" spans="1:31" x14ac:dyDescent="0.25">
      <c r="A4" s="11" t="s">
        <v>36</v>
      </c>
      <c r="B4" s="11"/>
    </row>
    <row r="5" spans="1:31" x14ac:dyDescent="0.25">
      <c r="A5" s="12" t="s">
        <v>37</v>
      </c>
      <c r="B5" t="s">
        <v>72</v>
      </c>
      <c r="C5" s="13">
        <f>(W5-X5)/W5</f>
        <v>0.13997506320784123</v>
      </c>
      <c r="D5" s="13" t="s">
        <v>104</v>
      </c>
      <c r="E5" t="s">
        <v>58</v>
      </c>
      <c r="W5">
        <f>INDEX('INCOME STATEMENTS'!$B$5:$F$27,'KPI REPORT YEAR FOUR'!W$43,'KPI REPORT YEAR FOUR'!$I$1)</f>
        <v>57746</v>
      </c>
      <c r="X5">
        <f>INDEX('INCOME STATEMENTS'!$B$5:$F$27,'KPI REPORT YEAR FOUR'!X$43,'KPI REPORT YEAR FOUR'!$I$1)</f>
        <v>49663</v>
      </c>
    </row>
    <row r="6" spans="1:31" x14ac:dyDescent="0.25">
      <c r="A6" s="12" t="s">
        <v>38</v>
      </c>
      <c r="B6" t="s">
        <v>73</v>
      </c>
      <c r="C6" s="13">
        <f>AE6/W6</f>
        <v>5.2540435701174108E-2</v>
      </c>
      <c r="D6" s="13" t="s">
        <v>104</v>
      </c>
      <c r="E6" t="s">
        <v>58</v>
      </c>
      <c r="W6">
        <f>INDEX('INCOME STATEMENTS'!$B$5:$F$27,'KPI REPORT YEAR FOUR'!W$43,'KPI REPORT YEAR FOUR'!$I$1)</f>
        <v>57746</v>
      </c>
      <c r="AE6">
        <f>INDEX('INCOME STATEMENTS'!$B$5:$F$27,'KPI REPORT YEAR FOUR'!AE$43,'KPI REPORT YEAR FOUR'!$I$1)</f>
        <v>3034</v>
      </c>
    </row>
    <row r="7" spans="1:31" x14ac:dyDescent="0.25">
      <c r="A7" s="12" t="s">
        <v>135</v>
      </c>
      <c r="B7" s="12" t="s">
        <v>87</v>
      </c>
      <c r="C7" s="13">
        <f>AE7/N7</f>
        <v>8.2226303874247147E-2</v>
      </c>
      <c r="D7" s="13" t="s">
        <v>104</v>
      </c>
      <c r="E7" t="s">
        <v>58</v>
      </c>
      <c r="N7">
        <f>AVERAGE(INDEX('BALANCE SHEETS'!$B$5:$F$44,'KPI REPORT YEAR FOUR'!N$43,'KPI REPORT YEAR FOUR'!$I$1),INDEX('BALANCE SHEETS'!$B$5:$F$44,'KPI REPORT YEAR FOUR'!N$43,'KPI REPORT YEAR ONE'!$I$1+1))</f>
        <v>46822</v>
      </c>
      <c r="AE7">
        <f>INDEX('INCOME STATEMENTS'!$B$5:$F$27,'KPI REPORT YEAR ONE'!AF$43,'KPI REPORT YEAR ONE'!$I$1)</f>
        <v>3850</v>
      </c>
    </row>
    <row r="8" spans="1:31" x14ac:dyDescent="0.25">
      <c r="A8" s="12" t="s">
        <v>134</v>
      </c>
      <c r="B8" t="s">
        <v>74</v>
      </c>
      <c r="C8" s="13">
        <f>AE8/-V8</f>
        <v>0.21723184562432996</v>
      </c>
      <c r="D8" s="13" t="s">
        <v>104</v>
      </c>
      <c r="E8" t="s">
        <v>58</v>
      </c>
      <c r="V8">
        <f>AVERAGE(INDEX('BALANCE SHEETS'!$B$5:$F$44,'KPI REPORT YEAR FOUR'!V$43,'KPI REPORT YEAR FOUR'!$I$1),INDEX('BALANCE SHEETS'!$B$5:$F$44,'KPI REPORT YEAR FOUR'!V$43,'KPI REPORT YEAR FOUR'!$I$1+1))</f>
        <v>-17723</v>
      </c>
      <c r="AE8">
        <f>INDEX('INCOME STATEMENTS'!$B$5:$F$27,'KPI REPORT YEAR ONE'!AF$43,'KPI REPORT YEAR ONE'!$I$1)</f>
        <v>3850</v>
      </c>
    </row>
    <row r="12" spans="1:31" x14ac:dyDescent="0.25">
      <c r="A12" s="11" t="s">
        <v>39</v>
      </c>
      <c r="B12" s="11"/>
    </row>
    <row r="13" spans="1:31" x14ac:dyDescent="0.25">
      <c r="A13" s="14" t="s">
        <v>40</v>
      </c>
      <c r="B13" t="s">
        <v>75</v>
      </c>
      <c r="C13" s="16">
        <f>K13/-S13</f>
        <v>1.5480040193660363</v>
      </c>
      <c r="D13" s="13" t="s">
        <v>105</v>
      </c>
      <c r="E13" t="s">
        <v>58</v>
      </c>
      <c r="K13">
        <f>INDEX('BALANCE SHEETS'!$B$5:$F$44,'KPI REPORT YEAR FOUR'!K$43,'KPI REPORT YEAR FOUR'!$I$1)</f>
        <v>33892</v>
      </c>
      <c r="S13">
        <f>INDEX('BALANCE SHEETS'!$B$5:$F$44,'KPI REPORT YEAR FOUR'!S$43,'KPI REPORT YEAR FOUR'!$I$1)</f>
        <v>-21894</v>
      </c>
    </row>
    <row r="14" spans="1:31" x14ac:dyDescent="0.25">
      <c r="A14" s="12" t="s">
        <v>130</v>
      </c>
      <c r="B14" s="23" t="s">
        <v>76</v>
      </c>
      <c r="C14" s="16">
        <f>(K14-I14)/-S14</f>
        <v>1.5425687402941446</v>
      </c>
      <c r="D14" s="13" t="s">
        <v>105</v>
      </c>
      <c r="E14" t="s">
        <v>58</v>
      </c>
      <c r="I14">
        <f>INDEX('BALANCE SHEETS'!$B$5:$F$44,'KPI REPORT YEAR FOUR'!I$43,'KPI REPORT YEAR FOUR'!$I$1)</f>
        <v>119</v>
      </c>
      <c r="K14">
        <f>INDEX('BALANCE SHEETS'!$B$5:$F$44,'KPI REPORT YEAR FOUR'!K$43,'KPI REPORT YEAR FOUR'!$I$1)</f>
        <v>33892</v>
      </c>
      <c r="S14">
        <f>INDEX('BALANCE SHEETS'!$B$5:$F$44,'KPI REPORT YEAR FOUR'!S$43,'KPI REPORT YEAR FOUR'!$I$1)</f>
        <v>-21894</v>
      </c>
    </row>
    <row r="15" spans="1:31" x14ac:dyDescent="0.25">
      <c r="A15" s="12" t="s">
        <v>91</v>
      </c>
      <c r="B15" t="s">
        <v>77</v>
      </c>
      <c r="C15" s="16">
        <f>G15/-S15</f>
        <v>0.1834749246368868</v>
      </c>
      <c r="D15" s="16" t="s">
        <v>105</v>
      </c>
      <c r="E15" t="s">
        <v>58</v>
      </c>
      <c r="G15">
        <f>INDEX('BALANCE SHEETS'!$B$5:$F$44,'KPI REPORT YEAR FOUR'!G$43,'KPI REPORT YEAR FOUR'!$I$1)</f>
        <v>4017</v>
      </c>
      <c r="S15">
        <f>INDEX('BALANCE SHEETS'!$B$5:$F$44,'KPI REPORT YEAR FOUR'!S$43,'KPI REPORT YEAR FOUR'!$I$1)</f>
        <v>-21894</v>
      </c>
    </row>
    <row r="16" spans="1:31" x14ac:dyDescent="0.25">
      <c r="A16" s="12" t="s">
        <v>41</v>
      </c>
      <c r="B16" t="s">
        <v>75</v>
      </c>
      <c r="C16" s="17">
        <f>K16+S16</f>
        <v>11998</v>
      </c>
      <c r="D16" s="17" t="s">
        <v>104</v>
      </c>
      <c r="E16" t="s">
        <v>58</v>
      </c>
      <c r="K16">
        <f>INDEX('BALANCE SHEETS'!$B$5:$F$44,'KPI REPORT YEAR FOUR'!K$43,'KPI REPORT YEAR FOUR'!$I$1)</f>
        <v>33892</v>
      </c>
      <c r="S16">
        <f>INDEX('BALANCE SHEETS'!$B$5:$F$44,'KPI REPORT YEAR FOUR'!S$43,'KPI REPORT YEAR FOUR'!$I$1)</f>
        <v>-21894</v>
      </c>
    </row>
    <row r="17" spans="1:26" x14ac:dyDescent="0.25">
      <c r="A17" s="12"/>
      <c r="B17" s="12"/>
    </row>
    <row r="18" spans="1:26" x14ac:dyDescent="0.25">
      <c r="A18" s="12"/>
      <c r="B18" s="12"/>
    </row>
    <row r="20" spans="1:26" x14ac:dyDescent="0.25">
      <c r="A20" s="11" t="s">
        <v>136</v>
      </c>
      <c r="B20" s="11"/>
    </row>
    <row r="21" spans="1:26" x14ac:dyDescent="0.25">
      <c r="A21" s="12" t="s">
        <v>42</v>
      </c>
      <c r="B21" t="s">
        <v>78</v>
      </c>
      <c r="C21" s="16">
        <f>W21/H21</f>
        <v>2.414938106390097</v>
      </c>
      <c r="D21" s="16" t="s">
        <v>106</v>
      </c>
      <c r="E21" t="s">
        <v>58</v>
      </c>
      <c r="H21">
        <f>AVERAGE(INDEX('BALANCE SHEETS'!$B$5:$F$44,'KPI REPORT YEAR FOUR'!H$43,'KPI REPORT YEAR FOUR'!$I$1),INDEX('BALANCE SHEETS'!$B$5:$F$44,'KPI REPORT YEAR FOUR'!H$43,'KPI REPORT YEAR FOUR'!$I$1+1))</f>
        <v>23912</v>
      </c>
      <c r="W21">
        <f>INDEX('INCOME STATEMENTS'!$B$5:$F$27,'KPI REPORT YEAR FOUR'!W$43,'KPI REPORT YEAR FOUR'!$I$1)</f>
        <v>57746</v>
      </c>
    </row>
    <row r="22" spans="1:26" x14ac:dyDescent="0.25">
      <c r="A22" s="12" t="s">
        <v>43</v>
      </c>
      <c r="B22" t="s">
        <v>88</v>
      </c>
      <c r="C22" s="16">
        <f>360/C21</f>
        <v>149.07214352509266</v>
      </c>
      <c r="D22" s="16" t="s">
        <v>107</v>
      </c>
      <c r="E22" t="s">
        <v>59</v>
      </c>
    </row>
    <row r="23" spans="1:26" x14ac:dyDescent="0.25">
      <c r="A23" s="12" t="s">
        <v>44</v>
      </c>
      <c r="B23" t="s">
        <v>79</v>
      </c>
      <c r="C23" s="16">
        <f>X23/J23</f>
        <v>370.6194029850746</v>
      </c>
      <c r="D23" s="16" t="s">
        <v>106</v>
      </c>
      <c r="E23" t="s">
        <v>58</v>
      </c>
      <c r="J23">
        <f>AVERAGE(INDEX('BALANCE SHEETS'!$B$5:$F$44,'KPI REPORT YEAR FOUR'!J$43,'KPI REPORT YEAR FOUR'!$I$1),INDEX('BALANCE SHEETS'!$B$5:$F$44,'KPI REPORT YEAR FOUR'!J$43,'KPI REPORT YEAR FOUR'!$I$1+1))</f>
        <v>134</v>
      </c>
      <c r="X23">
        <f>INDEX('INCOME STATEMENTS'!$B$5:$F$27,'KPI REPORT YEAR FOUR'!X$43,'KPI REPORT YEAR FOUR'!$I$1)</f>
        <v>49663</v>
      </c>
    </row>
    <row r="24" spans="1:26" x14ac:dyDescent="0.25">
      <c r="A24" s="12" t="s">
        <v>45</v>
      </c>
      <c r="B24" t="s">
        <v>89</v>
      </c>
      <c r="C24" s="16">
        <f>360/C23</f>
        <v>0.97134687795743313</v>
      </c>
      <c r="D24" s="16" t="s">
        <v>107</v>
      </c>
      <c r="E24" t="s">
        <v>59</v>
      </c>
    </row>
    <row r="25" spans="1:26" x14ac:dyDescent="0.25">
      <c r="A25" s="14" t="s">
        <v>46</v>
      </c>
      <c r="B25" t="s">
        <v>80</v>
      </c>
      <c r="C25" s="16">
        <f>Y25/P25</f>
        <v>0.27647126969416125</v>
      </c>
      <c r="D25" s="16" t="s">
        <v>108</v>
      </c>
      <c r="E25" t="s">
        <v>58</v>
      </c>
      <c r="P25">
        <f>AVERAGE(INDEX('BALANCE SHEETS'!$B$5:$F$44,'KPI REPORT YEAR FOUR'!P$43,'KPI REPORT YEAR FOUR'!$I$1),INDEX('BALANCE SHEETS'!$B$5:$F$44,'KPI REPORT YEAR FOUR'!P$43,'KPI REPORT YEAR FOUR'!$I$1+1))</f>
        <v>-17264</v>
      </c>
      <c r="Y25">
        <f>INDEX('INCOME STATEMENTS'!$B$5:$F$27,'KPI REPORT YEAR FOUR'!Y$43,'KPI REPORT YEAR FOUR'!$I$1)</f>
        <v>-4773</v>
      </c>
      <c r="Z25">
        <f>INDEX('INCOME STATEMENTS'!$B$5:$F$27,'KPI REPORT YEAR FOUR'!Z$43,'KPI REPORT YEAR FOUR'!$I$1)</f>
        <v>0</v>
      </c>
    </row>
    <row r="26" spans="1:26" x14ac:dyDescent="0.25">
      <c r="A26" s="12" t="s">
        <v>47</v>
      </c>
      <c r="B26" t="s">
        <v>90</v>
      </c>
      <c r="C26" s="16">
        <f>360/C25</f>
        <v>1302.1244500314269</v>
      </c>
      <c r="D26" s="16" t="s">
        <v>109</v>
      </c>
      <c r="E26" t="s">
        <v>59</v>
      </c>
      <c r="Z26">
        <f>INDEX('INCOME STATEMENTS'!$B$5:$F$27,'KPI REPORT YEAR FOUR'!Z$43,'KPI REPORT YEAR FOUR'!$I$1)</f>
        <v>0</v>
      </c>
    </row>
    <row r="27" spans="1:26" x14ac:dyDescent="0.25">
      <c r="A27" s="14" t="s">
        <v>48</v>
      </c>
      <c r="B27" t="s">
        <v>92</v>
      </c>
      <c r="C27" s="16">
        <f>C22+C24</f>
        <v>150.0434904030501</v>
      </c>
      <c r="D27" s="16" t="s">
        <v>109</v>
      </c>
      <c r="E27" t="s">
        <v>59</v>
      </c>
    </row>
    <row r="28" spans="1:26" x14ac:dyDescent="0.25">
      <c r="A28" s="12" t="s">
        <v>49</v>
      </c>
      <c r="B28" t="s">
        <v>81</v>
      </c>
      <c r="C28" s="16">
        <f>C27-C26</f>
        <v>-1152.0809596283768</v>
      </c>
      <c r="D28" s="25" t="s">
        <v>107</v>
      </c>
      <c r="E28" t="s">
        <v>59</v>
      </c>
    </row>
    <row r="29" spans="1:26" x14ac:dyDescent="0.25">
      <c r="A29" s="12" t="s">
        <v>50</v>
      </c>
      <c r="B29" t="s">
        <v>81</v>
      </c>
      <c r="C29" s="16">
        <f>W29/N29</f>
        <v>1.5475485401117528</v>
      </c>
      <c r="D29" s="16" t="s">
        <v>110</v>
      </c>
      <c r="E29" t="s">
        <v>58</v>
      </c>
      <c r="N29">
        <f>AVERAGE(INDEX('BALANCE SHEETS'!$B$5:$F$44,'KPI REPORT YEAR FOUR'!N$43,'KPI REPORT YEAR FOUR'!$I$1),INDEX('BALANCE SHEETS'!$B$5:$F$44,'KPI REPORT YEAR FOUR'!N$43,'KPI REPORT YEAR FOUR'!$I$1+1))</f>
        <v>37314.5</v>
      </c>
      <c r="W29">
        <f>INDEX('INCOME STATEMENTS'!$B$5:$F$27,'KPI REPORT YEAR FOUR'!W$43,'KPI REPORT YEAR FOUR'!$I$1)</f>
        <v>57746</v>
      </c>
    </row>
    <row r="31" spans="1:26" x14ac:dyDescent="0.25">
      <c r="A31" s="12" t="s">
        <v>98</v>
      </c>
      <c r="B31" s="12"/>
    </row>
    <row r="33" spans="1:31" x14ac:dyDescent="0.25">
      <c r="A33" s="11" t="s">
        <v>137</v>
      </c>
      <c r="B33" s="11"/>
    </row>
    <row r="34" spans="1:31" x14ac:dyDescent="0.25">
      <c r="A34" s="12" t="s">
        <v>51</v>
      </c>
      <c r="B34" t="s">
        <v>99</v>
      </c>
      <c r="C34" s="24">
        <f>-U34/M34</f>
        <v>0.54884397129859774</v>
      </c>
      <c r="D34" s="18" t="s">
        <v>112</v>
      </c>
      <c r="E34" t="s">
        <v>59</v>
      </c>
      <c r="M34">
        <f>INDEX('BALANCE SHEETS'!$B$5:$F$44,'KPI REPORT YEAR FOUR'!M$43,'KPI REPORT YEAR FOUR'!$I$1)</f>
        <v>42646</v>
      </c>
      <c r="U34">
        <f>INDEX('BALANCE SHEETS'!$B$5:$F$44,'KPI REPORT YEAR FOUR'!U$43,'KPI REPORT YEAR FOUR'!$I$1)</f>
        <v>-23406</v>
      </c>
    </row>
    <row r="35" spans="1:31" x14ac:dyDescent="0.25">
      <c r="A35" s="12" t="s">
        <v>52</v>
      </c>
      <c r="B35" t="s">
        <v>100</v>
      </c>
      <c r="C35" s="24">
        <f>-V35/M35</f>
        <v>0.45115602870140226</v>
      </c>
      <c r="D35" s="18" t="s">
        <v>111</v>
      </c>
      <c r="E35" t="s">
        <v>58</v>
      </c>
      <c r="M35">
        <f>INDEX('BALANCE SHEETS'!$B$5:$F$44,'KPI REPORT YEAR FOUR'!M$43,'KPI REPORT YEAR FOUR'!$I$1)</f>
        <v>42646</v>
      </c>
      <c r="V35">
        <f>INDEX('BALANCE SHEETS'!$B$5:$F$44,'KPI REPORT YEAR FOUR'!V$43,'KPI REPORT YEAR FOUR'!$I$1)</f>
        <v>-19240</v>
      </c>
    </row>
    <row r="36" spans="1:31" x14ac:dyDescent="0.25">
      <c r="A36" s="12" t="s">
        <v>53</v>
      </c>
      <c r="B36" t="s">
        <v>101</v>
      </c>
      <c r="C36" s="24">
        <f>U36/V36</f>
        <v>1.2165280665280664</v>
      </c>
      <c r="D36" s="18" t="s">
        <v>113</v>
      </c>
      <c r="E36" t="s">
        <v>59</v>
      </c>
      <c r="U36">
        <f>INDEX('BALANCE SHEETS'!$B$5:$F$44,'KPI REPORT YEAR FOUR'!U$43,'KPI REPORT YEAR FOUR'!$I$1)</f>
        <v>-23406</v>
      </c>
      <c r="V36">
        <f>INDEX('BALANCE SHEETS'!$B$5:$F$44,'KPI REPORT YEAR FOUR'!V$43,'KPI REPORT YEAR FOUR'!$I$1)</f>
        <v>-19240</v>
      </c>
    </row>
    <row r="37" spans="1:31" x14ac:dyDescent="0.25">
      <c r="A37" s="12" t="s">
        <v>152</v>
      </c>
      <c r="B37" t="s">
        <v>151</v>
      </c>
      <c r="C37" s="24">
        <f>N37/-W37</f>
        <v>2.105427974947808</v>
      </c>
      <c r="D37" s="18" t="s">
        <v>113</v>
      </c>
      <c r="E37" t="s">
        <v>59</v>
      </c>
      <c r="N37">
        <f>AVERAGE(INDEX('BALANCE SHEETS'!$B$5:$F$44,'KPI REPORT YEAR FOUR'!N$43,'KPI REPORT YEAR FOUR'!$I$1),INDEX('BALANCE SHEETS'!$B$5:$F$44,'KPI REPORT YEAR FOUR'!N$43,'KPI REPORT YEAR FOUR'!$I$1+1))</f>
        <v>37314.5</v>
      </c>
      <c r="W37">
        <f>AVERAGE(INDEX('BALANCE SHEETS'!$B$5:$F$44,'KPI REPORT YEAR FOUR'!V$43,'KPI REPORT YEAR FOUR'!$I$1),INDEX('BALANCE SHEETS'!$B$5:$F$44,'KPI REPORT YEAR FOUR'!V$43,'KPI REPORT YEAR FOUR'!$I$1+1))</f>
        <v>-17723</v>
      </c>
    </row>
    <row r="38" spans="1:31" x14ac:dyDescent="0.25">
      <c r="A38" s="14" t="s">
        <v>131</v>
      </c>
      <c r="B38" t="s">
        <v>82</v>
      </c>
      <c r="C38" s="26">
        <f>(AA38+AB38+AC38)/-AB38</f>
        <v>28.355140186915889</v>
      </c>
      <c r="D38" s="25" t="s">
        <v>114</v>
      </c>
      <c r="E38" t="s">
        <v>58</v>
      </c>
      <c r="AA38">
        <f>INDEX('INCOME STATEMENTS'!$B$5:$F$27,'KPI REPORT YEAR FOUR'!AA$43,'KPI REPORT YEAR FOUR'!$I$1)</f>
        <v>3053</v>
      </c>
      <c r="AB38">
        <f>INDEX('INCOME STATEMENTS'!$B$5:$F$27,'KPI REPORT YEAR FOUR'!AB$43,'KPI REPORT YEAR FOUR'!$I$1)</f>
        <v>-107</v>
      </c>
      <c r="AC38">
        <f>INDEX('INCOME STATEMENTS'!$B$5:$F$27,'KPI REPORT YEAR FOUR'!AC$43,'KPI REPORT YEAR FOUR'!$I$1)</f>
        <v>88</v>
      </c>
    </row>
    <row r="39" spans="1:31" x14ac:dyDescent="0.25">
      <c r="A39" s="14" t="s">
        <v>54</v>
      </c>
      <c r="B39" t="s">
        <v>83</v>
      </c>
      <c r="C39" s="19"/>
      <c r="D39" s="19"/>
      <c r="E39" t="s">
        <v>58</v>
      </c>
      <c r="F39" t="s">
        <v>55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>
        <f>INDEX('INCOME STATEMENTS'!$B$5:$F$27,'KPI REPORT YEAR FOUR'!W$43,'KPI REPORT YEAR FOUR'!$I$1)</f>
        <v>57746</v>
      </c>
      <c r="X39" s="19">
        <f>INDEX('INCOME STATEMENTS'!$B$5:$F$27,'KPI REPORT YEAR FOUR'!X$43,'KPI REPORT YEAR FOUR'!$I$1)</f>
        <v>49663</v>
      </c>
      <c r="Y39" s="19">
        <f>INDEX('INCOME STATEMENTS'!$B$5:$F$27,'KPI REPORT YEAR FOUR'!Y$43,'KPI REPORT YEAR FOUR'!$I$1)</f>
        <v>-4773</v>
      </c>
      <c r="Z39" s="19">
        <f>INDEX('INCOME STATEMENTS'!$B$5:$F$27,'KPI REPORT YEAR FOUR'!Z$43,'KPI REPORT YEAR FOUR'!$I$1)</f>
        <v>0</v>
      </c>
      <c r="AA39" s="19"/>
      <c r="AB39" s="19"/>
      <c r="AC39" s="19"/>
      <c r="AD39" s="19"/>
      <c r="AE39" s="19"/>
    </row>
    <row r="40" spans="1:31" x14ac:dyDescent="0.25">
      <c r="A40" s="14" t="s">
        <v>132</v>
      </c>
      <c r="B40" t="s">
        <v>84</v>
      </c>
      <c r="C40" s="19"/>
      <c r="D40" s="19"/>
      <c r="E40" t="s">
        <v>58</v>
      </c>
      <c r="F40" t="s">
        <v>102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>
        <f>INDEX('BALANCE SHEETS'!$B$5:$F$44,'KPI REPORT YEAR FOUR'!Q$43,'KPI REPORT YEAR FOUR'!$I$1)</f>
        <v>-1083</v>
      </c>
      <c r="R40" s="19"/>
      <c r="S40" s="19"/>
      <c r="T40" s="19">
        <f>INDEX('BALANCE SHEETS'!$B$5:$F$44,'KPI REPORT YEAR FOUR'!T$43,'KPI REPORT YEAR FOUR'!$I$1)</f>
        <v>-933</v>
      </c>
      <c r="U40" s="19"/>
      <c r="V40" s="19"/>
      <c r="W40" s="19">
        <f>INDEX('INCOME STATEMENTS'!$B$5:$F$27,'KPI REPORT YEAR FOUR'!W$43,'KPI REPORT YEAR FOUR'!$I$1)</f>
        <v>57746</v>
      </c>
      <c r="X40" s="19">
        <f>INDEX('INCOME STATEMENTS'!$B$5:$F$27,'KPI REPORT YEAR FOUR'!X$43,'KPI REPORT YEAR FOUR'!$I$1)</f>
        <v>49663</v>
      </c>
      <c r="Y40" s="19">
        <f>INDEX('INCOME STATEMENTS'!$B$5:$F$27,'KPI REPORT YEAR FOUR'!Y$43,'KPI REPORT YEAR FOUR'!$I$1)</f>
        <v>-4773</v>
      </c>
      <c r="Z40" s="19">
        <f>INDEX('INCOME STATEMENTS'!$B$5:$F$27,'KPI REPORT YEAR FOUR'!Z$43,'KPI REPORT YEAR FOUR'!$I$1)</f>
        <v>0</v>
      </c>
      <c r="AA40" s="19">
        <f>INDEX('INCOME STATEMENTS'!$B$5:$F$27,'KPI REPORT YEAR FOUR'!AA$43,'KPI REPORT YEAR FOUR'!$I$1)</f>
        <v>3053</v>
      </c>
      <c r="AB40" s="19">
        <f>INDEX('INCOME STATEMENTS'!$B$5:$F$27,'KPI REPORT YEAR FOUR'!AB$43,'KPI REPORT YEAR FOUR'!$I$1)</f>
        <v>-107</v>
      </c>
      <c r="AC40" s="19"/>
      <c r="AD40" s="19"/>
      <c r="AE40" s="19"/>
    </row>
    <row r="41" spans="1:31" x14ac:dyDescent="0.25">
      <c r="A41" s="14" t="s">
        <v>133</v>
      </c>
      <c r="B41" s="14"/>
    </row>
    <row r="43" spans="1:31" x14ac:dyDescent="0.25">
      <c r="G43">
        <f>VLOOKUP(G$2,'BALANCE SHEETS'!$K$5:$L$44,2,FALSE)</f>
        <v>1</v>
      </c>
      <c r="H43">
        <f>VLOOKUP(H$2,'BALANCE SHEETS'!$K$5:$L$44,2,FALSE)</f>
        <v>2</v>
      </c>
      <c r="I43">
        <f>VLOOKUP(I$2,'BALANCE SHEETS'!$K$5:$L$44,2,FALSE)</f>
        <v>3</v>
      </c>
      <c r="J43">
        <v>3</v>
      </c>
      <c r="K43">
        <v>4</v>
      </c>
      <c r="L43">
        <f>VLOOKUP(L$2,'BALANCE SHEETS'!$K$5:$L$44,2,FALSE)</f>
        <v>8</v>
      </c>
      <c r="M43">
        <f>VLOOKUP(M$2,'BALANCE SHEETS'!$K$5:$L$44,2,FALSE)</f>
        <v>13</v>
      </c>
      <c r="N43">
        <v>13</v>
      </c>
      <c r="O43">
        <f>VLOOKUP(O$2,'BALANCE SHEETS'!$K$5:$L$44,2,FALSE)</f>
        <v>16</v>
      </c>
      <c r="P43">
        <v>16</v>
      </c>
      <c r="Q43">
        <f>VLOOKUP(Q$2,'BALANCE SHEETS'!$K$5:$L$44,2,FALSE)</f>
        <v>17</v>
      </c>
      <c r="R43">
        <f>VLOOKUP(R$2,'BALANCE SHEETS'!$K$5:$L$44,2,FALSE)</f>
        <v>18</v>
      </c>
      <c r="S43">
        <f>VLOOKUP(S$2,'BALANCE SHEETS'!$K$5:$L$44,2,FALSE)</f>
        <v>19</v>
      </c>
      <c r="T43">
        <f>VLOOKUP(T$2,'BALANCE SHEETS'!$K$5:$L$44,2,FALSE)</f>
        <v>22</v>
      </c>
      <c r="U43">
        <f>VLOOKUP(U$2,'BALANCE SHEETS'!$K$5:$L$44,2,FALSE)</f>
        <v>26</v>
      </c>
      <c r="V43">
        <f>VLOOKUP(V$2,'BALANCE SHEETS'!$K$5:$L$44,2,FALSE)</f>
        <v>36</v>
      </c>
      <c r="W43">
        <f>VLOOKUP(W$2,'INCOME STATEMENTS'!$M:$N,2,FALSE)</f>
        <v>1</v>
      </c>
      <c r="X43">
        <f>VLOOKUP(X$2,'INCOME STATEMENTS'!$M:$N,2,FALSE)</f>
        <v>2</v>
      </c>
      <c r="Y43">
        <f>VLOOKUP(Y$2,'INCOME STATEMENTS'!$M:$N,2,FALSE)</f>
        <v>6</v>
      </c>
      <c r="Z43">
        <f>VLOOKUP(Z$2,'INCOME STATEMENTS'!$M:$N,2,FALSE)</f>
        <v>5</v>
      </c>
      <c r="AA43">
        <f>VLOOKUP(AA$2,'INCOME STATEMENTS'!$M:$N,2,FALSE)</f>
        <v>17</v>
      </c>
      <c r="AB43">
        <f>VLOOKUP(AB$2,'INCOME STATEMENTS'!$M:$N,2,FALSE)</f>
        <v>20</v>
      </c>
      <c r="AC43">
        <f>VLOOKUP(AC$2,'INCOME STATEMENTS'!$M:$N,2,FALSE)</f>
        <v>21</v>
      </c>
      <c r="AD43" t="e">
        <f>VLOOKUP(AD$2,'INCOME STATEMENTS'!$M:$N,2,FALSE)</f>
        <v>#N/A</v>
      </c>
      <c r="AE43">
        <f>VLOOKUP(AE$2,'INCOME STATEMENTS'!$M:$N,2,FALSE)</f>
        <v>23</v>
      </c>
    </row>
  </sheetData>
  <conditionalFormatting sqref="C34:D36 C5:D6">
    <cfRule type="expression" dxfId="5" priority="6">
      <formula>"&lt;0"</formula>
    </cfRule>
  </conditionalFormatting>
  <conditionalFormatting sqref="D13">
    <cfRule type="expression" dxfId="4" priority="5">
      <formula>"&lt;0"</formula>
    </cfRule>
  </conditionalFormatting>
  <conditionalFormatting sqref="D14">
    <cfRule type="expression" dxfId="3" priority="4">
      <formula>"&lt;0"</formula>
    </cfRule>
  </conditionalFormatting>
  <conditionalFormatting sqref="C7:D8">
    <cfRule type="expression" dxfId="2" priority="3">
      <formula>"&lt;0"</formula>
    </cfRule>
  </conditionalFormatting>
  <conditionalFormatting sqref="D37">
    <cfRule type="expression" dxfId="1" priority="2">
      <formula>"&lt;0"</formula>
    </cfRule>
  </conditionalFormatting>
  <conditionalFormatting sqref="C37">
    <cfRule type="expression" dxfId="0" priority="1">
      <formula>"&lt;0"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'BALANCE SHEETS'!$B$3:$E$3</xm:f>
          </x14:formula1>
          <xm:sqref>H1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125" zoomScaleNormal="12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RowHeight="15" x14ac:dyDescent="0.25"/>
  <cols>
    <col min="1" max="1" width="32.140625" bestFit="1" customWidth="1"/>
    <col min="2" max="2" width="13.7109375" style="2" customWidth="1"/>
    <col min="3" max="4" width="13.7109375" customWidth="1"/>
    <col min="5" max="6" width="12.42578125" customWidth="1"/>
    <col min="7" max="9" width="12.42578125" hidden="1" customWidth="1"/>
    <col min="12" max="12" width="9.140625" customWidth="1"/>
  </cols>
  <sheetData>
    <row r="1" spans="1:14" x14ac:dyDescent="0.25">
      <c r="A1" t="s">
        <v>97</v>
      </c>
    </row>
    <row r="2" spans="1:14" x14ac:dyDescent="0.25">
      <c r="A2" t="s">
        <v>33</v>
      </c>
    </row>
    <row r="3" spans="1:14" x14ac:dyDescent="0.25">
      <c r="B3" s="3">
        <v>43830</v>
      </c>
      <c r="C3" s="1">
        <v>43465</v>
      </c>
      <c r="D3" s="1">
        <v>43100</v>
      </c>
      <c r="E3" s="1">
        <v>42735</v>
      </c>
      <c r="F3" s="1">
        <v>42369</v>
      </c>
      <c r="G3" s="1">
        <v>42004</v>
      </c>
      <c r="H3" s="1">
        <v>41639</v>
      </c>
      <c r="I3" s="1">
        <v>41274</v>
      </c>
      <c r="K3" t="s">
        <v>118</v>
      </c>
      <c r="L3" t="s">
        <v>116</v>
      </c>
    </row>
    <row r="4" spans="1:14" x14ac:dyDescent="0.25">
      <c r="A4" t="s">
        <v>11</v>
      </c>
      <c r="B4" s="4"/>
      <c r="C4" s="5"/>
    </row>
    <row r="5" spans="1:14" x14ac:dyDescent="0.25">
      <c r="A5" t="s">
        <v>10</v>
      </c>
      <c r="B5" s="6">
        <v>2794</v>
      </c>
      <c r="C5" s="7">
        <v>2865</v>
      </c>
      <c r="D5" s="7">
        <v>3558</v>
      </c>
      <c r="E5" s="7">
        <v>4017</v>
      </c>
      <c r="F5" s="7">
        <v>5274</v>
      </c>
      <c r="G5" s="7"/>
      <c r="H5" s="7"/>
      <c r="I5" s="7"/>
      <c r="K5" t="s">
        <v>10</v>
      </c>
      <c r="L5">
        <v>1</v>
      </c>
    </row>
    <row r="6" spans="1:14" x14ac:dyDescent="0.25">
      <c r="A6" t="s">
        <v>12</v>
      </c>
      <c r="B6" s="6">
        <v>40425</v>
      </c>
      <c r="C6" s="7">
        <v>35612</v>
      </c>
      <c r="D6" s="7">
        <v>32893</v>
      </c>
      <c r="E6" s="7">
        <v>29756</v>
      </c>
      <c r="F6" s="7">
        <v>18068</v>
      </c>
      <c r="G6" s="7"/>
      <c r="H6" s="7"/>
      <c r="I6" s="7"/>
      <c r="K6" t="s">
        <v>12</v>
      </c>
      <c r="L6">
        <f>L5+1</f>
        <v>2</v>
      </c>
    </row>
    <row r="7" spans="1:14" x14ac:dyDescent="0.25">
      <c r="A7" t="s">
        <v>65</v>
      </c>
      <c r="B7" s="8">
        <v>222</v>
      </c>
      <c r="C7" s="9">
        <v>126</v>
      </c>
      <c r="D7" s="9">
        <v>182</v>
      </c>
      <c r="E7" s="9">
        <v>119</v>
      </c>
      <c r="F7" s="9">
        <v>149</v>
      </c>
      <c r="G7" s="9"/>
      <c r="H7" s="9"/>
      <c r="I7" s="9"/>
      <c r="K7" t="s">
        <v>66</v>
      </c>
      <c r="L7">
        <f t="shared" ref="L7:L44" si="0">L6+1</f>
        <v>3</v>
      </c>
    </row>
    <row r="8" spans="1:14" x14ac:dyDescent="0.25">
      <c r="A8" t="s">
        <v>30</v>
      </c>
      <c r="B8" s="6">
        <f>SUM(B5:B7)</f>
        <v>43441</v>
      </c>
      <c r="C8" s="6">
        <f>SUM(C5:C7)</f>
        <v>38603</v>
      </c>
      <c r="D8" s="6">
        <f>SUM(D5:D7)</f>
        <v>36633</v>
      </c>
      <c r="E8" s="6">
        <f>SUM(E5:E7)</f>
        <v>33892</v>
      </c>
      <c r="F8" s="6">
        <f>SUM(F5:F7)</f>
        <v>23491</v>
      </c>
      <c r="G8" s="6">
        <f>SUM(G5:G6)</f>
        <v>0</v>
      </c>
      <c r="H8" s="6">
        <f>SUM(H5:H6)</f>
        <v>0</v>
      </c>
      <c r="I8" s="6">
        <f>SUM(I5:I6)</f>
        <v>0</v>
      </c>
      <c r="L8">
        <f t="shared" si="0"/>
        <v>4</v>
      </c>
    </row>
    <row r="9" spans="1:14" x14ac:dyDescent="0.25">
      <c r="B9" s="6"/>
      <c r="C9" s="7"/>
      <c r="D9" s="7"/>
      <c r="E9" s="7"/>
      <c r="F9" s="7"/>
      <c r="G9" s="7"/>
      <c r="H9" s="7"/>
      <c r="I9" s="7"/>
      <c r="L9">
        <f t="shared" si="0"/>
        <v>5</v>
      </c>
      <c r="N9">
        <v>314901</v>
      </c>
    </row>
    <row r="10" spans="1:14" x14ac:dyDescent="0.25">
      <c r="A10" t="s">
        <v>13</v>
      </c>
      <c r="B10" s="6"/>
      <c r="C10" s="7"/>
      <c r="D10" s="7"/>
      <c r="E10" s="7"/>
      <c r="F10" s="7"/>
      <c r="G10" s="7"/>
      <c r="H10" s="7"/>
      <c r="I10" s="7"/>
      <c r="L10">
        <f t="shared" si="0"/>
        <v>6</v>
      </c>
      <c r="N10">
        <f>N9*0.015</f>
        <v>4723.5149999999994</v>
      </c>
    </row>
    <row r="11" spans="1:14" x14ac:dyDescent="0.25">
      <c r="A11" t="s">
        <v>12</v>
      </c>
      <c r="B11" s="6"/>
      <c r="C11" s="7"/>
      <c r="D11" s="7"/>
      <c r="E11" s="7"/>
      <c r="F11" s="7"/>
      <c r="G11" s="7">
        <v>25457134</v>
      </c>
      <c r="H11" s="7">
        <v>25473699</v>
      </c>
      <c r="I11" s="7">
        <v>17948508</v>
      </c>
      <c r="L11">
        <f t="shared" si="0"/>
        <v>7</v>
      </c>
    </row>
    <row r="12" spans="1:14" x14ac:dyDescent="0.25">
      <c r="A12" t="s">
        <v>14</v>
      </c>
      <c r="B12" s="6">
        <f>13640+12255</f>
        <v>25895</v>
      </c>
      <c r="C12" s="7">
        <v>9549</v>
      </c>
      <c r="D12" s="7">
        <v>9378</v>
      </c>
      <c r="E12" s="7">
        <v>6012</v>
      </c>
      <c r="F12" s="7">
        <v>5919</v>
      </c>
      <c r="G12" s="7">
        <v>0</v>
      </c>
      <c r="H12" s="7">
        <v>0</v>
      </c>
      <c r="I12" s="7">
        <v>0</v>
      </c>
      <c r="K12" t="s">
        <v>67</v>
      </c>
      <c r="L12">
        <f t="shared" si="0"/>
        <v>8</v>
      </c>
    </row>
    <row r="13" spans="1:14" x14ac:dyDescent="0.25">
      <c r="A13" t="s">
        <v>15</v>
      </c>
      <c r="B13" s="6">
        <v>2271</v>
      </c>
      <c r="C13" s="7">
        <v>2271</v>
      </c>
      <c r="D13" s="7">
        <v>2100</v>
      </c>
      <c r="E13" s="7">
        <v>2100</v>
      </c>
      <c r="F13" s="7">
        <v>2100</v>
      </c>
      <c r="G13" s="7">
        <v>0</v>
      </c>
      <c r="H13" s="7">
        <v>0</v>
      </c>
      <c r="I13" s="7">
        <v>0</v>
      </c>
      <c r="K13" t="s">
        <v>119</v>
      </c>
      <c r="L13">
        <f t="shared" si="0"/>
        <v>9</v>
      </c>
      <c r="N13">
        <f>800/0.015</f>
        <v>53333.333333333336</v>
      </c>
    </row>
    <row r="14" spans="1:14" x14ac:dyDescent="0.25">
      <c r="A14" t="s">
        <v>93</v>
      </c>
      <c r="B14" s="8">
        <v>581</v>
      </c>
      <c r="C14" s="9">
        <v>575</v>
      </c>
      <c r="D14" s="9">
        <v>589</v>
      </c>
      <c r="E14" s="9">
        <v>642</v>
      </c>
      <c r="F14" s="9">
        <v>473</v>
      </c>
      <c r="G14" s="9">
        <v>36477430</v>
      </c>
      <c r="H14" s="9">
        <v>31674829</v>
      </c>
      <c r="I14" s="9">
        <v>30122449</v>
      </c>
      <c r="K14" t="s">
        <v>93</v>
      </c>
      <c r="L14">
        <f t="shared" si="0"/>
        <v>10</v>
      </c>
    </row>
    <row r="15" spans="1:14" x14ac:dyDescent="0.25">
      <c r="A15" t="s">
        <v>31</v>
      </c>
      <c r="B15" s="6">
        <f t="shared" ref="B15:I15" si="1">SUM(B11:B14)</f>
        <v>28747</v>
      </c>
      <c r="C15" s="6">
        <f t="shared" si="1"/>
        <v>12395</v>
      </c>
      <c r="D15" s="6">
        <f t="shared" si="1"/>
        <v>12067</v>
      </c>
      <c r="E15" s="6">
        <f t="shared" si="1"/>
        <v>8754</v>
      </c>
      <c r="F15" s="6">
        <f t="shared" si="1"/>
        <v>8492</v>
      </c>
      <c r="G15" s="6">
        <f t="shared" si="1"/>
        <v>61934564</v>
      </c>
      <c r="H15" s="6">
        <f t="shared" si="1"/>
        <v>57148528</v>
      </c>
      <c r="I15" s="6">
        <f t="shared" si="1"/>
        <v>48070957</v>
      </c>
      <c r="L15">
        <f t="shared" si="0"/>
        <v>11</v>
      </c>
    </row>
    <row r="16" spans="1:14" x14ac:dyDescent="0.25">
      <c r="B16" s="6"/>
      <c r="C16" s="7"/>
      <c r="D16" s="7"/>
      <c r="E16" s="7"/>
      <c r="F16" s="7"/>
      <c r="G16" s="7"/>
      <c r="H16" s="7"/>
      <c r="I16" s="7"/>
      <c r="L16">
        <f t="shared" si="0"/>
        <v>12</v>
      </c>
    </row>
    <row r="17" spans="1:12" x14ac:dyDescent="0.25">
      <c r="A17" t="s">
        <v>22</v>
      </c>
      <c r="B17" s="6">
        <f t="shared" ref="B17:I17" si="2">B8+B15</f>
        <v>72188</v>
      </c>
      <c r="C17" s="6">
        <f t="shared" si="2"/>
        <v>50998</v>
      </c>
      <c r="D17" s="6">
        <f t="shared" si="2"/>
        <v>48700</v>
      </c>
      <c r="E17" s="6">
        <f t="shared" si="2"/>
        <v>42646</v>
      </c>
      <c r="F17" s="6">
        <f t="shared" si="2"/>
        <v>31983</v>
      </c>
      <c r="G17" s="6">
        <f t="shared" si="2"/>
        <v>61934564</v>
      </c>
      <c r="H17" s="6">
        <f t="shared" si="2"/>
        <v>57148528</v>
      </c>
      <c r="I17" s="6">
        <f t="shared" si="2"/>
        <v>48070957</v>
      </c>
      <c r="K17" t="s">
        <v>22</v>
      </c>
      <c r="L17">
        <f t="shared" si="0"/>
        <v>13</v>
      </c>
    </row>
    <row r="18" spans="1:12" x14ac:dyDescent="0.25">
      <c r="B18" s="6"/>
      <c r="C18" s="7"/>
      <c r="D18" s="7"/>
      <c r="E18" s="7"/>
      <c r="F18" s="7"/>
      <c r="G18" s="7"/>
      <c r="H18" s="7"/>
      <c r="I18" s="7"/>
      <c r="L18">
        <f t="shared" si="0"/>
        <v>14</v>
      </c>
    </row>
    <row r="19" spans="1:12" x14ac:dyDescent="0.25">
      <c r="A19" t="s">
        <v>16</v>
      </c>
      <c r="B19" s="6"/>
      <c r="C19" s="7"/>
      <c r="D19" s="7"/>
      <c r="E19" s="7"/>
      <c r="F19" s="7"/>
      <c r="G19" s="7"/>
      <c r="H19" s="7"/>
      <c r="I19" s="7"/>
      <c r="L19">
        <f t="shared" si="0"/>
        <v>15</v>
      </c>
    </row>
    <row r="20" spans="1:12" x14ac:dyDescent="0.25">
      <c r="A20" t="s">
        <v>17</v>
      </c>
      <c r="B20" s="6">
        <v>-21875</v>
      </c>
      <c r="C20" s="7">
        <v>-19036</v>
      </c>
      <c r="D20" s="7">
        <v>-19299</v>
      </c>
      <c r="E20" s="7">
        <v>-20811</v>
      </c>
      <c r="F20" s="7">
        <v>-13717</v>
      </c>
      <c r="G20" s="7">
        <v>-6955120</v>
      </c>
      <c r="H20" s="7">
        <v>-7172646</v>
      </c>
      <c r="I20" s="7">
        <v>-3754655</v>
      </c>
      <c r="K20" t="s">
        <v>85</v>
      </c>
      <c r="L20">
        <f t="shared" si="0"/>
        <v>16</v>
      </c>
    </row>
    <row r="21" spans="1:12" x14ac:dyDescent="0.25">
      <c r="A21" t="s">
        <v>94</v>
      </c>
      <c r="B21" s="6">
        <v>-2939</v>
      </c>
      <c r="C21" s="7">
        <v>-1817</v>
      </c>
      <c r="D21" s="7">
        <v>-1750</v>
      </c>
      <c r="E21" s="7">
        <v>-1083</v>
      </c>
      <c r="F21" s="7">
        <v>-906</v>
      </c>
      <c r="G21" s="7"/>
      <c r="H21" s="7"/>
      <c r="I21" s="7"/>
      <c r="K21" t="s">
        <v>120</v>
      </c>
      <c r="L21">
        <f t="shared" si="0"/>
        <v>17</v>
      </c>
    </row>
    <row r="22" spans="1:12" x14ac:dyDescent="0.25">
      <c r="A22" t="s">
        <v>18</v>
      </c>
      <c r="B22" s="8">
        <v>-835</v>
      </c>
      <c r="C22" s="8">
        <v>-735</v>
      </c>
      <c r="D22" s="8">
        <v>-1137</v>
      </c>
      <c r="E22" s="8">
        <v>0</v>
      </c>
      <c r="F22" s="8">
        <v>0</v>
      </c>
      <c r="G22" s="7"/>
      <c r="H22" s="7"/>
      <c r="I22" s="7"/>
      <c r="K22" t="s">
        <v>121</v>
      </c>
      <c r="L22">
        <f t="shared" si="0"/>
        <v>18</v>
      </c>
    </row>
    <row r="23" spans="1:12" x14ac:dyDescent="0.25">
      <c r="A23" t="s">
        <v>32</v>
      </c>
      <c r="B23" s="6">
        <f t="shared" ref="B23:I23" si="3">SUM(B20:B22)</f>
        <v>-25649</v>
      </c>
      <c r="C23" s="6">
        <f t="shared" si="3"/>
        <v>-21588</v>
      </c>
      <c r="D23" s="6">
        <f t="shared" si="3"/>
        <v>-22186</v>
      </c>
      <c r="E23" s="6">
        <f t="shared" si="3"/>
        <v>-21894</v>
      </c>
      <c r="F23" s="6">
        <f t="shared" si="3"/>
        <v>-14623</v>
      </c>
      <c r="G23" s="6">
        <f t="shared" si="3"/>
        <v>-6955120</v>
      </c>
      <c r="H23" s="6">
        <f t="shared" si="3"/>
        <v>-7172646</v>
      </c>
      <c r="I23" s="6">
        <f t="shared" si="3"/>
        <v>-3754655</v>
      </c>
      <c r="K23" t="s">
        <v>126</v>
      </c>
      <c r="L23">
        <f t="shared" si="0"/>
        <v>19</v>
      </c>
    </row>
    <row r="24" spans="1:12" x14ac:dyDescent="0.25">
      <c r="B24" s="6"/>
      <c r="C24" s="7"/>
      <c r="D24" s="7"/>
      <c r="E24" s="7"/>
      <c r="F24" s="7"/>
      <c r="G24" s="7"/>
      <c r="H24" s="7"/>
      <c r="I24" s="7"/>
      <c r="L24">
        <f t="shared" si="0"/>
        <v>20</v>
      </c>
    </row>
    <row r="25" spans="1:12" x14ac:dyDescent="0.25">
      <c r="A25" t="s">
        <v>26</v>
      </c>
      <c r="B25" s="6"/>
      <c r="C25" s="7"/>
      <c r="D25" s="7"/>
      <c r="E25" s="7"/>
      <c r="F25" s="7"/>
      <c r="G25" s="7"/>
      <c r="H25" s="7"/>
      <c r="I25" s="7"/>
      <c r="L25">
        <f t="shared" si="0"/>
        <v>21</v>
      </c>
    </row>
    <row r="26" spans="1:12" x14ac:dyDescent="0.25">
      <c r="A26" t="s">
        <v>94</v>
      </c>
      <c r="B26" s="6">
        <v>-16982</v>
      </c>
      <c r="C26" s="7">
        <f>-2621-927</f>
        <v>-3548</v>
      </c>
      <c r="D26" s="7">
        <f>-2976-2381</f>
        <v>-5357</v>
      </c>
      <c r="E26" s="7">
        <v>-933</v>
      </c>
      <c r="F26" s="7">
        <v>-945</v>
      </c>
      <c r="G26" s="7"/>
      <c r="H26" s="7"/>
      <c r="I26" s="7"/>
      <c r="K26" t="s">
        <v>122</v>
      </c>
      <c r="L26">
        <f t="shared" si="0"/>
        <v>22</v>
      </c>
    </row>
    <row r="27" spans="1:12" x14ac:dyDescent="0.25">
      <c r="A27" t="s">
        <v>95</v>
      </c>
      <c r="B27" s="8">
        <v>143</v>
      </c>
      <c r="C27" s="9">
        <v>-12</v>
      </c>
      <c r="D27" s="9">
        <v>-193</v>
      </c>
      <c r="E27" s="9">
        <v>-579</v>
      </c>
      <c r="F27" s="9">
        <v>-209</v>
      </c>
      <c r="G27" s="9">
        <v>-23034539</v>
      </c>
      <c r="H27" s="9">
        <v>-17811048</v>
      </c>
      <c r="I27" s="9">
        <v>-17771099</v>
      </c>
      <c r="K27" t="s">
        <v>123</v>
      </c>
      <c r="L27">
        <f t="shared" si="0"/>
        <v>23</v>
      </c>
    </row>
    <row r="28" spans="1:12" x14ac:dyDescent="0.25">
      <c r="A28" t="s">
        <v>96</v>
      </c>
      <c r="B28" s="20">
        <f>SUM(B26:B27)</f>
        <v>-16839</v>
      </c>
      <c r="C28" s="20">
        <f>SUM(C26:C27)</f>
        <v>-3560</v>
      </c>
      <c r="D28" s="20">
        <f>SUM(D26:D27)</f>
        <v>-5550</v>
      </c>
      <c r="E28" s="20">
        <f>SUM(E26:E27)</f>
        <v>-1512</v>
      </c>
      <c r="F28" s="20">
        <f>SUM(F26:F27)</f>
        <v>-1154</v>
      </c>
      <c r="G28" s="21"/>
      <c r="H28" s="21"/>
      <c r="I28" s="21"/>
      <c r="L28">
        <f t="shared" si="0"/>
        <v>24</v>
      </c>
    </row>
    <row r="29" spans="1:12" x14ac:dyDescent="0.25">
      <c r="B29" s="6"/>
      <c r="C29" s="7"/>
      <c r="D29" s="7"/>
      <c r="E29" s="7"/>
      <c r="F29" s="7"/>
      <c r="G29" s="7"/>
      <c r="H29" s="7"/>
      <c r="I29" s="7"/>
      <c r="L29">
        <f t="shared" si="0"/>
        <v>25</v>
      </c>
    </row>
    <row r="30" spans="1:12" x14ac:dyDescent="0.25">
      <c r="A30" t="s">
        <v>24</v>
      </c>
      <c r="B30" s="6">
        <f>B23+B28</f>
        <v>-42488</v>
      </c>
      <c r="C30" s="6">
        <f>C23+C28</f>
        <v>-25148</v>
      </c>
      <c r="D30" s="6">
        <f>D23+D28</f>
        <v>-27736</v>
      </c>
      <c r="E30" s="6">
        <f>E23+E28</f>
        <v>-23406</v>
      </c>
      <c r="F30" s="6">
        <f>F23+F28</f>
        <v>-15777</v>
      </c>
      <c r="G30" s="6">
        <f>G23+G27</f>
        <v>-29989659</v>
      </c>
      <c r="H30" s="6">
        <f>H23+H27</f>
        <v>-24983694</v>
      </c>
      <c r="I30" s="6">
        <f>I23+I27</f>
        <v>-21525754</v>
      </c>
      <c r="K30" t="s">
        <v>24</v>
      </c>
      <c r="L30">
        <f t="shared" si="0"/>
        <v>26</v>
      </c>
    </row>
    <row r="31" spans="1:12" x14ac:dyDescent="0.25">
      <c r="A31" s="22"/>
      <c r="B31" s="6"/>
      <c r="C31" s="7"/>
      <c r="D31" s="7"/>
      <c r="E31" s="7"/>
      <c r="F31" s="7"/>
      <c r="G31" s="7"/>
      <c r="H31" s="7"/>
      <c r="I31" s="7"/>
      <c r="L31">
        <f t="shared" si="0"/>
        <v>27</v>
      </c>
    </row>
    <row r="32" spans="1:12" x14ac:dyDescent="0.25">
      <c r="A32" t="s">
        <v>19</v>
      </c>
      <c r="B32" s="6"/>
      <c r="C32" s="7"/>
      <c r="D32" s="7"/>
      <c r="E32" s="7"/>
      <c r="F32" s="7"/>
      <c r="G32" s="7"/>
      <c r="H32" s="7"/>
      <c r="I32" s="7"/>
      <c r="L32">
        <f t="shared" si="0"/>
        <v>28</v>
      </c>
    </row>
    <row r="33" spans="1:12" x14ac:dyDescent="0.25">
      <c r="B33" s="6"/>
      <c r="C33" s="7"/>
      <c r="D33" s="7"/>
      <c r="E33" s="7"/>
      <c r="F33" s="7"/>
      <c r="G33" s="7"/>
      <c r="H33" s="7"/>
      <c r="I33" s="7"/>
      <c r="L33">
        <f t="shared" si="0"/>
        <v>29</v>
      </c>
    </row>
    <row r="34" spans="1:12" x14ac:dyDescent="0.25">
      <c r="A34" t="s">
        <v>20</v>
      </c>
      <c r="B34" s="6">
        <v>-573</v>
      </c>
      <c r="C34" s="6">
        <v>-573</v>
      </c>
      <c r="D34" s="6">
        <v>-573</v>
      </c>
      <c r="E34" s="6">
        <v>-573</v>
      </c>
      <c r="F34" s="6">
        <v>-573</v>
      </c>
      <c r="G34" s="6">
        <v>-1356102</v>
      </c>
      <c r="H34" s="6">
        <v>-1356102</v>
      </c>
      <c r="I34" s="6">
        <v>-1356102</v>
      </c>
      <c r="L34">
        <f t="shared" si="0"/>
        <v>30</v>
      </c>
    </row>
    <row r="35" spans="1:12" x14ac:dyDescent="0.25">
      <c r="A35" t="s">
        <v>21</v>
      </c>
      <c r="B35" s="6">
        <v>-6098</v>
      </c>
      <c r="C35" s="6">
        <v>-6098</v>
      </c>
      <c r="D35" s="6">
        <v>-6098</v>
      </c>
      <c r="E35" s="6">
        <v>-6098</v>
      </c>
      <c r="F35" s="6">
        <v>-6098</v>
      </c>
      <c r="G35" s="6">
        <v>-4683562</v>
      </c>
      <c r="H35" s="6">
        <v>-4683562</v>
      </c>
      <c r="I35" s="6">
        <v>-2844884</v>
      </c>
      <c r="L35">
        <f t="shared" si="0"/>
        <v>31</v>
      </c>
    </row>
    <row r="36" spans="1:12" x14ac:dyDescent="0.25">
      <c r="A36" t="s">
        <v>28</v>
      </c>
      <c r="B36" s="6">
        <f>SUM(C36:C38)</f>
        <v>-19179</v>
      </c>
      <c r="C36" s="6">
        <f>SUM(D36:D38)</f>
        <v>-14293</v>
      </c>
      <c r="D36" s="6">
        <f>-14293-D38</f>
        <v>-12569</v>
      </c>
      <c r="E36" s="6">
        <f>SUM(F36:F38)</f>
        <v>-9535</v>
      </c>
      <c r="F36" s="7">
        <f>-12569-F38+3314-280</f>
        <v>-6613</v>
      </c>
      <c r="G36" s="7">
        <f>SUM(H36:H38)</f>
        <v>6864763</v>
      </c>
      <c r="H36" s="7">
        <f>SUM(I36:I38)</f>
        <v>6864763</v>
      </c>
      <c r="I36" s="7">
        <v>6864763</v>
      </c>
      <c r="L36">
        <f t="shared" si="0"/>
        <v>32</v>
      </c>
    </row>
    <row r="37" spans="1:12" x14ac:dyDescent="0.25">
      <c r="A37" t="s">
        <v>61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7">
        <v>0</v>
      </c>
      <c r="H37" s="7">
        <v>0</v>
      </c>
      <c r="I37" s="7">
        <v>0</v>
      </c>
      <c r="L37">
        <f t="shared" si="0"/>
        <v>33</v>
      </c>
    </row>
    <row r="38" spans="1:12" x14ac:dyDescent="0.25">
      <c r="A38" t="s">
        <v>29</v>
      </c>
      <c r="B38" s="8">
        <f>-'INCOME STATEMENTS'!B27</f>
        <v>-3850</v>
      </c>
      <c r="C38" s="9">
        <f>-'INCOME STATEMENTS'!C27</f>
        <v>-4886</v>
      </c>
      <c r="D38" s="9">
        <f>-'INCOME STATEMENTS'!D27</f>
        <v>-1724</v>
      </c>
      <c r="E38" s="9">
        <f>-'INCOME STATEMENTS'!E27</f>
        <v>-3034</v>
      </c>
      <c r="F38" s="9">
        <f>-'INCOME STATEMENTS'!F27</f>
        <v>-2922</v>
      </c>
      <c r="G38" s="9">
        <f>-'INCOME STATEMENTS'!G27</f>
        <v>0</v>
      </c>
      <c r="H38" s="9">
        <f>-'INCOME STATEMENTS'!H27</f>
        <v>0</v>
      </c>
      <c r="I38" s="9">
        <f>-'INCOME STATEMENTS'!I27</f>
        <v>0</v>
      </c>
      <c r="L38">
        <f t="shared" si="0"/>
        <v>34</v>
      </c>
    </row>
    <row r="39" spans="1:12" x14ac:dyDescent="0.25">
      <c r="B39" s="6"/>
      <c r="C39" s="7"/>
      <c r="D39" s="7"/>
      <c r="E39" s="7"/>
      <c r="F39" s="7"/>
      <c r="G39" s="7"/>
      <c r="H39" s="7"/>
      <c r="I39" s="7"/>
      <c r="L39">
        <f t="shared" si="0"/>
        <v>35</v>
      </c>
    </row>
    <row r="40" spans="1:12" x14ac:dyDescent="0.25">
      <c r="A40" t="s">
        <v>25</v>
      </c>
      <c r="B40" s="8">
        <f t="shared" ref="B40:I40" si="4">SUM(B34:B38)</f>
        <v>-29700</v>
      </c>
      <c r="C40" s="8">
        <f t="shared" si="4"/>
        <v>-25850</v>
      </c>
      <c r="D40" s="8">
        <f t="shared" si="4"/>
        <v>-20964</v>
      </c>
      <c r="E40" s="8">
        <f t="shared" si="4"/>
        <v>-19240</v>
      </c>
      <c r="F40" s="8">
        <f t="shared" si="4"/>
        <v>-16206</v>
      </c>
      <c r="G40" s="8">
        <f t="shared" si="4"/>
        <v>825099</v>
      </c>
      <c r="H40" s="8">
        <f t="shared" si="4"/>
        <v>825099</v>
      </c>
      <c r="I40" s="8">
        <f t="shared" si="4"/>
        <v>2663777</v>
      </c>
      <c r="K40" t="s">
        <v>25</v>
      </c>
      <c r="L40">
        <f t="shared" si="0"/>
        <v>36</v>
      </c>
    </row>
    <row r="41" spans="1:12" x14ac:dyDescent="0.25">
      <c r="B41" s="6"/>
      <c r="C41" s="6"/>
      <c r="D41" s="6"/>
      <c r="E41" s="6"/>
      <c r="F41" s="6"/>
      <c r="G41" s="6"/>
      <c r="H41" s="6"/>
      <c r="I41" s="6"/>
      <c r="L41">
        <f t="shared" si="0"/>
        <v>37</v>
      </c>
    </row>
    <row r="42" spans="1:12" x14ac:dyDescent="0.25">
      <c r="A42" t="s">
        <v>23</v>
      </c>
      <c r="B42" s="8">
        <f t="shared" ref="B42:I42" si="5">B30+B40</f>
        <v>-72188</v>
      </c>
      <c r="C42" s="8">
        <f t="shared" si="5"/>
        <v>-50998</v>
      </c>
      <c r="D42" s="8">
        <f t="shared" si="5"/>
        <v>-48700</v>
      </c>
      <c r="E42" s="8">
        <f t="shared" si="5"/>
        <v>-42646</v>
      </c>
      <c r="F42" s="8">
        <f t="shared" si="5"/>
        <v>-31983</v>
      </c>
      <c r="G42" s="6">
        <f t="shared" si="5"/>
        <v>-29164560</v>
      </c>
      <c r="H42" s="6">
        <f t="shared" si="5"/>
        <v>-24158595</v>
      </c>
      <c r="I42" s="6">
        <f t="shared" si="5"/>
        <v>-18861977</v>
      </c>
      <c r="L42">
        <f t="shared" si="0"/>
        <v>38</v>
      </c>
    </row>
    <row r="43" spans="1:12" x14ac:dyDescent="0.25">
      <c r="B43" s="6"/>
      <c r="C43" s="7"/>
      <c r="D43" s="7"/>
      <c r="E43" s="7"/>
      <c r="F43" s="7"/>
      <c r="G43" s="7"/>
      <c r="H43" s="7"/>
      <c r="I43" s="7"/>
      <c r="L43">
        <f t="shared" si="0"/>
        <v>39</v>
      </c>
    </row>
    <row r="44" spans="1:12" x14ac:dyDescent="0.25">
      <c r="A44" t="s">
        <v>27</v>
      </c>
      <c r="B44" s="6">
        <f t="shared" ref="B44:I44" si="6">B17+B42</f>
        <v>0</v>
      </c>
      <c r="C44" s="6">
        <f t="shared" si="6"/>
        <v>0</v>
      </c>
      <c r="D44" s="6">
        <f t="shared" si="6"/>
        <v>0</v>
      </c>
      <c r="E44" s="6">
        <f t="shared" si="6"/>
        <v>0</v>
      </c>
      <c r="F44" s="6">
        <f t="shared" si="6"/>
        <v>0</v>
      </c>
      <c r="G44" s="6">
        <f t="shared" si="6"/>
        <v>32770004</v>
      </c>
      <c r="H44" s="6">
        <f t="shared" si="6"/>
        <v>32989933</v>
      </c>
      <c r="I44" s="6">
        <f t="shared" si="6"/>
        <v>29208980</v>
      </c>
      <c r="L44">
        <f t="shared" si="0"/>
        <v>40</v>
      </c>
    </row>
    <row r="45" spans="1:12" x14ac:dyDescent="0.25">
      <c r="B45" s="4"/>
      <c r="C45" s="4"/>
      <c r="D45" s="4"/>
      <c r="E45" s="4"/>
      <c r="F45" s="4"/>
      <c r="G45" s="4"/>
      <c r="H45" s="4"/>
      <c r="I45" s="4"/>
    </row>
    <row r="46" spans="1:12" x14ac:dyDescent="0.25">
      <c r="B46" s="2">
        <v>1</v>
      </c>
      <c r="C46">
        <v>2</v>
      </c>
      <c r="D46">
        <v>3</v>
      </c>
      <c r="E46">
        <v>4</v>
      </c>
      <c r="L46" t="s">
        <v>117</v>
      </c>
    </row>
    <row r="47" spans="1:12" x14ac:dyDescent="0.25">
      <c r="B47" s="4"/>
      <c r="C47" s="5"/>
      <c r="D47" s="5"/>
    </row>
    <row r="48" spans="1:12" x14ac:dyDescent="0.25">
      <c r="B48" s="4"/>
      <c r="C48" s="5"/>
      <c r="D48" s="5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="135" zoomScaleNormal="135"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26.42578125" bestFit="1" customWidth="1"/>
    <col min="2" max="4" width="9.140625" customWidth="1"/>
  </cols>
  <sheetData>
    <row r="1" spans="1:5" x14ac:dyDescent="0.25">
      <c r="A1" t="s">
        <v>138</v>
      </c>
      <c r="B1">
        <f>C1+1</f>
        <v>2019</v>
      </c>
      <c r="C1">
        <f>D1+1</f>
        <v>2018</v>
      </c>
      <c r="D1">
        <f>E1+1</f>
        <v>2017</v>
      </c>
      <c r="E1">
        <v>2016</v>
      </c>
    </row>
    <row r="2" spans="1:5" ht="5.0999999999999996" customHeight="1" x14ac:dyDescent="0.25"/>
    <row r="3" spans="1:5" x14ac:dyDescent="0.25">
      <c r="A3" t="s">
        <v>139</v>
      </c>
      <c r="B3">
        <f>'INCOME STATEMENTS'!B27</f>
        <v>3850</v>
      </c>
      <c r="C3">
        <f>'INCOME STATEMENTS'!C27</f>
        <v>4886</v>
      </c>
      <c r="D3">
        <f>'INCOME STATEMENTS'!D27</f>
        <v>1724</v>
      </c>
      <c r="E3">
        <f>'INCOME STATEMENTS'!E27</f>
        <v>3034</v>
      </c>
    </row>
    <row r="4" spans="1:5" ht="5.0999999999999996" customHeight="1" x14ac:dyDescent="0.25"/>
    <row r="5" spans="1:5" x14ac:dyDescent="0.25">
      <c r="A5" t="s">
        <v>140</v>
      </c>
      <c r="B5">
        <f>'BALANCE SHEETS'!C6-'BALANCE SHEETS'!B6</f>
        <v>-4813</v>
      </c>
      <c r="C5">
        <f>'BALANCE SHEETS'!D6-'BALANCE SHEETS'!C6</f>
        <v>-2719</v>
      </c>
      <c r="D5">
        <f>'BALANCE SHEETS'!E6-'BALANCE SHEETS'!D6</f>
        <v>-3137</v>
      </c>
      <c r="E5">
        <f>'BALANCE SHEETS'!F6-'BALANCE SHEETS'!E6</f>
        <v>-11688</v>
      </c>
    </row>
    <row r="6" spans="1:5" x14ac:dyDescent="0.25">
      <c r="A6" t="s">
        <v>66</v>
      </c>
      <c r="B6">
        <f>'BALANCE SHEETS'!C7-'BALANCE SHEETS'!B7</f>
        <v>-96</v>
      </c>
      <c r="C6">
        <f>'BALANCE SHEETS'!D7-'BALANCE SHEETS'!C7</f>
        <v>56</v>
      </c>
      <c r="D6">
        <f>'BALANCE SHEETS'!E7-'BALANCE SHEETS'!D7</f>
        <v>-63</v>
      </c>
      <c r="E6">
        <f>'BALANCE SHEETS'!F7-'BALANCE SHEETS'!E7</f>
        <v>30</v>
      </c>
    </row>
    <row r="7" spans="1:5" hidden="1" x14ac:dyDescent="0.25"/>
    <row r="8" spans="1:5" hidden="1" x14ac:dyDescent="0.25"/>
    <row r="9" spans="1:5" hidden="1" x14ac:dyDescent="0.25"/>
    <row r="10" spans="1:5" ht="5.0999999999999996" customHeight="1" x14ac:dyDescent="0.25"/>
    <row r="11" spans="1:5" x14ac:dyDescent="0.25">
      <c r="A11" t="s">
        <v>14</v>
      </c>
      <c r="B11">
        <f>'BALANCE SHEETS'!C12-'BALANCE SHEETS'!B12</f>
        <v>-16346</v>
      </c>
      <c r="C11">
        <f>'BALANCE SHEETS'!D12-'BALANCE SHEETS'!C12</f>
        <v>-171</v>
      </c>
      <c r="D11">
        <f>'BALANCE SHEETS'!E12-'BALANCE SHEETS'!D12</f>
        <v>-3366</v>
      </c>
      <c r="E11">
        <f>'BALANCE SHEETS'!F12-'BALANCE SHEETS'!E12</f>
        <v>-93</v>
      </c>
    </row>
    <row r="12" spans="1:5" x14ac:dyDescent="0.25">
      <c r="A12" t="s">
        <v>15</v>
      </c>
      <c r="B12">
        <f>'BALANCE SHEETS'!C13-'BALANCE SHEETS'!B13</f>
        <v>0</v>
      </c>
      <c r="C12">
        <f>'BALANCE SHEETS'!D13-'BALANCE SHEETS'!C13</f>
        <v>-171</v>
      </c>
      <c r="D12">
        <f>'BALANCE SHEETS'!E13-'BALANCE SHEETS'!D13</f>
        <v>0</v>
      </c>
      <c r="E12">
        <f>'BALANCE SHEETS'!F13-'BALANCE SHEETS'!E13</f>
        <v>0</v>
      </c>
    </row>
    <row r="13" spans="1:5" x14ac:dyDescent="0.25">
      <c r="A13" t="s">
        <v>93</v>
      </c>
      <c r="B13">
        <f>'BALANCE SHEETS'!C14-'BALANCE SHEETS'!B14</f>
        <v>-6</v>
      </c>
      <c r="C13">
        <f>'BALANCE SHEETS'!D14-'BALANCE SHEETS'!C14</f>
        <v>14</v>
      </c>
      <c r="D13">
        <f>'BALANCE SHEETS'!E14-'BALANCE SHEETS'!D14</f>
        <v>53</v>
      </c>
      <c r="E13">
        <f>'BALANCE SHEETS'!F14-'BALANCE SHEETS'!E14</f>
        <v>-169</v>
      </c>
    </row>
    <row r="14" spans="1:5" hidden="1" x14ac:dyDescent="0.25"/>
    <row r="15" spans="1:5" hidden="1" x14ac:dyDescent="0.25"/>
    <row r="16" spans="1:5" hidden="1" x14ac:dyDescent="0.25"/>
    <row r="17" spans="1:5" hidden="1" x14ac:dyDescent="0.25"/>
    <row r="18" spans="1:5" ht="5.0999999999999996" customHeight="1" x14ac:dyDescent="0.25"/>
    <row r="19" spans="1:5" x14ac:dyDescent="0.25">
      <c r="A19" t="s">
        <v>17</v>
      </c>
      <c r="B19">
        <f>'BALANCE SHEETS'!C20-'BALANCE SHEETS'!B20</f>
        <v>2839</v>
      </c>
      <c r="C19">
        <f>'BALANCE SHEETS'!D20-'BALANCE SHEETS'!C20</f>
        <v>-263</v>
      </c>
      <c r="D19">
        <f>'BALANCE SHEETS'!E20-'BALANCE SHEETS'!D20</f>
        <v>-1512</v>
      </c>
      <c r="E19">
        <f>'BALANCE SHEETS'!F20-'BALANCE SHEETS'!E20</f>
        <v>7094</v>
      </c>
    </row>
    <row r="20" spans="1:5" x14ac:dyDescent="0.25">
      <c r="A20" t="s">
        <v>94</v>
      </c>
      <c r="B20">
        <f>'BALANCE SHEETS'!C21-'BALANCE SHEETS'!B21</f>
        <v>1122</v>
      </c>
      <c r="C20">
        <f>'BALANCE SHEETS'!D21-'BALANCE SHEETS'!C21</f>
        <v>67</v>
      </c>
      <c r="D20">
        <f>'BALANCE SHEETS'!E21-'BALANCE SHEETS'!D21</f>
        <v>667</v>
      </c>
      <c r="E20">
        <f>'BALANCE SHEETS'!F21-'BALANCE SHEETS'!E21</f>
        <v>177</v>
      </c>
    </row>
    <row r="21" spans="1:5" x14ac:dyDescent="0.25">
      <c r="A21" t="s">
        <v>18</v>
      </c>
      <c r="B21">
        <f>'BALANCE SHEETS'!C22-'BALANCE SHEETS'!B22</f>
        <v>100</v>
      </c>
      <c r="C21">
        <f>'BALANCE SHEETS'!D22-'BALANCE SHEETS'!C22</f>
        <v>-402</v>
      </c>
      <c r="D21">
        <f>'BALANCE SHEETS'!E22-'BALANCE SHEETS'!D22</f>
        <v>1137</v>
      </c>
      <c r="E21">
        <f>'BALANCE SHEETS'!F22-'BALANCE SHEETS'!E22</f>
        <v>0</v>
      </c>
    </row>
    <row r="22" spans="1:5" hidden="1" x14ac:dyDescent="0.25"/>
    <row r="23" spans="1:5" hidden="1" x14ac:dyDescent="0.25"/>
    <row r="24" spans="1:5" ht="5.0999999999999996" customHeight="1" x14ac:dyDescent="0.25"/>
    <row r="25" spans="1:5" x14ac:dyDescent="0.25">
      <c r="A25" t="s">
        <v>94</v>
      </c>
      <c r="B25">
        <f>'BALANCE SHEETS'!C26-'BALANCE SHEETS'!B26</f>
        <v>13434</v>
      </c>
      <c r="C25">
        <f>'BALANCE SHEETS'!D26-'BALANCE SHEETS'!C26</f>
        <v>-1809</v>
      </c>
      <c r="D25">
        <f>'BALANCE SHEETS'!E26-'BALANCE SHEETS'!D26</f>
        <v>4424</v>
      </c>
      <c r="E25">
        <f>'BALANCE SHEETS'!F26-'BALANCE SHEETS'!E26</f>
        <v>-12</v>
      </c>
    </row>
    <row r="26" spans="1:5" x14ac:dyDescent="0.25">
      <c r="A26" t="s">
        <v>95</v>
      </c>
      <c r="B26">
        <f>'BALANCE SHEETS'!C27-'BALANCE SHEETS'!B27</f>
        <v>-155</v>
      </c>
      <c r="C26">
        <f>'BALANCE SHEETS'!D27-'BALANCE SHEETS'!C27</f>
        <v>-181</v>
      </c>
      <c r="D26">
        <f>'BALANCE SHEETS'!E27-'BALANCE SHEETS'!D27</f>
        <v>-386</v>
      </c>
      <c r="E26">
        <f>'BALANCE SHEETS'!F27-'BALANCE SHEETS'!E27</f>
        <v>370</v>
      </c>
    </row>
    <row r="27" spans="1:5" ht="5.0999999999999996" customHeight="1" x14ac:dyDescent="0.25"/>
    <row r="28" spans="1:5" x14ac:dyDescent="0.25">
      <c r="A28" t="s">
        <v>143</v>
      </c>
      <c r="B28">
        <f>'BALANCE SHEETS'!C5</f>
        <v>2865</v>
      </c>
      <c r="C28">
        <f>'BALANCE SHEETS'!D5</f>
        <v>3558</v>
      </c>
      <c r="D28">
        <f>'BALANCE SHEETS'!E5</f>
        <v>4017</v>
      </c>
      <c r="E28">
        <f>'BALANCE SHEETS'!F5</f>
        <v>5274</v>
      </c>
    </row>
    <row r="29" spans="1:5" ht="5.0999999999999996" customHeight="1" x14ac:dyDescent="0.25"/>
    <row r="30" spans="1:5" x14ac:dyDescent="0.25">
      <c r="A30" t="s">
        <v>144</v>
      </c>
      <c r="B30">
        <f>SUM(B3:B28)</f>
        <v>2794</v>
      </c>
      <c r="C30">
        <f>SUM(C3:C28)</f>
        <v>2865</v>
      </c>
      <c r="D30">
        <f>SUM(D3:D28)</f>
        <v>3558</v>
      </c>
      <c r="E30">
        <f>SUM(E3:E28)</f>
        <v>4017</v>
      </c>
    </row>
    <row r="31" spans="1:5" ht="5.0999999999999996" customHeight="1" x14ac:dyDescent="0.25"/>
    <row r="32" spans="1:5" x14ac:dyDescent="0.25">
      <c r="A32" t="s">
        <v>141</v>
      </c>
      <c r="B32">
        <f>'BALANCE SHEETS'!B5</f>
        <v>2794</v>
      </c>
      <c r="C32">
        <f>'BALANCE SHEETS'!C5</f>
        <v>2865</v>
      </c>
      <c r="D32">
        <f>'BALANCE SHEETS'!D5</f>
        <v>3558</v>
      </c>
      <c r="E32">
        <f>'BALANCE SHEETS'!E5</f>
        <v>4017</v>
      </c>
    </row>
    <row r="33" spans="1:5" ht="5.0999999999999996" customHeight="1" x14ac:dyDescent="0.25"/>
    <row r="34" spans="1:5" x14ac:dyDescent="0.25">
      <c r="A34" t="s">
        <v>142</v>
      </c>
      <c r="B34">
        <f>B30-B32</f>
        <v>0</v>
      </c>
      <c r="C34">
        <f>C30-C32</f>
        <v>0</v>
      </c>
      <c r="D34">
        <f>D30-D32</f>
        <v>0</v>
      </c>
      <c r="E34">
        <f>E30-E32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25" zoomScaleNormal="125" workbookViewId="0">
      <selection activeCell="A4" sqref="A4"/>
    </sheetView>
  </sheetViews>
  <sheetFormatPr defaultRowHeight="15" x14ac:dyDescent="0.25"/>
  <sheetData>
    <row r="1" spans="1:1" x14ac:dyDescent="0.25">
      <c r="A1" t="s">
        <v>145</v>
      </c>
    </row>
    <row r="3" spans="1:1" x14ac:dyDescent="0.25">
      <c r="A3" t="s">
        <v>146</v>
      </c>
    </row>
    <row r="4" spans="1:1" x14ac:dyDescent="0.25">
      <c r="A4" t="s">
        <v>147</v>
      </c>
    </row>
    <row r="5" spans="1:1" x14ac:dyDescent="0.25">
      <c r="A5" t="s">
        <v>148</v>
      </c>
    </row>
    <row r="6" spans="1:1" x14ac:dyDescent="0.25">
      <c r="A6" t="s"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75" zoomScaleNormal="75" workbookViewId="0">
      <selection activeCell="R3" sqref="R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pane ySplit="1" topLeftCell="A18" activePane="bottomLeft" state="frozen"/>
      <selection pane="bottomLeft" activeCell="A32" sqref="A32"/>
    </sheetView>
  </sheetViews>
  <sheetFormatPr defaultRowHeight="15" x14ac:dyDescent="0.25"/>
  <cols>
    <col min="1" max="1" width="88.5703125" style="15" bestFit="1" customWidth="1"/>
    <col min="2" max="5" width="9.5703125" bestFit="1" customWidth="1"/>
  </cols>
  <sheetData>
    <row r="1" spans="1:5" x14ac:dyDescent="0.25">
      <c r="B1">
        <f>C1-1</f>
        <v>2016</v>
      </c>
      <c r="C1">
        <f>D1-1</f>
        <v>2017</v>
      </c>
      <c r="D1">
        <f>E1-1</f>
        <v>2018</v>
      </c>
      <c r="E1">
        <v>2019</v>
      </c>
    </row>
    <row r="2" spans="1:5" x14ac:dyDescent="0.25">
      <c r="A2" s="10" t="s">
        <v>35</v>
      </c>
    </row>
    <row r="4" spans="1:5" x14ac:dyDescent="0.25">
      <c r="A4" s="11" t="s">
        <v>36</v>
      </c>
    </row>
    <row r="5" spans="1:5" x14ac:dyDescent="0.25">
      <c r="A5" s="12" t="s">
        <v>37</v>
      </c>
      <c r="B5" s="13">
        <f>'KPI REPORT YEAR FOUR'!$C5</f>
        <v>0.13997506320784123</v>
      </c>
      <c r="C5" s="13">
        <f>'KPI REPORT YEAR THREE'!$C5</f>
        <v>0.1012544089956772</v>
      </c>
      <c r="D5" s="13">
        <f>'KPI REPORT YEAR TWO'!$C5</f>
        <v>0.1337054847496385</v>
      </c>
      <c r="E5" s="13">
        <f>'KPI REPORT YEAR ONE'!$C5</f>
        <v>0.10953541139711352</v>
      </c>
    </row>
    <row r="6" spans="1:5" x14ac:dyDescent="0.25">
      <c r="A6" s="12" t="s">
        <v>38</v>
      </c>
      <c r="B6" s="13">
        <f>'KPI REPORT YEAR FOUR'!$C6</f>
        <v>5.2540435701174108E-2</v>
      </c>
      <c r="C6" s="13">
        <f>'KPI REPORT YEAR THREE'!$C6</f>
        <v>2.2860476834540004E-2</v>
      </c>
      <c r="D6" s="13">
        <f>'KPI REPORT YEAR TWO'!$C6</f>
        <v>5.4769030724910607E-2</v>
      </c>
      <c r="E6" s="13">
        <f>'KPI REPORT YEAR ONE'!$C6</f>
        <v>3.5801963993453353E-2</v>
      </c>
    </row>
    <row r="7" spans="1:5" x14ac:dyDescent="0.25">
      <c r="A7" s="12" t="s">
        <v>135</v>
      </c>
      <c r="B7" s="13">
        <f>'KPI REPORT YEAR FOUR'!$C7</f>
        <v>8.2226303874247147E-2</v>
      </c>
      <c r="C7" s="13">
        <f>'KPI REPORT YEAR THREE'!$C7</f>
        <v>7.7233244398082213E-2</v>
      </c>
      <c r="D7" s="13">
        <f>'KPI REPORT YEAR TWO'!$C7</f>
        <v>7.5493156594376248E-2</v>
      </c>
      <c r="E7" s="13">
        <f>'KPI REPORT YEAR ONE'!$C7</f>
        <v>6.2507103079895446E-2</v>
      </c>
    </row>
    <row r="8" spans="1:5" x14ac:dyDescent="0.25">
      <c r="A8" s="12" t="s">
        <v>134</v>
      </c>
      <c r="B8" s="13">
        <f>'KPI REPORT YEAR FOUR'!$C8</f>
        <v>0.21723184562432996</v>
      </c>
      <c r="C8" s="13">
        <f>'KPI REPORT YEAR THREE'!$C8</f>
        <v>0.19152323151925182</v>
      </c>
      <c r="D8" s="13">
        <f>'KPI REPORT YEAR TWO'!$C8</f>
        <v>0.16448071089844918</v>
      </c>
      <c r="E8" s="13">
        <f>'KPI REPORT YEAR ONE'!$C8</f>
        <v>0.13861386138613863</v>
      </c>
    </row>
    <row r="12" spans="1:5" x14ac:dyDescent="0.25">
      <c r="A12" s="11" t="s">
        <v>39</v>
      </c>
    </row>
    <row r="13" spans="1:5" x14ac:dyDescent="0.25">
      <c r="A13" s="14" t="s">
        <v>40</v>
      </c>
      <c r="B13" s="16">
        <f>'KPI REPORT YEAR FOUR'!$C13</f>
        <v>1.5480040193660363</v>
      </c>
      <c r="C13" s="16">
        <f>'KPI REPORT YEAR THREE'!$C13</f>
        <v>1.6511764175606238</v>
      </c>
      <c r="D13" s="16">
        <f>'KPI REPORT YEAR TWO'!$C13</f>
        <v>1.7881693533444507</v>
      </c>
      <c r="E13" s="16">
        <f>'KPI REPORT YEAR ONE'!$C13</f>
        <v>1.6936722679246754</v>
      </c>
    </row>
    <row r="14" spans="1:5" x14ac:dyDescent="0.25">
      <c r="A14" s="12" t="s">
        <v>130</v>
      </c>
      <c r="B14" s="16">
        <f>'KPI REPORT YEAR FOUR'!$C14</f>
        <v>1.5425687402941446</v>
      </c>
      <c r="C14" s="16">
        <f>'KPI REPORT YEAR THREE'!$C14</f>
        <v>1.642973046065086</v>
      </c>
      <c r="D14" s="16">
        <f>'KPI REPORT YEAR TWO'!$C14</f>
        <v>1.7823327774689643</v>
      </c>
      <c r="E14" s="16">
        <f>'KPI REPORT YEAR ONE'!$C14</f>
        <v>1.6850169597255253</v>
      </c>
    </row>
    <row r="15" spans="1:5" x14ac:dyDescent="0.25">
      <c r="A15" s="12" t="s">
        <v>91</v>
      </c>
      <c r="B15" s="16">
        <f>'KPI REPORT YEAR FOUR'!$C15</f>
        <v>0.1834749246368868</v>
      </c>
      <c r="C15" s="16">
        <f>'KPI REPORT YEAR THREE'!$C15</f>
        <v>0.16037140539078698</v>
      </c>
      <c r="D15" s="16">
        <f>'KPI REPORT YEAR TWO'!$C15</f>
        <v>0.13271261812117843</v>
      </c>
      <c r="E15" s="16">
        <f>'KPI REPORT YEAR ONE'!$C15</f>
        <v>0.10893212211002379</v>
      </c>
    </row>
    <row r="16" spans="1:5" x14ac:dyDescent="0.25">
      <c r="A16" s="12" t="s">
        <v>41</v>
      </c>
      <c r="B16" s="17">
        <f>'KPI REPORT YEAR FOUR'!$C16</f>
        <v>11998</v>
      </c>
      <c r="C16" s="17">
        <f>'KPI REPORT YEAR THREE'!$C16</f>
        <v>14447</v>
      </c>
      <c r="D16" s="17">
        <f>'KPI REPORT YEAR TWO'!$C16</f>
        <v>17015</v>
      </c>
      <c r="E16" s="17">
        <f>'KPI REPORT YEAR ONE'!$C16</f>
        <v>17792</v>
      </c>
    </row>
    <row r="17" spans="1:5" x14ac:dyDescent="0.25">
      <c r="A17" s="12"/>
    </row>
    <row r="18" spans="1:5" x14ac:dyDescent="0.25">
      <c r="A18" s="12"/>
    </row>
    <row r="20" spans="1:5" x14ac:dyDescent="0.25">
      <c r="A20" s="11" t="s">
        <v>136</v>
      </c>
    </row>
    <row r="21" spans="1:5" x14ac:dyDescent="0.25">
      <c r="A21" s="12" t="s">
        <v>42</v>
      </c>
      <c r="B21" s="16">
        <f>'KPI REPORT YEAR FOUR'!$C21</f>
        <v>2.414938106390097</v>
      </c>
      <c r="C21" s="16">
        <f>'KPI REPORT YEAR THREE'!$C21</f>
        <v>2.4075084997366281</v>
      </c>
      <c r="D21" s="16">
        <f>'KPI REPORT YEAR TWO'!$C21</f>
        <v>2.6045106196627983</v>
      </c>
      <c r="E21" s="16">
        <f>'KPI REPORT YEAR ONE'!$C21</f>
        <v>2.8285176953325353</v>
      </c>
    </row>
    <row r="22" spans="1:5" x14ac:dyDescent="0.25">
      <c r="A22" s="12" t="s">
        <v>43</v>
      </c>
      <c r="B22" s="16">
        <f>'KPI REPORT YEAR FOUR'!$C22</f>
        <v>149.07214352509266</v>
      </c>
      <c r="C22" s="16">
        <f>'KPI REPORT YEAR THREE'!$C22</f>
        <v>149.53218235340918</v>
      </c>
      <c r="D22" s="16">
        <f>'KPI REPORT YEAR TWO'!$C22</f>
        <v>138.22174395534182</v>
      </c>
      <c r="E22" s="16">
        <f>'KPI REPORT YEAR ONE'!$C22</f>
        <v>127.27514506769826</v>
      </c>
    </row>
    <row r="23" spans="1:5" x14ac:dyDescent="0.25">
      <c r="A23" s="12" t="s">
        <v>44</v>
      </c>
      <c r="B23" s="16">
        <f>'KPI REPORT YEAR FOUR'!$C23</f>
        <v>370.6194029850746</v>
      </c>
      <c r="C23" s="16">
        <f>'KPI REPORT YEAR THREE'!$C23</f>
        <v>450.35215946843851</v>
      </c>
      <c r="D23" s="16">
        <f>'KPI REPORT YEAR TWO'!$C23</f>
        <v>501.83766233766232</v>
      </c>
      <c r="E23" s="16">
        <f>'KPI REPORT YEAR ONE'!$C23</f>
        <v>550.32758620689651</v>
      </c>
    </row>
    <row r="24" spans="1:5" x14ac:dyDescent="0.25">
      <c r="A24" s="12" t="s">
        <v>45</v>
      </c>
      <c r="B24" s="16">
        <f>'KPI REPORT YEAR FOUR'!$C24</f>
        <v>0.97134687795743313</v>
      </c>
      <c r="C24" s="16">
        <f>'KPI REPORT YEAR THREE'!$C24</f>
        <v>0.79937442828056304</v>
      </c>
      <c r="D24" s="16">
        <f>'KPI REPORT YEAR TWO'!$C24</f>
        <v>0.7173634563875626</v>
      </c>
      <c r="E24" s="16">
        <f>'KPI REPORT YEAR ONE'!$C24</f>
        <v>0.65415583194962257</v>
      </c>
    </row>
    <row r="25" spans="1:5" x14ac:dyDescent="0.25">
      <c r="A25" s="14" t="s">
        <v>46</v>
      </c>
      <c r="B25" s="16">
        <f>'KPI REPORT YEAR FOUR'!$C25</f>
        <v>0.27647126969416125</v>
      </c>
      <c r="C25" s="16">
        <f>'KPI REPORT YEAR THREE'!$C25</f>
        <v>0.21710296684118674</v>
      </c>
      <c r="D25" s="16">
        <f>'KPI REPORT YEAR TWO'!$C25</f>
        <v>0.27567497065344987</v>
      </c>
      <c r="E25" s="16">
        <f>'KPI REPORT YEAR ONE'!$C25</f>
        <v>0.29356407812079882</v>
      </c>
    </row>
    <row r="26" spans="1:5" x14ac:dyDescent="0.25">
      <c r="A26" s="12" t="s">
        <v>47</v>
      </c>
      <c r="B26" s="16">
        <f>'KPI REPORT YEAR FOUR'!$C26</f>
        <v>1302.1244500314269</v>
      </c>
      <c r="C26" s="16">
        <f>'KPI REPORT YEAR THREE'!$C26</f>
        <v>1658.1993569131832</v>
      </c>
      <c r="D26" s="16">
        <f>'KPI REPORT YEAR TWO'!$C26</f>
        <v>1305.8856926570779</v>
      </c>
      <c r="E26" s="16">
        <f>'KPI REPORT YEAR ONE'!$C26</f>
        <v>1226.3080766028309</v>
      </c>
    </row>
    <row r="27" spans="1:5" x14ac:dyDescent="0.25">
      <c r="A27" s="14" t="s">
        <v>48</v>
      </c>
      <c r="B27" s="16">
        <f>'KPI REPORT YEAR FOUR'!$C27</f>
        <v>150.0434904030501</v>
      </c>
      <c r="C27" s="16">
        <f>'KPI REPORT YEAR THREE'!$C27</f>
        <v>150.33155678168976</v>
      </c>
      <c r="D27" s="16">
        <f>'KPI REPORT YEAR TWO'!$C27</f>
        <v>138.9391074117294</v>
      </c>
      <c r="E27" s="16">
        <f>'KPI REPORT YEAR ONE'!$C27</f>
        <v>127.92930089964788</v>
      </c>
    </row>
    <row r="28" spans="1:5" x14ac:dyDescent="0.25">
      <c r="A28" s="12" t="s">
        <v>49</v>
      </c>
      <c r="B28" s="16">
        <f>'KPI REPORT YEAR FOUR'!$C28</f>
        <v>-1152.0809596283768</v>
      </c>
      <c r="C28" s="16">
        <f>'KPI REPORT YEAR THREE'!$C28</f>
        <v>-1507.8678001314934</v>
      </c>
      <c r="D28" s="16">
        <f>'KPI REPORT YEAR TWO'!$C28</f>
        <v>-1166.9465852453486</v>
      </c>
      <c r="E28" s="16">
        <f>'KPI REPORT YEAR ONE'!$C28</f>
        <v>-1098.378775703183</v>
      </c>
    </row>
    <row r="29" spans="1:5" x14ac:dyDescent="0.25">
      <c r="A29" s="12" t="s">
        <v>50</v>
      </c>
      <c r="B29" s="16">
        <f>'KPI REPORT YEAR FOUR'!$C29</f>
        <v>1.5475485401117528</v>
      </c>
      <c r="C29" s="16">
        <f>'KPI REPORT YEAR THREE'!$C29</f>
        <v>1.6511724651325728</v>
      </c>
      <c r="D29" s="16">
        <f>'KPI REPORT YEAR TWO'!$C29</f>
        <v>1.7896246664928084</v>
      </c>
      <c r="E29" s="16">
        <f>'KPI REPORT YEAR ONE'!$C29</f>
        <v>1.7459126848830224</v>
      </c>
    </row>
    <row r="31" spans="1:5" x14ac:dyDescent="0.25">
      <c r="A31" s="12" t="s">
        <v>98</v>
      </c>
    </row>
    <row r="33" spans="1:5" x14ac:dyDescent="0.25">
      <c r="A33" s="11" t="s">
        <v>137</v>
      </c>
    </row>
    <row r="34" spans="1:5" x14ac:dyDescent="0.25">
      <c r="A34" s="12" t="s">
        <v>51</v>
      </c>
      <c r="B34" s="24">
        <f>'KPI REPORT YEAR FOUR'!$C34</f>
        <v>0.54884397129859774</v>
      </c>
      <c r="C34" s="24">
        <f>'KPI REPORT YEAR THREE'!$C34</f>
        <v>0.56952772073921976</v>
      </c>
      <c r="D34" s="24">
        <f>'KPI REPORT YEAR TWO'!$C34</f>
        <v>0.49311737715204518</v>
      </c>
      <c r="E34" s="24">
        <f>'KPI REPORT YEAR ONE'!$C34</f>
        <v>0.58857427827339726</v>
      </c>
    </row>
    <row r="35" spans="1:5" x14ac:dyDescent="0.25">
      <c r="A35" s="12" t="s">
        <v>52</v>
      </c>
      <c r="B35" s="24">
        <f>'KPI REPORT YEAR FOUR'!$C35</f>
        <v>0.45115602870140226</v>
      </c>
      <c r="C35" s="24">
        <f>'KPI REPORT YEAR THREE'!$C35</f>
        <v>0.4304722792607803</v>
      </c>
      <c r="D35" s="24">
        <f>'KPI REPORT YEAR TWO'!$C35</f>
        <v>0.50688262284795482</v>
      </c>
      <c r="E35" s="24">
        <f>'KPI REPORT YEAR ONE'!$C35</f>
        <v>0.41142572172660274</v>
      </c>
    </row>
    <row r="36" spans="1:5" x14ac:dyDescent="0.25">
      <c r="A36" s="12" t="s">
        <v>53</v>
      </c>
      <c r="B36" s="24">
        <f>'KPI REPORT YEAR FOUR'!$C36</f>
        <v>1.2165280665280664</v>
      </c>
      <c r="C36" s="24">
        <f>'KPI REPORT YEAR THREE'!$C36</f>
        <v>1.3230299561152452</v>
      </c>
      <c r="D36" s="24">
        <f>'KPI REPORT YEAR TWO'!$C36</f>
        <v>0.97284332688588004</v>
      </c>
      <c r="E36" s="24">
        <f>'KPI REPORT YEAR ONE'!$C36</f>
        <v>1.4305723905723906</v>
      </c>
    </row>
    <row r="37" spans="1:5" x14ac:dyDescent="0.25">
      <c r="A37" s="12" t="s">
        <v>152</v>
      </c>
      <c r="B37" s="24">
        <f>'KPI REPORT YEAR FOUR'!$C37</f>
        <v>2.105427974947808</v>
      </c>
      <c r="C37" s="24">
        <f>'KPI REPORT YEAR THREE'!$C37</f>
        <v>2.2720624813451398</v>
      </c>
      <c r="D37" s="24">
        <f>'KPI REPORT YEAR TWO'!$C37</f>
        <v>2.1296620669030633</v>
      </c>
      <c r="E37" s="24">
        <f>'KPI REPORT YEAR ONE'!$C37</f>
        <v>2.2175697569756974</v>
      </c>
    </row>
    <row r="38" spans="1:5" x14ac:dyDescent="0.25">
      <c r="A38" s="14" t="s">
        <v>131</v>
      </c>
      <c r="B38" s="26">
        <f>'KPI REPORT YEAR FOUR'!$C38</f>
        <v>28.355140186915889</v>
      </c>
      <c r="C38" s="26">
        <f>'KPI REPORT YEAR THREE'!$C38</f>
        <v>9.020942408376964</v>
      </c>
      <c r="D38" s="26">
        <f>'KPI REPORT YEAR TWO'!$C38</f>
        <v>17.50537634408602</v>
      </c>
      <c r="E38" s="26">
        <f>'KPI REPORT YEAR ONE'!$C38</f>
        <v>12.764119601328904</v>
      </c>
    </row>
    <row r="39" spans="1:5" x14ac:dyDescent="0.25">
      <c r="A39" s="14" t="s">
        <v>54</v>
      </c>
      <c r="B39" s="19">
        <f>'KPI REPORT YEAR FOUR'!$C39</f>
        <v>0</v>
      </c>
      <c r="C39" s="19">
        <f>'KPI REPORT YEAR THREE'!$C39</f>
        <v>0</v>
      </c>
      <c r="D39" s="19">
        <f>'KPI REPORT YEAR TWO'!$C39</f>
        <v>0</v>
      </c>
      <c r="E39" s="19">
        <f>'KPI REPORT YEAR ONE'!$C39</f>
        <v>0</v>
      </c>
    </row>
    <row r="40" spans="1:5" x14ac:dyDescent="0.25">
      <c r="A40" s="14" t="s">
        <v>132</v>
      </c>
      <c r="B40" s="19">
        <f>'KPI REPORT YEAR FOUR'!$C40</f>
        <v>0</v>
      </c>
      <c r="C40" s="19">
        <f>'KPI REPORT YEAR THREE'!$C40</f>
        <v>0</v>
      </c>
      <c r="D40" s="19">
        <f>'KPI REPORT YEAR TWO'!$C40</f>
        <v>0</v>
      </c>
      <c r="E40" s="19">
        <f>'KPI REPORT YEAR ONE'!$C40</f>
        <v>0</v>
      </c>
    </row>
    <row r="41" spans="1:5" x14ac:dyDescent="0.25">
      <c r="A41" s="14" t="s">
        <v>133</v>
      </c>
    </row>
  </sheetData>
  <conditionalFormatting sqref="E34:E36 E5:E8">
    <cfRule type="expression" dxfId="30" priority="8">
      <formula>"&lt;0"</formula>
    </cfRule>
  </conditionalFormatting>
  <conditionalFormatting sqref="B34:B36 B5:B8">
    <cfRule type="expression" dxfId="29" priority="5">
      <formula>"&lt;0"</formula>
    </cfRule>
  </conditionalFormatting>
  <conditionalFormatting sqref="D34:D36 D5:D8">
    <cfRule type="expression" dxfId="28" priority="7">
      <formula>"&lt;0"</formula>
    </cfRule>
  </conditionalFormatting>
  <conditionalFormatting sqref="C34:C36 C5:C8">
    <cfRule type="expression" dxfId="27" priority="6">
      <formula>"&lt;0"</formula>
    </cfRule>
  </conditionalFormatting>
  <conditionalFormatting sqref="E37">
    <cfRule type="expression" dxfId="26" priority="4">
      <formula>"&lt;0"</formula>
    </cfRule>
  </conditionalFormatting>
  <conditionalFormatting sqref="B37">
    <cfRule type="expression" dxfId="25" priority="1">
      <formula>"&lt;0"</formula>
    </cfRule>
  </conditionalFormatting>
  <conditionalFormatting sqref="D37">
    <cfRule type="expression" dxfId="24" priority="3">
      <formula>"&lt;0"</formula>
    </cfRule>
  </conditionalFormatting>
  <conditionalFormatting sqref="C37">
    <cfRule type="expression" dxfId="23" priority="2">
      <formula>"&lt;0"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zoomScaleNormal="100" workbookViewId="0">
      <pane xSplit="3" ySplit="2" topLeftCell="D18" activePane="bottomRight" state="frozen"/>
      <selection pane="topRight" activeCell="G1" sqref="G1"/>
      <selection pane="bottomLeft" activeCell="A3" sqref="A3"/>
      <selection pane="bottomRight" activeCell="A36" sqref="A36:C36"/>
    </sheetView>
  </sheetViews>
  <sheetFormatPr defaultRowHeight="15" x14ac:dyDescent="0.25"/>
  <cols>
    <col min="1" max="1" width="88.5703125" style="15" bestFit="1" customWidth="1"/>
    <col min="2" max="2" width="120.7109375" style="15" hidden="1" customWidth="1"/>
    <col min="3" max="3" width="12.28515625" customWidth="1"/>
    <col min="4" max="4" width="48.7109375" bestFit="1" customWidth="1"/>
    <col min="5" max="5" width="17.28515625" customWidth="1"/>
    <col min="6" max="6" width="88" customWidth="1"/>
    <col min="8" max="11" width="12.7109375" customWidth="1"/>
    <col min="15" max="19" width="12.7109375" customWidth="1"/>
    <col min="21" max="21" width="10.7109375" customWidth="1"/>
    <col min="24" max="24" width="12.7109375" customWidth="1"/>
    <col min="26" max="29" width="12.7109375" customWidth="1"/>
    <col min="32" max="32" width="13.7109375" customWidth="1"/>
  </cols>
  <sheetData>
    <row r="1" spans="1:32" x14ac:dyDescent="0.25">
      <c r="G1" t="s">
        <v>115</v>
      </c>
      <c r="H1" s="1">
        <v>43830</v>
      </c>
      <c r="I1">
        <f>HLOOKUP($H$1,'BALANCE SHEETS'!$B$3:$E$46,44,FALSE)</f>
        <v>1</v>
      </c>
    </row>
    <row r="2" spans="1:32" ht="60" x14ac:dyDescent="0.25">
      <c r="A2" s="10" t="s">
        <v>35</v>
      </c>
      <c r="B2" s="10" t="s">
        <v>71</v>
      </c>
      <c r="C2" s="1">
        <f>H1</f>
        <v>43830</v>
      </c>
      <c r="D2" s="1" t="s">
        <v>103</v>
      </c>
      <c r="E2" t="s">
        <v>57</v>
      </c>
      <c r="F2" t="s">
        <v>56</v>
      </c>
      <c r="G2" s="23" t="s">
        <v>10</v>
      </c>
      <c r="H2" s="23" t="s">
        <v>12</v>
      </c>
      <c r="I2" s="23" t="s">
        <v>66</v>
      </c>
      <c r="J2" s="23" t="s">
        <v>128</v>
      </c>
      <c r="K2" s="23" t="s">
        <v>11</v>
      </c>
      <c r="L2" s="23" t="s">
        <v>67</v>
      </c>
      <c r="M2" s="23" t="s">
        <v>22</v>
      </c>
      <c r="N2" s="23" t="s">
        <v>127</v>
      </c>
      <c r="O2" s="23" t="s">
        <v>85</v>
      </c>
      <c r="P2" s="23" t="s">
        <v>129</v>
      </c>
      <c r="Q2" s="23" t="s">
        <v>120</v>
      </c>
      <c r="R2" s="23" t="s">
        <v>121</v>
      </c>
      <c r="S2" s="23" t="s">
        <v>126</v>
      </c>
      <c r="T2" s="23" t="s">
        <v>122</v>
      </c>
      <c r="U2" s="23" t="s">
        <v>24</v>
      </c>
      <c r="V2" s="23" t="s">
        <v>25</v>
      </c>
      <c r="W2" s="23" t="s">
        <v>150</v>
      </c>
      <c r="X2" s="23" t="s">
        <v>0</v>
      </c>
      <c r="Y2" s="23" t="s">
        <v>1</v>
      </c>
      <c r="Z2" s="23" t="s">
        <v>68</v>
      </c>
      <c r="AA2" s="23" t="s">
        <v>69</v>
      </c>
      <c r="AB2" s="23" t="s">
        <v>125</v>
      </c>
      <c r="AC2" s="23" t="s">
        <v>124</v>
      </c>
      <c r="AD2" s="23" t="s">
        <v>70</v>
      </c>
      <c r="AE2" s="23" t="s">
        <v>86</v>
      </c>
      <c r="AF2" s="23" t="s">
        <v>3</v>
      </c>
    </row>
    <row r="4" spans="1:32" x14ac:dyDescent="0.25">
      <c r="A4" s="11" t="s">
        <v>36</v>
      </c>
      <c r="B4" s="11"/>
    </row>
    <row r="5" spans="1:32" x14ac:dyDescent="0.25">
      <c r="A5" s="12" t="s">
        <v>37</v>
      </c>
      <c r="B5" t="s">
        <v>72</v>
      </c>
      <c r="C5" s="13">
        <f>(X5-Y5)/X5</f>
        <v>0.10953541139711352</v>
      </c>
      <c r="D5" s="13" t="s">
        <v>104</v>
      </c>
      <c r="E5" t="s">
        <v>58</v>
      </c>
      <c r="X5">
        <f>INDEX('INCOME STATEMENTS'!$B$5:$F$27,'KPI REPORT YEAR ONE'!X$43,'KPI REPORT YEAR ONE'!$I$1)</f>
        <v>107536</v>
      </c>
      <c r="Y5">
        <f>INDEX('INCOME STATEMENTS'!$B$5:$F$27,'KPI REPORT YEAR ONE'!Y$43,'KPI REPORT YEAR ONE'!$I$1)</f>
        <v>95757</v>
      </c>
    </row>
    <row r="6" spans="1:32" x14ac:dyDescent="0.25">
      <c r="A6" s="12" t="s">
        <v>38</v>
      </c>
      <c r="B6" t="s">
        <v>73</v>
      </c>
      <c r="C6" s="13">
        <f>AF6/X6</f>
        <v>3.5801963993453353E-2</v>
      </c>
      <c r="D6" s="13" t="s">
        <v>104</v>
      </c>
      <c r="E6" t="s">
        <v>58</v>
      </c>
      <c r="X6">
        <f>INDEX('INCOME STATEMENTS'!$B$5:$F$27,'KPI REPORT YEAR ONE'!X$43,'KPI REPORT YEAR ONE'!$I$1)</f>
        <v>107536</v>
      </c>
      <c r="AF6">
        <f>INDEX('INCOME STATEMENTS'!$B$5:$F$27,'KPI REPORT YEAR ONE'!AF$43,'KPI REPORT YEAR ONE'!$I$1)</f>
        <v>3850</v>
      </c>
    </row>
    <row r="7" spans="1:32" x14ac:dyDescent="0.25">
      <c r="A7" s="12" t="s">
        <v>135</v>
      </c>
      <c r="B7" s="12" t="s">
        <v>87</v>
      </c>
      <c r="C7" s="13">
        <f>AF7/N7</f>
        <v>6.2507103079895446E-2</v>
      </c>
      <c r="D7" s="13" t="s">
        <v>104</v>
      </c>
      <c r="E7" t="s">
        <v>58</v>
      </c>
      <c r="N7">
        <f>AVERAGE(INDEX('BALANCE SHEETS'!$B$5:$F$44,'KPI REPORT YEAR ONE'!N$43,'KPI REPORT YEAR ONE'!$I$1),INDEX('BALANCE SHEETS'!$B$5:$F$44,'KPI REPORT YEAR ONE'!N$43,'KPI REPORT YEAR ONE'!$I$1+1))</f>
        <v>61593</v>
      </c>
      <c r="AF7">
        <f>INDEX('INCOME STATEMENTS'!$B$5:$F$27,'KPI REPORT YEAR ONE'!AF$43,'KPI REPORT YEAR ONE'!$I$1)</f>
        <v>3850</v>
      </c>
    </row>
    <row r="8" spans="1:32" x14ac:dyDescent="0.25">
      <c r="A8" s="12" t="s">
        <v>134</v>
      </c>
      <c r="B8" t="s">
        <v>74</v>
      </c>
      <c r="C8" s="13">
        <f>AF8/-W8</f>
        <v>0.13861386138613863</v>
      </c>
      <c r="D8" s="13" t="s">
        <v>104</v>
      </c>
      <c r="E8" t="s">
        <v>58</v>
      </c>
      <c r="W8">
        <f>AVERAGE(INDEX('BALANCE SHEETS'!$B$5:$F$44,'KPI REPORT YEAR ONE'!V$43,'KPI REPORT YEAR ONE'!$I$1),INDEX('BALANCE SHEETS'!$B$5:$F$44,'KPI REPORT YEAR ONE'!V$43,'KPI REPORT YEAR ONE'!$I$1+1))</f>
        <v>-27775</v>
      </c>
      <c r="AF8">
        <f>INDEX('INCOME STATEMENTS'!$B$5:$F$27,'KPI REPORT YEAR ONE'!AF$43,'KPI REPORT YEAR ONE'!$I$1)</f>
        <v>3850</v>
      </c>
    </row>
    <row r="12" spans="1:32" x14ac:dyDescent="0.25">
      <c r="A12" s="11" t="s">
        <v>39</v>
      </c>
      <c r="B12" s="11"/>
    </row>
    <row r="13" spans="1:32" x14ac:dyDescent="0.25">
      <c r="A13" s="14" t="s">
        <v>40</v>
      </c>
      <c r="B13" t="s">
        <v>75</v>
      </c>
      <c r="C13" s="16">
        <f>K13/-S13</f>
        <v>1.6936722679246754</v>
      </c>
      <c r="D13" s="13" t="s">
        <v>105</v>
      </c>
      <c r="E13" t="s">
        <v>58</v>
      </c>
      <c r="K13">
        <f>INDEX('BALANCE SHEETS'!$B$5:$F$44,'KPI REPORT YEAR ONE'!K$43,'KPI REPORT YEAR ONE'!$I$1)</f>
        <v>43441</v>
      </c>
      <c r="S13">
        <f>INDEX('BALANCE SHEETS'!$B$5:$F$44,'KPI REPORT YEAR ONE'!S$43,'KPI REPORT YEAR ONE'!$I$1)</f>
        <v>-25649</v>
      </c>
    </row>
    <row r="14" spans="1:32" x14ac:dyDescent="0.25">
      <c r="A14" s="12" t="s">
        <v>130</v>
      </c>
      <c r="B14" s="23" t="s">
        <v>76</v>
      </c>
      <c r="C14" s="16">
        <f>(K14-I14)/-S14</f>
        <v>1.6850169597255253</v>
      </c>
      <c r="D14" s="13" t="s">
        <v>105</v>
      </c>
      <c r="E14" t="s">
        <v>58</v>
      </c>
      <c r="I14">
        <f>INDEX('BALANCE SHEETS'!$B$5:$F$44,'KPI REPORT YEAR ONE'!I$43,'KPI REPORT YEAR ONE'!$I$1)</f>
        <v>222</v>
      </c>
      <c r="K14">
        <f>INDEX('BALANCE SHEETS'!$B$5:$F$44,'KPI REPORT YEAR ONE'!K$43,'KPI REPORT YEAR ONE'!$I$1)</f>
        <v>43441</v>
      </c>
      <c r="S14">
        <f>INDEX('BALANCE SHEETS'!$B$5:$F$44,'KPI REPORT YEAR ONE'!S$43,'KPI REPORT YEAR ONE'!$I$1)</f>
        <v>-25649</v>
      </c>
    </row>
    <row r="15" spans="1:32" x14ac:dyDescent="0.25">
      <c r="A15" s="12" t="s">
        <v>91</v>
      </c>
      <c r="B15" t="s">
        <v>77</v>
      </c>
      <c r="C15" s="16">
        <f>G15/-S15</f>
        <v>0.10893212211002379</v>
      </c>
      <c r="D15" s="16" t="s">
        <v>105</v>
      </c>
      <c r="E15" t="s">
        <v>58</v>
      </c>
      <c r="G15">
        <f>INDEX('BALANCE SHEETS'!$B$5:$F$44,'KPI REPORT YEAR ONE'!G$43,'KPI REPORT YEAR ONE'!$I$1)</f>
        <v>2794</v>
      </c>
      <c r="S15">
        <f>INDEX('BALANCE SHEETS'!$B$5:$F$44,'KPI REPORT YEAR ONE'!S$43,'KPI REPORT YEAR ONE'!$I$1)</f>
        <v>-25649</v>
      </c>
    </row>
    <row r="16" spans="1:32" x14ac:dyDescent="0.25">
      <c r="A16" s="12" t="s">
        <v>41</v>
      </c>
      <c r="B16" t="s">
        <v>75</v>
      </c>
      <c r="C16" s="17">
        <f>K16+S16</f>
        <v>17792</v>
      </c>
      <c r="D16" s="17" t="s">
        <v>104</v>
      </c>
      <c r="E16" t="s">
        <v>58</v>
      </c>
      <c r="K16">
        <f>INDEX('BALANCE SHEETS'!$B$5:$F$44,'KPI REPORT YEAR ONE'!K$43,'KPI REPORT YEAR ONE'!$I$1)</f>
        <v>43441</v>
      </c>
      <c r="S16">
        <f>INDEX('BALANCE SHEETS'!$B$5:$F$44,'KPI REPORT YEAR ONE'!S$43,'KPI REPORT YEAR ONE'!$I$1)</f>
        <v>-25649</v>
      </c>
    </row>
    <row r="17" spans="1:27" x14ac:dyDescent="0.25">
      <c r="A17" s="12"/>
      <c r="B17" s="12"/>
    </row>
    <row r="18" spans="1:27" x14ac:dyDescent="0.25">
      <c r="A18" s="12"/>
      <c r="B18" s="12"/>
    </row>
    <row r="20" spans="1:27" x14ac:dyDescent="0.25">
      <c r="A20" s="11" t="s">
        <v>136</v>
      </c>
      <c r="B20" s="11"/>
    </row>
    <row r="21" spans="1:27" x14ac:dyDescent="0.25">
      <c r="A21" s="12" t="s">
        <v>42</v>
      </c>
      <c r="B21" t="s">
        <v>78</v>
      </c>
      <c r="C21" s="16">
        <f>X21/H21</f>
        <v>2.8285176953325353</v>
      </c>
      <c r="D21" s="16" t="s">
        <v>106</v>
      </c>
      <c r="E21" t="s">
        <v>58</v>
      </c>
      <c r="H21">
        <f>AVERAGE(INDEX('BALANCE SHEETS'!$B$5:$F$44,'KPI REPORT YEAR ONE'!H$43,'KPI REPORT YEAR ONE'!$I$1),INDEX('BALANCE SHEETS'!$B$5:$F$44,'KPI REPORT YEAR ONE'!H$43,'KPI REPORT YEAR ONE'!$I$1+1))</f>
        <v>38018.5</v>
      </c>
      <c r="X21">
        <f>INDEX('INCOME STATEMENTS'!$B$5:$F$27,'KPI REPORT YEAR ONE'!X$43,'KPI REPORT YEAR ONE'!$I$1)</f>
        <v>107536</v>
      </c>
    </row>
    <row r="22" spans="1:27" x14ac:dyDescent="0.25">
      <c r="A22" s="12" t="s">
        <v>43</v>
      </c>
      <c r="B22" t="s">
        <v>88</v>
      </c>
      <c r="C22" s="16">
        <f>360/C21</f>
        <v>127.27514506769826</v>
      </c>
      <c r="D22" s="16" t="s">
        <v>107</v>
      </c>
      <c r="E22" t="s">
        <v>59</v>
      </c>
    </row>
    <row r="23" spans="1:27" x14ac:dyDescent="0.25">
      <c r="A23" s="12" t="s">
        <v>44</v>
      </c>
      <c r="B23" t="s">
        <v>79</v>
      </c>
      <c r="C23" s="16">
        <f>Y23/J23</f>
        <v>550.32758620689651</v>
      </c>
      <c r="D23" s="16" t="s">
        <v>106</v>
      </c>
      <c r="E23" t="s">
        <v>58</v>
      </c>
      <c r="J23">
        <f>AVERAGE(INDEX('BALANCE SHEETS'!$B$5:$F$44,'KPI REPORT YEAR ONE'!J$43,'KPI REPORT YEAR ONE'!$I$1),INDEX('BALANCE SHEETS'!$B$5:$F$44,'KPI REPORT YEAR ONE'!J$43,'KPI REPORT YEAR ONE'!$I$1+1))</f>
        <v>174</v>
      </c>
      <c r="Y23">
        <f>INDEX('INCOME STATEMENTS'!$B$5:$F$27,'KPI REPORT YEAR ONE'!Y$43,'KPI REPORT YEAR ONE'!$I$1)</f>
        <v>95757</v>
      </c>
    </row>
    <row r="24" spans="1:27" x14ac:dyDescent="0.25">
      <c r="A24" s="12" t="s">
        <v>45</v>
      </c>
      <c r="B24" t="s">
        <v>89</v>
      </c>
      <c r="C24" s="16">
        <f>360/C23</f>
        <v>0.65415583194962257</v>
      </c>
      <c r="D24" s="16" t="s">
        <v>107</v>
      </c>
      <c r="E24" t="s">
        <v>59</v>
      </c>
    </row>
    <row r="25" spans="1:27" x14ac:dyDescent="0.25">
      <c r="A25" s="14" t="s">
        <v>46</v>
      </c>
      <c r="B25" t="s">
        <v>80</v>
      </c>
      <c r="C25" s="16">
        <f>Z25/P25</f>
        <v>0.29356407812079882</v>
      </c>
      <c r="D25" s="16" t="s">
        <v>108</v>
      </c>
      <c r="E25" t="s">
        <v>58</v>
      </c>
      <c r="P25">
        <f>AVERAGE(INDEX('BALANCE SHEETS'!$B$5:$F$44,'KPI REPORT YEAR ONE'!P$43,'KPI REPORT YEAR ONE'!$I$1),INDEX('BALANCE SHEETS'!$B$5:$F$44,'KPI REPORT YEAR ONE'!P$43,'KPI REPORT YEAR ONE'!$I$1+1))</f>
        <v>-20455.5</v>
      </c>
      <c r="Z25">
        <f>INDEX('INCOME STATEMENTS'!$B$5:$F$27,'KPI REPORT YEAR ONE'!Z$43,'KPI REPORT YEAR ONE'!$I$1)</f>
        <v>-6005</v>
      </c>
      <c r="AA25">
        <f>INDEX('INCOME STATEMENTS'!$B$5:$F$27,'KPI REPORT YEAR ONE'!AA$43,'KPI REPORT YEAR ONE'!$I$1)</f>
        <v>0</v>
      </c>
    </row>
    <row r="26" spans="1:27" x14ac:dyDescent="0.25">
      <c r="A26" s="12" t="s">
        <v>47</v>
      </c>
      <c r="B26" t="s">
        <v>90</v>
      </c>
      <c r="C26" s="16">
        <f>360/C25</f>
        <v>1226.3080766028309</v>
      </c>
      <c r="D26" s="16" t="s">
        <v>109</v>
      </c>
      <c r="E26" t="s">
        <v>59</v>
      </c>
      <c r="AA26">
        <f>INDEX('INCOME STATEMENTS'!$B$5:$F$27,'KPI REPORT YEAR ONE'!AA$43,'KPI REPORT YEAR ONE'!$I$1)</f>
        <v>0</v>
      </c>
    </row>
    <row r="27" spans="1:27" x14ac:dyDescent="0.25">
      <c r="A27" s="14" t="s">
        <v>48</v>
      </c>
      <c r="B27" t="s">
        <v>92</v>
      </c>
      <c r="C27" s="16">
        <f>C22+C24</f>
        <v>127.92930089964788</v>
      </c>
      <c r="D27" s="16" t="s">
        <v>109</v>
      </c>
      <c r="E27" t="s">
        <v>59</v>
      </c>
    </row>
    <row r="28" spans="1:27" x14ac:dyDescent="0.25">
      <c r="A28" s="12" t="s">
        <v>49</v>
      </c>
      <c r="B28" t="s">
        <v>81</v>
      </c>
      <c r="C28" s="16">
        <f>C27-C26</f>
        <v>-1098.378775703183</v>
      </c>
      <c r="D28" s="25" t="s">
        <v>107</v>
      </c>
      <c r="E28" t="s">
        <v>59</v>
      </c>
    </row>
    <row r="29" spans="1:27" x14ac:dyDescent="0.25">
      <c r="A29" s="12" t="s">
        <v>50</v>
      </c>
      <c r="B29" t="s">
        <v>81</v>
      </c>
      <c r="C29" s="16">
        <f>X29/N29</f>
        <v>1.7459126848830224</v>
      </c>
      <c r="D29" s="16" t="s">
        <v>110</v>
      </c>
      <c r="E29" t="s">
        <v>58</v>
      </c>
      <c r="N29">
        <f>AVERAGE(INDEX('BALANCE SHEETS'!$B$5:$F$44,'KPI REPORT YEAR ONE'!N$43,'KPI REPORT YEAR ONE'!$I$1),INDEX('BALANCE SHEETS'!$B$5:$F$44,'KPI REPORT YEAR ONE'!N$43,'KPI REPORT YEAR ONE'!$I$1+1))</f>
        <v>61593</v>
      </c>
      <c r="X29">
        <f>INDEX('INCOME STATEMENTS'!$B$5:$F$27,'KPI REPORT YEAR ONE'!X$43,'KPI REPORT YEAR ONE'!$I$1)</f>
        <v>107536</v>
      </c>
    </row>
    <row r="31" spans="1:27" x14ac:dyDescent="0.25">
      <c r="A31" s="12" t="s">
        <v>98</v>
      </c>
      <c r="B31" s="12"/>
    </row>
    <row r="33" spans="1:32" x14ac:dyDescent="0.25">
      <c r="A33" s="11" t="s">
        <v>137</v>
      </c>
      <c r="B33" s="11"/>
    </row>
    <row r="34" spans="1:32" x14ac:dyDescent="0.25">
      <c r="A34" s="12" t="s">
        <v>51</v>
      </c>
      <c r="B34" t="s">
        <v>99</v>
      </c>
      <c r="C34" s="24">
        <f>-U34/M34</f>
        <v>0.58857427827339726</v>
      </c>
      <c r="D34" s="18" t="s">
        <v>112</v>
      </c>
      <c r="E34" t="s">
        <v>59</v>
      </c>
      <c r="M34">
        <f>INDEX('BALANCE SHEETS'!$B$5:$F$44,'KPI REPORT YEAR ONE'!M$43,'KPI REPORT YEAR ONE'!$I$1)</f>
        <v>72188</v>
      </c>
      <c r="U34">
        <f>INDEX('BALANCE SHEETS'!$B$5:$F$44,'KPI REPORT YEAR ONE'!U$43,'KPI REPORT YEAR ONE'!$I$1)</f>
        <v>-42488</v>
      </c>
    </row>
    <row r="35" spans="1:32" x14ac:dyDescent="0.25">
      <c r="A35" s="12" t="s">
        <v>52</v>
      </c>
      <c r="B35" t="s">
        <v>100</v>
      </c>
      <c r="C35" s="24">
        <f>-V35/M35</f>
        <v>0.41142572172660274</v>
      </c>
      <c r="D35" s="18" t="s">
        <v>111</v>
      </c>
      <c r="E35" t="s">
        <v>58</v>
      </c>
      <c r="M35">
        <f>INDEX('BALANCE SHEETS'!$B$5:$F$44,'KPI REPORT YEAR ONE'!M$43,'KPI REPORT YEAR ONE'!$I$1)</f>
        <v>72188</v>
      </c>
      <c r="V35">
        <f>INDEX('BALANCE SHEETS'!$B$5:$F$44,'KPI REPORT YEAR ONE'!V$43,'KPI REPORT YEAR ONE'!$I$1)</f>
        <v>-29700</v>
      </c>
    </row>
    <row r="36" spans="1:32" x14ac:dyDescent="0.25">
      <c r="A36" s="12" t="s">
        <v>53</v>
      </c>
      <c r="B36" t="s">
        <v>101</v>
      </c>
      <c r="C36" s="24">
        <f>U36/V36</f>
        <v>1.4305723905723906</v>
      </c>
      <c r="D36" s="18" t="s">
        <v>113</v>
      </c>
      <c r="E36" t="s">
        <v>59</v>
      </c>
      <c r="U36">
        <f>INDEX('BALANCE SHEETS'!$B$5:$F$44,'KPI REPORT YEAR ONE'!U$43,'KPI REPORT YEAR ONE'!$I$1)</f>
        <v>-42488</v>
      </c>
      <c r="V36">
        <f>INDEX('BALANCE SHEETS'!$B$5:$F$44,'KPI REPORT YEAR ONE'!V$43,'KPI REPORT YEAR ONE'!$I$1)</f>
        <v>-29700</v>
      </c>
    </row>
    <row r="37" spans="1:32" x14ac:dyDescent="0.25">
      <c r="A37" s="12" t="s">
        <v>152</v>
      </c>
      <c r="B37" t="s">
        <v>151</v>
      </c>
      <c r="C37" s="24">
        <f>N37/-W37</f>
        <v>2.2175697569756974</v>
      </c>
      <c r="D37" s="18" t="s">
        <v>113</v>
      </c>
      <c r="E37" t="s">
        <v>59</v>
      </c>
      <c r="N37">
        <f>AVERAGE(INDEX('BALANCE SHEETS'!$B$5:$F$44,'KPI REPORT YEAR ONE'!N$43,'KPI REPORT YEAR ONE'!$I$1),INDEX('BALANCE SHEETS'!$B$5:$F$44,'KPI REPORT YEAR ONE'!N$43,'KPI REPORT YEAR ONE'!$I$1+1))</f>
        <v>61593</v>
      </c>
      <c r="W37">
        <f>AVERAGE(INDEX('BALANCE SHEETS'!$B$5:$F$44,'KPI REPORT YEAR ONE'!V$43,'KPI REPORT YEAR ONE'!$I$1),INDEX('BALANCE SHEETS'!$B$5:$F$44,'KPI REPORT YEAR ONE'!V$43,'KPI REPORT YEAR ONE'!$I$1+1))</f>
        <v>-27775</v>
      </c>
    </row>
    <row r="38" spans="1:32" x14ac:dyDescent="0.25">
      <c r="A38" s="14" t="s">
        <v>131</v>
      </c>
      <c r="B38" t="s">
        <v>82</v>
      </c>
      <c r="C38" s="26">
        <f>(AB38+AC38+AD38)/-AC38</f>
        <v>12.764119601328904</v>
      </c>
      <c r="D38" s="25" t="s">
        <v>114</v>
      </c>
      <c r="E38" t="s">
        <v>58</v>
      </c>
      <c r="AB38">
        <f>INDEX('INCOME STATEMENTS'!$B$5:$F$27,'KPI REPORT YEAR ONE'!AB$43,'KPI REPORT YEAR ONE'!$I$1)</f>
        <v>4293</v>
      </c>
      <c r="AC38">
        <f>INDEX('INCOME STATEMENTS'!$B$5:$F$27,'KPI REPORT YEAR ONE'!AC$43,'KPI REPORT YEAR ONE'!$I$1)</f>
        <v>-301</v>
      </c>
      <c r="AD38">
        <f>INDEX('INCOME STATEMENTS'!$B$5:$F$27,'KPI REPORT YEAR ONE'!AD$43,'KPI REPORT YEAR ONE'!$I$1)</f>
        <v>-150</v>
      </c>
    </row>
    <row r="39" spans="1:32" x14ac:dyDescent="0.25">
      <c r="A39" s="14" t="s">
        <v>54</v>
      </c>
      <c r="B39" t="s">
        <v>83</v>
      </c>
      <c r="C39" s="19"/>
      <c r="D39" s="19"/>
      <c r="E39" t="s">
        <v>58</v>
      </c>
      <c r="F39" t="s">
        <v>55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>
        <f>INDEX('INCOME STATEMENTS'!$B$5:$F$27,'KPI REPORT YEAR ONE'!X$43,'KPI REPORT YEAR ONE'!$I$1)</f>
        <v>107536</v>
      </c>
      <c r="Y39" s="19">
        <f>INDEX('INCOME STATEMENTS'!$B$5:$F$27,'KPI REPORT YEAR ONE'!Y$43,'KPI REPORT YEAR ONE'!$I$1)</f>
        <v>95757</v>
      </c>
      <c r="Z39" s="19">
        <f>INDEX('INCOME STATEMENTS'!$B$5:$F$27,'KPI REPORT YEAR ONE'!Z$43,'KPI REPORT YEAR ONE'!$I$1)</f>
        <v>-6005</v>
      </c>
      <c r="AA39" s="19">
        <f>INDEX('INCOME STATEMENTS'!$B$5:$F$27,'KPI REPORT YEAR ONE'!AA$43,'KPI REPORT YEAR ONE'!$I$1)</f>
        <v>0</v>
      </c>
      <c r="AB39" s="19"/>
      <c r="AC39" s="19"/>
      <c r="AD39" s="19"/>
      <c r="AE39" s="19"/>
      <c r="AF39" s="19"/>
    </row>
    <row r="40" spans="1:32" x14ac:dyDescent="0.25">
      <c r="A40" s="14" t="s">
        <v>132</v>
      </c>
      <c r="B40" t="s">
        <v>84</v>
      </c>
      <c r="C40" s="19"/>
      <c r="D40" s="19"/>
      <c r="E40" t="s">
        <v>58</v>
      </c>
      <c r="F40" t="s">
        <v>102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>
        <f>INDEX('BALANCE SHEETS'!$B$5:$F$44,'KPI REPORT YEAR ONE'!Q$43,'KPI REPORT YEAR ONE'!$I$1)</f>
        <v>-2939</v>
      </c>
      <c r="R40" s="19"/>
      <c r="S40" s="19"/>
      <c r="T40" s="19">
        <f>INDEX('BALANCE SHEETS'!$B$5:$F$44,'KPI REPORT YEAR ONE'!T$43,'KPI REPORT YEAR ONE'!$I$1)</f>
        <v>-16982</v>
      </c>
      <c r="U40" s="19"/>
      <c r="V40" s="19"/>
      <c r="W40" s="19"/>
      <c r="X40" s="19">
        <f>INDEX('INCOME STATEMENTS'!$B$5:$F$27,'KPI REPORT YEAR ONE'!X$43,'KPI REPORT YEAR ONE'!$I$1)</f>
        <v>107536</v>
      </c>
      <c r="Y40" s="19">
        <f>INDEX('INCOME STATEMENTS'!$B$5:$F$27,'KPI REPORT YEAR ONE'!Y$43,'KPI REPORT YEAR ONE'!$I$1)</f>
        <v>95757</v>
      </c>
      <c r="Z40" s="19">
        <f>INDEX('INCOME STATEMENTS'!$B$5:$F$27,'KPI REPORT YEAR ONE'!Z$43,'KPI REPORT YEAR ONE'!$I$1)</f>
        <v>-6005</v>
      </c>
      <c r="AA40" s="19">
        <f>INDEX('INCOME STATEMENTS'!$B$5:$F$27,'KPI REPORT YEAR ONE'!AA$43,'KPI REPORT YEAR ONE'!$I$1)</f>
        <v>0</v>
      </c>
      <c r="AB40" s="19">
        <f>INDEX('INCOME STATEMENTS'!$B$5:$F$27,'KPI REPORT YEAR ONE'!AB$43,'KPI REPORT YEAR ONE'!$I$1)</f>
        <v>4293</v>
      </c>
      <c r="AC40" s="19">
        <f>INDEX('INCOME STATEMENTS'!$B$5:$F$27,'KPI REPORT YEAR ONE'!AC$43,'KPI REPORT YEAR ONE'!$I$1)</f>
        <v>-301</v>
      </c>
      <c r="AD40" s="19"/>
      <c r="AE40" s="19"/>
      <c r="AF40" s="19"/>
    </row>
    <row r="41" spans="1:32" x14ac:dyDescent="0.25">
      <c r="A41" s="14" t="s">
        <v>133</v>
      </c>
      <c r="B41" s="14"/>
    </row>
    <row r="43" spans="1:32" x14ac:dyDescent="0.25">
      <c r="G43">
        <f>VLOOKUP(G$2,'BALANCE SHEETS'!$K$5:$L$44,2,FALSE)</f>
        <v>1</v>
      </c>
      <c r="H43">
        <f>VLOOKUP(H$2,'BALANCE SHEETS'!$K$5:$L$44,2,FALSE)</f>
        <v>2</v>
      </c>
      <c r="I43">
        <f>VLOOKUP(I$2,'BALANCE SHEETS'!$K$5:$L$44,2,FALSE)</f>
        <v>3</v>
      </c>
      <c r="J43">
        <v>3</v>
      </c>
      <c r="K43">
        <v>4</v>
      </c>
      <c r="L43">
        <f>VLOOKUP(L$2,'BALANCE SHEETS'!$K$5:$L$44,2,FALSE)</f>
        <v>8</v>
      </c>
      <c r="M43">
        <f>VLOOKUP(M$2,'BALANCE SHEETS'!$K$5:$L$44,2,FALSE)</f>
        <v>13</v>
      </c>
      <c r="N43">
        <v>13</v>
      </c>
      <c r="O43">
        <f>VLOOKUP(O$2,'BALANCE SHEETS'!$K$5:$L$44,2,FALSE)</f>
        <v>16</v>
      </c>
      <c r="P43">
        <v>16</v>
      </c>
      <c r="Q43">
        <f>VLOOKUP(Q$2,'BALANCE SHEETS'!$K$5:$L$44,2,FALSE)</f>
        <v>17</v>
      </c>
      <c r="R43">
        <f>VLOOKUP(R$2,'BALANCE SHEETS'!$K$5:$L$44,2,FALSE)</f>
        <v>18</v>
      </c>
      <c r="S43">
        <f>VLOOKUP(S$2,'BALANCE SHEETS'!$K$5:$L$44,2,FALSE)</f>
        <v>19</v>
      </c>
      <c r="T43">
        <f>VLOOKUP(T$2,'BALANCE SHEETS'!$K$5:$L$44,2,FALSE)</f>
        <v>22</v>
      </c>
      <c r="U43">
        <f>VLOOKUP(U$2,'BALANCE SHEETS'!$K$5:$L$44,2,FALSE)</f>
        <v>26</v>
      </c>
      <c r="V43">
        <f>VLOOKUP(V$2,'BALANCE SHEETS'!$K$5:$L$44,2,FALSE)</f>
        <v>36</v>
      </c>
      <c r="X43">
        <f>VLOOKUP(X$2,'INCOME STATEMENTS'!$M:$N,2,FALSE)</f>
        <v>1</v>
      </c>
      <c r="Y43">
        <f>VLOOKUP(Y$2,'INCOME STATEMENTS'!$M:$N,2,FALSE)</f>
        <v>2</v>
      </c>
      <c r="Z43">
        <f>VLOOKUP(Z$2,'INCOME STATEMENTS'!$M:$N,2,FALSE)</f>
        <v>6</v>
      </c>
      <c r="AA43">
        <f>VLOOKUP(AA$2,'INCOME STATEMENTS'!$M:$N,2,FALSE)</f>
        <v>5</v>
      </c>
      <c r="AB43">
        <f>VLOOKUP(AB$2,'INCOME STATEMENTS'!$M:$N,2,FALSE)</f>
        <v>17</v>
      </c>
      <c r="AC43">
        <f>VLOOKUP(AC$2,'INCOME STATEMENTS'!$M:$N,2,FALSE)</f>
        <v>20</v>
      </c>
      <c r="AD43">
        <f>VLOOKUP(AD$2,'INCOME STATEMENTS'!$M:$N,2,FALSE)</f>
        <v>21</v>
      </c>
      <c r="AE43" t="e">
        <f>VLOOKUP(AE$2,'INCOME STATEMENTS'!$M:$N,2,FALSE)</f>
        <v>#N/A</v>
      </c>
      <c r="AF43">
        <f>VLOOKUP(AF$2,'INCOME STATEMENTS'!$M:$N,2,FALSE)</f>
        <v>23</v>
      </c>
    </row>
  </sheetData>
  <conditionalFormatting sqref="D34:D37 C5:D8">
    <cfRule type="expression" dxfId="22" priority="5">
      <formula>"&lt;0"</formula>
    </cfRule>
  </conditionalFormatting>
  <conditionalFormatting sqref="D13">
    <cfRule type="expression" dxfId="21" priority="4">
      <formula>"&lt;0"</formula>
    </cfRule>
  </conditionalFormatting>
  <conditionalFormatting sqref="D14">
    <cfRule type="expression" dxfId="20" priority="3">
      <formula>"&lt;0"</formula>
    </cfRule>
  </conditionalFormatting>
  <conditionalFormatting sqref="C34:C36">
    <cfRule type="expression" dxfId="19" priority="2">
      <formula>"&lt;0"</formula>
    </cfRule>
  </conditionalFormatting>
  <conditionalFormatting sqref="C37">
    <cfRule type="expression" dxfId="18" priority="1">
      <formula>"&lt;0"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'BALANCE SHEETS'!$B$3:$E$3</xm:f>
          </x14:formula1>
          <xm:sqref>H1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zoomScaleNormal="100" workbookViewId="0">
      <pane xSplit="3" ySplit="2" topLeftCell="D18" activePane="bottomRight" state="frozen"/>
      <selection pane="topRight" activeCell="G1" sqref="G1"/>
      <selection pane="bottomLeft" activeCell="A3" sqref="A3"/>
      <selection pane="bottomRight" activeCell="A38" sqref="A38"/>
    </sheetView>
  </sheetViews>
  <sheetFormatPr defaultRowHeight="15" x14ac:dyDescent="0.25"/>
  <cols>
    <col min="1" max="1" width="88.5703125" style="15" customWidth="1"/>
    <col min="2" max="2" width="120.7109375" style="15" hidden="1" customWidth="1"/>
    <col min="3" max="3" width="10.7109375" customWidth="1"/>
    <col min="4" max="4" width="48.7109375" bestFit="1" customWidth="1"/>
    <col min="5" max="5" width="17.28515625" customWidth="1"/>
    <col min="6" max="6" width="88" customWidth="1"/>
    <col min="8" max="11" width="12.7109375" customWidth="1"/>
    <col min="15" max="19" width="12.7109375" customWidth="1"/>
    <col min="21" max="21" width="10.7109375" customWidth="1"/>
    <col min="23" max="23" width="12.7109375" customWidth="1"/>
    <col min="25" max="28" width="12.7109375" customWidth="1"/>
    <col min="31" max="31" width="13.7109375" customWidth="1"/>
  </cols>
  <sheetData>
    <row r="1" spans="1:31" x14ac:dyDescent="0.25">
      <c r="G1" t="s">
        <v>115</v>
      </c>
      <c r="H1" s="1">
        <v>43465</v>
      </c>
      <c r="I1">
        <f>HLOOKUP($H$1,'BALANCE SHEETS'!$B$3:$E$46,44,FALSE)</f>
        <v>2</v>
      </c>
    </row>
    <row r="2" spans="1:31" ht="60" x14ac:dyDescent="0.25">
      <c r="A2" s="10" t="s">
        <v>35</v>
      </c>
      <c r="B2" s="10" t="s">
        <v>71</v>
      </c>
      <c r="C2" s="1">
        <f>H1</f>
        <v>43465</v>
      </c>
      <c r="D2" s="1" t="s">
        <v>103</v>
      </c>
      <c r="E2" t="s">
        <v>57</v>
      </c>
      <c r="F2" t="s">
        <v>56</v>
      </c>
      <c r="G2" s="23" t="s">
        <v>10</v>
      </c>
      <c r="H2" s="23" t="s">
        <v>12</v>
      </c>
      <c r="I2" s="23" t="s">
        <v>66</v>
      </c>
      <c r="J2" s="23" t="s">
        <v>128</v>
      </c>
      <c r="K2" s="23" t="s">
        <v>11</v>
      </c>
      <c r="L2" s="23" t="s">
        <v>67</v>
      </c>
      <c r="M2" s="23" t="s">
        <v>22</v>
      </c>
      <c r="N2" s="23" t="s">
        <v>127</v>
      </c>
      <c r="O2" s="23" t="s">
        <v>85</v>
      </c>
      <c r="P2" s="23" t="s">
        <v>129</v>
      </c>
      <c r="Q2" s="23" t="s">
        <v>120</v>
      </c>
      <c r="R2" s="23" t="s">
        <v>121</v>
      </c>
      <c r="S2" s="23" t="s">
        <v>126</v>
      </c>
      <c r="T2" s="23" t="s">
        <v>122</v>
      </c>
      <c r="U2" s="23" t="s">
        <v>24</v>
      </c>
      <c r="V2" s="23" t="s">
        <v>25</v>
      </c>
      <c r="W2" s="23" t="s">
        <v>0</v>
      </c>
      <c r="X2" s="23" t="s">
        <v>1</v>
      </c>
      <c r="Y2" s="23" t="s">
        <v>68</v>
      </c>
      <c r="Z2" s="23" t="s">
        <v>69</v>
      </c>
      <c r="AA2" s="23" t="s">
        <v>125</v>
      </c>
      <c r="AB2" s="23" t="s">
        <v>124</v>
      </c>
      <c r="AC2" s="23" t="s">
        <v>70</v>
      </c>
      <c r="AD2" s="23" t="s">
        <v>86</v>
      </c>
      <c r="AE2" s="23" t="s">
        <v>3</v>
      </c>
    </row>
    <row r="4" spans="1:31" x14ac:dyDescent="0.25">
      <c r="A4" s="11" t="s">
        <v>36</v>
      </c>
      <c r="B4" s="11"/>
    </row>
    <row r="5" spans="1:31" x14ac:dyDescent="0.25">
      <c r="A5" s="12" t="s">
        <v>37</v>
      </c>
      <c r="B5" t="s">
        <v>72</v>
      </c>
      <c r="C5" s="13">
        <f>(W5-X5)/W5</f>
        <v>0.1337054847496385</v>
      </c>
      <c r="D5" s="13" t="s">
        <v>104</v>
      </c>
      <c r="E5" t="s">
        <v>58</v>
      </c>
      <c r="W5">
        <f>INDEX('INCOME STATEMENTS'!$B$5:$F$27,'KPI REPORT YEAR TWO'!W$43,'KPI REPORT YEAR TWO'!$I$1)</f>
        <v>89211</v>
      </c>
      <c r="X5">
        <f>INDEX('INCOME STATEMENTS'!$B$5:$F$27,'KPI REPORT YEAR TWO'!X$43,'KPI REPORT YEAR TWO'!$I$1)</f>
        <v>77283</v>
      </c>
    </row>
    <row r="6" spans="1:31" x14ac:dyDescent="0.25">
      <c r="A6" s="12" t="s">
        <v>38</v>
      </c>
      <c r="B6" t="s">
        <v>73</v>
      </c>
      <c r="C6" s="13">
        <f>AE6/W6</f>
        <v>5.4769030724910607E-2</v>
      </c>
      <c r="D6" s="13" t="s">
        <v>104</v>
      </c>
      <c r="E6" t="s">
        <v>58</v>
      </c>
      <c r="W6">
        <f>INDEX('INCOME STATEMENTS'!$B$5:$F$27,'KPI REPORT YEAR TWO'!W$43,'KPI REPORT YEAR TWO'!$I$1)</f>
        <v>89211</v>
      </c>
      <c r="AE6">
        <f>INDEX('INCOME STATEMENTS'!$B$5:$F$27,'KPI REPORT YEAR TWO'!AE$43,'KPI REPORT YEAR TWO'!$I$1)</f>
        <v>4886</v>
      </c>
    </row>
    <row r="7" spans="1:31" x14ac:dyDescent="0.25">
      <c r="A7" s="12" t="s">
        <v>135</v>
      </c>
      <c r="B7" s="12" t="s">
        <v>87</v>
      </c>
      <c r="C7" s="13">
        <f>AE7/N7</f>
        <v>7.5493156594376248E-2</v>
      </c>
      <c r="D7" s="13" t="s">
        <v>104</v>
      </c>
      <c r="E7" t="s">
        <v>58</v>
      </c>
      <c r="N7">
        <f>AVERAGE(INDEX('BALANCE SHEETS'!$B$5:$F$44,'KPI REPORT YEAR TWO'!N$43,'KPI REPORT YEAR TWO'!$I$1),INDEX('BALANCE SHEETS'!$B$5:$F$44,'KPI REPORT YEAR TWO'!N$43,'KPI REPORT YEAR ONE'!$I$1+1))</f>
        <v>50998</v>
      </c>
      <c r="AE7">
        <f>INDEX('INCOME STATEMENTS'!$B$5:$F$27,'KPI REPORT YEAR ONE'!AF$43,'KPI REPORT YEAR ONE'!$I$1)</f>
        <v>3850</v>
      </c>
    </row>
    <row r="8" spans="1:31" x14ac:dyDescent="0.25">
      <c r="A8" s="12" t="s">
        <v>134</v>
      </c>
      <c r="B8" t="s">
        <v>74</v>
      </c>
      <c r="C8" s="13">
        <f>AE8/-V8</f>
        <v>0.16448071089844918</v>
      </c>
      <c r="D8" s="13" t="s">
        <v>104</v>
      </c>
      <c r="E8" t="s">
        <v>58</v>
      </c>
      <c r="V8">
        <f>AVERAGE(INDEX('BALANCE SHEETS'!$B$5:$F$44,'KPI REPORT YEAR TWO'!V$43,'KPI REPORT YEAR TWO'!$I$1),INDEX('BALANCE SHEETS'!$B$5:$F$44,'KPI REPORT YEAR TWO'!V$43,'KPI REPORT YEAR TWO'!$I$1+1))</f>
        <v>-23407</v>
      </c>
      <c r="AE8">
        <f>INDEX('INCOME STATEMENTS'!$B$5:$F$27,'KPI REPORT YEAR ONE'!AF$43,'KPI REPORT YEAR ONE'!$I$1)</f>
        <v>3850</v>
      </c>
    </row>
    <row r="12" spans="1:31" x14ac:dyDescent="0.25">
      <c r="A12" s="11" t="s">
        <v>39</v>
      </c>
      <c r="B12" s="11"/>
    </row>
    <row r="13" spans="1:31" x14ac:dyDescent="0.25">
      <c r="A13" s="14" t="s">
        <v>40</v>
      </c>
      <c r="B13" t="s">
        <v>75</v>
      </c>
      <c r="C13" s="16">
        <f>K13/-S13</f>
        <v>1.7881693533444507</v>
      </c>
      <c r="D13" s="13" t="s">
        <v>105</v>
      </c>
      <c r="E13" t="s">
        <v>58</v>
      </c>
      <c r="K13">
        <f>INDEX('BALANCE SHEETS'!$B$5:$F$44,'KPI REPORT YEAR TWO'!K$43,'KPI REPORT YEAR TWO'!$I$1)</f>
        <v>38603</v>
      </c>
      <c r="S13">
        <f>INDEX('BALANCE SHEETS'!$B$5:$F$44,'KPI REPORT YEAR TWO'!S$43,'KPI REPORT YEAR TWO'!$I$1)</f>
        <v>-21588</v>
      </c>
    </row>
    <row r="14" spans="1:31" x14ac:dyDescent="0.25">
      <c r="A14" s="12" t="s">
        <v>130</v>
      </c>
      <c r="B14" s="23" t="s">
        <v>76</v>
      </c>
      <c r="C14" s="16">
        <f>(K14-I14)/-S14</f>
        <v>1.7823327774689643</v>
      </c>
      <c r="D14" s="13" t="s">
        <v>105</v>
      </c>
      <c r="E14" t="s">
        <v>58</v>
      </c>
      <c r="I14">
        <f>INDEX('BALANCE SHEETS'!$B$5:$F$44,'KPI REPORT YEAR TWO'!I$43,'KPI REPORT YEAR TWO'!$I$1)</f>
        <v>126</v>
      </c>
      <c r="K14">
        <f>INDEX('BALANCE SHEETS'!$B$5:$F$44,'KPI REPORT YEAR TWO'!K$43,'KPI REPORT YEAR TWO'!$I$1)</f>
        <v>38603</v>
      </c>
      <c r="S14">
        <f>INDEX('BALANCE SHEETS'!$B$5:$F$44,'KPI REPORT YEAR TWO'!S$43,'KPI REPORT YEAR TWO'!$I$1)</f>
        <v>-21588</v>
      </c>
    </row>
    <row r="15" spans="1:31" x14ac:dyDescent="0.25">
      <c r="A15" s="12" t="s">
        <v>91</v>
      </c>
      <c r="B15" t="s">
        <v>77</v>
      </c>
      <c r="C15" s="16">
        <f>G15/-S15</f>
        <v>0.13271261812117843</v>
      </c>
      <c r="D15" s="16" t="s">
        <v>105</v>
      </c>
      <c r="E15" t="s">
        <v>58</v>
      </c>
      <c r="G15">
        <f>INDEX('BALANCE SHEETS'!$B$5:$F$44,'KPI REPORT YEAR TWO'!G$43,'KPI REPORT YEAR TWO'!$I$1)</f>
        <v>2865</v>
      </c>
      <c r="S15">
        <f>INDEX('BALANCE SHEETS'!$B$5:$F$44,'KPI REPORT YEAR TWO'!S$43,'KPI REPORT YEAR TWO'!$I$1)</f>
        <v>-21588</v>
      </c>
    </row>
    <row r="16" spans="1:31" x14ac:dyDescent="0.25">
      <c r="A16" s="12" t="s">
        <v>41</v>
      </c>
      <c r="B16" t="s">
        <v>75</v>
      </c>
      <c r="C16" s="17">
        <f>K16+S16</f>
        <v>17015</v>
      </c>
      <c r="D16" s="17" t="s">
        <v>104</v>
      </c>
      <c r="E16" t="s">
        <v>58</v>
      </c>
      <c r="K16">
        <f>INDEX('BALANCE SHEETS'!$B$5:$F$44,'KPI REPORT YEAR TWO'!K$43,'KPI REPORT YEAR TWO'!$I$1)</f>
        <v>38603</v>
      </c>
      <c r="S16">
        <f>INDEX('BALANCE SHEETS'!$B$5:$F$44,'KPI REPORT YEAR TWO'!S$43,'KPI REPORT YEAR TWO'!$I$1)</f>
        <v>-21588</v>
      </c>
    </row>
    <row r="17" spans="1:26" x14ac:dyDescent="0.25">
      <c r="A17" s="12"/>
      <c r="B17" s="12"/>
    </row>
    <row r="18" spans="1:26" x14ac:dyDescent="0.25">
      <c r="A18" s="12"/>
      <c r="B18" s="12"/>
    </row>
    <row r="20" spans="1:26" x14ac:dyDescent="0.25">
      <c r="A20" s="11" t="s">
        <v>136</v>
      </c>
      <c r="B20" s="11"/>
    </row>
    <row r="21" spans="1:26" x14ac:dyDescent="0.25">
      <c r="A21" s="12" t="s">
        <v>42</v>
      </c>
      <c r="B21" t="s">
        <v>78</v>
      </c>
      <c r="C21" s="16">
        <f>W21/H21</f>
        <v>2.6045106196627983</v>
      </c>
      <c r="D21" s="16" t="s">
        <v>106</v>
      </c>
      <c r="E21" t="s">
        <v>58</v>
      </c>
      <c r="H21">
        <f>AVERAGE(INDEX('BALANCE SHEETS'!$B$5:$F$44,'KPI REPORT YEAR TWO'!H$43,'KPI REPORT YEAR TWO'!$I$1),INDEX('BALANCE SHEETS'!$B$5:$F$44,'KPI REPORT YEAR TWO'!H$43,'KPI REPORT YEAR TWO'!$I$1+1))</f>
        <v>34252.5</v>
      </c>
      <c r="W21">
        <f>INDEX('INCOME STATEMENTS'!$B$5:$F$27,'KPI REPORT YEAR TWO'!W$43,'KPI REPORT YEAR TWO'!$I$1)</f>
        <v>89211</v>
      </c>
    </row>
    <row r="22" spans="1:26" x14ac:dyDescent="0.25">
      <c r="A22" s="12" t="s">
        <v>43</v>
      </c>
      <c r="B22" t="s">
        <v>88</v>
      </c>
      <c r="C22" s="16">
        <f>360/C21</f>
        <v>138.22174395534182</v>
      </c>
      <c r="D22" s="16" t="s">
        <v>107</v>
      </c>
      <c r="E22" t="s">
        <v>59</v>
      </c>
    </row>
    <row r="23" spans="1:26" x14ac:dyDescent="0.25">
      <c r="A23" s="12" t="s">
        <v>44</v>
      </c>
      <c r="B23" t="s">
        <v>79</v>
      </c>
      <c r="C23" s="16">
        <f>X23/J23</f>
        <v>501.83766233766232</v>
      </c>
      <c r="D23" s="16" t="s">
        <v>106</v>
      </c>
      <c r="E23" t="s">
        <v>58</v>
      </c>
      <c r="J23">
        <f>AVERAGE(INDEX('BALANCE SHEETS'!$B$5:$F$44,'KPI REPORT YEAR TWO'!J$43,'KPI REPORT YEAR TWO'!$I$1),INDEX('BALANCE SHEETS'!$B$5:$F$44,'KPI REPORT YEAR TWO'!J$43,'KPI REPORT YEAR TWO'!$I$1+1))</f>
        <v>154</v>
      </c>
      <c r="X23">
        <f>INDEX('INCOME STATEMENTS'!$B$5:$F$27,'KPI REPORT YEAR TWO'!X$43,'KPI REPORT YEAR TWO'!$I$1)</f>
        <v>77283</v>
      </c>
    </row>
    <row r="24" spans="1:26" x14ac:dyDescent="0.25">
      <c r="A24" s="12" t="s">
        <v>45</v>
      </c>
      <c r="B24" t="s">
        <v>89</v>
      </c>
      <c r="C24" s="16">
        <f>360/C23</f>
        <v>0.7173634563875626</v>
      </c>
      <c r="D24" s="16" t="s">
        <v>107</v>
      </c>
      <c r="E24" t="s">
        <v>59</v>
      </c>
    </row>
    <row r="25" spans="1:26" x14ac:dyDescent="0.25">
      <c r="A25" s="14" t="s">
        <v>46</v>
      </c>
      <c r="B25" t="s">
        <v>80</v>
      </c>
      <c r="C25" s="16">
        <f>Y25/P25</f>
        <v>0.27567497065344987</v>
      </c>
      <c r="D25" s="16" t="s">
        <v>108</v>
      </c>
      <c r="E25" t="s">
        <v>58</v>
      </c>
      <c r="P25">
        <f>AVERAGE(INDEX('BALANCE SHEETS'!$B$5:$F$44,'KPI REPORT YEAR TWO'!P$43,'KPI REPORT YEAR TWO'!$I$1),INDEX('BALANCE SHEETS'!$B$5:$F$44,'KPI REPORT YEAR TWO'!P$43,'KPI REPORT YEAR TWO'!$I$1+1))</f>
        <v>-19167.5</v>
      </c>
      <c r="Y25">
        <f>INDEX('INCOME STATEMENTS'!$B$5:$F$27,'KPI REPORT YEAR TWO'!Y$43,'KPI REPORT YEAR TWO'!$I$1)</f>
        <v>-5284</v>
      </c>
      <c r="Z25">
        <f>INDEX('INCOME STATEMENTS'!$B$5:$F$27,'KPI REPORT YEAR TWO'!Z$43,'KPI REPORT YEAR TWO'!$I$1)</f>
        <v>0</v>
      </c>
    </row>
    <row r="26" spans="1:26" x14ac:dyDescent="0.25">
      <c r="A26" s="12" t="s">
        <v>47</v>
      </c>
      <c r="B26" t="s">
        <v>90</v>
      </c>
      <c r="C26" s="16">
        <f>360/C25</f>
        <v>1305.8856926570779</v>
      </c>
      <c r="D26" s="16" t="s">
        <v>109</v>
      </c>
      <c r="E26" t="s">
        <v>59</v>
      </c>
      <c r="Z26">
        <f>INDEX('INCOME STATEMENTS'!$B$5:$F$27,'KPI REPORT YEAR TWO'!Z$43,'KPI REPORT YEAR TWO'!$I$1)</f>
        <v>0</v>
      </c>
    </row>
    <row r="27" spans="1:26" x14ac:dyDescent="0.25">
      <c r="A27" s="14" t="s">
        <v>48</v>
      </c>
      <c r="B27" t="s">
        <v>92</v>
      </c>
      <c r="C27" s="16">
        <f>C22+C24</f>
        <v>138.9391074117294</v>
      </c>
      <c r="D27" s="16" t="s">
        <v>109</v>
      </c>
      <c r="E27" t="s">
        <v>59</v>
      </c>
    </row>
    <row r="28" spans="1:26" x14ac:dyDescent="0.25">
      <c r="A28" s="12" t="s">
        <v>49</v>
      </c>
      <c r="B28" t="s">
        <v>81</v>
      </c>
      <c r="C28" s="16">
        <f>C27-C26</f>
        <v>-1166.9465852453486</v>
      </c>
      <c r="D28" s="25" t="s">
        <v>107</v>
      </c>
      <c r="E28" t="s">
        <v>59</v>
      </c>
    </row>
    <row r="29" spans="1:26" x14ac:dyDescent="0.25">
      <c r="A29" s="12" t="s">
        <v>50</v>
      </c>
      <c r="B29" t="s">
        <v>81</v>
      </c>
      <c r="C29" s="16">
        <f>W29/N29</f>
        <v>1.7896246664928084</v>
      </c>
      <c r="D29" s="16" t="s">
        <v>110</v>
      </c>
      <c r="E29" t="s">
        <v>58</v>
      </c>
      <c r="N29">
        <f>AVERAGE(INDEX('BALANCE SHEETS'!$B$5:$F$44,'KPI REPORT YEAR TWO'!N$43,'KPI REPORT YEAR TWO'!$I$1),INDEX('BALANCE SHEETS'!$B$5:$F$44,'KPI REPORT YEAR TWO'!N$43,'KPI REPORT YEAR TWO'!$I$1+1))</f>
        <v>49849</v>
      </c>
      <c r="W29">
        <f>INDEX('INCOME STATEMENTS'!$B$5:$F$27,'KPI REPORT YEAR TWO'!W$43,'KPI REPORT YEAR TWO'!$I$1)</f>
        <v>89211</v>
      </c>
    </row>
    <row r="31" spans="1:26" x14ac:dyDescent="0.25">
      <c r="A31" s="12" t="s">
        <v>98</v>
      </c>
      <c r="B31" s="12"/>
    </row>
    <row r="33" spans="1:31" x14ac:dyDescent="0.25">
      <c r="A33" s="11" t="s">
        <v>137</v>
      </c>
      <c r="B33" s="11"/>
    </row>
    <row r="34" spans="1:31" x14ac:dyDescent="0.25">
      <c r="A34" s="12" t="s">
        <v>51</v>
      </c>
      <c r="B34" t="s">
        <v>99</v>
      </c>
      <c r="C34" s="24">
        <f>-U34/M34</f>
        <v>0.49311737715204518</v>
      </c>
      <c r="D34" s="18" t="s">
        <v>112</v>
      </c>
      <c r="E34" t="s">
        <v>59</v>
      </c>
      <c r="M34">
        <f>INDEX('BALANCE SHEETS'!$B$5:$F$44,'KPI REPORT YEAR TWO'!M$43,'KPI REPORT YEAR TWO'!$I$1)</f>
        <v>50998</v>
      </c>
      <c r="U34">
        <f>INDEX('BALANCE SHEETS'!$B$5:$F$44,'KPI REPORT YEAR TWO'!U$43,'KPI REPORT YEAR TWO'!$I$1)</f>
        <v>-25148</v>
      </c>
    </row>
    <row r="35" spans="1:31" x14ac:dyDescent="0.25">
      <c r="A35" s="12" t="s">
        <v>52</v>
      </c>
      <c r="B35" t="s">
        <v>100</v>
      </c>
      <c r="C35" s="24">
        <f>-V35/M35</f>
        <v>0.50688262284795482</v>
      </c>
      <c r="D35" s="18" t="s">
        <v>111</v>
      </c>
      <c r="E35" t="s">
        <v>58</v>
      </c>
      <c r="M35">
        <f>INDEX('BALANCE SHEETS'!$B$5:$F$44,'KPI REPORT YEAR TWO'!M$43,'KPI REPORT YEAR TWO'!$I$1)</f>
        <v>50998</v>
      </c>
      <c r="V35">
        <f>INDEX('BALANCE SHEETS'!$B$5:$F$44,'KPI REPORT YEAR TWO'!V$43,'KPI REPORT YEAR TWO'!$I$1)</f>
        <v>-25850</v>
      </c>
    </row>
    <row r="36" spans="1:31" x14ac:dyDescent="0.25">
      <c r="A36" s="12" t="s">
        <v>53</v>
      </c>
      <c r="B36" t="s">
        <v>101</v>
      </c>
      <c r="C36" s="24">
        <f>U36/V36</f>
        <v>0.97284332688588004</v>
      </c>
      <c r="D36" s="18" t="s">
        <v>113</v>
      </c>
      <c r="E36" t="s">
        <v>59</v>
      </c>
      <c r="U36">
        <f>INDEX('BALANCE SHEETS'!$B$5:$F$44,'KPI REPORT YEAR TWO'!U$43,'KPI REPORT YEAR TWO'!$I$1)</f>
        <v>-25148</v>
      </c>
      <c r="V36">
        <f>INDEX('BALANCE SHEETS'!$B$5:$F$44,'KPI REPORT YEAR TWO'!V$43,'KPI REPORT YEAR TWO'!$I$1)</f>
        <v>-25850</v>
      </c>
    </row>
    <row r="37" spans="1:31" x14ac:dyDescent="0.25">
      <c r="A37" s="12" t="s">
        <v>152</v>
      </c>
      <c r="B37" t="s">
        <v>151</v>
      </c>
      <c r="C37" s="24">
        <f>N37/-W37</f>
        <v>2.1296620669030633</v>
      </c>
      <c r="D37" s="18" t="s">
        <v>113</v>
      </c>
      <c r="E37" t="s">
        <v>59</v>
      </c>
      <c r="N37">
        <f>AVERAGE(INDEX('BALANCE SHEETS'!$B$5:$F$44,'KPI REPORT YEAR TWO'!N$43,'KPI REPORT YEAR TWO'!$I$1),INDEX('BALANCE SHEETS'!$B$5:$F$44,'KPI REPORT YEAR TWO'!N$43,'KPI REPORT YEAR TWO'!$I$1+1))</f>
        <v>49849</v>
      </c>
      <c r="W37">
        <f>AVERAGE(INDEX('BALANCE SHEETS'!$B$5:$F$44,'KPI REPORT YEAR TWO'!V$43,'KPI REPORT YEAR TWO'!$I$1),INDEX('BALANCE SHEETS'!$B$5:$F$44,'KPI REPORT YEAR TWO'!V$43,'KPI REPORT YEAR TWO'!$I$1+1))</f>
        <v>-23407</v>
      </c>
    </row>
    <row r="38" spans="1:31" x14ac:dyDescent="0.25">
      <c r="A38" s="14" t="s">
        <v>131</v>
      </c>
      <c r="B38" t="s">
        <v>82</v>
      </c>
      <c r="C38" s="26">
        <f>(AA38+AB38+AC38)/-AB38</f>
        <v>17.50537634408602</v>
      </c>
      <c r="D38" s="25" t="s">
        <v>114</v>
      </c>
      <c r="E38" t="s">
        <v>58</v>
      </c>
      <c r="AA38">
        <f>INDEX('INCOME STATEMENTS'!$B$5:$F$27,'KPI REPORT YEAR TWO'!AA$43,'KPI REPORT YEAR TWO'!$I$1)</f>
        <v>6059</v>
      </c>
      <c r="AB38">
        <f>INDEX('INCOME STATEMENTS'!$B$5:$F$27,'KPI REPORT YEAR TWO'!AB$43,'KPI REPORT YEAR TWO'!$I$1)</f>
        <v>-279</v>
      </c>
      <c r="AC38">
        <f>INDEX('INCOME STATEMENTS'!$B$5:$F$27,'KPI REPORT YEAR TWO'!AC$43,'KPI REPORT YEAR TWO'!$I$1)</f>
        <v>-896</v>
      </c>
    </row>
    <row r="39" spans="1:31" x14ac:dyDescent="0.25">
      <c r="A39" s="14" t="s">
        <v>54</v>
      </c>
      <c r="B39" t="s">
        <v>83</v>
      </c>
      <c r="C39" s="19"/>
      <c r="D39" s="19"/>
      <c r="E39" t="s">
        <v>58</v>
      </c>
      <c r="F39" t="s">
        <v>55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>
        <f>INDEX('INCOME STATEMENTS'!$B$5:$F$27,'KPI REPORT YEAR TWO'!W$43,'KPI REPORT YEAR TWO'!$I$1)</f>
        <v>89211</v>
      </c>
      <c r="X39" s="19">
        <f>INDEX('INCOME STATEMENTS'!$B$5:$F$27,'KPI REPORT YEAR TWO'!X$43,'KPI REPORT YEAR TWO'!$I$1)</f>
        <v>77283</v>
      </c>
      <c r="Y39" s="19">
        <f>INDEX('INCOME STATEMENTS'!$B$5:$F$27,'KPI REPORT YEAR TWO'!Y$43,'KPI REPORT YEAR TWO'!$I$1)</f>
        <v>-5284</v>
      </c>
      <c r="Z39" s="19">
        <f>INDEX('INCOME STATEMENTS'!$B$5:$F$27,'KPI REPORT YEAR TWO'!Z$43,'KPI REPORT YEAR TWO'!$I$1)</f>
        <v>0</v>
      </c>
      <c r="AA39" s="19"/>
      <c r="AB39" s="19"/>
      <c r="AC39" s="19"/>
      <c r="AD39" s="19"/>
      <c r="AE39" s="19"/>
    </row>
    <row r="40" spans="1:31" x14ac:dyDescent="0.25">
      <c r="A40" s="14" t="s">
        <v>132</v>
      </c>
      <c r="B40" t="s">
        <v>84</v>
      </c>
      <c r="C40" s="19"/>
      <c r="D40" s="19"/>
      <c r="E40" t="s">
        <v>58</v>
      </c>
      <c r="F40" t="s">
        <v>102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>
        <f>INDEX('BALANCE SHEETS'!$B$5:$F$44,'KPI REPORT YEAR TWO'!Q$43,'KPI REPORT YEAR TWO'!$I$1)</f>
        <v>-1817</v>
      </c>
      <c r="R40" s="19"/>
      <c r="S40" s="19"/>
      <c r="T40" s="19">
        <f>INDEX('BALANCE SHEETS'!$B$5:$F$44,'KPI REPORT YEAR TWO'!T$43,'KPI REPORT YEAR TWO'!$I$1)</f>
        <v>-3548</v>
      </c>
      <c r="U40" s="19"/>
      <c r="V40" s="19"/>
      <c r="W40" s="19">
        <f>INDEX('INCOME STATEMENTS'!$B$5:$F$27,'KPI REPORT YEAR TWO'!W$43,'KPI REPORT YEAR TWO'!$I$1)</f>
        <v>89211</v>
      </c>
      <c r="X40" s="19">
        <f>INDEX('INCOME STATEMENTS'!$B$5:$F$27,'KPI REPORT YEAR TWO'!X$43,'KPI REPORT YEAR TWO'!$I$1)</f>
        <v>77283</v>
      </c>
      <c r="Y40" s="19">
        <f>INDEX('INCOME STATEMENTS'!$B$5:$F$27,'KPI REPORT YEAR TWO'!Y$43,'KPI REPORT YEAR TWO'!$I$1)</f>
        <v>-5284</v>
      </c>
      <c r="Z40" s="19">
        <f>INDEX('INCOME STATEMENTS'!$B$5:$F$27,'KPI REPORT YEAR TWO'!Z$43,'KPI REPORT YEAR TWO'!$I$1)</f>
        <v>0</v>
      </c>
      <c r="AA40" s="19">
        <f>INDEX('INCOME STATEMENTS'!$B$5:$F$27,'KPI REPORT YEAR TWO'!AA$43,'KPI REPORT YEAR TWO'!$I$1)</f>
        <v>6059</v>
      </c>
      <c r="AB40" s="19">
        <f>INDEX('INCOME STATEMENTS'!$B$5:$F$27,'KPI REPORT YEAR TWO'!AB$43,'KPI REPORT YEAR TWO'!$I$1)</f>
        <v>-279</v>
      </c>
      <c r="AC40" s="19"/>
      <c r="AD40" s="19"/>
      <c r="AE40" s="19"/>
    </row>
    <row r="41" spans="1:31" x14ac:dyDescent="0.25">
      <c r="A41" s="14" t="s">
        <v>133</v>
      </c>
      <c r="B41" s="14"/>
    </row>
    <row r="43" spans="1:31" x14ac:dyDescent="0.25">
      <c r="G43">
        <f>VLOOKUP(G$2,'BALANCE SHEETS'!$K$5:$L$44,2,FALSE)</f>
        <v>1</v>
      </c>
      <c r="H43">
        <f>VLOOKUP(H$2,'BALANCE SHEETS'!$K$5:$L$44,2,FALSE)</f>
        <v>2</v>
      </c>
      <c r="I43">
        <f>VLOOKUP(I$2,'BALANCE SHEETS'!$K$5:$L$44,2,FALSE)</f>
        <v>3</v>
      </c>
      <c r="J43">
        <v>3</v>
      </c>
      <c r="K43">
        <v>4</v>
      </c>
      <c r="L43">
        <f>VLOOKUP(L$2,'BALANCE SHEETS'!$K$5:$L$44,2,FALSE)</f>
        <v>8</v>
      </c>
      <c r="M43">
        <f>VLOOKUP(M$2,'BALANCE SHEETS'!$K$5:$L$44,2,FALSE)</f>
        <v>13</v>
      </c>
      <c r="N43">
        <v>13</v>
      </c>
      <c r="O43">
        <f>VLOOKUP(O$2,'BALANCE SHEETS'!$K$5:$L$44,2,FALSE)</f>
        <v>16</v>
      </c>
      <c r="P43">
        <v>16</v>
      </c>
      <c r="Q43">
        <f>VLOOKUP(Q$2,'BALANCE SHEETS'!$K$5:$L$44,2,FALSE)</f>
        <v>17</v>
      </c>
      <c r="R43">
        <f>VLOOKUP(R$2,'BALANCE SHEETS'!$K$5:$L$44,2,FALSE)</f>
        <v>18</v>
      </c>
      <c r="S43">
        <f>VLOOKUP(S$2,'BALANCE SHEETS'!$K$5:$L$44,2,FALSE)</f>
        <v>19</v>
      </c>
      <c r="T43">
        <f>VLOOKUP(T$2,'BALANCE SHEETS'!$K$5:$L$44,2,FALSE)</f>
        <v>22</v>
      </c>
      <c r="U43">
        <f>VLOOKUP(U$2,'BALANCE SHEETS'!$K$5:$L$44,2,FALSE)</f>
        <v>26</v>
      </c>
      <c r="V43">
        <f>VLOOKUP(V$2,'BALANCE SHEETS'!$K$5:$L$44,2,FALSE)</f>
        <v>36</v>
      </c>
      <c r="W43">
        <f>VLOOKUP(W$2,'INCOME STATEMENTS'!$M:$N,2,FALSE)</f>
        <v>1</v>
      </c>
      <c r="X43">
        <f>VLOOKUP(X$2,'INCOME STATEMENTS'!$M:$N,2,FALSE)</f>
        <v>2</v>
      </c>
      <c r="Y43">
        <f>VLOOKUP(Y$2,'INCOME STATEMENTS'!$M:$N,2,FALSE)</f>
        <v>6</v>
      </c>
      <c r="Z43">
        <f>VLOOKUP(Z$2,'INCOME STATEMENTS'!$M:$N,2,FALSE)</f>
        <v>5</v>
      </c>
      <c r="AA43">
        <f>VLOOKUP(AA$2,'INCOME STATEMENTS'!$M:$N,2,FALSE)</f>
        <v>17</v>
      </c>
      <c r="AB43">
        <f>VLOOKUP(AB$2,'INCOME STATEMENTS'!$M:$N,2,FALSE)</f>
        <v>20</v>
      </c>
      <c r="AC43">
        <f>VLOOKUP(AC$2,'INCOME STATEMENTS'!$M:$N,2,FALSE)</f>
        <v>21</v>
      </c>
      <c r="AD43" t="e">
        <f>VLOOKUP(AD$2,'INCOME STATEMENTS'!$M:$N,2,FALSE)</f>
        <v>#N/A</v>
      </c>
      <c r="AE43">
        <f>VLOOKUP(AE$2,'INCOME STATEMENTS'!$M:$N,2,FALSE)</f>
        <v>23</v>
      </c>
    </row>
  </sheetData>
  <conditionalFormatting sqref="C34:D36 C5:D6">
    <cfRule type="expression" dxfId="17" priority="6">
      <formula>"&lt;0"</formula>
    </cfRule>
  </conditionalFormatting>
  <conditionalFormatting sqref="D13">
    <cfRule type="expression" dxfId="16" priority="5">
      <formula>"&lt;0"</formula>
    </cfRule>
  </conditionalFormatting>
  <conditionalFormatting sqref="D14">
    <cfRule type="expression" dxfId="15" priority="4">
      <formula>"&lt;0"</formula>
    </cfRule>
  </conditionalFormatting>
  <conditionalFormatting sqref="C7:D8">
    <cfRule type="expression" dxfId="14" priority="3">
      <formula>"&lt;0"</formula>
    </cfRule>
  </conditionalFormatting>
  <conditionalFormatting sqref="D37">
    <cfRule type="expression" dxfId="13" priority="2">
      <formula>"&lt;0"</formula>
    </cfRule>
  </conditionalFormatting>
  <conditionalFormatting sqref="C37">
    <cfRule type="expression" dxfId="12" priority="1">
      <formula>"&lt;0"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'BALANCE SHEETS'!$B$3:$E$3</xm:f>
          </x14:formula1>
          <xm:sqref>H1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zoomScaleNormal="100" workbookViewId="0">
      <pane xSplit="3" ySplit="2" topLeftCell="E24" activePane="bottomRight" state="frozen"/>
      <selection pane="topRight" activeCell="G1" sqref="G1"/>
      <selection pane="bottomLeft" activeCell="A3" sqref="A3"/>
      <selection pane="bottomRight" activeCell="A38" sqref="A38"/>
    </sheetView>
  </sheetViews>
  <sheetFormatPr defaultRowHeight="15" x14ac:dyDescent="0.25"/>
  <cols>
    <col min="1" max="1" width="88.5703125" style="15" customWidth="1"/>
    <col min="2" max="2" width="120.7109375" style="15" hidden="1" customWidth="1"/>
    <col min="3" max="3" width="10.7109375" customWidth="1"/>
    <col min="4" max="4" width="48.7109375" bestFit="1" customWidth="1"/>
    <col min="5" max="5" width="17.28515625" customWidth="1"/>
    <col min="6" max="6" width="88" customWidth="1"/>
    <col min="8" max="11" width="12.7109375" customWidth="1"/>
    <col min="15" max="19" width="12.7109375" customWidth="1"/>
    <col min="21" max="21" width="10.7109375" customWidth="1"/>
    <col min="23" max="23" width="12.7109375" customWidth="1"/>
    <col min="25" max="28" width="12.7109375" customWidth="1"/>
    <col min="31" max="31" width="13.7109375" customWidth="1"/>
  </cols>
  <sheetData>
    <row r="1" spans="1:31" x14ac:dyDescent="0.25">
      <c r="G1" t="s">
        <v>115</v>
      </c>
      <c r="H1" s="1">
        <v>43100</v>
      </c>
      <c r="I1">
        <f>HLOOKUP($H$1,'BALANCE SHEETS'!$B$3:$E$46,44,FALSE)</f>
        <v>3</v>
      </c>
    </row>
    <row r="2" spans="1:31" ht="60" x14ac:dyDescent="0.25">
      <c r="A2" s="10" t="s">
        <v>35</v>
      </c>
      <c r="B2" s="10" t="s">
        <v>71</v>
      </c>
      <c r="C2" s="1">
        <f>H1</f>
        <v>43100</v>
      </c>
      <c r="D2" s="1" t="s">
        <v>103</v>
      </c>
      <c r="E2" t="s">
        <v>57</v>
      </c>
      <c r="F2" t="s">
        <v>56</v>
      </c>
      <c r="G2" s="23" t="s">
        <v>10</v>
      </c>
      <c r="H2" s="23" t="s">
        <v>12</v>
      </c>
      <c r="I2" s="23" t="s">
        <v>66</v>
      </c>
      <c r="J2" s="23" t="s">
        <v>128</v>
      </c>
      <c r="K2" s="23" t="s">
        <v>11</v>
      </c>
      <c r="L2" s="23" t="s">
        <v>67</v>
      </c>
      <c r="M2" s="23" t="s">
        <v>22</v>
      </c>
      <c r="N2" s="23" t="s">
        <v>127</v>
      </c>
      <c r="O2" s="23" t="s">
        <v>85</v>
      </c>
      <c r="P2" s="23" t="s">
        <v>129</v>
      </c>
      <c r="Q2" s="23" t="s">
        <v>120</v>
      </c>
      <c r="R2" s="23" t="s">
        <v>121</v>
      </c>
      <c r="S2" s="23" t="s">
        <v>126</v>
      </c>
      <c r="T2" s="23" t="s">
        <v>122</v>
      </c>
      <c r="U2" s="23" t="s">
        <v>24</v>
      </c>
      <c r="V2" s="23" t="s">
        <v>25</v>
      </c>
      <c r="W2" s="23" t="s">
        <v>0</v>
      </c>
      <c r="X2" s="23" t="s">
        <v>1</v>
      </c>
      <c r="Y2" s="23" t="s">
        <v>68</v>
      </c>
      <c r="Z2" s="23" t="s">
        <v>69</v>
      </c>
      <c r="AA2" s="23" t="s">
        <v>125</v>
      </c>
      <c r="AB2" s="23" t="s">
        <v>124</v>
      </c>
      <c r="AC2" s="23" t="s">
        <v>70</v>
      </c>
      <c r="AD2" s="23" t="s">
        <v>86</v>
      </c>
      <c r="AE2" s="23" t="s">
        <v>3</v>
      </c>
    </row>
    <row r="4" spans="1:31" x14ac:dyDescent="0.25">
      <c r="A4" s="11" t="s">
        <v>36</v>
      </c>
      <c r="B4" s="11"/>
    </row>
    <row r="5" spans="1:31" x14ac:dyDescent="0.25">
      <c r="A5" s="12" t="s">
        <v>37</v>
      </c>
      <c r="B5" t="s">
        <v>72</v>
      </c>
      <c r="C5" s="13">
        <f>(W5-X5)/W5</f>
        <v>0.1012544089956772</v>
      </c>
      <c r="D5" s="13" t="s">
        <v>104</v>
      </c>
      <c r="E5" t="s">
        <v>58</v>
      </c>
      <c r="W5">
        <f>INDEX('INCOME STATEMENTS'!$B$5:$F$27,'KPI REPORT YEAR THREE'!W$43,'KPI REPORT YEAR THREE'!$I$1)</f>
        <v>75414</v>
      </c>
      <c r="X5">
        <f>INDEX('INCOME STATEMENTS'!$B$5:$F$27,'KPI REPORT YEAR THREE'!X$43,'KPI REPORT YEAR THREE'!$I$1)</f>
        <v>67778</v>
      </c>
    </row>
    <row r="6" spans="1:31" x14ac:dyDescent="0.25">
      <c r="A6" s="12" t="s">
        <v>38</v>
      </c>
      <c r="B6" t="s">
        <v>73</v>
      </c>
      <c r="C6" s="13">
        <f>AE6/W6</f>
        <v>2.2860476834540004E-2</v>
      </c>
      <c r="D6" s="13" t="s">
        <v>104</v>
      </c>
      <c r="E6" t="s">
        <v>58</v>
      </c>
      <c r="W6">
        <f>INDEX('INCOME STATEMENTS'!$B$5:$F$27,'KPI REPORT YEAR THREE'!W$43,'KPI REPORT YEAR THREE'!$I$1)</f>
        <v>75414</v>
      </c>
      <c r="AE6">
        <f>INDEX('INCOME STATEMENTS'!$B$5:$F$27,'KPI REPORT YEAR THREE'!AE$43,'KPI REPORT YEAR THREE'!$I$1)</f>
        <v>1724</v>
      </c>
    </row>
    <row r="7" spans="1:31" x14ac:dyDescent="0.25">
      <c r="A7" s="12" t="s">
        <v>135</v>
      </c>
      <c r="B7" s="12" t="s">
        <v>87</v>
      </c>
      <c r="C7" s="13">
        <f>AE7/N7</f>
        <v>7.7233244398082213E-2</v>
      </c>
      <c r="D7" s="13" t="s">
        <v>104</v>
      </c>
      <c r="E7" t="s">
        <v>58</v>
      </c>
      <c r="N7">
        <f>AVERAGE(INDEX('BALANCE SHEETS'!$B$5:$F$44,'KPI REPORT YEAR THREE'!N$43,'KPI REPORT YEAR THREE'!$I$1),INDEX('BALANCE SHEETS'!$B$5:$F$44,'KPI REPORT YEAR THREE'!N$43,'KPI REPORT YEAR ONE'!$I$1+1))</f>
        <v>49849</v>
      </c>
      <c r="AE7">
        <f>INDEX('INCOME STATEMENTS'!$B$5:$F$27,'KPI REPORT YEAR ONE'!AF$43,'KPI REPORT YEAR ONE'!$I$1)</f>
        <v>3850</v>
      </c>
    </row>
    <row r="8" spans="1:31" x14ac:dyDescent="0.25">
      <c r="A8" s="12" t="s">
        <v>134</v>
      </c>
      <c r="B8" t="s">
        <v>74</v>
      </c>
      <c r="C8" s="13">
        <f>AE8/-V8</f>
        <v>0.19152323151925182</v>
      </c>
      <c r="D8" s="13" t="s">
        <v>104</v>
      </c>
      <c r="E8" t="s">
        <v>58</v>
      </c>
      <c r="V8">
        <f>AVERAGE(INDEX('BALANCE SHEETS'!$B$5:$F$44,'KPI REPORT YEAR THREE'!V$43,'KPI REPORT YEAR THREE'!$I$1),INDEX('BALANCE SHEETS'!$B$5:$F$44,'KPI REPORT YEAR THREE'!V$43,'KPI REPORT YEAR THREE'!$I$1+1))</f>
        <v>-20102</v>
      </c>
      <c r="AE8">
        <f>INDEX('INCOME STATEMENTS'!$B$5:$F$27,'KPI REPORT YEAR ONE'!AF$43,'KPI REPORT YEAR ONE'!$I$1)</f>
        <v>3850</v>
      </c>
    </row>
    <row r="12" spans="1:31" x14ac:dyDescent="0.25">
      <c r="A12" s="11" t="s">
        <v>39</v>
      </c>
      <c r="B12" s="11"/>
    </row>
    <row r="13" spans="1:31" x14ac:dyDescent="0.25">
      <c r="A13" s="14" t="s">
        <v>40</v>
      </c>
      <c r="B13" t="s">
        <v>75</v>
      </c>
      <c r="C13" s="16">
        <f>K13/-S13</f>
        <v>1.6511764175606238</v>
      </c>
      <c r="D13" s="13" t="s">
        <v>105</v>
      </c>
      <c r="E13" t="s">
        <v>58</v>
      </c>
      <c r="K13">
        <f>INDEX('BALANCE SHEETS'!$B$5:$F$44,'KPI REPORT YEAR THREE'!K$43,'KPI REPORT YEAR THREE'!$I$1)</f>
        <v>36633</v>
      </c>
      <c r="S13">
        <f>INDEX('BALANCE SHEETS'!$B$5:$F$44,'KPI REPORT YEAR THREE'!S$43,'KPI REPORT YEAR THREE'!$I$1)</f>
        <v>-22186</v>
      </c>
    </row>
    <row r="14" spans="1:31" x14ac:dyDescent="0.25">
      <c r="A14" s="12" t="s">
        <v>130</v>
      </c>
      <c r="B14" s="23" t="s">
        <v>76</v>
      </c>
      <c r="C14" s="16">
        <f>(K14-I14)/-S14</f>
        <v>1.642973046065086</v>
      </c>
      <c r="D14" s="13" t="s">
        <v>105</v>
      </c>
      <c r="E14" t="s">
        <v>58</v>
      </c>
      <c r="I14">
        <f>INDEX('BALANCE SHEETS'!$B$5:$F$44,'KPI REPORT YEAR THREE'!I$43,'KPI REPORT YEAR THREE'!$I$1)</f>
        <v>182</v>
      </c>
      <c r="K14">
        <f>INDEX('BALANCE SHEETS'!$B$5:$F$44,'KPI REPORT YEAR THREE'!K$43,'KPI REPORT YEAR THREE'!$I$1)</f>
        <v>36633</v>
      </c>
      <c r="S14">
        <f>INDEX('BALANCE SHEETS'!$B$5:$F$44,'KPI REPORT YEAR THREE'!S$43,'KPI REPORT YEAR THREE'!$I$1)</f>
        <v>-22186</v>
      </c>
    </row>
    <row r="15" spans="1:31" x14ac:dyDescent="0.25">
      <c r="A15" s="12" t="s">
        <v>91</v>
      </c>
      <c r="B15" t="s">
        <v>77</v>
      </c>
      <c r="C15" s="16">
        <f>G15/-S15</f>
        <v>0.16037140539078698</v>
      </c>
      <c r="D15" s="16" t="s">
        <v>105</v>
      </c>
      <c r="E15" t="s">
        <v>58</v>
      </c>
      <c r="G15">
        <f>INDEX('BALANCE SHEETS'!$B$5:$F$44,'KPI REPORT YEAR THREE'!G$43,'KPI REPORT YEAR THREE'!$I$1)</f>
        <v>3558</v>
      </c>
      <c r="S15">
        <f>INDEX('BALANCE SHEETS'!$B$5:$F$44,'KPI REPORT YEAR THREE'!S$43,'KPI REPORT YEAR THREE'!$I$1)</f>
        <v>-22186</v>
      </c>
    </row>
    <row r="16" spans="1:31" x14ac:dyDescent="0.25">
      <c r="A16" s="12" t="s">
        <v>41</v>
      </c>
      <c r="B16" t="s">
        <v>75</v>
      </c>
      <c r="C16" s="17">
        <f>K16+S16</f>
        <v>14447</v>
      </c>
      <c r="D16" s="17" t="s">
        <v>104</v>
      </c>
      <c r="E16" t="s">
        <v>58</v>
      </c>
      <c r="K16">
        <f>INDEX('BALANCE SHEETS'!$B$5:$F$44,'KPI REPORT YEAR THREE'!K$43,'KPI REPORT YEAR THREE'!$I$1)</f>
        <v>36633</v>
      </c>
      <c r="S16">
        <f>INDEX('BALANCE SHEETS'!$B$5:$F$44,'KPI REPORT YEAR THREE'!S$43,'KPI REPORT YEAR THREE'!$I$1)</f>
        <v>-22186</v>
      </c>
    </row>
    <row r="17" spans="1:26" x14ac:dyDescent="0.25">
      <c r="A17" s="12"/>
      <c r="B17" s="12"/>
    </row>
    <row r="18" spans="1:26" x14ac:dyDescent="0.25">
      <c r="A18" s="12"/>
      <c r="B18" s="12"/>
    </row>
    <row r="20" spans="1:26" x14ac:dyDescent="0.25">
      <c r="A20" s="11" t="s">
        <v>136</v>
      </c>
      <c r="B20" s="11"/>
    </row>
    <row r="21" spans="1:26" x14ac:dyDescent="0.25">
      <c r="A21" s="12" t="s">
        <v>42</v>
      </c>
      <c r="B21" t="s">
        <v>78</v>
      </c>
      <c r="C21" s="16">
        <f>W21/H21</f>
        <v>2.4075084997366281</v>
      </c>
      <c r="D21" s="16" t="s">
        <v>106</v>
      </c>
      <c r="E21" t="s">
        <v>58</v>
      </c>
      <c r="H21">
        <f>AVERAGE(INDEX('BALANCE SHEETS'!$B$5:$F$44,'KPI REPORT YEAR THREE'!H$43,'KPI REPORT YEAR THREE'!$I$1),INDEX('BALANCE SHEETS'!$B$5:$F$44,'KPI REPORT YEAR THREE'!H$43,'KPI REPORT YEAR THREE'!$I$1+1))</f>
        <v>31324.5</v>
      </c>
      <c r="W21">
        <f>INDEX('INCOME STATEMENTS'!$B$5:$F$27,'KPI REPORT YEAR THREE'!W$43,'KPI REPORT YEAR THREE'!$I$1)</f>
        <v>75414</v>
      </c>
    </row>
    <row r="22" spans="1:26" x14ac:dyDescent="0.25">
      <c r="A22" s="12" t="s">
        <v>43</v>
      </c>
      <c r="B22" t="s">
        <v>88</v>
      </c>
      <c r="C22" s="16">
        <f>360/C21</f>
        <v>149.53218235340918</v>
      </c>
      <c r="D22" s="16" t="s">
        <v>107</v>
      </c>
      <c r="E22" t="s">
        <v>59</v>
      </c>
    </row>
    <row r="23" spans="1:26" x14ac:dyDescent="0.25">
      <c r="A23" s="12" t="s">
        <v>44</v>
      </c>
      <c r="B23" t="s">
        <v>79</v>
      </c>
      <c r="C23" s="16">
        <f>X23/J23</f>
        <v>450.35215946843851</v>
      </c>
      <c r="D23" s="16" t="s">
        <v>106</v>
      </c>
      <c r="E23" t="s">
        <v>58</v>
      </c>
      <c r="J23">
        <f>AVERAGE(INDEX('BALANCE SHEETS'!$B$5:$F$44,'KPI REPORT YEAR THREE'!J$43,'KPI REPORT YEAR THREE'!$I$1),INDEX('BALANCE SHEETS'!$B$5:$F$44,'KPI REPORT YEAR THREE'!J$43,'KPI REPORT YEAR THREE'!$I$1+1))</f>
        <v>150.5</v>
      </c>
      <c r="X23">
        <f>INDEX('INCOME STATEMENTS'!$B$5:$F$27,'KPI REPORT YEAR THREE'!X$43,'KPI REPORT YEAR THREE'!$I$1)</f>
        <v>67778</v>
      </c>
    </row>
    <row r="24" spans="1:26" x14ac:dyDescent="0.25">
      <c r="A24" s="12" t="s">
        <v>45</v>
      </c>
      <c r="B24" t="s">
        <v>89</v>
      </c>
      <c r="C24" s="16">
        <f>360/C23</f>
        <v>0.79937442828056304</v>
      </c>
      <c r="D24" s="16" t="s">
        <v>107</v>
      </c>
      <c r="E24" t="s">
        <v>59</v>
      </c>
    </row>
    <row r="25" spans="1:26" x14ac:dyDescent="0.25">
      <c r="A25" s="14" t="s">
        <v>46</v>
      </c>
      <c r="B25" t="s">
        <v>80</v>
      </c>
      <c r="C25" s="16">
        <f>Y25/P25</f>
        <v>0.21710296684118674</v>
      </c>
      <c r="D25" s="16" t="s">
        <v>108</v>
      </c>
      <c r="E25" t="s">
        <v>58</v>
      </c>
      <c r="P25">
        <f>AVERAGE(INDEX('BALANCE SHEETS'!$B$5:$F$44,'KPI REPORT YEAR THREE'!P$43,'KPI REPORT YEAR THREE'!$I$1),INDEX('BALANCE SHEETS'!$B$5:$F$44,'KPI REPORT YEAR THREE'!P$43,'KPI REPORT YEAR THREE'!$I$1+1))</f>
        <v>-20055</v>
      </c>
      <c r="Y25">
        <f>INDEX('INCOME STATEMENTS'!$B$5:$F$27,'KPI REPORT YEAR THREE'!Y$43,'KPI REPORT YEAR THREE'!$I$1)</f>
        <v>-4354</v>
      </c>
      <c r="Z25">
        <f>INDEX('INCOME STATEMENTS'!$B$5:$F$27,'KPI REPORT YEAR THREE'!Z$43,'KPI REPORT YEAR THREE'!$I$1)</f>
        <v>0</v>
      </c>
    </row>
    <row r="26" spans="1:26" x14ac:dyDescent="0.25">
      <c r="A26" s="12" t="s">
        <v>47</v>
      </c>
      <c r="B26" t="s">
        <v>90</v>
      </c>
      <c r="C26" s="16">
        <f>360/C25</f>
        <v>1658.1993569131832</v>
      </c>
      <c r="D26" s="16" t="s">
        <v>109</v>
      </c>
      <c r="E26" t="s">
        <v>59</v>
      </c>
      <c r="Z26">
        <f>INDEX('INCOME STATEMENTS'!$B$5:$F$27,'KPI REPORT YEAR THREE'!Z$43,'KPI REPORT YEAR THREE'!$I$1)</f>
        <v>0</v>
      </c>
    </row>
    <row r="27" spans="1:26" x14ac:dyDescent="0.25">
      <c r="A27" s="14" t="s">
        <v>48</v>
      </c>
      <c r="B27" t="s">
        <v>92</v>
      </c>
      <c r="C27" s="16">
        <f>C22+C24</f>
        <v>150.33155678168976</v>
      </c>
      <c r="D27" s="16" t="s">
        <v>109</v>
      </c>
      <c r="E27" t="s">
        <v>59</v>
      </c>
    </row>
    <row r="28" spans="1:26" x14ac:dyDescent="0.25">
      <c r="A28" s="12" t="s">
        <v>49</v>
      </c>
      <c r="B28" t="s">
        <v>81</v>
      </c>
      <c r="C28" s="16">
        <f>C27-C26</f>
        <v>-1507.8678001314934</v>
      </c>
      <c r="D28" s="25" t="s">
        <v>107</v>
      </c>
      <c r="E28" t="s">
        <v>59</v>
      </c>
    </row>
    <row r="29" spans="1:26" x14ac:dyDescent="0.25">
      <c r="A29" s="12" t="s">
        <v>50</v>
      </c>
      <c r="B29" t="s">
        <v>81</v>
      </c>
      <c r="C29" s="16">
        <f>W29/N29</f>
        <v>1.6511724651325728</v>
      </c>
      <c r="D29" s="16" t="s">
        <v>110</v>
      </c>
      <c r="E29" t="s">
        <v>58</v>
      </c>
      <c r="N29">
        <f>AVERAGE(INDEX('BALANCE SHEETS'!$B$5:$F$44,'KPI REPORT YEAR THREE'!N$43,'KPI REPORT YEAR THREE'!$I$1),INDEX('BALANCE SHEETS'!$B$5:$F$44,'KPI REPORT YEAR THREE'!N$43,'KPI REPORT YEAR THREE'!$I$1+1))</f>
        <v>45673</v>
      </c>
      <c r="W29">
        <f>INDEX('INCOME STATEMENTS'!$B$5:$F$27,'KPI REPORT YEAR THREE'!W$43,'KPI REPORT YEAR THREE'!$I$1)</f>
        <v>75414</v>
      </c>
    </row>
    <row r="31" spans="1:26" x14ac:dyDescent="0.25">
      <c r="A31" s="12" t="s">
        <v>98</v>
      </c>
      <c r="B31" s="12"/>
    </row>
    <row r="33" spans="1:31" x14ac:dyDescent="0.25">
      <c r="A33" s="11" t="s">
        <v>137</v>
      </c>
      <c r="B33" s="11"/>
    </row>
    <row r="34" spans="1:31" x14ac:dyDescent="0.25">
      <c r="A34" s="12" t="s">
        <v>51</v>
      </c>
      <c r="B34" t="s">
        <v>99</v>
      </c>
      <c r="C34" s="24">
        <f>-U34/M34</f>
        <v>0.56952772073921976</v>
      </c>
      <c r="D34" s="18" t="s">
        <v>112</v>
      </c>
      <c r="E34" t="s">
        <v>59</v>
      </c>
      <c r="M34">
        <f>INDEX('BALANCE SHEETS'!$B$5:$F$44,'KPI REPORT YEAR THREE'!M$43,'KPI REPORT YEAR THREE'!$I$1)</f>
        <v>48700</v>
      </c>
      <c r="U34">
        <f>INDEX('BALANCE SHEETS'!$B$5:$F$44,'KPI REPORT YEAR THREE'!U$43,'KPI REPORT YEAR THREE'!$I$1)</f>
        <v>-27736</v>
      </c>
    </row>
    <row r="35" spans="1:31" x14ac:dyDescent="0.25">
      <c r="A35" s="12" t="s">
        <v>52</v>
      </c>
      <c r="B35" t="s">
        <v>100</v>
      </c>
      <c r="C35" s="24">
        <f>-V35/M35</f>
        <v>0.4304722792607803</v>
      </c>
      <c r="D35" s="18" t="s">
        <v>111</v>
      </c>
      <c r="E35" t="s">
        <v>58</v>
      </c>
      <c r="M35">
        <f>INDEX('BALANCE SHEETS'!$B$5:$F$44,'KPI REPORT YEAR THREE'!M$43,'KPI REPORT YEAR THREE'!$I$1)</f>
        <v>48700</v>
      </c>
      <c r="V35">
        <f>INDEX('BALANCE SHEETS'!$B$5:$F$44,'KPI REPORT YEAR THREE'!V$43,'KPI REPORT YEAR THREE'!$I$1)</f>
        <v>-20964</v>
      </c>
    </row>
    <row r="36" spans="1:31" x14ac:dyDescent="0.25">
      <c r="A36" s="12" t="s">
        <v>53</v>
      </c>
      <c r="B36" t="s">
        <v>101</v>
      </c>
      <c r="C36" s="24">
        <f>U36/V36</f>
        <v>1.3230299561152452</v>
      </c>
      <c r="D36" s="18" t="s">
        <v>113</v>
      </c>
      <c r="E36" t="s">
        <v>59</v>
      </c>
      <c r="U36">
        <f>INDEX('BALANCE SHEETS'!$B$5:$F$44,'KPI REPORT YEAR THREE'!U$43,'KPI REPORT YEAR THREE'!$I$1)</f>
        <v>-27736</v>
      </c>
      <c r="V36">
        <f>INDEX('BALANCE SHEETS'!$B$5:$F$44,'KPI REPORT YEAR THREE'!V$43,'KPI REPORT YEAR THREE'!$I$1)</f>
        <v>-20964</v>
      </c>
    </row>
    <row r="37" spans="1:31" x14ac:dyDescent="0.25">
      <c r="A37" s="12" t="s">
        <v>152</v>
      </c>
      <c r="B37" t="s">
        <v>151</v>
      </c>
      <c r="C37" s="24">
        <f>N37/-W37</f>
        <v>2.2720624813451398</v>
      </c>
      <c r="D37" s="18" t="s">
        <v>113</v>
      </c>
      <c r="E37" t="s">
        <v>59</v>
      </c>
      <c r="N37">
        <f>AVERAGE(INDEX('BALANCE SHEETS'!$B$5:$F$44,'KPI REPORT YEAR THREE'!N$43,'KPI REPORT YEAR THREE'!$I$1),INDEX('BALANCE SHEETS'!$B$5:$F$44,'KPI REPORT YEAR THREE'!N$43,'KPI REPORT YEAR THREE'!$I$1+1))</f>
        <v>45673</v>
      </c>
      <c r="W37">
        <f>AVERAGE(INDEX('BALANCE SHEETS'!$B$5:$F$44,'KPI REPORT YEAR THREE'!V$43,'KPI REPORT YEAR THREE'!$I$1),INDEX('BALANCE SHEETS'!$B$5:$F$44,'KPI REPORT YEAR THREE'!V$43,'KPI REPORT YEAR THREE'!$I$1+1))</f>
        <v>-20102</v>
      </c>
    </row>
    <row r="38" spans="1:31" x14ac:dyDescent="0.25">
      <c r="A38" s="14" t="s">
        <v>131</v>
      </c>
      <c r="B38" t="s">
        <v>82</v>
      </c>
      <c r="C38" s="26">
        <f>(AA38+AB38+AC38)/-AB38</f>
        <v>9.020942408376964</v>
      </c>
      <c r="D38" s="25" t="s">
        <v>114</v>
      </c>
      <c r="E38" t="s">
        <v>58</v>
      </c>
      <c r="AA38">
        <f>INDEX('INCOME STATEMENTS'!$B$5:$F$27,'KPI REPORT YEAR THREE'!AA$43,'KPI REPORT YEAR THREE'!$I$1)</f>
        <v>2150</v>
      </c>
      <c r="AB38">
        <f>INDEX('INCOME STATEMENTS'!$B$5:$F$27,'KPI REPORT YEAR THREE'!AB$43,'KPI REPORT YEAR THREE'!$I$1)</f>
        <v>-191</v>
      </c>
      <c r="AC38">
        <f>INDEX('INCOME STATEMENTS'!$B$5:$F$27,'KPI REPORT YEAR THREE'!AC$43,'KPI REPORT YEAR THREE'!$I$1)</f>
        <v>-236</v>
      </c>
    </row>
    <row r="39" spans="1:31" x14ac:dyDescent="0.25">
      <c r="A39" s="14" t="s">
        <v>54</v>
      </c>
      <c r="B39" t="s">
        <v>83</v>
      </c>
      <c r="C39" s="19"/>
      <c r="D39" s="19"/>
      <c r="E39" t="s">
        <v>58</v>
      </c>
      <c r="F39" t="s">
        <v>55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>
        <f>INDEX('INCOME STATEMENTS'!$B$5:$F$27,'KPI REPORT YEAR THREE'!W$43,'KPI REPORT YEAR THREE'!$I$1)</f>
        <v>75414</v>
      </c>
      <c r="X39" s="19">
        <f>INDEX('INCOME STATEMENTS'!$B$5:$F$27,'KPI REPORT YEAR THREE'!X$43,'KPI REPORT YEAR THREE'!$I$1)</f>
        <v>67778</v>
      </c>
      <c r="Y39" s="19">
        <f>INDEX('INCOME STATEMENTS'!$B$5:$F$27,'KPI REPORT YEAR THREE'!Y$43,'KPI REPORT YEAR THREE'!$I$1)</f>
        <v>-4354</v>
      </c>
      <c r="Z39" s="19">
        <f>INDEX('INCOME STATEMENTS'!$B$5:$F$27,'KPI REPORT YEAR THREE'!Z$43,'KPI REPORT YEAR THREE'!$I$1)</f>
        <v>0</v>
      </c>
      <c r="AA39" s="19"/>
      <c r="AB39" s="19"/>
      <c r="AC39" s="19"/>
      <c r="AD39" s="19"/>
      <c r="AE39" s="19"/>
    </row>
    <row r="40" spans="1:31" x14ac:dyDescent="0.25">
      <c r="A40" s="14" t="s">
        <v>132</v>
      </c>
      <c r="B40" t="s">
        <v>84</v>
      </c>
      <c r="C40" s="19"/>
      <c r="D40" s="19"/>
      <c r="E40" t="s">
        <v>58</v>
      </c>
      <c r="F40" t="s">
        <v>102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>
        <f>INDEX('BALANCE SHEETS'!$B$5:$F$44,'KPI REPORT YEAR THREE'!Q$43,'KPI REPORT YEAR THREE'!$I$1)</f>
        <v>-1750</v>
      </c>
      <c r="R40" s="19"/>
      <c r="S40" s="19"/>
      <c r="T40" s="19">
        <f>INDEX('BALANCE SHEETS'!$B$5:$F$44,'KPI REPORT YEAR THREE'!T$43,'KPI REPORT YEAR THREE'!$I$1)</f>
        <v>-5357</v>
      </c>
      <c r="U40" s="19"/>
      <c r="V40" s="19"/>
      <c r="W40" s="19">
        <f>INDEX('INCOME STATEMENTS'!$B$5:$F$27,'KPI REPORT YEAR THREE'!W$43,'KPI REPORT YEAR THREE'!$I$1)</f>
        <v>75414</v>
      </c>
      <c r="X40" s="19">
        <f>INDEX('INCOME STATEMENTS'!$B$5:$F$27,'KPI REPORT YEAR THREE'!X$43,'KPI REPORT YEAR THREE'!$I$1)</f>
        <v>67778</v>
      </c>
      <c r="Y40" s="19">
        <f>INDEX('INCOME STATEMENTS'!$B$5:$F$27,'KPI REPORT YEAR THREE'!Y$43,'KPI REPORT YEAR THREE'!$I$1)</f>
        <v>-4354</v>
      </c>
      <c r="Z40" s="19">
        <f>INDEX('INCOME STATEMENTS'!$B$5:$F$27,'KPI REPORT YEAR THREE'!Z$43,'KPI REPORT YEAR THREE'!$I$1)</f>
        <v>0</v>
      </c>
      <c r="AA40" s="19">
        <f>INDEX('INCOME STATEMENTS'!$B$5:$F$27,'KPI REPORT YEAR THREE'!AA$43,'KPI REPORT YEAR THREE'!$I$1)</f>
        <v>2150</v>
      </c>
      <c r="AB40" s="19">
        <f>INDEX('INCOME STATEMENTS'!$B$5:$F$27,'KPI REPORT YEAR THREE'!AB$43,'KPI REPORT YEAR THREE'!$I$1)</f>
        <v>-191</v>
      </c>
      <c r="AC40" s="19"/>
      <c r="AD40" s="19"/>
      <c r="AE40" s="19"/>
    </row>
    <row r="41" spans="1:31" x14ac:dyDescent="0.25">
      <c r="A41" s="14" t="s">
        <v>133</v>
      </c>
      <c r="B41" s="14"/>
    </row>
    <row r="43" spans="1:31" x14ac:dyDescent="0.25">
      <c r="G43">
        <f>VLOOKUP(G$2,'BALANCE SHEETS'!$K$5:$L$44,2,FALSE)</f>
        <v>1</v>
      </c>
      <c r="H43">
        <f>VLOOKUP(H$2,'BALANCE SHEETS'!$K$5:$L$44,2,FALSE)</f>
        <v>2</v>
      </c>
      <c r="I43">
        <f>VLOOKUP(I$2,'BALANCE SHEETS'!$K$5:$L$44,2,FALSE)</f>
        <v>3</v>
      </c>
      <c r="J43">
        <v>3</v>
      </c>
      <c r="K43">
        <v>4</v>
      </c>
      <c r="L43">
        <f>VLOOKUP(L$2,'BALANCE SHEETS'!$K$5:$L$44,2,FALSE)</f>
        <v>8</v>
      </c>
      <c r="M43">
        <f>VLOOKUP(M$2,'BALANCE SHEETS'!$K$5:$L$44,2,FALSE)</f>
        <v>13</v>
      </c>
      <c r="N43">
        <v>13</v>
      </c>
      <c r="O43">
        <f>VLOOKUP(O$2,'BALANCE SHEETS'!$K$5:$L$44,2,FALSE)</f>
        <v>16</v>
      </c>
      <c r="P43">
        <v>16</v>
      </c>
      <c r="Q43">
        <f>VLOOKUP(Q$2,'BALANCE SHEETS'!$K$5:$L$44,2,FALSE)</f>
        <v>17</v>
      </c>
      <c r="R43">
        <f>VLOOKUP(R$2,'BALANCE SHEETS'!$K$5:$L$44,2,FALSE)</f>
        <v>18</v>
      </c>
      <c r="S43">
        <f>VLOOKUP(S$2,'BALANCE SHEETS'!$K$5:$L$44,2,FALSE)</f>
        <v>19</v>
      </c>
      <c r="T43">
        <f>VLOOKUP(T$2,'BALANCE SHEETS'!$K$5:$L$44,2,FALSE)</f>
        <v>22</v>
      </c>
      <c r="U43">
        <f>VLOOKUP(U$2,'BALANCE SHEETS'!$K$5:$L$44,2,FALSE)</f>
        <v>26</v>
      </c>
      <c r="V43">
        <f>VLOOKUP(V$2,'BALANCE SHEETS'!$K$5:$L$44,2,FALSE)</f>
        <v>36</v>
      </c>
      <c r="W43">
        <f>VLOOKUP(W$2,'INCOME STATEMENTS'!$M:$N,2,FALSE)</f>
        <v>1</v>
      </c>
      <c r="X43">
        <f>VLOOKUP(X$2,'INCOME STATEMENTS'!$M:$N,2,FALSE)</f>
        <v>2</v>
      </c>
      <c r="Y43">
        <f>VLOOKUP(Y$2,'INCOME STATEMENTS'!$M:$N,2,FALSE)</f>
        <v>6</v>
      </c>
      <c r="Z43">
        <f>VLOOKUP(Z$2,'INCOME STATEMENTS'!$M:$N,2,FALSE)</f>
        <v>5</v>
      </c>
      <c r="AA43">
        <f>VLOOKUP(AA$2,'INCOME STATEMENTS'!$M:$N,2,FALSE)</f>
        <v>17</v>
      </c>
      <c r="AB43">
        <f>VLOOKUP(AB$2,'INCOME STATEMENTS'!$M:$N,2,FALSE)</f>
        <v>20</v>
      </c>
      <c r="AC43">
        <f>VLOOKUP(AC$2,'INCOME STATEMENTS'!$M:$N,2,FALSE)</f>
        <v>21</v>
      </c>
      <c r="AD43" t="e">
        <f>VLOOKUP(AD$2,'INCOME STATEMENTS'!$M:$N,2,FALSE)</f>
        <v>#N/A</v>
      </c>
      <c r="AE43">
        <f>VLOOKUP(AE$2,'INCOME STATEMENTS'!$M:$N,2,FALSE)</f>
        <v>23</v>
      </c>
    </row>
  </sheetData>
  <conditionalFormatting sqref="C34:D36 C5:D6">
    <cfRule type="expression" dxfId="11" priority="6">
      <formula>"&lt;0"</formula>
    </cfRule>
  </conditionalFormatting>
  <conditionalFormatting sqref="D13">
    <cfRule type="expression" dxfId="10" priority="5">
      <formula>"&lt;0"</formula>
    </cfRule>
  </conditionalFormatting>
  <conditionalFormatting sqref="D14">
    <cfRule type="expression" dxfId="9" priority="4">
      <formula>"&lt;0"</formula>
    </cfRule>
  </conditionalFormatting>
  <conditionalFormatting sqref="C7:D8">
    <cfRule type="expression" dxfId="8" priority="3">
      <formula>"&lt;0"</formula>
    </cfRule>
  </conditionalFormatting>
  <conditionalFormatting sqref="D37">
    <cfRule type="expression" dxfId="7" priority="2">
      <formula>"&lt;0"</formula>
    </cfRule>
  </conditionalFormatting>
  <conditionalFormatting sqref="C37">
    <cfRule type="expression" dxfId="6" priority="1">
      <formula>"&lt;0"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'BALANCE SHEETS'!$B$3:$E$3</xm:f>
          </x14:formula1>
          <xm:sqref>H1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INCOME STATEMENTS</vt:lpstr>
      <vt:lpstr>BALANCE SHEETS</vt:lpstr>
      <vt:lpstr>CASH FLOW</vt:lpstr>
      <vt:lpstr>LIMITATIONS</vt:lpstr>
      <vt:lpstr>CHARTS</vt:lpstr>
      <vt:lpstr>TREND ANALYSIS</vt:lpstr>
      <vt:lpstr>KPI REPORT YEAR ONE</vt:lpstr>
      <vt:lpstr>KPI REPORT YEAR TWO</vt:lpstr>
      <vt:lpstr>KPI REPORT YEAR THREE</vt:lpstr>
      <vt:lpstr>KPI REPORT YEAR FOUR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Smith</dc:creator>
  <cp:lastModifiedBy>Noah Smith</cp:lastModifiedBy>
  <dcterms:created xsi:type="dcterms:W3CDTF">2021-09-06T17:31:23Z</dcterms:created>
  <dcterms:modified xsi:type="dcterms:W3CDTF">2021-10-03T20:17:44Z</dcterms:modified>
</cp:coreProperties>
</file>