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3rd semester\Public works\"/>
    </mc:Choice>
  </mc:AlternateContent>
  <bookViews>
    <workbookView minimized="1" xWindow="0" yWindow="0" windowWidth="22260" windowHeight="12650" activeTab="3"/>
  </bookViews>
  <sheets>
    <sheet name="perimeter" sheetId="1" r:id="rId1"/>
    <sheet name="water" sheetId="2" r:id="rId2"/>
    <sheet name="cons.nodes" sheetId="3" r:id="rId3"/>
    <sheet name="max-min aver" sheetId="4" r:id="rId4"/>
    <sheet name="initial" sheetId="5" r:id="rId5"/>
    <sheet name="diameter" sheetId="6" r:id="rId6"/>
    <sheet name="cross" sheetId="7" r:id="rId7"/>
    <sheet name="pressure flow loss" sheetId="8" r:id="rId8"/>
    <sheet name="node pressure" sheetId="9" r:id="rId9"/>
    <sheet name="pressure profile" sheetId="10" r:id="rId10"/>
  </sheets>
  <externalReferences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0" l="1"/>
  <c r="F12" i="10"/>
  <c r="F11" i="10"/>
  <c r="F10" i="10"/>
  <c r="F9" i="10"/>
  <c r="F8" i="10"/>
  <c r="F7" i="10"/>
  <c r="F6" i="10"/>
  <c r="F5" i="10"/>
  <c r="E40" i="10"/>
  <c r="E41" i="10" s="1"/>
  <c r="E42" i="10" s="1"/>
  <c r="E43" i="10" s="1"/>
  <c r="E44" i="10" s="1"/>
  <c r="E45" i="10" s="1"/>
  <c r="E46" i="10" s="1"/>
  <c r="E47" i="10" s="1"/>
  <c r="E39" i="10"/>
  <c r="E38" i="10"/>
  <c r="E22" i="10"/>
  <c r="E23" i="10" s="1"/>
  <c r="E24" i="10" s="1"/>
  <c r="E25" i="10" s="1"/>
  <c r="E26" i="10" s="1"/>
  <c r="E27" i="10" s="1"/>
  <c r="E28" i="10" s="1"/>
  <c r="E29" i="10" s="1"/>
  <c r="E30" i="10" s="1"/>
  <c r="E21" i="10"/>
  <c r="E5" i="10"/>
  <c r="E6" i="10" s="1"/>
  <c r="E7" i="10" s="1"/>
  <c r="E8" i="10" s="1"/>
  <c r="E9" i="10" s="1"/>
  <c r="E10" i="10" s="1"/>
  <c r="E11" i="10" s="1"/>
  <c r="E12" i="10" s="1"/>
  <c r="E13" i="10" s="1"/>
  <c r="E4" i="10"/>
  <c r="C5" i="7"/>
  <c r="C6" i="7"/>
  <c r="C7" i="7"/>
  <c r="F7" i="7" s="1"/>
  <c r="C8" i="7"/>
  <c r="F8" i="7" s="1"/>
  <c r="C9" i="7"/>
  <c r="F9" i="7" s="1"/>
  <c r="C10" i="7"/>
  <c r="F10" i="7" s="1"/>
  <c r="C11" i="7"/>
  <c r="C12" i="7"/>
  <c r="C4" i="7"/>
  <c r="F4" i="7" s="1"/>
  <c r="D13" i="9"/>
  <c r="D12" i="9"/>
  <c r="D11" i="9"/>
  <c r="D10" i="9"/>
  <c r="D9" i="9"/>
  <c r="D8" i="9"/>
  <c r="D7" i="9"/>
  <c r="D6" i="9"/>
  <c r="D5" i="9"/>
  <c r="D4" i="9"/>
  <c r="F4" i="9" s="1"/>
  <c r="D3" i="8"/>
  <c r="G12" i="7"/>
  <c r="G11" i="7"/>
  <c r="G10" i="7"/>
  <c r="G9" i="7"/>
  <c r="G8" i="7"/>
  <c r="G7" i="7"/>
  <c r="G6" i="7"/>
  <c r="G5" i="7"/>
  <c r="G4" i="7"/>
  <c r="G3" i="7"/>
  <c r="M3" i="7" s="1"/>
  <c r="N3" i="7" s="1"/>
  <c r="G42" i="7"/>
  <c r="F42" i="7"/>
  <c r="I41" i="7"/>
  <c r="G41" i="7"/>
  <c r="F41" i="7"/>
  <c r="G40" i="7"/>
  <c r="F40" i="7"/>
  <c r="G39" i="7"/>
  <c r="F39" i="7"/>
  <c r="G38" i="7"/>
  <c r="F38" i="7"/>
  <c r="I37" i="7"/>
  <c r="G37" i="7"/>
  <c r="F37" i="7"/>
  <c r="G36" i="7"/>
  <c r="F36" i="7"/>
  <c r="G35" i="7"/>
  <c r="F35" i="7"/>
  <c r="G34" i="7"/>
  <c r="H34" i="7" s="1"/>
  <c r="F34" i="7"/>
  <c r="M33" i="7"/>
  <c r="N33" i="7" s="1"/>
  <c r="T33" i="7" s="1"/>
  <c r="U33" i="7" s="1"/>
  <c r="G33" i="7"/>
  <c r="I33" i="7" s="1"/>
  <c r="F33" i="7"/>
  <c r="G27" i="7"/>
  <c r="F27" i="7"/>
  <c r="I27" i="7" s="1"/>
  <c r="G26" i="7"/>
  <c r="F26" i="7"/>
  <c r="I26" i="7" s="1"/>
  <c r="G25" i="7"/>
  <c r="F25" i="7"/>
  <c r="I25" i="7" s="1"/>
  <c r="H24" i="7"/>
  <c r="G24" i="7"/>
  <c r="F24" i="7"/>
  <c r="G23" i="7"/>
  <c r="F23" i="7"/>
  <c r="G22" i="7"/>
  <c r="F22" i="7"/>
  <c r="G21" i="7"/>
  <c r="F21" i="7"/>
  <c r="G20" i="7"/>
  <c r="F20" i="7"/>
  <c r="G19" i="7"/>
  <c r="F19" i="7"/>
  <c r="M18" i="7"/>
  <c r="N18" i="7" s="1"/>
  <c r="G18" i="7"/>
  <c r="F18" i="7"/>
  <c r="F12" i="7"/>
  <c r="F11" i="7"/>
  <c r="F6" i="7"/>
  <c r="F5" i="7"/>
  <c r="C3" i="7"/>
  <c r="F3" i="7" s="1"/>
  <c r="G3" i="8" s="1"/>
  <c r="F4" i="10" s="1"/>
  <c r="H4" i="10" s="1"/>
  <c r="C11" i="6"/>
  <c r="C10" i="6"/>
  <c r="D10" i="6" s="1"/>
  <c r="E10" i="6" s="1"/>
  <c r="C9" i="6"/>
  <c r="C8" i="6"/>
  <c r="D8" i="6" s="1"/>
  <c r="E8" i="6" s="1"/>
  <c r="C7" i="6"/>
  <c r="C6" i="6"/>
  <c r="D6" i="6" s="1"/>
  <c r="E6" i="6" s="1"/>
  <c r="C5" i="6"/>
  <c r="D5" i="6" s="1"/>
  <c r="E5" i="6" s="1"/>
  <c r="C4" i="6"/>
  <c r="D4" i="6" s="1"/>
  <c r="E4" i="6" s="1"/>
  <c r="C3" i="6"/>
  <c r="D3" i="6" s="1"/>
  <c r="E3" i="6" s="1"/>
  <c r="C2" i="6"/>
  <c r="D2" i="6"/>
  <c r="E2" i="6" s="1"/>
  <c r="D11" i="6"/>
  <c r="E11" i="6" s="1"/>
  <c r="D9" i="6"/>
  <c r="E9" i="6" s="1"/>
  <c r="E7" i="6"/>
  <c r="D7" i="6"/>
  <c r="I20" i="5"/>
  <c r="I18" i="5"/>
  <c r="I19" i="5"/>
  <c r="E18" i="5"/>
  <c r="G27" i="5"/>
  <c r="G26" i="5"/>
  <c r="G25" i="5"/>
  <c r="G24" i="5"/>
  <c r="G23" i="5"/>
  <c r="G22" i="5"/>
  <c r="G21" i="5"/>
  <c r="G20" i="5"/>
  <c r="G19" i="5"/>
  <c r="G18" i="5"/>
  <c r="M18" i="5"/>
  <c r="Q18" i="5" s="1"/>
  <c r="M19" i="5" s="1"/>
  <c r="Q19" i="5" s="1"/>
  <c r="M20" i="5" s="1"/>
  <c r="Q20" i="5" s="1"/>
  <c r="M21" i="5" s="1"/>
  <c r="Q21" i="5" s="1"/>
  <c r="O18" i="5"/>
  <c r="O19" i="5"/>
  <c r="O20" i="5"/>
  <c r="O21" i="5"/>
  <c r="M28" i="5"/>
  <c r="M27" i="5"/>
  <c r="Q27" i="5" s="1"/>
  <c r="M26" i="5"/>
  <c r="Q26" i="5" s="1"/>
  <c r="M25" i="5"/>
  <c r="Q25" i="5" s="1"/>
  <c r="M24" i="5"/>
  <c r="Q24" i="5" s="1"/>
  <c r="M23" i="5"/>
  <c r="Q23" i="5" s="1"/>
  <c r="Q22" i="5"/>
  <c r="M22" i="5"/>
  <c r="O27" i="5"/>
  <c r="O26" i="5"/>
  <c r="O25" i="5"/>
  <c r="O24" i="5"/>
  <c r="O23" i="5"/>
  <c r="O22" i="5"/>
  <c r="H12" i="5"/>
  <c r="H11" i="5"/>
  <c r="H10" i="5"/>
  <c r="H9" i="5"/>
  <c r="H8" i="5"/>
  <c r="H7" i="5"/>
  <c r="H6" i="5"/>
  <c r="H5" i="5"/>
  <c r="H4" i="5"/>
  <c r="H3" i="5"/>
  <c r="E28" i="4"/>
  <c r="E27" i="4"/>
  <c r="H27" i="4" s="1"/>
  <c r="K27" i="4" s="1"/>
  <c r="E26" i="4"/>
  <c r="H26" i="4" s="1"/>
  <c r="E25" i="4"/>
  <c r="H25" i="4" s="1"/>
  <c r="K25" i="4" s="1"/>
  <c r="E44" i="4"/>
  <c r="H44" i="4" s="1"/>
  <c r="E43" i="4"/>
  <c r="H43" i="4" s="1"/>
  <c r="K43" i="4" s="1"/>
  <c r="E42" i="4"/>
  <c r="H42" i="4" s="1"/>
  <c r="E41" i="4"/>
  <c r="H41" i="4" s="1"/>
  <c r="K41" i="4" s="1"/>
  <c r="E40" i="4"/>
  <c r="H40" i="4" s="1"/>
  <c r="K40" i="4" s="1"/>
  <c r="E39" i="4"/>
  <c r="H39" i="4" s="1"/>
  <c r="K39" i="4" s="1"/>
  <c r="E38" i="4"/>
  <c r="H38" i="4" s="1"/>
  <c r="K38" i="4" s="1"/>
  <c r="E37" i="4"/>
  <c r="H37" i="4" s="1"/>
  <c r="K37" i="4" s="1"/>
  <c r="E36" i="4"/>
  <c r="H36" i="4" s="1"/>
  <c r="K36" i="4" s="1"/>
  <c r="E35" i="4"/>
  <c r="J44" i="4"/>
  <c r="J46" i="4" s="1"/>
  <c r="I42" i="4"/>
  <c r="I46" i="4" s="1"/>
  <c r="H28" i="4"/>
  <c r="K28" i="4" s="1"/>
  <c r="E24" i="4"/>
  <c r="H24" i="4" s="1"/>
  <c r="K24" i="4" s="1"/>
  <c r="E23" i="4"/>
  <c r="H23" i="4" s="1"/>
  <c r="K23" i="4" s="1"/>
  <c r="E22" i="4"/>
  <c r="E21" i="4"/>
  <c r="E20" i="4"/>
  <c r="E19" i="4"/>
  <c r="H22" i="4"/>
  <c r="K22" i="4" s="1"/>
  <c r="H21" i="4"/>
  <c r="K21" i="4" s="1"/>
  <c r="G30" i="4"/>
  <c r="I26" i="4"/>
  <c r="I30" i="4" s="1"/>
  <c r="F10" i="4"/>
  <c r="F14" i="4" s="1"/>
  <c r="E12" i="4"/>
  <c r="H12" i="4" s="1"/>
  <c r="K12" i="4" s="1"/>
  <c r="E11" i="4"/>
  <c r="H11" i="4" s="1"/>
  <c r="K11" i="4" s="1"/>
  <c r="E10" i="4"/>
  <c r="H10" i="4" s="1"/>
  <c r="E9" i="4"/>
  <c r="H9" i="4" s="1"/>
  <c r="K9" i="4" s="1"/>
  <c r="E8" i="4"/>
  <c r="H8" i="4" s="1"/>
  <c r="K8" i="4" s="1"/>
  <c r="E6" i="4"/>
  <c r="E7" i="4"/>
  <c r="E5" i="4"/>
  <c r="H5" i="4" s="1"/>
  <c r="K5" i="4" s="1"/>
  <c r="E4" i="4"/>
  <c r="H4" i="4"/>
  <c r="K4" i="4" s="1"/>
  <c r="E3" i="4"/>
  <c r="H3" i="4" s="1"/>
  <c r="H7" i="4"/>
  <c r="K7" i="4" s="1"/>
  <c r="G14" i="4"/>
  <c r="I10" i="4"/>
  <c r="I14" i="4" s="1"/>
  <c r="AD10" i="3"/>
  <c r="AE14" i="3"/>
  <c r="AD14" i="3"/>
  <c r="AB14" i="3"/>
  <c r="AA14" i="3"/>
  <c r="Z7" i="3"/>
  <c r="AC7" i="3" s="1"/>
  <c r="T4" i="3"/>
  <c r="T12" i="3"/>
  <c r="S12" i="3"/>
  <c r="V12" i="3" s="1"/>
  <c r="Z12" i="3" s="1"/>
  <c r="AC12" i="3" s="1"/>
  <c r="S11" i="3"/>
  <c r="R11" i="3"/>
  <c r="V11" i="3" s="1"/>
  <c r="Z11" i="3" s="1"/>
  <c r="AC11" i="3" s="1"/>
  <c r="R10" i="3"/>
  <c r="V10" i="3" s="1"/>
  <c r="Z10" i="3" s="1"/>
  <c r="AC10" i="3" s="1"/>
  <c r="Q10" i="3"/>
  <c r="Q9" i="3"/>
  <c r="P9" i="3"/>
  <c r="V9" i="3" s="1"/>
  <c r="Z9" i="3" s="1"/>
  <c r="AC9" i="3" s="1"/>
  <c r="P8" i="3"/>
  <c r="O8" i="3"/>
  <c r="V8" i="3" s="1"/>
  <c r="Z8" i="3" s="1"/>
  <c r="AC8" i="3" s="1"/>
  <c r="V7" i="3"/>
  <c r="O7" i="3"/>
  <c r="N7" i="3"/>
  <c r="N6" i="3"/>
  <c r="M6" i="3"/>
  <c r="V6" i="3" s="1"/>
  <c r="Z6" i="3" s="1"/>
  <c r="AC6" i="3" s="1"/>
  <c r="M5" i="3"/>
  <c r="L5" i="3"/>
  <c r="V5" i="3" s="1"/>
  <c r="Z5" i="3" s="1"/>
  <c r="AC5" i="3" s="1"/>
  <c r="L4" i="3"/>
  <c r="K4" i="3"/>
  <c r="V4" i="3" s="1"/>
  <c r="Z4" i="3" s="1"/>
  <c r="AC4" i="3" s="1"/>
  <c r="K3" i="3"/>
  <c r="V3" i="3" s="1"/>
  <c r="Z3" i="3" s="1"/>
  <c r="F12" i="3"/>
  <c r="G12" i="3" s="1"/>
  <c r="H12" i="3" s="1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F11" i="3"/>
  <c r="F10" i="3"/>
  <c r="F9" i="3"/>
  <c r="F8" i="3"/>
  <c r="F7" i="3"/>
  <c r="F6" i="3"/>
  <c r="F5" i="3"/>
  <c r="F4" i="3"/>
  <c r="F3" i="3"/>
  <c r="D33" i="8" l="1"/>
  <c r="G33" i="8" s="1"/>
  <c r="I19" i="7"/>
  <c r="K21" i="7" s="1"/>
  <c r="I23" i="7"/>
  <c r="D18" i="8"/>
  <c r="I20" i="7"/>
  <c r="I24" i="7"/>
  <c r="H38" i="7"/>
  <c r="I21" i="7"/>
  <c r="J4" i="10"/>
  <c r="L4" i="10" s="1"/>
  <c r="B5" i="10"/>
  <c r="H5" i="10" s="1"/>
  <c r="I7" i="7"/>
  <c r="H26" i="7"/>
  <c r="H3" i="8"/>
  <c r="H33" i="8"/>
  <c r="B5" i="9"/>
  <c r="F5" i="9" s="1"/>
  <c r="H4" i="9"/>
  <c r="J4" i="9" s="1"/>
  <c r="F33" i="8"/>
  <c r="E33" i="8"/>
  <c r="F18" i="8"/>
  <c r="E3" i="8"/>
  <c r="F3" i="8"/>
  <c r="H8" i="7"/>
  <c r="I6" i="7"/>
  <c r="H4" i="7"/>
  <c r="H3" i="7"/>
  <c r="I18" i="7"/>
  <c r="I5" i="7"/>
  <c r="H5" i="7"/>
  <c r="I22" i="7"/>
  <c r="K23" i="7" s="1"/>
  <c r="H22" i="7"/>
  <c r="I12" i="7"/>
  <c r="H12" i="7"/>
  <c r="I4" i="7"/>
  <c r="H9" i="7"/>
  <c r="I11" i="7"/>
  <c r="I8" i="7"/>
  <c r="I9" i="7"/>
  <c r="H10" i="7"/>
  <c r="H11" i="7"/>
  <c r="H35" i="7"/>
  <c r="J36" i="7" s="1"/>
  <c r="H36" i="7"/>
  <c r="I36" i="7"/>
  <c r="H39" i="7"/>
  <c r="H40" i="7"/>
  <c r="I40" i="7"/>
  <c r="H18" i="7"/>
  <c r="H33" i="7"/>
  <c r="I35" i="7"/>
  <c r="I39" i="7"/>
  <c r="I3" i="7"/>
  <c r="H6" i="7"/>
  <c r="H7" i="7"/>
  <c r="H20" i="7"/>
  <c r="I34" i="7"/>
  <c r="I38" i="7"/>
  <c r="I10" i="7"/>
  <c r="J34" i="7"/>
  <c r="H19" i="7"/>
  <c r="H21" i="7"/>
  <c r="H23" i="7"/>
  <c r="H25" i="7"/>
  <c r="H27" i="7"/>
  <c r="H37" i="7"/>
  <c r="H41" i="7"/>
  <c r="H42" i="7"/>
  <c r="I42" i="7"/>
  <c r="E19" i="5"/>
  <c r="E20" i="5" s="1"/>
  <c r="E21" i="5" s="1"/>
  <c r="I21" i="5" s="1"/>
  <c r="E22" i="5" s="1"/>
  <c r="I22" i="5" s="1"/>
  <c r="E23" i="5" s="1"/>
  <c r="I23" i="5" s="1"/>
  <c r="E24" i="5" s="1"/>
  <c r="I24" i="5" s="1"/>
  <c r="E25" i="5" s="1"/>
  <c r="I25" i="5" s="1"/>
  <c r="E26" i="5" s="1"/>
  <c r="I26" i="5" s="1"/>
  <c r="E27" i="5" s="1"/>
  <c r="I27" i="5" s="1"/>
  <c r="E28" i="5" s="1"/>
  <c r="K44" i="4"/>
  <c r="K42" i="4"/>
  <c r="E46" i="4"/>
  <c r="H35" i="4"/>
  <c r="K35" i="4" s="1"/>
  <c r="H46" i="4"/>
  <c r="F46" i="4"/>
  <c r="G46" i="4"/>
  <c r="K26" i="4"/>
  <c r="E30" i="4"/>
  <c r="H19" i="4"/>
  <c r="K19" i="4" s="1"/>
  <c r="H20" i="4"/>
  <c r="K20" i="4" s="1"/>
  <c r="F30" i="4"/>
  <c r="K10" i="4"/>
  <c r="K3" i="4"/>
  <c r="Z14" i="3"/>
  <c r="AC3" i="3"/>
  <c r="AC14" i="3" s="1"/>
  <c r="AC15" i="3" s="1"/>
  <c r="D38" i="9" l="1"/>
  <c r="F38" i="9" s="1"/>
  <c r="F38" i="10"/>
  <c r="H38" i="10" s="1"/>
  <c r="K20" i="7"/>
  <c r="K25" i="7"/>
  <c r="K19" i="7"/>
  <c r="G18" i="8"/>
  <c r="F21" i="10" s="1"/>
  <c r="H21" i="10" s="1"/>
  <c r="E18" i="8"/>
  <c r="J40" i="7"/>
  <c r="B6" i="10"/>
  <c r="H6" i="10" s="1"/>
  <c r="J5" i="10"/>
  <c r="L5" i="10" s="1"/>
  <c r="J8" i="7"/>
  <c r="J6" i="7"/>
  <c r="J7" i="7"/>
  <c r="J11" i="7"/>
  <c r="J9" i="7"/>
  <c r="J5" i="7"/>
  <c r="J12" i="7"/>
  <c r="J4" i="7"/>
  <c r="J10" i="7"/>
  <c r="H18" i="8"/>
  <c r="B6" i="9"/>
  <c r="F6" i="9" s="1"/>
  <c r="H5" i="9"/>
  <c r="J5" i="9" s="1"/>
  <c r="K22" i="7"/>
  <c r="K27" i="7"/>
  <c r="K24" i="7"/>
  <c r="K26" i="7"/>
  <c r="J26" i="7"/>
  <c r="J24" i="7"/>
  <c r="J22" i="7"/>
  <c r="J20" i="7"/>
  <c r="J23" i="7"/>
  <c r="J25" i="7"/>
  <c r="J27" i="7"/>
  <c r="J19" i="7"/>
  <c r="J21" i="7"/>
  <c r="J35" i="7"/>
  <c r="J42" i="7"/>
  <c r="J39" i="7"/>
  <c r="J38" i="7"/>
  <c r="J37" i="7"/>
  <c r="J41" i="7"/>
  <c r="K42" i="7"/>
  <c r="K41" i="7"/>
  <c r="K37" i="7"/>
  <c r="K39" i="7"/>
  <c r="K35" i="7"/>
  <c r="K40" i="7"/>
  <c r="K36" i="7"/>
  <c r="K38" i="7"/>
  <c r="K34" i="7"/>
  <c r="K8" i="7"/>
  <c r="K9" i="7"/>
  <c r="K10" i="7"/>
  <c r="K5" i="7"/>
  <c r="K4" i="7"/>
  <c r="K12" i="7"/>
  <c r="K7" i="7"/>
  <c r="K6" i="7"/>
  <c r="K11" i="7"/>
  <c r="K46" i="4"/>
  <c r="K30" i="4"/>
  <c r="F3" i="5" s="1"/>
  <c r="J3" i="5" s="1"/>
  <c r="F4" i="5" s="1"/>
  <c r="J4" i="5" s="1"/>
  <c r="F5" i="5" s="1"/>
  <c r="J5" i="5" s="1"/>
  <c r="F6" i="5" s="1"/>
  <c r="J6" i="5" s="1"/>
  <c r="F7" i="5" s="1"/>
  <c r="J7" i="5" s="1"/>
  <c r="F8" i="5" s="1"/>
  <c r="J8" i="5" s="1"/>
  <c r="F9" i="5" s="1"/>
  <c r="J9" i="5" s="1"/>
  <c r="F10" i="5" s="1"/>
  <c r="J10" i="5" s="1"/>
  <c r="F11" i="5" s="1"/>
  <c r="J11" i="5" s="1"/>
  <c r="F12" i="5" s="1"/>
  <c r="J12" i="5" s="1"/>
  <c r="F13" i="5" s="1"/>
  <c r="H30" i="4"/>
  <c r="J21" i="10" l="1"/>
  <c r="L21" i="10" s="1"/>
  <c r="B22" i="10"/>
  <c r="B39" i="10"/>
  <c r="J38" i="10"/>
  <c r="L38" i="10" s="1"/>
  <c r="L42" i="7"/>
  <c r="D21" i="9"/>
  <c r="F21" i="9" s="1"/>
  <c r="B22" i="9" s="1"/>
  <c r="H38" i="9"/>
  <c r="J38" i="9" s="1"/>
  <c r="B39" i="9"/>
  <c r="B7" i="10"/>
  <c r="H7" i="10" s="1"/>
  <c r="J6" i="10"/>
  <c r="L6" i="10" s="1"/>
  <c r="L12" i="7"/>
  <c r="L27" i="7"/>
  <c r="H6" i="9"/>
  <c r="J6" i="9" s="1"/>
  <c r="B7" i="9"/>
  <c r="F7" i="9" s="1"/>
  <c r="M36" i="7" l="1"/>
  <c r="N36" i="7" s="1"/>
  <c r="M42" i="7"/>
  <c r="N42" i="7" s="1"/>
  <c r="M40" i="7"/>
  <c r="N40" i="7" s="1"/>
  <c r="M38" i="7"/>
  <c r="N38" i="7" s="1"/>
  <c r="M35" i="7"/>
  <c r="N35" i="7" s="1"/>
  <c r="M41" i="7"/>
  <c r="N41" i="7" s="1"/>
  <c r="M39" i="7"/>
  <c r="N39" i="7" s="1"/>
  <c r="P39" i="7" s="1"/>
  <c r="M37" i="7"/>
  <c r="N37" i="7" s="1"/>
  <c r="P37" i="7" s="1"/>
  <c r="M34" i="7"/>
  <c r="N34" i="7" s="1"/>
  <c r="H21" i="9"/>
  <c r="J21" i="9" s="1"/>
  <c r="J7" i="10"/>
  <c r="L7" i="10" s="1"/>
  <c r="B8" i="10"/>
  <c r="H8" i="10" s="1"/>
  <c r="M5" i="7"/>
  <c r="D5" i="8" s="1"/>
  <c r="M4" i="7"/>
  <c r="M11" i="7"/>
  <c r="D11" i="8" s="1"/>
  <c r="M12" i="7"/>
  <c r="D12" i="8" s="1"/>
  <c r="M10" i="7"/>
  <c r="D10" i="8" s="1"/>
  <c r="M6" i="7"/>
  <c r="D6" i="8" s="1"/>
  <c r="M7" i="7"/>
  <c r="D7" i="8" s="1"/>
  <c r="M9" i="7"/>
  <c r="D9" i="8" s="1"/>
  <c r="M8" i="7"/>
  <c r="D8" i="8" s="1"/>
  <c r="M23" i="7"/>
  <c r="M22" i="7"/>
  <c r="M21" i="7"/>
  <c r="M24" i="7"/>
  <c r="M20" i="7"/>
  <c r="M27" i="7"/>
  <c r="M19" i="7"/>
  <c r="M26" i="7"/>
  <c r="M25" i="7"/>
  <c r="B8" i="9"/>
  <c r="F8" i="9" s="1"/>
  <c r="H7" i="9"/>
  <c r="J7" i="9" s="1"/>
  <c r="N7" i="7"/>
  <c r="N12" i="7"/>
  <c r="P41" i="7"/>
  <c r="O41" i="7"/>
  <c r="P36" i="7"/>
  <c r="O40" i="7"/>
  <c r="P40" i="7"/>
  <c r="P35" i="7"/>
  <c r="O35" i="7"/>
  <c r="P38" i="7"/>
  <c r="O38" i="7"/>
  <c r="P42" i="7"/>
  <c r="O42" i="7"/>
  <c r="N21" i="7" l="1"/>
  <c r="P21" i="7" s="1"/>
  <c r="D21" i="8"/>
  <c r="G21" i="8" s="1"/>
  <c r="F24" i="10" s="1"/>
  <c r="O37" i="7"/>
  <c r="O39" i="7"/>
  <c r="N22" i="7"/>
  <c r="O22" i="7" s="1"/>
  <c r="D22" i="8"/>
  <c r="N27" i="7"/>
  <c r="O27" i="7" s="1"/>
  <c r="D27" i="8"/>
  <c r="N25" i="7"/>
  <c r="P25" i="7" s="1"/>
  <c r="D25" i="8"/>
  <c r="N23" i="7"/>
  <c r="O23" i="7" s="1"/>
  <c r="D23" i="8"/>
  <c r="O36" i="7"/>
  <c r="Q37" i="7" s="1"/>
  <c r="N20" i="7"/>
  <c r="O20" i="7" s="1"/>
  <c r="D20" i="8"/>
  <c r="G20" i="8" s="1"/>
  <c r="F23" i="10" s="1"/>
  <c r="N24" i="7"/>
  <c r="D24" i="8"/>
  <c r="O34" i="7"/>
  <c r="Q35" i="7" s="1"/>
  <c r="N26" i="7"/>
  <c r="O26" i="7" s="1"/>
  <c r="D26" i="8"/>
  <c r="P34" i="7"/>
  <c r="N19" i="7"/>
  <c r="P19" i="7" s="1"/>
  <c r="D19" i="8"/>
  <c r="G19" i="8" s="1"/>
  <c r="F22" i="10" s="1"/>
  <c r="H22" i="10" s="1"/>
  <c r="B9" i="10"/>
  <c r="H9" i="10" s="1"/>
  <c r="J8" i="10"/>
  <c r="L8" i="10" s="1"/>
  <c r="N5" i="7"/>
  <c r="O5" i="7" s="1"/>
  <c r="N11" i="7"/>
  <c r="O11" i="7" s="1"/>
  <c r="G7" i="8"/>
  <c r="H7" i="8" s="1"/>
  <c r="F7" i="8"/>
  <c r="E7" i="8"/>
  <c r="E12" i="8"/>
  <c r="G12" i="8"/>
  <c r="H12" i="8" s="1"/>
  <c r="F12" i="8"/>
  <c r="N9" i="7"/>
  <c r="P9" i="7" s="1"/>
  <c r="G9" i="8"/>
  <c r="H9" i="8" s="1"/>
  <c r="F9" i="8"/>
  <c r="E9" i="8"/>
  <c r="N6" i="7"/>
  <c r="O6" i="7" s="1"/>
  <c r="G11" i="8"/>
  <c r="H11" i="8" s="1"/>
  <c r="E11" i="8"/>
  <c r="F11" i="8"/>
  <c r="N8" i="7"/>
  <c r="O8" i="7" s="1"/>
  <c r="D4" i="8"/>
  <c r="N4" i="7"/>
  <c r="G6" i="8"/>
  <c r="H6" i="8" s="1"/>
  <c r="F6" i="8"/>
  <c r="E6" i="8"/>
  <c r="F10" i="8"/>
  <c r="G10" i="8"/>
  <c r="H10" i="8" s="1"/>
  <c r="E10" i="8"/>
  <c r="N10" i="7"/>
  <c r="P10" i="7" s="1"/>
  <c r="G8" i="8"/>
  <c r="H8" i="8" s="1"/>
  <c r="F8" i="8"/>
  <c r="E8" i="8"/>
  <c r="F5" i="8"/>
  <c r="G5" i="8"/>
  <c r="H5" i="8" s="1"/>
  <c r="E5" i="8"/>
  <c r="P23" i="7"/>
  <c r="O25" i="7"/>
  <c r="P22" i="7"/>
  <c r="P27" i="7"/>
  <c r="O19" i="7"/>
  <c r="Q20" i="7" s="1"/>
  <c r="P20" i="7"/>
  <c r="B9" i="9"/>
  <c r="F9" i="9" s="1"/>
  <c r="H8" i="9"/>
  <c r="J8" i="9" s="1"/>
  <c r="P12" i="7"/>
  <c r="P8" i="7"/>
  <c r="P5" i="7"/>
  <c r="P7" i="7"/>
  <c r="O7" i="7"/>
  <c r="P6" i="7"/>
  <c r="O12" i="7"/>
  <c r="R42" i="7"/>
  <c r="R38" i="7"/>
  <c r="R34" i="7"/>
  <c r="R40" i="7"/>
  <c r="R36" i="7"/>
  <c r="R39" i="7"/>
  <c r="R35" i="7"/>
  <c r="R41" i="7"/>
  <c r="R37" i="7"/>
  <c r="R19" i="7"/>
  <c r="Q39" i="7"/>
  <c r="O21" i="7" l="1"/>
  <c r="Q41" i="7"/>
  <c r="B23" i="10"/>
  <c r="H23" i="10" s="1"/>
  <c r="J22" i="10"/>
  <c r="L22" i="10" s="1"/>
  <c r="Q40" i="7"/>
  <c r="R21" i="7"/>
  <c r="S42" i="7"/>
  <c r="Q36" i="7"/>
  <c r="P26" i="7"/>
  <c r="Q42" i="7"/>
  <c r="P24" i="7"/>
  <c r="R25" i="7" s="1"/>
  <c r="O24" i="7"/>
  <c r="Q25" i="7" s="1"/>
  <c r="Q34" i="7"/>
  <c r="Q38" i="7"/>
  <c r="R22" i="7"/>
  <c r="J9" i="10"/>
  <c r="L9" i="10" s="1"/>
  <c r="B10" i="10"/>
  <c r="H10" i="10" s="1"/>
  <c r="P11" i="7"/>
  <c r="R12" i="7" s="1"/>
  <c r="O10" i="7"/>
  <c r="O4" i="7"/>
  <c r="Q4" i="7" s="1"/>
  <c r="P4" i="7"/>
  <c r="R4" i="7" s="1"/>
  <c r="O9" i="7"/>
  <c r="G4" i="8"/>
  <c r="H4" i="8" s="1"/>
  <c r="F4" i="8"/>
  <c r="E4" i="8"/>
  <c r="R5" i="7"/>
  <c r="R27" i="7"/>
  <c r="R26" i="7"/>
  <c r="R20" i="7"/>
  <c r="R23" i="7"/>
  <c r="R24" i="7"/>
  <c r="Q23" i="7"/>
  <c r="Q26" i="7"/>
  <c r="Q27" i="7"/>
  <c r="Q19" i="7"/>
  <c r="Q21" i="7"/>
  <c r="Q22" i="7"/>
  <c r="H9" i="9"/>
  <c r="J9" i="9" s="1"/>
  <c r="B10" i="9"/>
  <c r="F10" i="9" s="1"/>
  <c r="R7" i="7"/>
  <c r="R6" i="7"/>
  <c r="R10" i="7"/>
  <c r="R9" i="7"/>
  <c r="J23" i="10" l="1"/>
  <c r="L23" i="10" s="1"/>
  <c r="B24" i="10"/>
  <c r="H24" i="10" s="1"/>
  <c r="Q24" i="7"/>
  <c r="T37" i="7"/>
  <c r="D37" i="8" s="1"/>
  <c r="T41" i="7"/>
  <c r="D41" i="8" s="1"/>
  <c r="T39" i="7"/>
  <c r="D39" i="8" s="1"/>
  <c r="T38" i="7"/>
  <c r="D38" i="8" s="1"/>
  <c r="T34" i="7"/>
  <c r="D34" i="8" s="1"/>
  <c r="T36" i="7"/>
  <c r="D36" i="8" s="1"/>
  <c r="T40" i="7"/>
  <c r="D40" i="8" s="1"/>
  <c r="T42" i="7"/>
  <c r="D42" i="8" s="1"/>
  <c r="T35" i="7"/>
  <c r="D35" i="8" s="1"/>
  <c r="B11" i="10"/>
  <c r="H11" i="10" s="1"/>
  <c r="J10" i="10"/>
  <c r="L10" i="10" s="1"/>
  <c r="R11" i="7"/>
  <c r="R8" i="7"/>
  <c r="Q7" i="7"/>
  <c r="Q11" i="7"/>
  <c r="Q5" i="7"/>
  <c r="Q8" i="7"/>
  <c r="Q6" i="7"/>
  <c r="Q12" i="7"/>
  <c r="S12" i="7" s="1"/>
  <c r="Q9" i="7"/>
  <c r="Q10" i="7"/>
  <c r="S27" i="7"/>
  <c r="B11" i="9"/>
  <c r="F11" i="9" s="1"/>
  <c r="H10" i="9"/>
  <c r="J10" i="9" s="1"/>
  <c r="U37" i="7"/>
  <c r="U42" i="7"/>
  <c r="U36" i="7"/>
  <c r="U40" i="7"/>
  <c r="G35" i="8" l="1"/>
  <c r="F35" i="8"/>
  <c r="E35" i="8"/>
  <c r="G37" i="8"/>
  <c r="E37" i="8"/>
  <c r="F37" i="8"/>
  <c r="G34" i="8"/>
  <c r="E34" i="8"/>
  <c r="F34" i="8"/>
  <c r="U38" i="7"/>
  <c r="G42" i="8"/>
  <c r="F42" i="8"/>
  <c r="E42" i="8"/>
  <c r="F39" i="8"/>
  <c r="G39" i="8"/>
  <c r="E39" i="8"/>
  <c r="U35" i="7"/>
  <c r="U41" i="7"/>
  <c r="G40" i="8"/>
  <c r="F40" i="8"/>
  <c r="E40" i="8"/>
  <c r="B25" i="10"/>
  <c r="J24" i="10"/>
  <c r="L24" i="10" s="1"/>
  <c r="E38" i="8"/>
  <c r="G38" i="8"/>
  <c r="F38" i="8"/>
  <c r="G41" i="8"/>
  <c r="E41" i="8"/>
  <c r="F41" i="8"/>
  <c r="U39" i="7"/>
  <c r="U34" i="7"/>
  <c r="V34" i="7" s="1"/>
  <c r="G36" i="8"/>
  <c r="F36" i="8"/>
  <c r="E36" i="8"/>
  <c r="J11" i="10"/>
  <c r="L11" i="10" s="1"/>
  <c r="B12" i="10"/>
  <c r="H12" i="10" s="1"/>
  <c r="B12" i="9"/>
  <c r="F12" i="9" s="1"/>
  <c r="H11" i="9"/>
  <c r="J11" i="9" s="1"/>
  <c r="V39" i="7"/>
  <c r="W39" i="7"/>
  <c r="W34" i="7"/>
  <c r="V40" i="7"/>
  <c r="W40" i="7"/>
  <c r="V36" i="7"/>
  <c r="W36" i="7"/>
  <c r="V42" i="7"/>
  <c r="W42" i="7"/>
  <c r="V38" i="7"/>
  <c r="W38" i="7"/>
  <c r="W37" i="7"/>
  <c r="V37" i="7"/>
  <c r="W35" i="7"/>
  <c r="V35" i="7"/>
  <c r="W41" i="7"/>
  <c r="V41" i="7"/>
  <c r="D44" i="9" l="1"/>
  <c r="F44" i="10"/>
  <c r="H39" i="8"/>
  <c r="D39" i="9"/>
  <c r="F39" i="9" s="1"/>
  <c r="F39" i="10"/>
  <c r="H39" i="10" s="1"/>
  <c r="H34" i="8"/>
  <c r="H25" i="10"/>
  <c r="D42" i="9"/>
  <c r="F42" i="10"/>
  <c r="H37" i="8"/>
  <c r="F41" i="10"/>
  <c r="D41" i="9"/>
  <c r="H36" i="8"/>
  <c r="D46" i="9"/>
  <c r="F46" i="10"/>
  <c r="H41" i="8"/>
  <c r="H40" i="8"/>
  <c r="F45" i="10"/>
  <c r="D45" i="9"/>
  <c r="D47" i="9"/>
  <c r="F47" i="10"/>
  <c r="H42" i="8"/>
  <c r="H38" i="8"/>
  <c r="F43" i="10"/>
  <c r="D43" i="9"/>
  <c r="D40" i="9"/>
  <c r="F40" i="10"/>
  <c r="H35" i="8"/>
  <c r="B13" i="10"/>
  <c r="H13" i="10" s="1"/>
  <c r="H15" i="10" s="1"/>
  <c r="J12" i="10"/>
  <c r="L12" i="10" s="1"/>
  <c r="E24" i="8"/>
  <c r="E23" i="8"/>
  <c r="G22" i="8"/>
  <c r="F25" i="10" s="1"/>
  <c r="E22" i="8"/>
  <c r="F22" i="8"/>
  <c r="F25" i="8"/>
  <c r="E25" i="8"/>
  <c r="G25" i="8"/>
  <c r="F28" i="10" s="1"/>
  <c r="E21" i="8"/>
  <c r="F21" i="8"/>
  <c r="G26" i="8"/>
  <c r="F29" i="10" s="1"/>
  <c r="E26" i="8"/>
  <c r="F26" i="8"/>
  <c r="F20" i="8"/>
  <c r="E20" i="8"/>
  <c r="F19" i="8"/>
  <c r="E19" i="8"/>
  <c r="G27" i="8"/>
  <c r="F30" i="10" s="1"/>
  <c r="E27" i="8"/>
  <c r="F27" i="8"/>
  <c r="B13" i="9"/>
  <c r="F13" i="9" s="1"/>
  <c r="H12" i="9"/>
  <c r="J12" i="9" s="1"/>
  <c r="Y40" i="7"/>
  <c r="Y39" i="7"/>
  <c r="Y35" i="7"/>
  <c r="Y42" i="7"/>
  <c r="Y41" i="7"/>
  <c r="Y37" i="7"/>
  <c r="Y38" i="7"/>
  <c r="Y34" i="7"/>
  <c r="Y36" i="7"/>
  <c r="X41" i="7"/>
  <c r="X37" i="7"/>
  <c r="X42" i="7"/>
  <c r="X38" i="7"/>
  <c r="X34" i="7"/>
  <c r="X40" i="7"/>
  <c r="X39" i="7"/>
  <c r="X35" i="7"/>
  <c r="X36" i="7"/>
  <c r="J25" i="10" l="1"/>
  <c r="L25" i="10" s="1"/>
  <c r="B26" i="10"/>
  <c r="Z42" i="7"/>
  <c r="B40" i="9"/>
  <c r="F40" i="9" s="1"/>
  <c r="H39" i="9"/>
  <c r="J39" i="9" s="1"/>
  <c r="J39" i="10"/>
  <c r="L39" i="10" s="1"/>
  <c r="B40" i="10"/>
  <c r="H40" i="10" s="1"/>
  <c r="J13" i="10"/>
  <c r="L13" i="10" s="1"/>
  <c r="G24" i="8"/>
  <c r="F24" i="8"/>
  <c r="F23" i="8"/>
  <c r="G23" i="8"/>
  <c r="D28" i="9"/>
  <c r="H25" i="8"/>
  <c r="D24" i="9"/>
  <c r="H21" i="8"/>
  <c r="H27" i="8"/>
  <c r="D30" i="9"/>
  <c r="D25" i="9"/>
  <c r="H22" i="8"/>
  <c r="D29" i="9"/>
  <c r="H26" i="8"/>
  <c r="H19" i="8"/>
  <c r="D22" i="9"/>
  <c r="F22" i="9" s="1"/>
  <c r="D23" i="9"/>
  <c r="H20" i="8"/>
  <c r="H13" i="9"/>
  <c r="J13" i="9" s="1"/>
  <c r="B41" i="10" l="1"/>
  <c r="H41" i="10" s="1"/>
  <c r="J40" i="10"/>
  <c r="L40" i="10" s="1"/>
  <c r="D26" i="9"/>
  <c r="F26" i="10"/>
  <c r="H26" i="10" s="1"/>
  <c r="B41" i="9"/>
  <c r="F41" i="9" s="1"/>
  <c r="H40" i="9"/>
  <c r="J40" i="9" s="1"/>
  <c r="H24" i="8"/>
  <c r="F27" i="10"/>
  <c r="H23" i="8"/>
  <c r="D27" i="9"/>
  <c r="H22" i="9"/>
  <c r="J22" i="9" s="1"/>
  <c r="B23" i="9"/>
  <c r="F23" i="9" s="1"/>
  <c r="F15" i="9"/>
  <c r="B27" i="10" l="1"/>
  <c r="H27" i="10" s="1"/>
  <c r="J26" i="10"/>
  <c r="L26" i="10" s="1"/>
  <c r="B42" i="9"/>
  <c r="F42" i="9" s="1"/>
  <c r="H41" i="9"/>
  <c r="J41" i="9" s="1"/>
  <c r="J41" i="10"/>
  <c r="L41" i="10" s="1"/>
  <c r="B42" i="10"/>
  <c r="H42" i="10" s="1"/>
  <c r="B24" i="9"/>
  <c r="F24" i="9" s="1"/>
  <c r="H23" i="9"/>
  <c r="J23" i="9" s="1"/>
  <c r="B43" i="10" l="1"/>
  <c r="H43" i="10" s="1"/>
  <c r="J42" i="10"/>
  <c r="L42" i="10" s="1"/>
  <c r="H42" i="9"/>
  <c r="J42" i="9" s="1"/>
  <c r="B43" i="9"/>
  <c r="F43" i="9" s="1"/>
  <c r="J27" i="10"/>
  <c r="L27" i="10" s="1"/>
  <c r="B28" i="10"/>
  <c r="H28" i="10" s="1"/>
  <c r="H24" i="9"/>
  <c r="J24" i="9" s="1"/>
  <c r="B25" i="9"/>
  <c r="F25" i="9" s="1"/>
  <c r="J28" i="10" l="1"/>
  <c r="L28" i="10" s="1"/>
  <c r="B29" i="10"/>
  <c r="H29" i="10" s="1"/>
  <c r="B44" i="9"/>
  <c r="F44" i="9" s="1"/>
  <c r="H43" i="9"/>
  <c r="J43" i="9" s="1"/>
  <c r="B44" i="10"/>
  <c r="H44" i="10" s="1"/>
  <c r="J43" i="10"/>
  <c r="L43" i="10" s="1"/>
  <c r="B26" i="9"/>
  <c r="F26" i="9" s="1"/>
  <c r="H25" i="9"/>
  <c r="J25" i="9" s="1"/>
  <c r="B45" i="10" l="1"/>
  <c r="H45" i="10" s="1"/>
  <c r="J44" i="10"/>
  <c r="L44" i="10" s="1"/>
  <c r="H44" i="9"/>
  <c r="J44" i="9" s="1"/>
  <c r="B45" i="9"/>
  <c r="F45" i="9" s="1"/>
  <c r="B30" i="10"/>
  <c r="H30" i="10" s="1"/>
  <c r="J29" i="10"/>
  <c r="L29" i="10" s="1"/>
  <c r="B27" i="9"/>
  <c r="F27" i="9" s="1"/>
  <c r="H26" i="9"/>
  <c r="J26" i="9" s="1"/>
  <c r="H32" i="10" l="1"/>
  <c r="J30" i="10"/>
  <c r="L30" i="10" s="1"/>
  <c r="H45" i="9"/>
  <c r="J45" i="9" s="1"/>
  <c r="B46" i="9"/>
  <c r="F46" i="9" s="1"/>
  <c r="J45" i="10"/>
  <c r="L45" i="10" s="1"/>
  <c r="B46" i="10"/>
  <c r="H46" i="10" s="1"/>
  <c r="H27" i="9"/>
  <c r="J27" i="9" s="1"/>
  <c r="B28" i="9"/>
  <c r="F28" i="9" s="1"/>
  <c r="B47" i="9" l="1"/>
  <c r="F47" i="9" s="1"/>
  <c r="H46" i="9"/>
  <c r="J46" i="9" s="1"/>
  <c r="B47" i="10"/>
  <c r="H47" i="10" s="1"/>
  <c r="J46" i="10"/>
  <c r="L46" i="10" s="1"/>
  <c r="B29" i="9"/>
  <c r="F29" i="9" s="1"/>
  <c r="H28" i="9"/>
  <c r="J28" i="9" s="1"/>
  <c r="H48" i="10" l="1"/>
  <c r="J47" i="10"/>
  <c r="L47" i="10" s="1"/>
  <c r="F49" i="9"/>
  <c r="H47" i="9"/>
  <c r="J47" i="9" s="1"/>
  <c r="H29" i="9"/>
  <c r="J29" i="9" s="1"/>
  <c r="B30" i="9"/>
  <c r="F30" i="9" s="1"/>
  <c r="F32" i="9" l="1"/>
  <c r="H30" i="9"/>
  <c r="J30" i="9" s="1"/>
  <c r="E14" i="3" l="1"/>
  <c r="M22" i="2" l="1"/>
  <c r="I10" i="2" l="1"/>
  <c r="I11" i="2"/>
  <c r="D22" i="2"/>
  <c r="F22" i="2" s="1"/>
  <c r="H22" i="2" s="1"/>
  <c r="D18" i="2"/>
  <c r="E11" i="2"/>
  <c r="G11" i="2" s="1"/>
  <c r="E10" i="2"/>
  <c r="G10" i="2" s="1"/>
  <c r="D3" i="2"/>
  <c r="F3" i="2" s="1"/>
  <c r="H3" i="2" s="1"/>
  <c r="J3" i="2" s="1"/>
  <c r="I12" i="2" l="1"/>
  <c r="H14" i="4"/>
  <c r="K6" i="4"/>
  <c r="K14" i="4" s="1"/>
  <c r="H6" i="4"/>
  <c r="E14" i="4"/>
</calcChain>
</file>

<file path=xl/sharedStrings.xml><?xml version="1.0" encoding="utf-8"?>
<sst xmlns="http://schemas.openxmlformats.org/spreadsheetml/2006/main" count="599" uniqueCount="136">
  <si>
    <t>Count of connections</t>
  </si>
  <si>
    <t>Persons per connection</t>
  </si>
  <si>
    <t>Persons</t>
  </si>
  <si>
    <t>Secific water demand</t>
  </si>
  <si>
    <t>Average water demand</t>
  </si>
  <si>
    <t>Seasonal
ratio</t>
  </si>
  <si>
    <t>Peak water demand</t>
  </si>
  <si>
    <t>piece</t>
  </si>
  <si>
    <t>person/binding in</t>
  </si>
  <si>
    <t>head</t>
  </si>
  <si>
    <t>l/person/day</t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</si>
  <si>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/day</t>
    </r>
  </si>
  <si>
    <t>-</t>
  </si>
  <si>
    <t>PUBLIC INSTITUTIONS WATER DEMAND</t>
  </si>
  <si>
    <t>Profession of people</t>
  </si>
  <si>
    <t>Number of people</t>
  </si>
  <si>
    <t>specific water demand</t>
  </si>
  <si>
    <t>average water
demand</t>
  </si>
  <si>
    <t>seasonal
ratio</t>
  </si>
  <si>
    <t>peak water demand</t>
  </si>
  <si>
    <t>loss
coefficient</t>
  </si>
  <si>
    <t>worker</t>
  </si>
  <si>
    <t>student</t>
  </si>
  <si>
    <t>SUM</t>
  </si>
  <si>
    <t>THE INDUSTRIAL WATER DEMAND</t>
  </si>
  <si>
    <t>Technological
water demand</t>
  </si>
  <si>
    <t>designing peak water demand</t>
  </si>
  <si>
    <t>Loss
coefficient</t>
  </si>
  <si>
    <t>Designing peak water demand</t>
  </si>
  <si>
    <t>Perimeter of the blocks of the A2 map- 10096.39</t>
  </si>
  <si>
    <t xml:space="preserve"> number of connections will be- 403.8544</t>
  </si>
  <si>
    <t xml:space="preserve">total consumption will be </t>
  </si>
  <si>
    <t>Branches</t>
  </si>
  <si>
    <t>Length</t>
  </si>
  <si>
    <t>Q branches</t>
  </si>
  <si>
    <t>Q node 1</t>
  </si>
  <si>
    <t>Q node 2</t>
  </si>
  <si>
    <t>m</t>
  </si>
  <si>
    <t>m3/day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</si>
  <si>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</si>
  <si>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</si>
  <si>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</si>
  <si>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</si>
  <si>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</si>
  <si>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</si>
  <si>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</si>
  <si>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</si>
  <si>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</si>
  <si>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</si>
  <si>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1 2</t>
  </si>
  <si>
    <t xml:space="preserve">2 3 </t>
  </si>
  <si>
    <t>3 4</t>
  </si>
  <si>
    <t>4 5</t>
  </si>
  <si>
    <t>5 6</t>
  </si>
  <si>
    <t>6 7</t>
  </si>
  <si>
    <t>7 8</t>
  </si>
  <si>
    <t xml:space="preserve">8 9 </t>
  </si>
  <si>
    <t>9 10</t>
  </si>
  <si>
    <t>10 2</t>
  </si>
  <si>
    <t>Node</t>
  </si>
  <si>
    <t>Branch (m3/day)</t>
  </si>
  <si>
    <t>Q dweller</t>
  </si>
  <si>
    <t>Q public ins.</t>
  </si>
  <si>
    <t>Q ind. soc.</t>
  </si>
  <si>
    <t>Q people</t>
  </si>
  <si>
    <t>Q ind. tech.</t>
  </si>
  <si>
    <t>Q fire</t>
  </si>
  <si>
    <t>l/min</t>
  </si>
  <si>
    <t>school</t>
  </si>
  <si>
    <t>industry</t>
  </si>
  <si>
    <t>fire</t>
  </si>
  <si>
    <t>Q ind tech</t>
  </si>
  <si>
    <t>Q ind. tech</t>
  </si>
  <si>
    <t>Q node</t>
  </si>
  <si>
    <t>l/s</t>
  </si>
  <si>
    <t>Q cons</t>
  </si>
  <si>
    <t>maximum consumption (8 %)</t>
  </si>
  <si>
    <t>average consumption (4.17 %) + fire</t>
  </si>
  <si>
    <t>maximum consumption</t>
  </si>
  <si>
    <t>Branch</t>
  </si>
  <si>
    <t>Qin (l/s)</t>
  </si>
  <si>
    <t>Qnode (l/s)</t>
  </si>
  <si>
    <t>Qbranch (l/s)</t>
  </si>
  <si>
    <t>10</t>
  </si>
  <si>
    <t>10-2</t>
  </si>
  <si>
    <t>9</t>
  </si>
  <si>
    <t>2 3</t>
  </si>
  <si>
    <t xml:space="preserve">3 4 </t>
  </si>
  <si>
    <t xml:space="preserve">6 7 </t>
  </si>
  <si>
    <t xml:space="preserve">10 2 </t>
  </si>
  <si>
    <t>min cons</t>
  </si>
  <si>
    <t>average consumption</t>
  </si>
  <si>
    <t>$10-2</t>
  </si>
  <si>
    <t>Qbranch (m3/s)</t>
  </si>
  <si>
    <t>Calculated diameter (m)</t>
  </si>
  <si>
    <t>Diameter (mm)</t>
  </si>
  <si>
    <t>MAXIMUM CONSUMPTION</t>
  </si>
  <si>
    <t>1. iteration</t>
  </si>
  <si>
    <t>2. iteration</t>
  </si>
  <si>
    <t>Lenght (m)</t>
  </si>
  <si>
    <t>main-ring</t>
  </si>
  <si>
    <t>Sign</t>
  </si>
  <si>
    <t>C
[s2/m5]</t>
  </si>
  <si>
    <t>Q[m3/s]</t>
  </si>
  <si>
    <t>2abs(CQ)</t>
  </si>
  <si>
    <t>C*Q*abs(Q)</t>
  </si>
  <si>
    <t>Σ2abs(CQ)</t>
  </si>
  <si>
    <t>ΣC*Q*abs(Q)</t>
  </si>
  <si>
    <t>ΔQ</t>
  </si>
  <si>
    <t>branch</t>
  </si>
  <si>
    <t>one-loop</t>
  </si>
  <si>
    <t>failure</t>
  </si>
  <si>
    <t>MINIMUM CONSUMPTION</t>
  </si>
  <si>
    <t>AVERAGE CONSUMPTION</t>
  </si>
  <si>
    <t>3. iteration</t>
  </si>
  <si>
    <t xml:space="preserve"> </t>
  </si>
  <si>
    <t>Q (m3/s)</t>
  </si>
  <si>
    <t>Q (l/s)</t>
  </si>
  <si>
    <t>water velocity (m/s)</t>
  </si>
  <si>
    <t>local loss (hL)
C*Q*abs(Q)
(m)</t>
  </si>
  <si>
    <t>specific pressure flow loss
‰</t>
  </si>
  <si>
    <t>Node A</t>
  </si>
  <si>
    <t>Node B</t>
  </si>
  <si>
    <t>Ground level</t>
  </si>
  <si>
    <t>above ground</t>
  </si>
  <si>
    <t>demand</t>
  </si>
  <si>
    <t>Pressure</t>
  </si>
  <si>
    <t>H (m above see)</t>
  </si>
  <si>
    <t>(hL) C*Q*abs(Q)</t>
  </si>
  <si>
    <t>(m above see)</t>
  </si>
  <si>
    <t>h (m)</t>
  </si>
  <si>
    <t>H demand (m)</t>
  </si>
  <si>
    <t>H (m above sea)</t>
  </si>
  <si>
    <t>Length (m)</t>
  </si>
  <si>
    <t>ΣLength (m)</t>
  </si>
  <si>
    <t>(m above 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</si>
</sst>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5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0" borderId="0" xfId="0" applyNumberFormat="1"/>
    <xf numFmtId="16" fontId="0" fillId="0" borderId="0" xfId="0" applyNumberFormat="1"/>
    <xf numFmtId="16" fontId="0" fillId="0" borderId="1" xfId="0" applyNumberFormat="1" applyBorder="1"/>
    <xf numFmtId="9" fontId="0" fillId="0" borderId="1" xfId="0" applyNumberFormat="1" applyBorder="1"/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Border="1"/>
    <xf numFmtId="49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" fontId="0" fillId="0" borderId="0" xfId="0" applyNumberFormat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1" xfId="1" applyNumberFormat="1" applyFont="1" applyBorder="1"/>
    <xf numFmtId="2" fontId="0" fillId="0" borderId="0" xfId="0" applyNumberFormat="1"/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ál_c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</a:t>
            </a:r>
            <a:r>
              <a:rPr lang="en-US" baseline="0"/>
              <a:t> pressure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Surface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'pressure profile'!$E$21:$E$30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profile'!$I$4:$I$13</c:f>
              <c:numCache>
                <c:formatCode>General</c:formatCode>
                <c:ptCount val="10"/>
                <c:pt idx="0">
                  <c:v>35.5</c:v>
                </c:pt>
                <c:pt idx="1">
                  <c:v>36</c:v>
                </c:pt>
                <c:pt idx="2">
                  <c:v>36</c:v>
                </c:pt>
                <c:pt idx="3">
                  <c:v>36.5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35.5</c:v>
                </c:pt>
                <c:pt idx="8">
                  <c:v>36</c:v>
                </c:pt>
                <c:pt idx="9">
                  <c:v>36.5</c:v>
                </c:pt>
              </c:numCache>
            </c:numRef>
          </c:val>
          <c:smooth val="0"/>
        </c:ser>
        <c:ser>
          <c:idx val="1"/>
          <c:order val="1"/>
          <c:tx>
            <c:v>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'pressure profile'!$E$21:$E$30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profile'!$B$4:$B$13</c:f>
              <c:numCache>
                <c:formatCode>General</c:formatCode>
                <c:ptCount val="10"/>
                <c:pt idx="0">
                  <c:v>68</c:v>
                </c:pt>
                <c:pt idx="1">
                  <c:v>67.737570369005908</c:v>
                </c:pt>
                <c:pt idx="2">
                  <c:v>67.666282408605426</c:v>
                </c:pt>
                <c:pt idx="3">
                  <c:v>67.602387124103629</c:v>
                </c:pt>
                <c:pt idx="4">
                  <c:v>67.554166984178835</c:v>
                </c:pt>
                <c:pt idx="5">
                  <c:v>67.51238969193713</c:v>
                </c:pt>
                <c:pt idx="6">
                  <c:v>67.499761882065968</c:v>
                </c:pt>
                <c:pt idx="7">
                  <c:v>67.489354702668393</c:v>
                </c:pt>
                <c:pt idx="8">
                  <c:v>67.553432702823514</c:v>
                </c:pt>
                <c:pt idx="9">
                  <c:v>67.646970686144385</c:v>
                </c:pt>
              </c:numCache>
            </c:numRef>
          </c:val>
          <c:smooth val="0"/>
        </c:ser>
        <c:ser>
          <c:idx val="2"/>
          <c:order val="2"/>
          <c:tx>
            <c:v>Min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'pressure profile'!$E$21:$E$30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profile'!$B$21:$B$30</c:f>
              <c:numCache>
                <c:formatCode>General</c:formatCode>
                <c:ptCount val="10"/>
                <c:pt idx="0">
                  <c:v>68</c:v>
                </c:pt>
                <c:pt idx="1">
                  <c:v>67.679906695917609</c:v>
                </c:pt>
                <c:pt idx="2">
                  <c:v>67.60162890287576</c:v>
                </c:pt>
                <c:pt idx="3">
                  <c:v>67.525508399302211</c:v>
                </c:pt>
                <c:pt idx="4">
                  <c:v>67.463229441352397</c:v>
                </c:pt>
                <c:pt idx="5">
                  <c:v>67.405345742777214</c:v>
                </c:pt>
                <c:pt idx="6">
                  <c:v>67.351469038444151</c:v>
                </c:pt>
                <c:pt idx="7">
                  <c:v>67.297729447550523</c:v>
                </c:pt>
                <c:pt idx="8">
                  <c:v>67.401541286700549</c:v>
                </c:pt>
                <c:pt idx="9">
                  <c:v>67.544285952943639</c:v>
                </c:pt>
              </c:numCache>
            </c:numRef>
          </c:val>
          <c:smooth val="0"/>
        </c:ser>
        <c:ser>
          <c:idx val="3"/>
          <c:order val="3"/>
          <c:tx>
            <c:v>Average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'pressure profile'!$E$21:$E$30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profile'!$B$38:$B$47</c:f>
              <c:numCache>
                <c:formatCode>General</c:formatCode>
                <c:ptCount val="10"/>
                <c:pt idx="0">
                  <c:v>68</c:v>
                </c:pt>
                <c:pt idx="1">
                  <c:v>66.57349279690996</c:v>
                </c:pt>
                <c:pt idx="2">
                  <c:v>65.060131922464763</c:v>
                </c:pt>
                <c:pt idx="3">
                  <c:v>64.272812982491274</c:v>
                </c:pt>
                <c:pt idx="4">
                  <c:v>63.168878444104337</c:v>
                </c:pt>
                <c:pt idx="5">
                  <c:v>62.241930593217624</c:v>
                </c:pt>
                <c:pt idx="6">
                  <c:v>61.817403853633571</c:v>
                </c:pt>
                <c:pt idx="7">
                  <c:v>61.360283617431691</c:v>
                </c:pt>
                <c:pt idx="8">
                  <c:v>61.996241657298476</c:v>
                </c:pt>
                <c:pt idx="9">
                  <c:v>62.78897890749964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229976"/>
        <c:axId val="236230368"/>
      </c:lineChart>
      <c:catAx>
        <c:axId val="23622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30368"/>
        <c:crosses val="autoZero"/>
        <c:auto val="1"/>
        <c:lblAlgn val="ctr"/>
        <c:lblOffset val="100"/>
        <c:noMultiLvlLbl val="0"/>
      </c:catAx>
      <c:valAx>
        <c:axId val="2362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2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pressure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'pressure profile'!$E$38:$E$47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profile'!$K$4:$K$13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ser>
          <c:idx val="1"/>
          <c:order val="1"/>
          <c:tx>
            <c:v>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'pressure profile'!$E$38:$E$47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profile'!$J$4:$J$13</c:f>
              <c:numCache>
                <c:formatCode>General</c:formatCode>
                <c:ptCount val="10"/>
                <c:pt idx="0">
                  <c:v>32.237570369005908</c:v>
                </c:pt>
                <c:pt idx="1">
                  <c:v>31.666282408605426</c:v>
                </c:pt>
                <c:pt idx="2">
                  <c:v>31.602387124103629</c:v>
                </c:pt>
                <c:pt idx="3">
                  <c:v>31.054166984178835</c:v>
                </c:pt>
                <c:pt idx="4">
                  <c:v>31.51238969193713</c:v>
                </c:pt>
                <c:pt idx="5">
                  <c:v>31.499761882065968</c:v>
                </c:pt>
                <c:pt idx="6">
                  <c:v>31.489354702668393</c:v>
                </c:pt>
                <c:pt idx="7">
                  <c:v>32.053432702823514</c:v>
                </c:pt>
                <c:pt idx="8">
                  <c:v>31.646970686144385</c:v>
                </c:pt>
                <c:pt idx="9">
                  <c:v>31.235226802727212</c:v>
                </c:pt>
              </c:numCache>
            </c:numRef>
          </c:val>
          <c:smooth val="0"/>
        </c:ser>
        <c:ser>
          <c:idx val="2"/>
          <c:order val="2"/>
          <c:tx>
            <c:v>Min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'pressure profile'!$E$38:$E$47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profile'!$J$21:$J$30</c:f>
              <c:numCache>
                <c:formatCode>General</c:formatCode>
                <c:ptCount val="10"/>
                <c:pt idx="0">
                  <c:v>32.179906695917609</c:v>
                </c:pt>
                <c:pt idx="1">
                  <c:v>31.60162890287576</c:v>
                </c:pt>
                <c:pt idx="2">
                  <c:v>31.525508399302211</c:v>
                </c:pt>
                <c:pt idx="3">
                  <c:v>30.963229441352397</c:v>
                </c:pt>
                <c:pt idx="4">
                  <c:v>31.405345742777214</c:v>
                </c:pt>
                <c:pt idx="5">
                  <c:v>31.351469038444151</c:v>
                </c:pt>
                <c:pt idx="6">
                  <c:v>31.297729447550523</c:v>
                </c:pt>
                <c:pt idx="7">
                  <c:v>31.901541286700549</c:v>
                </c:pt>
                <c:pt idx="8">
                  <c:v>31.544285952943639</c:v>
                </c:pt>
                <c:pt idx="9">
                  <c:v>31.170848813176278</c:v>
                </c:pt>
              </c:numCache>
            </c:numRef>
          </c:val>
          <c:smooth val="0"/>
        </c:ser>
        <c:ser>
          <c:idx val="3"/>
          <c:order val="3"/>
          <c:tx>
            <c:v>Average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'pressure profile'!$E$38:$E$47</c:f>
              <c:numCache>
                <c:formatCode>General</c:formatCode>
                <c:ptCount val="10"/>
                <c:pt idx="0">
                  <c:v>76</c:v>
                </c:pt>
                <c:pt idx="1">
                  <c:v>132</c:v>
                </c:pt>
                <c:pt idx="2">
                  <c:v>188</c:v>
                </c:pt>
                <c:pt idx="3">
                  <c:v>235</c:v>
                </c:pt>
                <c:pt idx="4">
                  <c:v>280</c:v>
                </c:pt>
                <c:pt idx="5">
                  <c:v>328</c:v>
                </c:pt>
                <c:pt idx="6">
                  <c:v>377</c:v>
                </c:pt>
                <c:pt idx="7">
                  <c:v>417</c:v>
                </c:pt>
                <c:pt idx="8">
                  <c:v>471</c:v>
                </c:pt>
                <c:pt idx="9">
                  <c:v>518</c:v>
                </c:pt>
              </c:numCache>
            </c:numRef>
          </c:cat>
          <c:val>
            <c:numRef>
              <c:f>'pressure profile'!$J$38:$J$47</c:f>
              <c:numCache>
                <c:formatCode>General</c:formatCode>
                <c:ptCount val="10"/>
                <c:pt idx="0">
                  <c:v>31.07349279690996</c:v>
                </c:pt>
                <c:pt idx="1">
                  <c:v>29.060131922464763</c:v>
                </c:pt>
                <c:pt idx="2">
                  <c:v>28.272812982491274</c:v>
                </c:pt>
                <c:pt idx="3">
                  <c:v>26.668878444104337</c:v>
                </c:pt>
                <c:pt idx="4">
                  <c:v>26.241930593217624</c:v>
                </c:pt>
                <c:pt idx="5">
                  <c:v>25.817403853633571</c:v>
                </c:pt>
                <c:pt idx="6">
                  <c:v>25.360283617431691</c:v>
                </c:pt>
                <c:pt idx="7">
                  <c:v>26.496241657298476</c:v>
                </c:pt>
                <c:pt idx="8">
                  <c:v>26.78897890749964</c:v>
                </c:pt>
                <c:pt idx="9">
                  <c:v>30.069522196224895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232328"/>
        <c:axId val="236230760"/>
      </c:lineChart>
      <c:catAx>
        <c:axId val="23623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30760"/>
        <c:crosses val="autoZero"/>
        <c:auto val="1"/>
        <c:lblAlgn val="ctr"/>
        <c:lblOffset val="100"/>
        <c:noMultiLvlLbl val="0"/>
      </c:catAx>
      <c:valAx>
        <c:axId val="23623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3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255710</xdr:colOff>
      <xdr:row>3</xdr:row>
      <xdr:rowOff>62035</xdr:rowOff>
    </xdr:from>
    <xdr:to>
      <xdr:col>19</xdr:col>
      <xdr:colOff>561487</xdr:colOff>
      <xdr:row>18</xdr:row>
      <xdr:rowOff>42985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134327</xdr:colOff>
      <xdr:row>19</xdr:row>
      <xdr:rowOff>59593</xdr:rowOff>
    </xdr:from>
    <xdr:to>
      <xdr:col>19</xdr:col>
      <xdr:colOff>432288</xdr:colOff>
      <xdr:row>34</xdr:row>
      <xdr:rowOff>18562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pw_201809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meter"/>
      <sheetName val="water demand"/>
      <sheetName val="cons. of nodes"/>
      <sheetName val="max-min-avg"/>
      <sheetName val="initial flow"/>
      <sheetName val="diameter calc"/>
      <sheetName val="Cross"/>
      <sheetName val="pressure flow loss"/>
      <sheetName val="node pressure"/>
      <sheetName val="pressure profil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2">
          <cell r="H22">
            <v>22.232530698716179</v>
          </cell>
        </row>
        <row r="23">
          <cell r="H23">
            <v>11.01881522466981</v>
          </cell>
        </row>
        <row r="24">
          <cell r="H24">
            <v>10.891533429158589</v>
          </cell>
        </row>
        <row r="25">
          <cell r="H25">
            <v>10.776979813198489</v>
          </cell>
        </row>
        <row r="26">
          <cell r="H26">
            <v>10.645322705966569</v>
          </cell>
        </row>
        <row r="27">
          <cell r="H27">
            <v>10.065724202225921</v>
          </cell>
        </row>
        <row r="28">
          <cell r="H28">
            <v>9.9710583668144501</v>
          </cell>
        </row>
        <row r="29">
          <cell r="H29">
            <v>-10.652880062575043</v>
          </cell>
        </row>
        <row r="30">
          <cell r="H30">
            <v>-10.768229189757088</v>
          </cell>
        </row>
        <row r="31">
          <cell r="H31">
            <v>-10.885567094993997</v>
          </cell>
        </row>
        <row r="38">
          <cell r="H38">
            <v>43.129371738477886</v>
          </cell>
        </row>
        <row r="39">
          <cell r="H39">
            <v>21.158643683037781</v>
          </cell>
        </row>
        <row r="40">
          <cell r="H40">
            <v>20.62830286840769</v>
          </cell>
        </row>
        <row r="41">
          <cell r="H41">
            <v>20.150996135240607</v>
          </cell>
        </row>
        <row r="42">
          <cell r="H42">
            <v>19.602424855107607</v>
          </cell>
        </row>
        <row r="43">
          <cell r="H43">
            <v>17.187431089521574</v>
          </cell>
        </row>
        <row r="44">
          <cell r="H44">
            <v>16.792990108640442</v>
          </cell>
        </row>
        <row r="45">
          <cell r="H45">
            <v>-4.633913840976259</v>
          </cell>
        </row>
        <row r="46">
          <cell r="H46">
            <v>-5.1145352042347794</v>
          </cell>
        </row>
        <row r="47">
          <cell r="H47">
            <v>-20.603443142721893</v>
          </cell>
        </row>
      </sheetData>
      <sheetData sheetId="5">
        <row r="3">
          <cell r="E3">
            <v>200</v>
          </cell>
        </row>
      </sheetData>
      <sheetData sheetId="6" refreshError="1"/>
      <sheetData sheetId="7">
        <row r="3">
          <cell r="G3">
            <v>0.95385162375990562</v>
          </cell>
        </row>
        <row r="4">
          <cell r="G4">
            <v>1.9575309510230523</v>
          </cell>
        </row>
        <row r="5">
          <cell r="G5">
            <v>0.96527272174313072</v>
          </cell>
        </row>
        <row r="6">
          <cell r="G6">
            <v>1.2832463297807049</v>
          </cell>
        </row>
        <row r="7">
          <cell r="G7">
            <v>1.0065076690330268</v>
          </cell>
        </row>
        <row r="8">
          <cell r="G8">
            <v>0.29777651975264141</v>
          </cell>
        </row>
        <row r="9">
          <cell r="G9">
            <v>0.28869448507707757</v>
          </cell>
        </row>
        <row r="10">
          <cell r="G10">
            <v>-1.0154456759415551</v>
          </cell>
        </row>
        <row r="11">
          <cell r="G11">
            <v>-1.3192892202433939</v>
          </cell>
        </row>
        <row r="12">
          <cell r="G12">
            <v>-1.3413504551925406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60" t="s">
        <v>29</v>
      </c>
      <c r="B1" s="60"/>
      <c r="C1" s="60"/>
      <c r="D1" s="60"/>
      <c r="E1" s="60"/>
    </row>
    <row r="2" spans="1:6" x14ac:dyDescent="0.35">
      <c r="A2" s="60" t="s">
        <v>30</v>
      </c>
      <c r="B2" s="60"/>
      <c r="C2" s="60"/>
      <c r="D2" s="60"/>
      <c r="F2">
        <v>404</v>
      </c>
    </row>
  </sheetData>
  <mergeCells count="2">
    <mergeCell ref="A1:E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3" workbookViewId="0">
      <selection activeCell="M8" sqref="M8"/>
    </sheetView>
  </sheetViews>
  <sheetFormatPr defaultRowHeight="14.5" x14ac:dyDescent="0.35"/>
  <sheetData>
    <row r="1" spans="1:10" ht="58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28</v>
      </c>
    </row>
    <row r="2" spans="1:10" ht="29" x14ac:dyDescent="0.35">
      <c r="B2" s="3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</row>
    <row r="3" spans="1:10" x14ac:dyDescent="0.35">
      <c r="B3" s="4">
        <v>404</v>
      </c>
      <c r="C3" s="4">
        <v>2.6</v>
      </c>
      <c r="D3" s="5">
        <f>B3*C3</f>
        <v>1050.4000000000001</v>
      </c>
      <c r="E3" s="4">
        <v>140</v>
      </c>
      <c r="F3" s="5">
        <f>D3*E3/1000</f>
        <v>147.05600000000001</v>
      </c>
      <c r="G3" s="4">
        <v>1.2</v>
      </c>
      <c r="H3" s="5">
        <f>F3*G3</f>
        <v>176.46720000000002</v>
      </c>
      <c r="I3" s="4">
        <v>1.1000000000000001</v>
      </c>
      <c r="J3" s="15">
        <f>H3*I3</f>
        <v>194.11392000000004</v>
      </c>
    </row>
    <row r="6" spans="1:10" x14ac:dyDescent="0.35">
      <c r="B6" s="6" t="s">
        <v>13</v>
      </c>
    </row>
    <row r="8" spans="1:10" ht="58" x14ac:dyDescent="0.35"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26</v>
      </c>
    </row>
    <row r="9" spans="1:10" ht="16.5" x14ac:dyDescent="0.35">
      <c r="B9" s="3"/>
      <c r="C9" s="2"/>
      <c r="D9" s="3" t="s">
        <v>10</v>
      </c>
      <c r="E9" s="3" t="s">
        <v>11</v>
      </c>
      <c r="F9" s="3" t="s">
        <v>12</v>
      </c>
      <c r="G9" s="3" t="s">
        <v>11</v>
      </c>
      <c r="H9" s="3" t="s">
        <v>12</v>
      </c>
      <c r="I9" s="3" t="s">
        <v>11</v>
      </c>
    </row>
    <row r="10" spans="1:10" x14ac:dyDescent="0.35">
      <c r="B10" s="7" t="s">
        <v>21</v>
      </c>
      <c r="C10" s="4">
        <v>30</v>
      </c>
      <c r="D10" s="4">
        <v>160</v>
      </c>
      <c r="E10" s="5">
        <f>C10*D10/1000</f>
        <v>4.8</v>
      </c>
      <c r="F10" s="4">
        <v>1.5</v>
      </c>
      <c r="G10" s="5">
        <f>E10*F10</f>
        <v>7.1999999999999993</v>
      </c>
      <c r="H10" s="4">
        <v>1.1000000000000001</v>
      </c>
      <c r="I10" s="16">
        <f>G10*H10</f>
        <v>7.92</v>
      </c>
    </row>
    <row r="11" spans="1:10" x14ac:dyDescent="0.35">
      <c r="B11" s="7" t="s">
        <v>22</v>
      </c>
      <c r="C11" s="8">
        <v>500</v>
      </c>
      <c r="D11" s="8">
        <v>160</v>
      </c>
      <c r="E11" s="9">
        <f>C11*D11/1000</f>
        <v>80</v>
      </c>
      <c r="F11" s="8">
        <v>1.5</v>
      </c>
      <c r="G11" s="9">
        <f>E11*F11</f>
        <v>120</v>
      </c>
      <c r="H11" s="8">
        <v>1.1000000000000001</v>
      </c>
      <c r="I11" s="5">
        <f>G11*H11</f>
        <v>132</v>
      </c>
    </row>
    <row r="12" spans="1:10" x14ac:dyDescent="0.35">
      <c r="B12" s="10" t="s">
        <v>23</v>
      </c>
      <c r="C12" s="11"/>
      <c r="D12" s="12"/>
      <c r="E12" s="12"/>
      <c r="F12" s="12"/>
      <c r="G12" s="12"/>
      <c r="H12" s="13"/>
      <c r="I12" s="17">
        <f>SUM(I10:I11)</f>
        <v>139.91999999999999</v>
      </c>
    </row>
    <row r="14" spans="1:10" x14ac:dyDescent="0.35">
      <c r="B14" s="6" t="s">
        <v>24</v>
      </c>
    </row>
    <row r="16" spans="1:10" ht="58" x14ac:dyDescent="0.35">
      <c r="B16" s="2" t="s">
        <v>25</v>
      </c>
      <c r="C16" s="2" t="s">
        <v>20</v>
      </c>
      <c r="D16" s="2" t="s">
        <v>26</v>
      </c>
    </row>
    <row r="17" spans="2:13" ht="16.5" x14ac:dyDescent="0.35">
      <c r="B17" s="5" t="s">
        <v>11</v>
      </c>
      <c r="C17" s="5" t="s">
        <v>12</v>
      </c>
      <c r="D17" s="5" t="s">
        <v>11</v>
      </c>
    </row>
    <row r="18" spans="2:13" x14ac:dyDescent="0.35">
      <c r="B18" s="4">
        <v>1000</v>
      </c>
      <c r="C18" s="4">
        <v>1.1000000000000001</v>
      </c>
      <c r="D18" s="14">
        <f>B18*C18</f>
        <v>1100</v>
      </c>
    </row>
    <row r="20" spans="2:13" ht="58" x14ac:dyDescent="0.35"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26</v>
      </c>
    </row>
    <row r="21" spans="2:13" ht="29" x14ac:dyDescent="0.35">
      <c r="B21" s="3"/>
      <c r="C21" s="2" t="s">
        <v>10</v>
      </c>
      <c r="D21" s="3" t="s">
        <v>11</v>
      </c>
      <c r="E21" s="3" t="s">
        <v>12</v>
      </c>
      <c r="F21" s="3" t="s">
        <v>11</v>
      </c>
      <c r="G21" s="3" t="s">
        <v>12</v>
      </c>
      <c r="H21" s="3" t="s">
        <v>11</v>
      </c>
    </row>
    <row r="22" spans="2:13" x14ac:dyDescent="0.35">
      <c r="B22" s="4">
        <v>100</v>
      </c>
      <c r="C22" s="4">
        <v>100</v>
      </c>
      <c r="D22" s="5">
        <f>B22*C22/1000</f>
        <v>10</v>
      </c>
      <c r="E22" s="4">
        <v>1.2</v>
      </c>
      <c r="F22" s="5">
        <f>D22*E22</f>
        <v>12</v>
      </c>
      <c r="G22" s="4">
        <v>1.1000000000000001</v>
      </c>
      <c r="H22" s="15">
        <f>F22*G22</f>
        <v>13.200000000000001</v>
      </c>
      <c r="J22" t="s">
        <v>31</v>
      </c>
      <c r="M22" s="18">
        <f>H22+I12+J3+D18</f>
        <v>1447.2339200000001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E15"/>
  <sheetViews>
    <sheetView zoomScale="85" zoomScaleNormal="85" workbookViewId="0">
      <selection activeCell="D3" sqref="D3"/>
    </sheetView>
  </sheetViews>
  <sheetFormatPr defaultRowHeight="14.5" x14ac:dyDescent="0.35"/>
  <sheetData>
    <row r="1" spans="4:31" x14ac:dyDescent="0.35">
      <c r="D1" t="s">
        <v>32</v>
      </c>
      <c r="E1" t="s">
        <v>33</v>
      </c>
      <c r="F1" t="s">
        <v>34</v>
      </c>
      <c r="G1" t="s">
        <v>35</v>
      </c>
      <c r="H1" t="s">
        <v>36</v>
      </c>
      <c r="J1" s="7" t="s">
        <v>59</v>
      </c>
      <c r="K1" s="7" t="s">
        <v>60</v>
      </c>
      <c r="L1" s="7"/>
      <c r="M1" s="7"/>
      <c r="N1" s="7"/>
      <c r="O1" s="7"/>
      <c r="P1" s="7"/>
      <c r="Q1" s="7"/>
      <c r="R1" s="7"/>
      <c r="S1" s="7"/>
      <c r="T1" s="7"/>
      <c r="U1" s="7"/>
      <c r="V1" s="7" t="s">
        <v>59</v>
      </c>
      <c r="X1" s="7"/>
      <c r="Y1" s="7"/>
      <c r="Z1" s="7" t="s">
        <v>61</v>
      </c>
      <c r="AA1" s="7" t="s">
        <v>62</v>
      </c>
      <c r="AB1" s="7" t="s">
        <v>63</v>
      </c>
      <c r="AC1" s="7" t="s">
        <v>64</v>
      </c>
      <c r="AD1" s="7" t="s">
        <v>65</v>
      </c>
      <c r="AE1" s="7" t="s">
        <v>66</v>
      </c>
    </row>
    <row r="2" spans="4:31" x14ac:dyDescent="0.35">
      <c r="E2" t="s">
        <v>37</v>
      </c>
      <c r="F2" t="s">
        <v>38</v>
      </c>
      <c r="G2" t="s">
        <v>38</v>
      </c>
      <c r="H2" t="s">
        <v>38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20" t="s">
        <v>58</v>
      </c>
      <c r="U2" s="7"/>
      <c r="V2" s="7" t="s">
        <v>38</v>
      </c>
      <c r="X2" s="7"/>
      <c r="Y2" s="7" t="s">
        <v>59</v>
      </c>
      <c r="Z2" s="7" t="s">
        <v>38</v>
      </c>
      <c r="AA2" s="7" t="s">
        <v>38</v>
      </c>
      <c r="AB2" s="7" t="s">
        <v>38</v>
      </c>
      <c r="AC2" s="7" t="s">
        <v>38</v>
      </c>
      <c r="AD2" s="7" t="s">
        <v>38</v>
      </c>
      <c r="AE2" s="7" t="s">
        <v>67</v>
      </c>
    </row>
    <row r="3" spans="4:31" ht="14.5" customHeight="1" x14ac:dyDescent="0.35">
      <c r="D3" s="19" t="s">
        <v>49</v>
      </c>
      <c r="E3">
        <v>76</v>
      </c>
      <c r="F3">
        <f>F14/E14*E3</f>
        <v>28.477992277992279</v>
      </c>
      <c r="G3">
        <f t="shared" ref="G3:G12" si="0">F3/2</f>
        <v>14.238996138996139</v>
      </c>
      <c r="H3">
        <f t="shared" ref="H3:H12" si="1">G3</f>
        <v>14.238996138996139</v>
      </c>
      <c r="J3" s="7">
        <v>1</v>
      </c>
      <c r="K3" s="7">
        <f>G3</f>
        <v>14.238996138996139</v>
      </c>
      <c r="L3" s="7"/>
      <c r="M3" s="7"/>
      <c r="N3" s="7"/>
      <c r="O3" s="7"/>
      <c r="P3" s="7"/>
      <c r="Q3" s="7"/>
      <c r="R3" s="7"/>
      <c r="S3" s="7"/>
      <c r="T3" s="7"/>
      <c r="U3" s="7"/>
      <c r="V3" s="42">
        <f>SUM(K3:U3)</f>
        <v>14.238996138996139</v>
      </c>
      <c r="X3" s="7"/>
      <c r="Y3" s="7">
        <v>1</v>
      </c>
      <c r="Z3" s="42">
        <f>V3</f>
        <v>14.238996138996139</v>
      </c>
      <c r="AA3" s="7"/>
      <c r="AB3" s="7"/>
      <c r="AC3" s="42">
        <f>SUM(Z3:AB3)</f>
        <v>14.238996138996139</v>
      </c>
      <c r="AD3" s="7"/>
      <c r="AE3" s="7"/>
    </row>
    <row r="4" spans="4:31" x14ac:dyDescent="0.35">
      <c r="D4" s="19" t="s">
        <v>50</v>
      </c>
      <c r="E4">
        <v>56</v>
      </c>
      <c r="F4">
        <f>F14/E14*E4</f>
        <v>20.983783783783785</v>
      </c>
      <c r="G4">
        <f t="shared" si="0"/>
        <v>10.491891891891893</v>
      </c>
      <c r="H4">
        <f t="shared" si="1"/>
        <v>10.491891891891893</v>
      </c>
      <c r="J4" s="7">
        <v>2</v>
      </c>
      <c r="K4" s="7">
        <f>H3</f>
        <v>14.238996138996139</v>
      </c>
      <c r="L4" s="7">
        <f>G4</f>
        <v>10.491891891891893</v>
      </c>
      <c r="M4" s="7"/>
      <c r="N4" s="7"/>
      <c r="O4" s="7"/>
      <c r="P4" s="7"/>
      <c r="Q4" s="7"/>
      <c r="R4" s="7"/>
      <c r="S4" s="7"/>
      <c r="T4" s="7">
        <f>H12</f>
        <v>8.8056949806949802</v>
      </c>
      <c r="U4" s="7"/>
      <c r="V4" s="42">
        <f>SUM(K4:U4)</f>
        <v>33.536583011583012</v>
      </c>
      <c r="X4" s="7"/>
      <c r="Y4" s="7">
        <v>2</v>
      </c>
      <c r="Z4" s="42">
        <f t="shared" ref="Z4:Z12" si="2">V4</f>
        <v>33.536583011583012</v>
      </c>
      <c r="AA4" s="7"/>
      <c r="AB4" s="7"/>
      <c r="AC4" s="42">
        <f t="shared" ref="AC4:AC12" si="3">SUM(Z4:AB4)</f>
        <v>33.536583011583012</v>
      </c>
      <c r="AD4" s="7"/>
      <c r="AE4" s="7"/>
    </row>
    <row r="5" spans="4:31" x14ac:dyDescent="0.35">
      <c r="D5" s="19" t="s">
        <v>51</v>
      </c>
      <c r="E5">
        <v>56</v>
      </c>
      <c r="F5">
        <f>F14/E14*E5</f>
        <v>20.983783783783785</v>
      </c>
      <c r="G5">
        <f t="shared" si="0"/>
        <v>10.491891891891893</v>
      </c>
      <c r="H5">
        <f t="shared" si="1"/>
        <v>10.491891891891893</v>
      </c>
      <c r="J5" s="7">
        <v>3</v>
      </c>
      <c r="K5" s="7"/>
      <c r="L5" s="7">
        <f>H4</f>
        <v>10.491891891891893</v>
      </c>
      <c r="M5" s="7">
        <f>G5</f>
        <v>10.491891891891893</v>
      </c>
      <c r="N5" s="7"/>
      <c r="O5" s="7"/>
      <c r="P5" s="7"/>
      <c r="Q5" s="7"/>
      <c r="R5" s="7"/>
      <c r="S5" s="7"/>
      <c r="T5" s="7"/>
      <c r="U5" s="7"/>
      <c r="V5" s="42">
        <f t="shared" ref="V5:V12" si="4">SUM(K5:U5)</f>
        <v>20.983783783783785</v>
      </c>
      <c r="X5" s="7"/>
      <c r="Y5" s="7">
        <v>3</v>
      </c>
      <c r="Z5" s="42">
        <f t="shared" si="2"/>
        <v>20.983783783783785</v>
      </c>
      <c r="AA5" s="7"/>
      <c r="AB5" s="7"/>
      <c r="AC5" s="42">
        <f t="shared" si="3"/>
        <v>20.983783783783785</v>
      </c>
      <c r="AD5" s="7"/>
      <c r="AE5" s="7"/>
    </row>
    <row r="6" spans="4:31" x14ac:dyDescent="0.35">
      <c r="D6" s="19" t="s">
        <v>52</v>
      </c>
      <c r="E6">
        <v>47</v>
      </c>
      <c r="F6">
        <f>F14/E14*E6</f>
        <v>17.61138996138996</v>
      </c>
      <c r="G6">
        <f t="shared" si="0"/>
        <v>8.8056949806949802</v>
      </c>
      <c r="H6">
        <f t="shared" si="1"/>
        <v>8.8056949806949802</v>
      </c>
      <c r="J6" s="7">
        <v>4</v>
      </c>
      <c r="K6" s="7"/>
      <c r="L6" s="7"/>
      <c r="M6" s="7">
        <f>H5</f>
        <v>10.491891891891893</v>
      </c>
      <c r="N6" s="7">
        <f>G6</f>
        <v>8.8056949806949802</v>
      </c>
      <c r="O6" s="7"/>
      <c r="P6" s="7"/>
      <c r="Q6" s="7"/>
      <c r="R6" s="7"/>
      <c r="S6" s="7"/>
      <c r="T6" s="7"/>
      <c r="U6" s="7"/>
      <c r="V6" s="42">
        <f t="shared" si="4"/>
        <v>19.297586872586873</v>
      </c>
      <c r="X6" s="7"/>
      <c r="Y6" s="7">
        <v>4</v>
      </c>
      <c r="Z6" s="42">
        <f t="shared" si="2"/>
        <v>19.297586872586873</v>
      </c>
      <c r="AA6" s="7"/>
      <c r="AB6" s="7"/>
      <c r="AC6" s="42">
        <f t="shared" si="3"/>
        <v>19.297586872586873</v>
      </c>
      <c r="AD6" s="7"/>
      <c r="AE6" s="7"/>
    </row>
    <row r="7" spans="4:31" x14ac:dyDescent="0.35">
      <c r="D7" s="19" t="s">
        <v>53</v>
      </c>
      <c r="E7">
        <v>45</v>
      </c>
      <c r="F7">
        <f>F14/E14*E7</f>
        <v>16.861969111969113</v>
      </c>
      <c r="G7">
        <f t="shared" si="0"/>
        <v>8.4309845559845566</v>
      </c>
      <c r="H7">
        <f t="shared" si="1"/>
        <v>8.4309845559845566</v>
      </c>
      <c r="J7" s="7">
        <v>5</v>
      </c>
      <c r="K7" s="7"/>
      <c r="L7" s="7"/>
      <c r="M7" s="7"/>
      <c r="N7" s="7">
        <f>H6</f>
        <v>8.8056949806949802</v>
      </c>
      <c r="O7" s="7">
        <f>G7</f>
        <v>8.4309845559845566</v>
      </c>
      <c r="P7" s="7"/>
      <c r="Q7" s="7"/>
      <c r="R7" s="7"/>
      <c r="S7" s="7"/>
      <c r="T7" s="7"/>
      <c r="U7" s="7"/>
      <c r="V7" s="42">
        <f t="shared" si="4"/>
        <v>17.236679536679539</v>
      </c>
      <c r="X7" s="7"/>
      <c r="Y7" s="7">
        <v>5</v>
      </c>
      <c r="Z7" s="42">
        <f t="shared" si="2"/>
        <v>17.236679536679539</v>
      </c>
      <c r="AA7" s="7"/>
      <c r="AB7" s="7"/>
      <c r="AC7" s="42">
        <f t="shared" si="3"/>
        <v>17.236679536679539</v>
      </c>
      <c r="AD7" s="7"/>
      <c r="AE7" s="7"/>
    </row>
    <row r="8" spans="4:31" x14ac:dyDescent="0.35">
      <c r="D8" s="19" t="s">
        <v>54</v>
      </c>
      <c r="E8">
        <v>48</v>
      </c>
      <c r="F8">
        <f>F14/E14*E8</f>
        <v>17.986100386100386</v>
      </c>
      <c r="G8">
        <f t="shared" si="0"/>
        <v>8.9930501930501929</v>
      </c>
      <c r="H8">
        <f t="shared" si="1"/>
        <v>8.9930501930501929</v>
      </c>
      <c r="J8" s="7">
        <v>6</v>
      </c>
      <c r="K8" s="7"/>
      <c r="L8" s="7"/>
      <c r="M8" s="7"/>
      <c r="N8" s="7"/>
      <c r="O8" s="7">
        <f>H7</f>
        <v>8.4309845559845566</v>
      </c>
      <c r="P8" s="7">
        <f>G8</f>
        <v>8.9930501930501929</v>
      </c>
      <c r="Q8" s="7"/>
      <c r="R8" s="7"/>
      <c r="S8" s="7"/>
      <c r="T8" s="7"/>
      <c r="U8" s="7"/>
      <c r="V8" s="42">
        <f t="shared" si="4"/>
        <v>17.42403474903475</v>
      </c>
      <c r="X8" s="7" t="s">
        <v>68</v>
      </c>
      <c r="Y8" s="7">
        <v>6</v>
      </c>
      <c r="Z8" s="42">
        <f t="shared" si="2"/>
        <v>17.42403474903475</v>
      </c>
      <c r="AA8" s="7">
        <v>139.9</v>
      </c>
      <c r="AB8" s="7"/>
      <c r="AC8" s="42">
        <f t="shared" si="3"/>
        <v>157.32403474903475</v>
      </c>
      <c r="AD8" s="7"/>
      <c r="AE8" s="7"/>
    </row>
    <row r="9" spans="4:31" x14ac:dyDescent="0.35">
      <c r="D9" s="19" t="s">
        <v>55</v>
      </c>
      <c r="E9">
        <v>49</v>
      </c>
      <c r="F9">
        <f>F14/E14*E9</f>
        <v>18.360810810810811</v>
      </c>
      <c r="G9">
        <f t="shared" si="0"/>
        <v>9.1804054054054056</v>
      </c>
      <c r="H9">
        <f t="shared" si="1"/>
        <v>9.1804054054054056</v>
      </c>
      <c r="J9" s="7">
        <v>7</v>
      </c>
      <c r="K9" s="7"/>
      <c r="L9" s="7"/>
      <c r="M9" s="7"/>
      <c r="N9" s="7"/>
      <c r="O9" s="7"/>
      <c r="P9" s="7">
        <f>H8</f>
        <v>8.9930501930501929</v>
      </c>
      <c r="Q9" s="7">
        <f>G9</f>
        <v>9.1804054054054056</v>
      </c>
      <c r="R9" s="7"/>
      <c r="S9" s="7"/>
      <c r="T9" s="7"/>
      <c r="U9" s="7"/>
      <c r="V9" s="42">
        <f t="shared" si="4"/>
        <v>18.173455598455597</v>
      </c>
      <c r="X9" s="7"/>
      <c r="Y9" s="7">
        <v>7</v>
      </c>
      <c r="Z9" s="42">
        <f t="shared" si="2"/>
        <v>18.173455598455597</v>
      </c>
      <c r="AA9" s="7"/>
      <c r="AB9" s="7"/>
      <c r="AC9" s="42">
        <f t="shared" si="3"/>
        <v>18.173455598455597</v>
      </c>
      <c r="AD9" s="7"/>
      <c r="AE9" s="7"/>
    </row>
    <row r="10" spans="4:31" x14ac:dyDescent="0.35">
      <c r="D10" s="19" t="s">
        <v>56</v>
      </c>
      <c r="E10">
        <v>40</v>
      </c>
      <c r="F10">
        <f>F14/E14*E10</f>
        <v>14.988416988416988</v>
      </c>
      <c r="G10">
        <f t="shared" si="0"/>
        <v>7.4942084942084941</v>
      </c>
      <c r="H10">
        <f t="shared" si="1"/>
        <v>7.4942084942084941</v>
      </c>
      <c r="J10" s="7">
        <v>8</v>
      </c>
      <c r="K10" s="7"/>
      <c r="L10" s="7"/>
      <c r="M10" s="7"/>
      <c r="N10" s="7"/>
      <c r="O10" s="7"/>
      <c r="P10" s="7"/>
      <c r="Q10" s="7">
        <f>H9</f>
        <v>9.1804054054054056</v>
      </c>
      <c r="R10" s="7">
        <f>G10</f>
        <v>7.4942084942084941</v>
      </c>
      <c r="S10" s="7"/>
      <c r="T10" s="7"/>
      <c r="U10" s="7"/>
      <c r="V10" s="42">
        <f t="shared" si="4"/>
        <v>16.674613899613899</v>
      </c>
      <c r="X10" s="7" t="s">
        <v>69</v>
      </c>
      <c r="Y10" s="7">
        <v>8</v>
      </c>
      <c r="Z10" s="42">
        <f t="shared" si="2"/>
        <v>16.674613899613899</v>
      </c>
      <c r="AA10" s="7"/>
      <c r="AB10" s="7">
        <v>13.2</v>
      </c>
      <c r="AC10" s="42">
        <f t="shared" si="3"/>
        <v>29.874613899613898</v>
      </c>
      <c r="AD10" s="7">
        <f>1100</f>
        <v>1100</v>
      </c>
      <c r="AE10" s="7"/>
    </row>
    <row r="11" spans="4:31" x14ac:dyDescent="0.35">
      <c r="D11" s="19" t="s">
        <v>57</v>
      </c>
      <c r="E11">
        <v>54</v>
      </c>
      <c r="F11">
        <f>F14/E14*E11</f>
        <v>20.234362934362935</v>
      </c>
      <c r="G11">
        <f t="shared" si="0"/>
        <v>10.117181467181467</v>
      </c>
      <c r="H11">
        <f t="shared" si="1"/>
        <v>10.117181467181467</v>
      </c>
      <c r="J11" s="7">
        <v>9</v>
      </c>
      <c r="K11" s="7"/>
      <c r="L11" s="7"/>
      <c r="M11" s="7"/>
      <c r="N11" s="7"/>
      <c r="O11" s="7"/>
      <c r="P11" s="7"/>
      <c r="Q11" s="7"/>
      <c r="R11" s="7">
        <f>H10</f>
        <v>7.4942084942084941</v>
      </c>
      <c r="S11" s="7">
        <f>G11</f>
        <v>10.117181467181467</v>
      </c>
      <c r="T11" s="7"/>
      <c r="U11" s="7"/>
      <c r="V11" s="42">
        <f t="shared" si="4"/>
        <v>17.61138996138996</v>
      </c>
      <c r="X11" s="7"/>
      <c r="Y11" s="7">
        <v>9</v>
      </c>
      <c r="Z11" s="42">
        <f t="shared" si="2"/>
        <v>17.61138996138996</v>
      </c>
      <c r="AA11" s="7"/>
      <c r="AB11" s="7"/>
      <c r="AC11" s="42">
        <f t="shared" si="3"/>
        <v>17.61138996138996</v>
      </c>
      <c r="AD11" s="7"/>
      <c r="AE11" s="7"/>
    </row>
    <row r="12" spans="4:31" x14ac:dyDescent="0.35">
      <c r="D12" s="19" t="s">
        <v>58</v>
      </c>
      <c r="E12">
        <v>47</v>
      </c>
      <c r="F12">
        <f>+F14/E14*E12</f>
        <v>17.61138996138996</v>
      </c>
      <c r="G12">
        <f t="shared" si="0"/>
        <v>8.8056949806949802</v>
      </c>
      <c r="H12">
        <f t="shared" si="1"/>
        <v>8.8056949806949802</v>
      </c>
      <c r="J12" s="7">
        <v>10</v>
      </c>
      <c r="K12" s="7"/>
      <c r="L12" s="7"/>
      <c r="M12" s="7"/>
      <c r="N12" s="7"/>
      <c r="O12" s="7"/>
      <c r="P12" s="7"/>
      <c r="Q12" s="7"/>
      <c r="R12" s="7"/>
      <c r="S12" s="7">
        <f>H11</f>
        <v>10.117181467181467</v>
      </c>
      <c r="T12" s="7">
        <f>G12</f>
        <v>8.8056949806949802</v>
      </c>
      <c r="U12" s="7"/>
      <c r="V12" s="42">
        <f t="shared" si="4"/>
        <v>18.922876447876448</v>
      </c>
      <c r="X12" s="7" t="s">
        <v>70</v>
      </c>
      <c r="Y12" s="7">
        <v>10</v>
      </c>
      <c r="Z12" s="42">
        <f t="shared" si="2"/>
        <v>18.922876447876448</v>
      </c>
      <c r="AA12" s="7"/>
      <c r="AB12" s="7"/>
      <c r="AC12" s="42">
        <f t="shared" si="3"/>
        <v>18.922876447876448</v>
      </c>
      <c r="AD12" s="7"/>
      <c r="AE12" s="7">
        <v>1200</v>
      </c>
    </row>
    <row r="13" spans="4:31" x14ac:dyDescent="0.35">
      <c r="D13" s="19"/>
      <c r="X13" s="7"/>
      <c r="Y13" s="7"/>
      <c r="Z13" s="42"/>
      <c r="AA13" s="7"/>
      <c r="AB13" s="7"/>
      <c r="AC13" s="7"/>
      <c r="AD13" s="7"/>
      <c r="AE13" s="7"/>
    </row>
    <row r="14" spans="4:31" x14ac:dyDescent="0.35">
      <c r="D14" t="s">
        <v>23</v>
      </c>
      <c r="E14">
        <f>SUM(E3:E12)</f>
        <v>518</v>
      </c>
      <c r="F14">
        <v>194.1</v>
      </c>
      <c r="X14" s="7"/>
      <c r="Y14" s="7" t="s">
        <v>23</v>
      </c>
      <c r="Z14" s="7">
        <f>SUM(Z3:Z13)</f>
        <v>194.10000000000002</v>
      </c>
      <c r="AA14" s="7">
        <f t="shared" ref="AA14:AE14" si="5">SUM(AA3:AA13)</f>
        <v>139.9</v>
      </c>
      <c r="AB14" s="7">
        <f t="shared" si="5"/>
        <v>13.2</v>
      </c>
      <c r="AC14" s="7">
        <f t="shared" si="5"/>
        <v>347.19999999999993</v>
      </c>
      <c r="AD14" s="7">
        <f t="shared" si="5"/>
        <v>1100</v>
      </c>
      <c r="AE14" s="7">
        <f t="shared" si="5"/>
        <v>1200</v>
      </c>
    </row>
    <row r="15" spans="4:31" x14ac:dyDescent="0.35">
      <c r="X15" s="7"/>
      <c r="Y15" s="7"/>
      <c r="Z15" s="7"/>
      <c r="AA15" s="7"/>
      <c r="AB15" s="7"/>
      <c r="AC15" s="7">
        <f>SUM(AC14:AD14)</f>
        <v>1447.1999999999998</v>
      </c>
      <c r="AD15" s="7"/>
      <c r="AE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0"/>
  <sheetViews>
    <sheetView tabSelected="1" topLeftCell="A28" workbookViewId="0">
      <selection activeCell="E42" sqref="E42"/>
    </sheetView>
  </sheetViews>
  <sheetFormatPr defaultRowHeight="14.5" x14ac:dyDescent="0.35"/>
  <sheetData>
    <row r="1" spans="3:11" x14ac:dyDescent="0.35">
      <c r="C1" s="21">
        <v>0.01</v>
      </c>
      <c r="D1" s="7"/>
      <c r="E1" s="7" t="s">
        <v>64</v>
      </c>
      <c r="F1" s="7" t="s">
        <v>71</v>
      </c>
      <c r="G1" s="7" t="s">
        <v>66</v>
      </c>
      <c r="H1" s="7" t="s">
        <v>64</v>
      </c>
      <c r="I1" s="7" t="s">
        <v>72</v>
      </c>
      <c r="J1" s="7" t="s">
        <v>66</v>
      </c>
      <c r="K1" s="7" t="s">
        <v>73</v>
      </c>
    </row>
    <row r="2" spans="3:11" x14ac:dyDescent="0.35">
      <c r="D2" s="7" t="s">
        <v>59</v>
      </c>
      <c r="E2" s="7" t="s">
        <v>38</v>
      </c>
      <c r="F2" s="7" t="s">
        <v>38</v>
      </c>
      <c r="G2" s="7" t="s">
        <v>67</v>
      </c>
      <c r="H2" s="7" t="s">
        <v>74</v>
      </c>
      <c r="I2" s="7"/>
      <c r="J2" s="7"/>
      <c r="K2" s="7"/>
    </row>
    <row r="3" spans="3:11" x14ac:dyDescent="0.35">
      <c r="D3" s="7">
        <v>1</v>
      </c>
      <c r="E3" s="43">
        <f>cons.nodes!AC3</f>
        <v>14.238996138996139</v>
      </c>
      <c r="F3" s="7"/>
      <c r="G3" s="7"/>
      <c r="H3" s="42">
        <f t="shared" ref="H3:H12" si="0">E3*0.01*1000/3600</f>
        <v>3.9552767052767057E-2</v>
      </c>
      <c r="I3" s="7"/>
      <c r="J3" s="7" t="s">
        <v>12</v>
      </c>
      <c r="K3" s="42">
        <f>SUM(H3:J3)</f>
        <v>3.9552767052767057E-2</v>
      </c>
    </row>
    <row r="4" spans="3:11" x14ac:dyDescent="0.35">
      <c r="D4" s="7">
        <v>2</v>
      </c>
      <c r="E4" s="43">
        <f>cons.nodes!AC4</f>
        <v>33.536583011583012</v>
      </c>
      <c r="F4" s="7"/>
      <c r="G4" s="7"/>
      <c r="H4" s="42">
        <f t="shared" si="0"/>
        <v>9.3157175032175035E-2</v>
      </c>
      <c r="I4" s="7"/>
      <c r="J4" s="7" t="s">
        <v>12</v>
      </c>
      <c r="K4" s="42">
        <f t="shared" ref="K4:K12" si="1">SUM(H4:J4)</f>
        <v>9.3157175032175035E-2</v>
      </c>
    </row>
    <row r="5" spans="3:11" x14ac:dyDescent="0.35">
      <c r="D5" s="7">
        <v>3</v>
      </c>
      <c r="E5" s="43">
        <f>cons.nodes!AC5</f>
        <v>20.983783783783785</v>
      </c>
      <c r="F5" s="7"/>
      <c r="G5" s="7"/>
      <c r="H5" s="42">
        <f t="shared" si="0"/>
        <v>5.8288288288288297E-2</v>
      </c>
      <c r="I5" s="7"/>
      <c r="J5" s="7" t="s">
        <v>12</v>
      </c>
      <c r="K5" s="42">
        <f t="shared" si="1"/>
        <v>5.8288288288288297E-2</v>
      </c>
    </row>
    <row r="6" spans="3:11" x14ac:dyDescent="0.35">
      <c r="D6" s="7">
        <v>4</v>
      </c>
      <c r="E6" s="43">
        <f>cons.nodes!AC6</f>
        <v>19.297586872586873</v>
      </c>
      <c r="F6" s="7"/>
      <c r="G6" s="7"/>
      <c r="H6" s="42">
        <f t="shared" si="0"/>
        <v>5.3604407979407971E-2</v>
      </c>
      <c r="I6" s="7"/>
      <c r="J6" s="7" t="s">
        <v>12</v>
      </c>
      <c r="K6" s="42">
        <f t="shared" si="1"/>
        <v>5.3604407979407971E-2</v>
      </c>
    </row>
    <row r="7" spans="3:11" x14ac:dyDescent="0.35">
      <c r="D7" s="7">
        <v>5</v>
      </c>
      <c r="E7" s="43">
        <f>cons.nodes!AC7</f>
        <v>17.236679536679539</v>
      </c>
      <c r="F7" s="7"/>
      <c r="G7" s="7"/>
      <c r="H7" s="42">
        <f t="shared" si="0"/>
        <v>4.7879665379665391E-2</v>
      </c>
      <c r="I7" s="7"/>
      <c r="J7" s="7" t="s">
        <v>12</v>
      </c>
      <c r="K7" s="42">
        <f t="shared" si="1"/>
        <v>4.7879665379665391E-2</v>
      </c>
    </row>
    <row r="8" spans="3:11" x14ac:dyDescent="0.35">
      <c r="D8" s="7">
        <v>6</v>
      </c>
      <c r="E8" s="43">
        <f>cons.nodes!AC8</f>
        <v>157.32403474903475</v>
      </c>
      <c r="F8" s="7"/>
      <c r="G8" s="7"/>
      <c r="H8" s="42">
        <f t="shared" si="0"/>
        <v>0.43701120763620765</v>
      </c>
      <c r="I8" s="7"/>
      <c r="J8" s="7" t="s">
        <v>12</v>
      </c>
      <c r="K8" s="42">
        <f t="shared" si="1"/>
        <v>0.43701120763620765</v>
      </c>
    </row>
    <row r="9" spans="3:11" x14ac:dyDescent="0.35">
      <c r="D9" s="7">
        <v>7</v>
      </c>
      <c r="E9" s="43">
        <f>cons.nodes!AC9</f>
        <v>18.173455598455597</v>
      </c>
      <c r="F9" s="7"/>
      <c r="G9" s="7"/>
      <c r="H9" s="42">
        <f t="shared" si="0"/>
        <v>5.0481821106821104E-2</v>
      </c>
      <c r="I9" s="7"/>
      <c r="J9" s="7" t="s">
        <v>12</v>
      </c>
      <c r="K9" s="42">
        <f t="shared" si="1"/>
        <v>5.0481821106821104E-2</v>
      </c>
    </row>
    <row r="10" spans="3:11" x14ac:dyDescent="0.35">
      <c r="D10" s="7">
        <v>8</v>
      </c>
      <c r="E10" s="43">
        <f>cons.nodes!AC10</f>
        <v>29.874613899613898</v>
      </c>
      <c r="F10" s="7">
        <f>1100</f>
        <v>1100</v>
      </c>
      <c r="G10" s="7"/>
      <c r="H10" s="42">
        <f t="shared" si="0"/>
        <v>8.2985038610038614E-2</v>
      </c>
      <c r="I10" s="7">
        <f>F10/24*1000/3600</f>
        <v>12.731481481481483</v>
      </c>
      <c r="J10" s="7" t="s">
        <v>12</v>
      </c>
      <c r="K10" s="42">
        <f t="shared" si="1"/>
        <v>12.814466520091521</v>
      </c>
    </row>
    <row r="11" spans="3:11" x14ac:dyDescent="0.35">
      <c r="D11" s="7">
        <v>9</v>
      </c>
      <c r="E11" s="43">
        <f>cons.nodes!AC11</f>
        <v>17.61138996138996</v>
      </c>
      <c r="F11" s="7"/>
      <c r="G11" s="7"/>
      <c r="H11" s="42">
        <f t="shared" si="0"/>
        <v>4.8920527670527666E-2</v>
      </c>
      <c r="I11" s="7"/>
      <c r="J11" s="7" t="s">
        <v>12</v>
      </c>
      <c r="K11" s="42">
        <f t="shared" si="1"/>
        <v>4.8920527670527666E-2</v>
      </c>
    </row>
    <row r="12" spans="3:11" x14ac:dyDescent="0.35">
      <c r="D12" s="7">
        <v>10</v>
      </c>
      <c r="E12" s="43">
        <f>cons.nodes!AC12</f>
        <v>18.922876447876448</v>
      </c>
      <c r="F12" s="7"/>
      <c r="G12" s="7">
        <v>1200</v>
      </c>
      <c r="H12" s="42">
        <f t="shared" si="0"/>
        <v>5.2563545688545689E-2</v>
      </c>
      <c r="I12" s="7"/>
      <c r="J12" s="7" t="s">
        <v>12</v>
      </c>
      <c r="K12" s="42">
        <f t="shared" si="1"/>
        <v>5.2563545688545689E-2</v>
      </c>
    </row>
    <row r="13" spans="3:11" x14ac:dyDescent="0.35">
      <c r="D13" s="7"/>
      <c r="E13" s="7"/>
      <c r="F13" s="7"/>
      <c r="G13" s="7"/>
      <c r="H13" s="7"/>
      <c r="I13" s="7"/>
      <c r="J13" s="7"/>
      <c r="K13" s="7"/>
    </row>
    <row r="14" spans="3:11" x14ac:dyDescent="0.35">
      <c r="D14" s="7" t="s">
        <v>75</v>
      </c>
      <c r="E14" s="7">
        <f>SUM(E3:E13)</f>
        <v>347.19999999999993</v>
      </c>
      <c r="F14" s="7">
        <f t="shared" ref="F14:I14" si="2">SUM(F3:F13)</f>
        <v>1100</v>
      </c>
      <c r="G14" s="7">
        <f t="shared" si="2"/>
        <v>1200</v>
      </c>
      <c r="H14" s="42">
        <f t="shared" si="2"/>
        <v>0.96444444444444444</v>
      </c>
      <c r="I14" s="7">
        <f t="shared" si="2"/>
        <v>12.731481481481483</v>
      </c>
      <c r="J14" s="7" t="s">
        <v>12</v>
      </c>
      <c r="K14" s="7">
        <f>SUM(K3:K13)</f>
        <v>13.695925925925929</v>
      </c>
    </row>
    <row r="16" spans="3:11" x14ac:dyDescent="0.35">
      <c r="H16" s="7" t="s">
        <v>76</v>
      </c>
      <c r="I16" s="7"/>
      <c r="J16" s="7"/>
      <c r="K16" s="7"/>
    </row>
    <row r="17" spans="4:11" x14ac:dyDescent="0.35">
      <c r="D17" s="7"/>
      <c r="E17" s="7" t="s">
        <v>64</v>
      </c>
      <c r="F17" s="7" t="s">
        <v>71</v>
      </c>
      <c r="G17" s="11" t="s">
        <v>66</v>
      </c>
      <c r="H17" s="7" t="s">
        <v>64</v>
      </c>
      <c r="I17" s="7" t="s">
        <v>72</v>
      </c>
      <c r="J17" s="7" t="s">
        <v>66</v>
      </c>
      <c r="K17" s="7" t="s">
        <v>73</v>
      </c>
    </row>
    <row r="18" spans="4:11" x14ac:dyDescent="0.35">
      <c r="D18" s="7" t="s">
        <v>59</v>
      </c>
      <c r="E18" s="7" t="s">
        <v>38</v>
      </c>
      <c r="F18" s="7" t="s">
        <v>38</v>
      </c>
      <c r="G18" s="7" t="s">
        <v>67</v>
      </c>
      <c r="H18" s="7" t="s">
        <v>74</v>
      </c>
      <c r="I18" s="7"/>
      <c r="J18" s="7"/>
      <c r="K18" s="7"/>
    </row>
    <row r="19" spans="4:11" x14ac:dyDescent="0.35">
      <c r="D19" s="7">
        <v>1</v>
      </c>
      <c r="E19" s="42">
        <f>cons.nodes!AC3</f>
        <v>14.238996138996139</v>
      </c>
      <c r="F19" s="7"/>
      <c r="G19" s="7"/>
      <c r="H19" s="42">
        <f t="shared" ref="H19:H28" si="3">E19*0.08*1000/3600</f>
        <v>0.31642213642213646</v>
      </c>
      <c r="I19" s="42"/>
      <c r="J19" s="42" t="s">
        <v>12</v>
      </c>
      <c r="K19" s="42">
        <f>SUM(H19:J19)</f>
        <v>0.31642213642213646</v>
      </c>
    </row>
    <row r="20" spans="4:11" x14ac:dyDescent="0.35">
      <c r="D20" s="7">
        <v>2</v>
      </c>
      <c r="E20" s="42">
        <f>cons.nodes!AC4</f>
        <v>33.536583011583012</v>
      </c>
      <c r="F20" s="7"/>
      <c r="G20" s="7"/>
      <c r="H20" s="42">
        <f t="shared" si="3"/>
        <v>0.74525740025740028</v>
      </c>
      <c r="I20" s="42"/>
      <c r="J20" s="42" t="s">
        <v>12</v>
      </c>
      <c r="K20" s="42">
        <f t="shared" ref="K20:K28" si="4">SUM(H20:J20)</f>
        <v>0.74525740025740028</v>
      </c>
    </row>
    <row r="21" spans="4:11" x14ac:dyDescent="0.35">
      <c r="D21" s="7">
        <v>3</v>
      </c>
      <c r="E21" s="42">
        <f>cons.nodes!AC5</f>
        <v>20.983783783783785</v>
      </c>
      <c r="F21" s="7"/>
      <c r="G21" s="7"/>
      <c r="H21" s="42">
        <f t="shared" si="3"/>
        <v>0.46630630630630637</v>
      </c>
      <c r="I21" s="42"/>
      <c r="J21" s="42" t="s">
        <v>12</v>
      </c>
      <c r="K21" s="42">
        <f t="shared" si="4"/>
        <v>0.46630630630630637</v>
      </c>
    </row>
    <row r="22" spans="4:11" x14ac:dyDescent="0.35">
      <c r="D22" s="7">
        <v>4</v>
      </c>
      <c r="E22" s="42">
        <f>cons.nodes!AC6</f>
        <v>19.297586872586873</v>
      </c>
      <c r="F22" s="7"/>
      <c r="G22" s="7"/>
      <c r="H22" s="42">
        <f t="shared" si="3"/>
        <v>0.42883526383526377</v>
      </c>
      <c r="I22" s="42"/>
      <c r="J22" s="42" t="s">
        <v>12</v>
      </c>
      <c r="K22" s="42">
        <f t="shared" si="4"/>
        <v>0.42883526383526377</v>
      </c>
    </row>
    <row r="23" spans="4:11" x14ac:dyDescent="0.35">
      <c r="D23" s="7">
        <v>5</v>
      </c>
      <c r="E23" s="42">
        <f>cons.nodes!AC7</f>
        <v>17.236679536679539</v>
      </c>
      <c r="F23" s="7"/>
      <c r="G23" s="7"/>
      <c r="H23" s="42">
        <f t="shared" si="3"/>
        <v>0.38303732303732313</v>
      </c>
      <c r="I23" s="42"/>
      <c r="J23" s="42" t="s">
        <v>12</v>
      </c>
      <c r="K23" s="42">
        <f t="shared" si="4"/>
        <v>0.38303732303732313</v>
      </c>
    </row>
    <row r="24" spans="4:11" x14ac:dyDescent="0.35">
      <c r="D24" s="7">
        <v>6</v>
      </c>
      <c r="E24" s="42">
        <f>cons.nodes!AC8</f>
        <v>157.32403474903475</v>
      </c>
      <c r="F24" s="7"/>
      <c r="G24" s="7"/>
      <c r="H24" s="42">
        <f t="shared" si="3"/>
        <v>3.4960896610896612</v>
      </c>
      <c r="I24" s="42"/>
      <c r="J24" s="42" t="s">
        <v>12</v>
      </c>
      <c r="K24" s="42">
        <f t="shared" si="4"/>
        <v>3.4960896610896612</v>
      </c>
    </row>
    <row r="25" spans="4:11" x14ac:dyDescent="0.35">
      <c r="D25" s="7">
        <v>7</v>
      </c>
      <c r="E25" s="42">
        <f>cons.nodes!AC9</f>
        <v>18.173455598455597</v>
      </c>
      <c r="F25" s="7"/>
      <c r="G25" s="7"/>
      <c r="H25" s="42">
        <f t="shared" si="3"/>
        <v>0.40385456885456883</v>
      </c>
      <c r="I25" s="42"/>
      <c r="J25" s="42" t="s">
        <v>12</v>
      </c>
      <c r="K25" s="42">
        <f t="shared" si="4"/>
        <v>0.40385456885456883</v>
      </c>
    </row>
    <row r="26" spans="4:11" x14ac:dyDescent="0.35">
      <c r="D26" s="7">
        <v>8</v>
      </c>
      <c r="E26" s="42">
        <f>cons.nodes!AC10</f>
        <v>29.874613899613898</v>
      </c>
      <c r="F26" s="7">
        <v>1100</v>
      </c>
      <c r="G26" s="7"/>
      <c r="H26" s="42">
        <f t="shared" si="3"/>
        <v>0.66388030888030891</v>
      </c>
      <c r="I26" s="42">
        <f>F26/24*1000/3600</f>
        <v>12.731481481481483</v>
      </c>
      <c r="J26" s="42" t="s">
        <v>12</v>
      </c>
      <c r="K26" s="42">
        <f t="shared" si="4"/>
        <v>13.395361790361791</v>
      </c>
    </row>
    <row r="27" spans="4:11" x14ac:dyDescent="0.35">
      <c r="D27" s="7">
        <v>9</v>
      </c>
      <c r="E27" s="42">
        <f>cons.nodes!AC11</f>
        <v>17.61138996138996</v>
      </c>
      <c r="F27" s="7"/>
      <c r="G27" s="7"/>
      <c r="H27" s="42">
        <f t="shared" si="3"/>
        <v>0.39136422136422133</v>
      </c>
      <c r="I27" s="42"/>
      <c r="J27" s="42" t="s">
        <v>12</v>
      </c>
      <c r="K27" s="42">
        <f t="shared" si="4"/>
        <v>0.39136422136422133</v>
      </c>
    </row>
    <row r="28" spans="4:11" x14ac:dyDescent="0.35">
      <c r="D28" s="7">
        <v>10</v>
      </c>
      <c r="E28" s="42">
        <f>cons.nodes!AC12</f>
        <v>18.922876447876448</v>
      </c>
      <c r="F28" s="7"/>
      <c r="G28" s="7">
        <v>900</v>
      </c>
      <c r="H28" s="42">
        <f t="shared" si="3"/>
        <v>0.42050836550836551</v>
      </c>
      <c r="I28" s="42"/>
      <c r="J28" s="42" t="s">
        <v>12</v>
      </c>
      <c r="K28" s="42">
        <f t="shared" si="4"/>
        <v>0.42050836550836551</v>
      </c>
    </row>
    <row r="29" spans="4:11" x14ac:dyDescent="0.35">
      <c r="D29" s="7"/>
      <c r="E29" s="7"/>
      <c r="F29" s="7"/>
      <c r="G29" s="7"/>
      <c r="H29" s="42"/>
      <c r="I29" s="42"/>
      <c r="J29" s="42"/>
      <c r="K29" s="42"/>
    </row>
    <row r="30" spans="4:11" x14ac:dyDescent="0.35">
      <c r="D30" s="7" t="s">
        <v>75</v>
      </c>
      <c r="E30" s="7">
        <f>SUM(E19:E29)</f>
        <v>347.19999999999993</v>
      </c>
      <c r="F30" s="7">
        <f t="shared" ref="F30:I30" si="5">SUM(F19:F29)</f>
        <v>1100</v>
      </c>
      <c r="G30" s="7">
        <f t="shared" si="5"/>
        <v>900</v>
      </c>
      <c r="H30" s="42">
        <f t="shared" si="5"/>
        <v>7.7155555555555555</v>
      </c>
      <c r="I30" s="42">
        <f t="shared" si="5"/>
        <v>12.731481481481483</v>
      </c>
      <c r="J30" s="42" t="s">
        <v>12</v>
      </c>
      <c r="K30" s="42">
        <f>SUM(K19:K29)</f>
        <v>20.447037037037038</v>
      </c>
    </row>
    <row r="31" spans="4:11" x14ac:dyDescent="0.35">
      <c r="H31" s="44"/>
      <c r="I31" s="44"/>
      <c r="J31" s="44"/>
      <c r="K31" s="44"/>
    </row>
    <row r="32" spans="4:11" x14ac:dyDescent="0.35">
      <c r="D32" s="7"/>
      <c r="E32" s="7"/>
      <c r="F32" s="7"/>
      <c r="G32" s="7"/>
      <c r="H32" s="42" t="s">
        <v>77</v>
      </c>
      <c r="I32" s="42"/>
      <c r="J32" s="42"/>
      <c r="K32" s="42"/>
    </row>
    <row r="33" spans="4:11" x14ac:dyDescent="0.35">
      <c r="D33" s="7"/>
      <c r="E33" s="7" t="s">
        <v>64</v>
      </c>
      <c r="F33" s="7" t="s">
        <v>71</v>
      </c>
      <c r="G33" s="7" t="s">
        <v>66</v>
      </c>
      <c r="H33" s="42" t="s">
        <v>64</v>
      </c>
      <c r="I33" s="42" t="s">
        <v>72</v>
      </c>
      <c r="J33" s="42" t="s">
        <v>66</v>
      </c>
      <c r="K33" s="42" t="s">
        <v>73</v>
      </c>
    </row>
    <row r="34" spans="4:11" x14ac:dyDescent="0.35">
      <c r="D34" s="7" t="s">
        <v>59</v>
      </c>
      <c r="E34" s="7" t="s">
        <v>38</v>
      </c>
      <c r="F34" s="7" t="s">
        <v>38</v>
      </c>
      <c r="G34" s="7" t="s">
        <v>67</v>
      </c>
      <c r="H34" s="42" t="s">
        <v>74</v>
      </c>
      <c r="I34" s="42"/>
      <c r="J34" s="42"/>
      <c r="K34" s="42"/>
    </row>
    <row r="35" spans="4:11" x14ac:dyDescent="0.35">
      <c r="D35" s="7">
        <v>1</v>
      </c>
      <c r="E35" s="42">
        <f>cons.nodes!AC3</f>
        <v>14.238996138996139</v>
      </c>
      <c r="F35" s="42"/>
      <c r="G35" s="42"/>
      <c r="H35" s="42">
        <f t="shared" ref="H35:H44" si="6">E35/24*1000/3600</f>
        <v>0.16480319605319604</v>
      </c>
      <c r="I35" s="42"/>
      <c r="J35" s="42"/>
      <c r="K35" s="42">
        <f>SUM(H35:J35)</f>
        <v>0.16480319605319604</v>
      </c>
    </row>
    <row r="36" spans="4:11" x14ac:dyDescent="0.35">
      <c r="D36" s="7">
        <v>2</v>
      </c>
      <c r="E36" s="42">
        <f>cons.nodes!AC4</f>
        <v>33.536583011583012</v>
      </c>
      <c r="F36" s="42"/>
      <c r="G36" s="42"/>
      <c r="H36" s="42">
        <f t="shared" si="6"/>
        <v>0.388154895967396</v>
      </c>
      <c r="I36" s="42"/>
      <c r="J36" s="42"/>
      <c r="K36" s="42">
        <f t="shared" ref="K36:K44" si="7">SUM(H36:J36)</f>
        <v>0.388154895967396</v>
      </c>
    </row>
    <row r="37" spans="4:11" x14ac:dyDescent="0.35">
      <c r="D37" s="7">
        <v>3</v>
      </c>
      <c r="E37" s="42">
        <f>cons.nodes!AC5</f>
        <v>20.983783783783785</v>
      </c>
      <c r="F37" s="42"/>
      <c r="G37" s="42"/>
      <c r="H37" s="42">
        <f t="shared" si="6"/>
        <v>0.24286786786786788</v>
      </c>
      <c r="I37" s="42"/>
      <c r="J37" s="42"/>
      <c r="K37" s="42">
        <f t="shared" si="7"/>
        <v>0.24286786786786788</v>
      </c>
    </row>
    <row r="38" spans="4:11" x14ac:dyDescent="0.35">
      <c r="D38" s="7">
        <v>4</v>
      </c>
      <c r="E38" s="42">
        <f>cons.nodes!AC6</f>
        <v>19.297586872586873</v>
      </c>
      <c r="F38" s="42"/>
      <c r="G38" s="42"/>
      <c r="H38" s="42">
        <f t="shared" si="6"/>
        <v>0.22335169991419992</v>
      </c>
      <c r="I38" s="42"/>
      <c r="J38" s="42"/>
      <c r="K38" s="42">
        <f t="shared" si="7"/>
        <v>0.22335169991419992</v>
      </c>
    </row>
    <row r="39" spans="4:11" x14ac:dyDescent="0.35">
      <c r="D39" s="7">
        <v>5</v>
      </c>
      <c r="E39" s="42">
        <f>cons.nodes!AC7</f>
        <v>17.236679536679539</v>
      </c>
      <c r="F39" s="42"/>
      <c r="G39" s="42"/>
      <c r="H39" s="42">
        <f t="shared" si="6"/>
        <v>0.19949860574860578</v>
      </c>
      <c r="I39" s="42"/>
      <c r="J39" s="42"/>
      <c r="K39" s="42">
        <f t="shared" si="7"/>
        <v>0.19949860574860578</v>
      </c>
    </row>
    <row r="40" spans="4:11" x14ac:dyDescent="0.35">
      <c r="D40" s="7">
        <v>6</v>
      </c>
      <c r="E40" s="42">
        <f>cons.nodes!AC8</f>
        <v>157.32403474903475</v>
      </c>
      <c r="F40" s="42"/>
      <c r="G40" s="42"/>
      <c r="H40" s="42">
        <f t="shared" si="6"/>
        <v>1.820880031817532</v>
      </c>
      <c r="I40" s="42"/>
      <c r="J40" s="42"/>
      <c r="K40" s="42">
        <f t="shared" si="7"/>
        <v>1.820880031817532</v>
      </c>
    </row>
    <row r="41" spans="4:11" x14ac:dyDescent="0.35">
      <c r="D41" s="7">
        <v>7</v>
      </c>
      <c r="E41" s="42">
        <f>cons.nodes!AC9</f>
        <v>18.173455598455597</v>
      </c>
      <c r="F41" s="42"/>
      <c r="G41" s="42"/>
      <c r="H41" s="42">
        <f t="shared" si="6"/>
        <v>0.21034092127842127</v>
      </c>
      <c r="I41" s="42"/>
      <c r="J41" s="42"/>
      <c r="K41" s="42">
        <f t="shared" si="7"/>
        <v>0.21034092127842127</v>
      </c>
    </row>
    <row r="42" spans="4:11" x14ac:dyDescent="0.35">
      <c r="D42" s="7">
        <v>8</v>
      </c>
      <c r="E42" s="42">
        <f>cons.nodes!AC10</f>
        <v>29.874613899613898</v>
      </c>
      <c r="F42" s="42">
        <v>1100</v>
      </c>
      <c r="G42" s="42"/>
      <c r="H42" s="42">
        <f t="shared" si="6"/>
        <v>0.34577099420849416</v>
      </c>
      <c r="I42" s="42">
        <f>F42/24*1000/3600</f>
        <v>12.731481481481483</v>
      </c>
      <c r="J42" s="42"/>
      <c r="K42" s="42">
        <f t="shared" si="7"/>
        <v>13.077252475689978</v>
      </c>
    </row>
    <row r="43" spans="4:11" x14ac:dyDescent="0.35">
      <c r="D43" s="7">
        <v>9</v>
      </c>
      <c r="E43" s="42">
        <f>cons.nodes!AC11</f>
        <v>17.61138996138996</v>
      </c>
      <c r="F43" s="42"/>
      <c r="G43" s="42"/>
      <c r="H43" s="42">
        <f t="shared" si="6"/>
        <v>0.20383553196053195</v>
      </c>
      <c r="I43" s="42"/>
      <c r="J43" s="42"/>
      <c r="K43" s="42">
        <f t="shared" si="7"/>
        <v>0.20383553196053195</v>
      </c>
    </row>
    <row r="44" spans="4:11" x14ac:dyDescent="0.35">
      <c r="D44" s="7">
        <v>10</v>
      </c>
      <c r="E44" s="42">
        <f>cons.nodes!AC12</f>
        <v>18.922876447876448</v>
      </c>
      <c r="F44" s="42"/>
      <c r="G44" s="42">
        <v>900</v>
      </c>
      <c r="H44" s="42">
        <f t="shared" si="6"/>
        <v>0.21901477370227371</v>
      </c>
      <c r="I44" s="42"/>
      <c r="J44" s="42">
        <f>G44/60</f>
        <v>15</v>
      </c>
      <c r="K44" s="42">
        <f t="shared" si="7"/>
        <v>15.219014773702273</v>
      </c>
    </row>
    <row r="45" spans="4:11" x14ac:dyDescent="0.35">
      <c r="D45" s="7"/>
      <c r="E45" s="42"/>
      <c r="F45" s="42"/>
      <c r="G45" s="42"/>
      <c r="H45" s="42"/>
      <c r="I45" s="42"/>
      <c r="J45" s="42"/>
      <c r="K45" s="42"/>
    </row>
    <row r="46" spans="4:11" x14ac:dyDescent="0.35">
      <c r="D46" s="7" t="s">
        <v>75</v>
      </c>
      <c r="E46" s="42">
        <f>SUM(E35:E45)</f>
        <v>347.19999999999993</v>
      </c>
      <c r="F46" s="42">
        <f t="shared" ref="F46:J46" si="8">SUM(F35:F45)</f>
        <v>1100</v>
      </c>
      <c r="G46" s="42">
        <f t="shared" si="8"/>
        <v>900</v>
      </c>
      <c r="H46" s="42">
        <f t="shared" si="8"/>
        <v>4.0185185185185182</v>
      </c>
      <c r="I46" s="42">
        <f t="shared" si="8"/>
        <v>12.731481481481483</v>
      </c>
      <c r="J46" s="42">
        <f t="shared" si="8"/>
        <v>15</v>
      </c>
      <c r="K46" s="42">
        <f>SUM(K35:K45)</f>
        <v>31.750000000000004</v>
      </c>
    </row>
    <row r="47" spans="4:11" x14ac:dyDescent="0.35">
      <c r="E47" s="44"/>
      <c r="F47" s="44"/>
      <c r="G47" s="44"/>
      <c r="H47" s="44"/>
      <c r="I47" s="44"/>
      <c r="J47" s="44"/>
      <c r="K47" s="44"/>
    </row>
    <row r="48" spans="4:11" x14ac:dyDescent="0.35">
      <c r="H48" s="44"/>
      <c r="I48" s="44"/>
      <c r="J48" s="44"/>
      <c r="K48" s="44"/>
    </row>
    <row r="49" spans="8:11" x14ac:dyDescent="0.35">
      <c r="H49" s="44"/>
      <c r="I49" s="44"/>
      <c r="J49" s="44"/>
      <c r="K49" s="44"/>
    </row>
    <row r="50" spans="8:11" x14ac:dyDescent="0.35">
      <c r="H50" s="44"/>
      <c r="I50" s="44"/>
      <c r="J50" s="44"/>
      <c r="K50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1"/>
  <sheetViews>
    <sheetView topLeftCell="B1" workbookViewId="0">
      <selection activeCell="H9" sqref="H9"/>
    </sheetView>
  </sheetViews>
  <sheetFormatPr defaultRowHeight="14.5" x14ac:dyDescent="0.35"/>
  <cols>
    <col min="9" max="9" width="13.90625" bestFit="1" customWidth="1"/>
  </cols>
  <sheetData>
    <row r="1" spans="4:19" ht="15" thickBot="1" x14ac:dyDescent="0.4">
      <c r="E1" s="61" t="s">
        <v>78</v>
      </c>
      <c r="F1" s="62"/>
      <c r="G1" s="62"/>
      <c r="H1" s="62"/>
      <c r="I1" s="62"/>
      <c r="J1" s="63"/>
    </row>
    <row r="2" spans="4:19" ht="29.5" thickBot="1" x14ac:dyDescent="0.4">
      <c r="E2" s="22" t="s">
        <v>79</v>
      </c>
      <c r="F2" s="23" t="s">
        <v>80</v>
      </c>
      <c r="G2" s="22" t="s">
        <v>59</v>
      </c>
      <c r="H2" s="24" t="s">
        <v>81</v>
      </c>
      <c r="I2" s="24" t="s">
        <v>32</v>
      </c>
      <c r="J2" s="25" t="s">
        <v>82</v>
      </c>
    </row>
    <row r="3" spans="4:19" ht="15" thickBot="1" x14ac:dyDescent="0.4">
      <c r="E3" s="26"/>
      <c r="F3" s="27">
        <f>'max-min aver'!K30</f>
        <v>20.447037037037038</v>
      </c>
      <c r="G3" s="28">
        <v>1</v>
      </c>
      <c r="H3" s="29">
        <f>'max-min aver'!K19</f>
        <v>0.31642213642213646</v>
      </c>
      <c r="I3" s="30" t="s">
        <v>39</v>
      </c>
      <c r="J3" s="31">
        <f>F3-H3</f>
        <v>20.130614900614901</v>
      </c>
    </row>
    <row r="4" spans="4:19" x14ac:dyDescent="0.35">
      <c r="E4" s="28" t="s">
        <v>39</v>
      </c>
      <c r="F4" s="32">
        <f>J3</f>
        <v>20.130614900614901</v>
      </c>
      <c r="G4" s="28">
        <v>2</v>
      </c>
      <c r="H4" s="29">
        <f>'max-min aver'!K20</f>
        <v>0.74525740025740028</v>
      </c>
      <c r="I4" s="30" t="s">
        <v>40</v>
      </c>
      <c r="J4" s="33">
        <f>(F4-H4)/2</f>
        <v>9.6926787501787501</v>
      </c>
    </row>
    <row r="5" spans="4:19" x14ac:dyDescent="0.35">
      <c r="E5" s="28" t="s">
        <v>40</v>
      </c>
      <c r="F5" s="33">
        <f>J4</f>
        <v>9.6926787501787501</v>
      </c>
      <c r="G5" s="28">
        <v>3</v>
      </c>
      <c r="H5" s="29">
        <f>'max-min aver'!K21</f>
        <v>0.46630630630630637</v>
      </c>
      <c r="I5" s="30" t="s">
        <v>41</v>
      </c>
      <c r="J5" s="31">
        <f t="shared" ref="J5:J12" si="0">F5-H5</f>
        <v>9.2263724438724442</v>
      </c>
    </row>
    <row r="6" spans="4:19" x14ac:dyDescent="0.35">
      <c r="E6" s="28" t="s">
        <v>41</v>
      </c>
      <c r="F6" s="31">
        <f>J5</f>
        <v>9.2263724438724442</v>
      </c>
      <c r="G6" s="28">
        <v>4</v>
      </c>
      <c r="H6" s="29">
        <f>'max-min aver'!K22</f>
        <v>0.42883526383526377</v>
      </c>
      <c r="I6" s="30" t="s">
        <v>42</v>
      </c>
      <c r="J6" s="31">
        <f t="shared" si="0"/>
        <v>8.79753718003718</v>
      </c>
    </row>
    <row r="7" spans="4:19" x14ac:dyDescent="0.35">
      <c r="E7" s="28" t="s">
        <v>42</v>
      </c>
      <c r="F7" s="31">
        <f t="shared" ref="F7:F13" si="1">J6</f>
        <v>8.79753718003718</v>
      </c>
      <c r="G7" s="28">
        <v>5</v>
      </c>
      <c r="H7" s="29">
        <f>'max-min aver'!K23</f>
        <v>0.38303732303732313</v>
      </c>
      <c r="I7" s="30" t="s">
        <v>43</v>
      </c>
      <c r="J7" s="31">
        <f t="shared" si="0"/>
        <v>8.414499856999857</v>
      </c>
    </row>
    <row r="8" spans="4:19" x14ac:dyDescent="0.35">
      <c r="E8" s="28" t="s">
        <v>43</v>
      </c>
      <c r="F8" s="31">
        <f t="shared" si="1"/>
        <v>8.414499856999857</v>
      </c>
      <c r="G8" s="28">
        <v>6</v>
      </c>
      <c r="H8" s="29">
        <f>'max-min aver'!K24</f>
        <v>3.4960896610896612</v>
      </c>
      <c r="I8" s="30" t="s">
        <v>44</v>
      </c>
      <c r="J8" s="31">
        <f t="shared" si="0"/>
        <v>4.9184101959101962</v>
      </c>
    </row>
    <row r="9" spans="4:19" x14ac:dyDescent="0.35">
      <c r="E9" s="28" t="s">
        <v>44</v>
      </c>
      <c r="F9" s="31">
        <f t="shared" si="1"/>
        <v>4.9184101959101962</v>
      </c>
      <c r="G9" s="28">
        <v>7</v>
      </c>
      <c r="H9" s="29">
        <f>'max-min aver'!K25</f>
        <v>0.40385456885456883</v>
      </c>
      <c r="I9" s="30" t="s">
        <v>45</v>
      </c>
      <c r="J9" s="31">
        <f t="shared" si="0"/>
        <v>4.5145556270556275</v>
      </c>
    </row>
    <row r="10" spans="4:19" x14ac:dyDescent="0.35">
      <c r="E10" s="28" t="s">
        <v>45</v>
      </c>
      <c r="F10" s="31">
        <f t="shared" si="1"/>
        <v>4.5145556270556275</v>
      </c>
      <c r="G10" s="28">
        <v>8</v>
      </c>
      <c r="H10" s="29">
        <f>'max-min aver'!K26</f>
        <v>13.395361790361791</v>
      </c>
      <c r="I10" s="30" t="s">
        <v>46</v>
      </c>
      <c r="J10" s="31">
        <f t="shared" si="0"/>
        <v>-8.8808061633061648</v>
      </c>
    </row>
    <row r="11" spans="4:19" x14ac:dyDescent="0.35">
      <c r="E11" s="28" t="s">
        <v>46</v>
      </c>
      <c r="F11" s="36">
        <f t="shared" si="1"/>
        <v>-8.8808061633061648</v>
      </c>
      <c r="G11" s="30" t="s">
        <v>85</v>
      </c>
      <c r="H11" s="29">
        <f>'max-min aver'!K27</f>
        <v>0.39136422136422133</v>
      </c>
      <c r="I11" s="30" t="s">
        <v>47</v>
      </c>
      <c r="J11" s="29">
        <f t="shared" si="0"/>
        <v>-9.2721703846703853</v>
      </c>
    </row>
    <row r="12" spans="4:19" x14ac:dyDescent="0.35">
      <c r="E12" s="30" t="s">
        <v>47</v>
      </c>
      <c r="F12" s="36">
        <f t="shared" si="1"/>
        <v>-9.2721703846703853</v>
      </c>
      <c r="G12" s="30" t="s">
        <v>83</v>
      </c>
      <c r="H12" s="29">
        <f>'max-min aver'!H28</f>
        <v>0.42050836550836551</v>
      </c>
      <c r="I12" s="30" t="s">
        <v>48</v>
      </c>
      <c r="J12" s="29">
        <f t="shared" si="0"/>
        <v>-9.6926787501787501</v>
      </c>
    </row>
    <row r="13" spans="4:19" x14ac:dyDescent="0.35">
      <c r="E13" s="30" t="s">
        <v>84</v>
      </c>
      <c r="F13" s="29">
        <f t="shared" si="1"/>
        <v>-9.6926787501787501</v>
      </c>
      <c r="G13" s="34"/>
      <c r="H13" s="35"/>
      <c r="I13" s="34"/>
      <c r="J13" s="35"/>
      <c r="K13" s="37"/>
    </row>
    <row r="14" spans="4:19" x14ac:dyDescent="0.35">
      <c r="H14" s="35"/>
      <c r="I14" s="34"/>
      <c r="J14" s="35"/>
      <c r="K14" s="37"/>
    </row>
    <row r="15" spans="4:19" x14ac:dyDescent="0.35">
      <c r="D15" s="37"/>
      <c r="E15" s="37"/>
      <c r="F15" s="37"/>
      <c r="G15" s="37"/>
      <c r="H15" s="37"/>
      <c r="I15" s="37"/>
      <c r="J15" s="41"/>
      <c r="K15" s="44"/>
      <c r="L15" s="44"/>
      <c r="M15" s="44"/>
      <c r="N15" s="44"/>
      <c r="O15" s="44"/>
      <c r="P15" s="44"/>
      <c r="Q15" s="44"/>
      <c r="R15" s="44"/>
      <c r="S15" s="44"/>
    </row>
    <row r="16" spans="4:19" x14ac:dyDescent="0.35">
      <c r="D16" s="7" t="s">
        <v>91</v>
      </c>
      <c r="E16" s="7"/>
      <c r="F16" s="7"/>
      <c r="G16" s="7"/>
      <c r="H16" s="7"/>
      <c r="I16" s="7"/>
      <c r="J16" s="41"/>
      <c r="K16" s="44"/>
      <c r="L16" s="42" t="s">
        <v>90</v>
      </c>
      <c r="M16" s="42"/>
      <c r="N16" s="42"/>
      <c r="O16" s="42"/>
      <c r="P16" s="42"/>
      <c r="Q16" s="42"/>
      <c r="R16" s="44"/>
      <c r="S16" s="44"/>
    </row>
    <row r="17" spans="4:19" x14ac:dyDescent="0.35">
      <c r="D17" s="7" t="s">
        <v>79</v>
      </c>
      <c r="E17" s="7" t="s">
        <v>80</v>
      </c>
      <c r="F17" s="7" t="s">
        <v>59</v>
      </c>
      <c r="G17" s="7" t="s">
        <v>81</v>
      </c>
      <c r="H17" s="7" t="s">
        <v>32</v>
      </c>
      <c r="I17" s="7" t="s">
        <v>82</v>
      </c>
      <c r="J17" s="41"/>
      <c r="K17" s="44"/>
      <c r="L17" s="42" t="s">
        <v>79</v>
      </c>
      <c r="M17" s="42" t="s">
        <v>80</v>
      </c>
      <c r="N17" s="42" t="s">
        <v>59</v>
      </c>
      <c r="O17" s="42" t="s">
        <v>81</v>
      </c>
      <c r="P17" s="42" t="s">
        <v>32</v>
      </c>
      <c r="Q17" s="42" t="s">
        <v>82</v>
      </c>
      <c r="R17" s="44"/>
      <c r="S17" s="44"/>
    </row>
    <row r="18" spans="4:19" x14ac:dyDescent="0.35">
      <c r="D18" s="7"/>
      <c r="E18" s="42">
        <f>'max-min aver'!K46</f>
        <v>31.750000000000004</v>
      </c>
      <c r="F18" s="7">
        <v>1</v>
      </c>
      <c r="G18" s="42">
        <f>'max-min aver'!K35</f>
        <v>0.16480319605319604</v>
      </c>
      <c r="H18" s="7" t="s">
        <v>39</v>
      </c>
      <c r="I18" s="43">
        <f>E18-G18</f>
        <v>31.585196803946808</v>
      </c>
      <c r="J18" s="41"/>
      <c r="K18" s="44"/>
      <c r="L18" s="42"/>
      <c r="M18" s="42">
        <f>'max-min aver'!K14</f>
        <v>13.695925925925929</v>
      </c>
      <c r="N18" s="42">
        <v>1</v>
      </c>
      <c r="O18" s="42">
        <f>'max-min aver'!K3</f>
        <v>3.9552767052767057E-2</v>
      </c>
      <c r="P18" s="43" t="s">
        <v>49</v>
      </c>
      <c r="Q18" s="42">
        <f>M18-O18</f>
        <v>13.656373158873162</v>
      </c>
      <c r="R18" s="44"/>
      <c r="S18" s="44"/>
    </row>
    <row r="19" spans="4:19" x14ac:dyDescent="0.35">
      <c r="D19" s="7" t="s">
        <v>39</v>
      </c>
      <c r="E19" s="42">
        <f>I18</f>
        <v>31.585196803946808</v>
      </c>
      <c r="F19" s="7">
        <v>2</v>
      </c>
      <c r="G19" s="42">
        <f>'max-min aver'!K36</f>
        <v>0.388154895967396</v>
      </c>
      <c r="H19" s="7" t="s">
        <v>40</v>
      </c>
      <c r="I19" s="43">
        <f>(E19-G19)/2</f>
        <v>15.598520953989706</v>
      </c>
      <c r="J19" s="41"/>
      <c r="K19" s="44"/>
      <c r="L19" s="42" t="s">
        <v>39</v>
      </c>
      <c r="M19" s="42">
        <f t="shared" ref="M19:M28" si="2">Q18</f>
        <v>13.656373158873162</v>
      </c>
      <c r="N19" s="42">
        <v>2</v>
      </c>
      <c r="O19" s="42">
        <f>'max-min aver'!K4</f>
        <v>9.3157175032175035E-2</v>
      </c>
      <c r="P19" s="43" t="s">
        <v>86</v>
      </c>
      <c r="Q19" s="42">
        <f>(M19-O19)/2</f>
        <v>6.7816079919204935</v>
      </c>
      <c r="R19" s="44"/>
      <c r="S19" s="44"/>
    </row>
    <row r="20" spans="4:19" x14ac:dyDescent="0.35">
      <c r="D20" s="7" t="s">
        <v>40</v>
      </c>
      <c r="E20" s="42">
        <f>I19</f>
        <v>15.598520953989706</v>
      </c>
      <c r="F20" s="7">
        <v>3</v>
      </c>
      <c r="G20" s="42">
        <f>'max-min aver'!K37</f>
        <v>0.24286786786786788</v>
      </c>
      <c r="H20" s="7" t="s">
        <v>41</v>
      </c>
      <c r="I20" s="43">
        <f>E20-G20</f>
        <v>15.355653086121837</v>
      </c>
      <c r="J20" s="41"/>
      <c r="K20" s="44"/>
      <c r="L20" s="42" t="s">
        <v>40</v>
      </c>
      <c r="M20" s="42">
        <f t="shared" si="2"/>
        <v>6.7816079919204935</v>
      </c>
      <c r="N20" s="42">
        <v>3</v>
      </c>
      <c r="O20" s="42">
        <f>'max-min aver'!K5</f>
        <v>5.8288288288288297E-2</v>
      </c>
      <c r="P20" s="43" t="s">
        <v>87</v>
      </c>
      <c r="Q20" s="42">
        <f t="shared" ref="Q20:Q27" si="3">M20-O20</f>
        <v>6.723319703632205</v>
      </c>
      <c r="R20" s="44"/>
      <c r="S20" s="44"/>
    </row>
    <row r="21" spans="4:19" x14ac:dyDescent="0.35">
      <c r="D21" s="7" t="s">
        <v>41</v>
      </c>
      <c r="E21" s="42">
        <f>I20</f>
        <v>15.355653086121837</v>
      </c>
      <c r="F21" s="7">
        <v>4</v>
      </c>
      <c r="G21" s="42">
        <f>'max-min aver'!K38</f>
        <v>0.22335169991419992</v>
      </c>
      <c r="H21" s="7" t="s">
        <v>42</v>
      </c>
      <c r="I21" s="43">
        <f t="shared" ref="I21:I27" si="4">E21-G21</f>
        <v>15.132301386207637</v>
      </c>
      <c r="J21" s="41"/>
      <c r="K21" s="44"/>
      <c r="L21" s="42" t="s">
        <v>41</v>
      </c>
      <c r="M21" s="42">
        <f t="shared" si="2"/>
        <v>6.723319703632205</v>
      </c>
      <c r="N21" s="42">
        <v>4</v>
      </c>
      <c r="O21" s="42">
        <f>'max-min aver'!K6</f>
        <v>5.3604407979407971E-2</v>
      </c>
      <c r="P21" s="43" t="s">
        <v>52</v>
      </c>
      <c r="Q21" s="42">
        <f t="shared" si="3"/>
        <v>6.6697152956527974</v>
      </c>
      <c r="R21" s="44"/>
      <c r="S21" s="44"/>
    </row>
    <row r="22" spans="4:19" x14ac:dyDescent="0.35">
      <c r="D22" s="7" t="s">
        <v>42</v>
      </c>
      <c r="E22" s="42">
        <f t="shared" ref="E22:E28" si="5">I21</f>
        <v>15.132301386207637</v>
      </c>
      <c r="F22" s="7">
        <v>5</v>
      </c>
      <c r="G22" s="42">
        <f>'max-min aver'!K39</f>
        <v>0.19949860574860578</v>
      </c>
      <c r="H22" s="7" t="s">
        <v>43</v>
      </c>
      <c r="I22" s="43">
        <f t="shared" si="4"/>
        <v>14.932802780459031</v>
      </c>
      <c r="J22" s="41"/>
      <c r="K22" s="44"/>
      <c r="L22" s="42" t="s">
        <v>42</v>
      </c>
      <c r="M22" s="42">
        <f t="shared" si="2"/>
        <v>6.6697152956527974</v>
      </c>
      <c r="N22" s="42">
        <v>5</v>
      </c>
      <c r="O22" s="42">
        <f>'max-min aver'!K7</f>
        <v>4.7879665379665391E-2</v>
      </c>
      <c r="P22" s="43" t="s">
        <v>53</v>
      </c>
      <c r="Q22" s="42">
        <f t="shared" si="3"/>
        <v>6.6218356302731323</v>
      </c>
      <c r="R22" s="44"/>
      <c r="S22" s="44"/>
    </row>
    <row r="23" spans="4:19" x14ac:dyDescent="0.35">
      <c r="D23" s="7" t="s">
        <v>43</v>
      </c>
      <c r="E23" s="42">
        <f t="shared" si="5"/>
        <v>14.932802780459031</v>
      </c>
      <c r="F23" s="7">
        <v>6</v>
      </c>
      <c r="G23" s="42">
        <f>'max-min aver'!K40</f>
        <v>1.820880031817532</v>
      </c>
      <c r="H23" s="7" t="s">
        <v>44</v>
      </c>
      <c r="I23" s="43">
        <f t="shared" si="4"/>
        <v>13.111922748641499</v>
      </c>
      <c r="J23" s="41"/>
      <c r="K23" s="41"/>
      <c r="L23" s="42" t="s">
        <v>43</v>
      </c>
      <c r="M23" s="42">
        <f t="shared" si="2"/>
        <v>6.6218356302731323</v>
      </c>
      <c r="N23" s="42">
        <v>6</v>
      </c>
      <c r="O23" s="42">
        <f>'max-min aver'!K8</f>
        <v>0.43701120763620765</v>
      </c>
      <c r="P23" s="43" t="s">
        <v>88</v>
      </c>
      <c r="Q23" s="42">
        <f t="shared" si="3"/>
        <v>6.1848244226369244</v>
      </c>
      <c r="R23" s="44"/>
      <c r="S23" s="44"/>
    </row>
    <row r="24" spans="4:19" x14ac:dyDescent="0.35">
      <c r="D24" s="7" t="s">
        <v>44</v>
      </c>
      <c r="E24" s="42">
        <f t="shared" si="5"/>
        <v>13.111922748641499</v>
      </c>
      <c r="F24" s="7">
        <v>7</v>
      </c>
      <c r="G24" s="42">
        <f>'max-min aver'!K41</f>
        <v>0.21034092127842127</v>
      </c>
      <c r="H24" s="7" t="s">
        <v>45</v>
      </c>
      <c r="I24" s="43">
        <f t="shared" si="4"/>
        <v>12.901581827363078</v>
      </c>
      <c r="J24" s="41"/>
      <c r="K24" s="41"/>
      <c r="L24" s="42" t="s">
        <v>44</v>
      </c>
      <c r="M24" s="42">
        <f t="shared" si="2"/>
        <v>6.1848244226369244</v>
      </c>
      <c r="N24" s="42">
        <v>7</v>
      </c>
      <c r="O24" s="42">
        <f>'max-min aver'!K9</f>
        <v>5.0481821106821104E-2</v>
      </c>
      <c r="P24" s="43" t="s">
        <v>55</v>
      </c>
      <c r="Q24" s="42">
        <f t="shared" si="3"/>
        <v>6.1343426015301032</v>
      </c>
      <c r="R24" s="44"/>
      <c r="S24" s="44"/>
    </row>
    <row r="25" spans="4:19" x14ac:dyDescent="0.35">
      <c r="D25" s="7" t="s">
        <v>45</v>
      </c>
      <c r="E25" s="42">
        <f t="shared" si="5"/>
        <v>12.901581827363078</v>
      </c>
      <c r="F25" s="7">
        <v>8</v>
      </c>
      <c r="G25" s="42">
        <f>'max-min aver'!K42</f>
        <v>13.077252475689978</v>
      </c>
      <c r="H25" s="7" t="s">
        <v>46</v>
      </c>
      <c r="I25" s="43">
        <f t="shared" si="4"/>
        <v>-0.17567064832689994</v>
      </c>
      <c r="J25" s="41"/>
      <c r="K25" s="41"/>
      <c r="L25" s="42" t="s">
        <v>45</v>
      </c>
      <c r="M25" s="42">
        <f t="shared" si="2"/>
        <v>6.1343426015301032</v>
      </c>
      <c r="N25" s="42">
        <v>8</v>
      </c>
      <c r="O25" s="42">
        <f>'max-min aver'!K10</f>
        <v>12.814466520091521</v>
      </c>
      <c r="P25" s="43" t="s">
        <v>56</v>
      </c>
      <c r="Q25" s="42">
        <f t="shared" si="3"/>
        <v>-6.6801239185614181</v>
      </c>
      <c r="R25" s="44"/>
      <c r="S25" s="44"/>
    </row>
    <row r="26" spans="4:19" x14ac:dyDescent="0.35">
      <c r="D26" s="7" t="s">
        <v>46</v>
      </c>
      <c r="E26" s="42">
        <f t="shared" si="5"/>
        <v>-0.17567064832689994</v>
      </c>
      <c r="F26" s="7">
        <v>9</v>
      </c>
      <c r="G26" s="42">
        <f>'max-min aver'!K43</f>
        <v>0.20383553196053195</v>
      </c>
      <c r="H26" s="7" t="s">
        <v>47</v>
      </c>
      <c r="I26" s="43">
        <f t="shared" si="4"/>
        <v>-0.37950618028743188</v>
      </c>
      <c r="J26" s="41"/>
      <c r="K26" s="41"/>
      <c r="L26" s="42" t="s">
        <v>46</v>
      </c>
      <c r="M26" s="42">
        <f t="shared" si="2"/>
        <v>-6.6801239185614181</v>
      </c>
      <c r="N26" s="42">
        <v>9</v>
      </c>
      <c r="O26" s="42">
        <f>'max-min aver'!K11</f>
        <v>4.8920527670527666E-2</v>
      </c>
      <c r="P26" s="43" t="s">
        <v>57</v>
      </c>
      <c r="Q26" s="42">
        <f t="shared" si="3"/>
        <v>-6.7290444462319456</v>
      </c>
      <c r="R26" s="44"/>
      <c r="S26" s="44"/>
    </row>
    <row r="27" spans="4:19" x14ac:dyDescent="0.35">
      <c r="D27" s="7" t="s">
        <v>47</v>
      </c>
      <c r="E27" s="42">
        <f t="shared" si="5"/>
        <v>-0.37950618028743188</v>
      </c>
      <c r="F27" s="7" t="s">
        <v>83</v>
      </c>
      <c r="G27" s="42">
        <f>'max-min aver'!K44</f>
        <v>15.219014773702273</v>
      </c>
      <c r="H27" s="7" t="s">
        <v>48</v>
      </c>
      <c r="I27" s="43">
        <f t="shared" si="4"/>
        <v>-15.598520953989706</v>
      </c>
      <c r="J27" s="41"/>
      <c r="K27" s="41"/>
      <c r="L27" s="42" t="s">
        <v>47</v>
      </c>
      <c r="M27" s="42">
        <f t="shared" si="2"/>
        <v>-6.7290444462319456</v>
      </c>
      <c r="N27" s="42" t="s">
        <v>83</v>
      </c>
      <c r="O27" s="42">
        <f>'max-min aver'!K12</f>
        <v>5.2563545688545689E-2</v>
      </c>
      <c r="P27" s="43" t="s">
        <v>89</v>
      </c>
      <c r="Q27" s="42">
        <f t="shared" si="3"/>
        <v>-6.7816079919204917</v>
      </c>
      <c r="R27" s="44"/>
      <c r="S27" s="44"/>
    </row>
    <row r="28" spans="4:19" x14ac:dyDescent="0.35">
      <c r="D28" s="20" t="s">
        <v>92</v>
      </c>
      <c r="E28" s="42">
        <f t="shared" si="5"/>
        <v>-15.598520953989706</v>
      </c>
      <c r="F28" s="7"/>
      <c r="G28" s="7"/>
      <c r="H28" s="7"/>
      <c r="I28" s="7"/>
      <c r="J28" s="41"/>
      <c r="K28" s="41"/>
      <c r="L28" s="42" t="s">
        <v>58</v>
      </c>
      <c r="M28" s="42">
        <f t="shared" si="2"/>
        <v>-6.7816079919204917</v>
      </c>
      <c r="N28" s="42"/>
      <c r="O28" s="42"/>
      <c r="P28" s="42"/>
      <c r="Q28" s="42"/>
      <c r="R28" s="44"/>
      <c r="S28" s="44"/>
    </row>
    <row r="29" spans="4:19" x14ac:dyDescent="0.35">
      <c r="E29" s="40"/>
      <c r="F29" s="37"/>
      <c r="G29" s="37"/>
      <c r="H29" s="37"/>
      <c r="I29" s="37"/>
      <c r="J29" s="41"/>
      <c r="K29" s="41"/>
      <c r="L29" s="44"/>
      <c r="M29" s="44"/>
      <c r="N29" s="44"/>
      <c r="O29" s="44"/>
      <c r="P29" s="44"/>
      <c r="Q29" s="44"/>
      <c r="R29" s="44"/>
      <c r="S29" s="44"/>
    </row>
    <row r="30" spans="4:19" x14ac:dyDescent="0.35">
      <c r="E30" s="37"/>
      <c r="F30" s="37"/>
      <c r="G30" s="37"/>
      <c r="H30" s="37"/>
      <c r="I30" s="37"/>
      <c r="J30" s="41"/>
      <c r="K30" s="41"/>
      <c r="L30" s="44"/>
      <c r="M30" s="44"/>
      <c r="N30" s="44"/>
      <c r="O30" s="44"/>
      <c r="P30" s="44"/>
      <c r="Q30" s="44"/>
      <c r="R30" s="44"/>
      <c r="S30" s="44"/>
    </row>
    <row r="31" spans="4:19" x14ac:dyDescent="0.35">
      <c r="E31" s="37"/>
      <c r="F31" s="37"/>
      <c r="G31" s="37"/>
      <c r="H31" s="37"/>
      <c r="I31" s="37"/>
      <c r="J31" s="37"/>
      <c r="K31" s="37"/>
    </row>
  </sheetData>
  <mergeCells count="1">
    <mergeCell ref="E1:J1"/>
  </mergeCells>
  <pageMargins left="0.7" right="0.7" top="0.75" bottom="0.75" header="0.3" footer="0.3"/>
  <pageSetup orientation="portrait" r:id="rId1"/>
  <ignoredErrors>
    <ignoredError sqref="N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F4" sqref="F3:F11"/>
    </sheetView>
  </sheetViews>
  <sheetFormatPr defaultRowHeight="14.5" x14ac:dyDescent="0.35"/>
  <sheetData>
    <row r="1" spans="2:7" ht="58.5" thickBot="1" x14ac:dyDescent="0.4">
      <c r="B1" s="45" t="s">
        <v>79</v>
      </c>
      <c r="C1" s="46" t="s">
        <v>82</v>
      </c>
      <c r="D1" s="46" t="s">
        <v>93</v>
      </c>
      <c r="E1" s="46" t="s">
        <v>94</v>
      </c>
      <c r="F1" s="54" t="s">
        <v>95</v>
      </c>
    </row>
    <row r="2" spans="2:7" x14ac:dyDescent="0.35">
      <c r="B2" s="38" t="s">
        <v>39</v>
      </c>
      <c r="C2" s="39">
        <f>initial!J3</f>
        <v>20.130614900614901</v>
      </c>
      <c r="D2" s="48">
        <f>C2/1000</f>
        <v>2.01306149006149E-2</v>
      </c>
      <c r="E2" s="51">
        <f>SQRT(4*ABS(D2)/PI())</f>
        <v>0.16009714223338842</v>
      </c>
      <c r="F2" s="55">
        <v>200</v>
      </c>
    </row>
    <row r="3" spans="2:7" x14ac:dyDescent="0.35">
      <c r="B3" s="28" t="s">
        <v>40</v>
      </c>
      <c r="C3" s="47">
        <f>initial!J4</f>
        <v>9.6926787501787501</v>
      </c>
      <c r="D3" s="49">
        <f t="shared" ref="D3:D11" si="0">C3/1000</f>
        <v>9.6926787501787504E-3</v>
      </c>
      <c r="E3" s="52">
        <f t="shared" ref="E3:E11" si="1">SQRT(4*ABS(D3)/PI())</f>
        <v>0.11109051210225732</v>
      </c>
      <c r="F3" s="56">
        <v>175</v>
      </c>
    </row>
    <row r="4" spans="2:7" x14ac:dyDescent="0.35">
      <c r="B4" s="28" t="s">
        <v>41</v>
      </c>
      <c r="C4" s="47">
        <f>initial!J5</f>
        <v>9.2263724438724442</v>
      </c>
      <c r="D4" s="50">
        <f t="shared" si="0"/>
        <v>9.2263724438724441E-3</v>
      </c>
      <c r="E4" s="53">
        <f t="shared" si="1"/>
        <v>0.1083853414904119</v>
      </c>
      <c r="F4" s="56">
        <v>175</v>
      </c>
    </row>
    <row r="5" spans="2:7" x14ac:dyDescent="0.35">
      <c r="B5" s="28" t="s">
        <v>42</v>
      </c>
      <c r="C5" s="47">
        <f>initial!J6</f>
        <v>8.79753718003718</v>
      </c>
      <c r="D5" s="50">
        <f t="shared" si="0"/>
        <v>8.7975371800371807E-3</v>
      </c>
      <c r="E5" s="53">
        <f t="shared" si="1"/>
        <v>0.10583653543980551</v>
      </c>
      <c r="F5" s="56">
        <v>175</v>
      </c>
    </row>
    <row r="6" spans="2:7" x14ac:dyDescent="0.35">
      <c r="B6" s="28" t="s">
        <v>43</v>
      </c>
      <c r="C6" s="47">
        <f>initial!J7</f>
        <v>8.414499856999857</v>
      </c>
      <c r="D6" s="50">
        <f t="shared" si="0"/>
        <v>8.4144998569998571E-3</v>
      </c>
      <c r="E6" s="53">
        <f t="shared" si="1"/>
        <v>0.10350687883952733</v>
      </c>
      <c r="F6" s="56">
        <v>175</v>
      </c>
    </row>
    <row r="7" spans="2:7" x14ac:dyDescent="0.35">
      <c r="B7" s="28" t="s">
        <v>44</v>
      </c>
      <c r="C7" s="47">
        <f>initial!J8</f>
        <v>4.9184101959101962</v>
      </c>
      <c r="D7" s="50">
        <f t="shared" si="0"/>
        <v>4.9184101959101958E-3</v>
      </c>
      <c r="E7" s="53">
        <f t="shared" si="1"/>
        <v>7.9134786021455072E-2</v>
      </c>
      <c r="F7" s="56">
        <v>175</v>
      </c>
    </row>
    <row r="8" spans="2:7" x14ac:dyDescent="0.35">
      <c r="B8" s="28" t="s">
        <v>45</v>
      </c>
      <c r="C8" s="47">
        <f>initial!J9</f>
        <v>4.5145556270556275</v>
      </c>
      <c r="D8" s="50">
        <f t="shared" si="0"/>
        <v>4.5145556270556279E-3</v>
      </c>
      <c r="E8" s="53">
        <f t="shared" si="1"/>
        <v>7.5816296079892181E-2</v>
      </c>
      <c r="F8" s="56">
        <v>175</v>
      </c>
    </row>
    <row r="9" spans="2:7" x14ac:dyDescent="0.35">
      <c r="B9" s="28" t="s">
        <v>46</v>
      </c>
      <c r="C9" s="47">
        <f>initial!J10</f>
        <v>-8.8808061633061648</v>
      </c>
      <c r="D9" s="50">
        <f t="shared" si="0"/>
        <v>-8.8808061633061652E-3</v>
      </c>
      <c r="E9" s="53">
        <f t="shared" si="1"/>
        <v>0.10633622899204753</v>
      </c>
      <c r="F9" s="56">
        <v>175</v>
      </c>
    </row>
    <row r="10" spans="2:7" x14ac:dyDescent="0.35">
      <c r="B10" s="28" t="s">
        <v>47</v>
      </c>
      <c r="C10" s="47">
        <f>initial!J11</f>
        <v>-9.2721703846703853</v>
      </c>
      <c r="D10" s="50">
        <f t="shared" si="0"/>
        <v>-9.2721703846703855E-3</v>
      </c>
      <c r="E10" s="53">
        <f t="shared" si="1"/>
        <v>0.1086540105071349</v>
      </c>
      <c r="F10" s="56">
        <v>175</v>
      </c>
    </row>
    <row r="11" spans="2:7" x14ac:dyDescent="0.35">
      <c r="B11" s="30" t="s">
        <v>84</v>
      </c>
      <c r="C11" s="47">
        <f>initial!J12</f>
        <v>-9.6926787501787501</v>
      </c>
      <c r="D11" s="50">
        <f t="shared" si="0"/>
        <v>-9.6926787501787504E-3</v>
      </c>
      <c r="E11" s="53">
        <f t="shared" si="1"/>
        <v>0.11109051210225732</v>
      </c>
      <c r="F11" s="56">
        <v>175</v>
      </c>
    </row>
    <row r="12" spans="2:7" x14ac:dyDescent="0.35">
      <c r="B12" s="37"/>
      <c r="C12" s="35"/>
      <c r="D12" s="57"/>
      <c r="E12" s="58"/>
      <c r="F12" s="59"/>
      <c r="G12" s="37"/>
    </row>
    <row r="13" spans="2:7" x14ac:dyDescent="0.35">
      <c r="C13" s="37"/>
      <c r="D13" s="37"/>
      <c r="E13" s="37"/>
      <c r="F13" s="37"/>
      <c r="G13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opLeftCell="J42" workbookViewId="0">
      <selection activeCell="M18" sqref="M18"/>
    </sheetView>
  </sheetViews>
  <sheetFormatPr defaultRowHeight="14.5" x14ac:dyDescent="0.35"/>
  <cols>
    <col min="19" max="19" width="12.453125" bestFit="1" customWidth="1"/>
    <col min="26" max="26" width="12.453125" bestFit="1" customWidth="1"/>
  </cols>
  <sheetData>
    <row r="1" spans="1:33" x14ac:dyDescent="0.35">
      <c r="A1" t="s">
        <v>96</v>
      </c>
      <c r="G1" t="s">
        <v>97</v>
      </c>
      <c r="M1" t="s">
        <v>98</v>
      </c>
    </row>
    <row r="2" spans="1:33" x14ac:dyDescent="0.35">
      <c r="A2" t="s">
        <v>79</v>
      </c>
      <c r="B2" t="s">
        <v>99</v>
      </c>
      <c r="C2" t="s">
        <v>95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103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AG2" t="s">
        <v>108</v>
      </c>
    </row>
    <row r="3" spans="1:33" x14ac:dyDescent="0.35">
      <c r="A3" t="s">
        <v>39</v>
      </c>
      <c r="B3">
        <v>76</v>
      </c>
      <c r="C3">
        <f>'[1]diameter calc'!E3</f>
        <v>200</v>
      </c>
      <c r="D3" t="s">
        <v>109</v>
      </c>
      <c r="E3">
        <v>1</v>
      </c>
      <c r="F3">
        <f>16*0.033/((C3/1000)^5*PI()^2*2*9.81)*B3</f>
        <v>647.58799331035436</v>
      </c>
      <c r="G3">
        <f>initial!J3/1000</f>
        <v>2.01306149006149E-2</v>
      </c>
      <c r="H3">
        <f>2*ABS(F3*G3)</f>
        <v>26.072689015185443</v>
      </c>
      <c r="I3">
        <f>F3*G3*ABS(G3)</f>
        <v>0.26242963099409528</v>
      </c>
      <c r="M3">
        <f>G3</f>
        <v>2.01306149006149E-2</v>
      </c>
      <c r="N3">
        <f>M3</f>
        <v>2.01306149006149E-2</v>
      </c>
    </row>
    <row r="4" spans="1:33" x14ac:dyDescent="0.35">
      <c r="A4" t="s">
        <v>40</v>
      </c>
      <c r="B4">
        <v>56</v>
      </c>
      <c r="C4">
        <f>175</f>
        <v>175</v>
      </c>
      <c r="E4">
        <v>1</v>
      </c>
      <c r="F4">
        <f>16*0.033/((C4/1000)^5*PI()^2*2*9.81)*B4</f>
        <v>930.32128563947936</v>
      </c>
      <c r="G4">
        <f>initial!J4/1000</f>
        <v>9.6926787501787504E-3</v>
      </c>
      <c r="H4">
        <f t="shared" ref="H4:H12" si="0">2*ABS(F4*G4)</f>
        <v>18.034610712313516</v>
      </c>
      <c r="I4">
        <f t="shared" ref="I4:I12" si="1">F4*G4*ABS(G4)</f>
        <v>8.7401844009493634E-2</v>
      </c>
      <c r="J4">
        <f>SUM(H4:H4)</f>
        <v>18.034610712313516</v>
      </c>
      <c r="K4">
        <f>SUM(I$4:I4)</f>
        <v>8.7401844009493634E-2</v>
      </c>
      <c r="M4">
        <f t="shared" ref="M4:M12" si="2">G4+$E4*L$12</f>
        <v>8.7536991361087599E-3</v>
      </c>
      <c r="N4">
        <f>M4</f>
        <v>8.7536991361087599E-3</v>
      </c>
      <c r="O4">
        <f>2*ABS($F4*N4)</f>
        <v>16.287505268811802</v>
      </c>
      <c r="P4">
        <f>$F4*N4*ABS(N4)</f>
        <v>7.1287960400482381E-2</v>
      </c>
      <c r="Q4">
        <f>SUM(O$4:O4)</f>
        <v>16.287505268811802</v>
      </c>
      <c r="R4">
        <f>SUM(P$4:P4)</f>
        <v>7.1287960400482381E-2</v>
      </c>
    </row>
    <row r="5" spans="1:33" x14ac:dyDescent="0.35">
      <c r="A5" t="s">
        <v>41</v>
      </c>
      <c r="B5">
        <v>56</v>
      </c>
      <c r="C5">
        <f>175</f>
        <v>175</v>
      </c>
      <c r="E5">
        <v>1</v>
      </c>
      <c r="F5">
        <f t="shared" ref="F5:F12" si="3">16*0.033/((C5/1000)^5*PI()^2*2*9.81)*B5</f>
        <v>930.32128563947936</v>
      </c>
      <c r="G5">
        <f>initial!J5/1000</f>
        <v>9.2263724438724441E-3</v>
      </c>
      <c r="H5">
        <f t="shared" si="0"/>
        <v>17.166981347544155</v>
      </c>
      <c r="I5">
        <f t="shared" si="1"/>
        <v>7.9194481824726812E-2</v>
      </c>
      <c r="J5">
        <f>SUM(H4:H5)</f>
        <v>35.201592059857674</v>
      </c>
      <c r="K5">
        <f>SUM(I$4:I5)</f>
        <v>0.16659632583422046</v>
      </c>
      <c r="M5">
        <f t="shared" si="2"/>
        <v>8.2873928298024535E-3</v>
      </c>
      <c r="N5">
        <f t="shared" ref="N5:N12" si="4">M5</f>
        <v>8.2873928298024535E-3</v>
      </c>
      <c r="O5">
        <f t="shared" ref="O5:O12" si="5">2*ABS($F5*N5)</f>
        <v>15.419875904042444</v>
      </c>
      <c r="P5">
        <f t="shared" ref="P5:P12" si="6">$F5*N5*ABS(N5)</f>
        <v>6.3895284501802485E-2</v>
      </c>
      <c r="Q5">
        <f>SUM(O$4:O5)</f>
        <v>31.707381172854248</v>
      </c>
      <c r="R5">
        <f>SUM(P$4:P5)</f>
        <v>0.13518324490228487</v>
      </c>
    </row>
    <row r="6" spans="1:33" x14ac:dyDescent="0.35">
      <c r="A6" t="s">
        <v>42</v>
      </c>
      <c r="B6">
        <v>47</v>
      </c>
      <c r="C6">
        <f>175</f>
        <v>175</v>
      </c>
      <c r="E6">
        <v>1</v>
      </c>
      <c r="F6">
        <f t="shared" si="3"/>
        <v>780.80536473313441</v>
      </c>
      <c r="G6">
        <f>initial!J6/1000</f>
        <v>8.7975371800371807E-3</v>
      </c>
      <c r="H6">
        <f t="shared" si="0"/>
        <v>13.738328453224483</v>
      </c>
      <c r="I6">
        <f t="shared" si="1"/>
        <v>6.0431727679402539E-2</v>
      </c>
      <c r="J6">
        <f>SUM(H4:H6)</f>
        <v>48.939920513082157</v>
      </c>
      <c r="K6">
        <f>SUM(I$4:I6)</f>
        <v>0.22702805351362298</v>
      </c>
      <c r="M6">
        <f t="shared" si="2"/>
        <v>7.8585575659671902E-3</v>
      </c>
      <c r="N6">
        <f t="shared" si="4"/>
        <v>7.8585575659671902E-3</v>
      </c>
      <c r="O6">
        <f t="shared" si="5"/>
        <v>12.27200781314269</v>
      </c>
      <c r="P6">
        <f t="shared" si="6"/>
        <v>4.8220139924790476E-2</v>
      </c>
      <c r="Q6">
        <f>SUM(O$4:O6)</f>
        <v>43.979388985996934</v>
      </c>
      <c r="R6">
        <f>SUM(P$4:P6)</f>
        <v>0.18340338482707536</v>
      </c>
    </row>
    <row r="7" spans="1:33" x14ac:dyDescent="0.35">
      <c r="A7" t="s">
        <v>43</v>
      </c>
      <c r="B7">
        <v>45</v>
      </c>
      <c r="C7">
        <f>175</f>
        <v>175</v>
      </c>
      <c r="E7">
        <v>1</v>
      </c>
      <c r="F7">
        <f t="shared" si="3"/>
        <v>747.5796045317245</v>
      </c>
      <c r="G7">
        <f>initial!J7/1000</f>
        <v>8.4144998569998571E-3</v>
      </c>
      <c r="H7">
        <f t="shared" si="0"/>
        <v>12.58101695085641</v>
      </c>
      <c r="I7">
        <f t="shared" si="1"/>
        <v>5.293148266694702E-2</v>
      </c>
      <c r="J7">
        <f>SUM(H4:H7)</f>
        <v>61.520937463938566</v>
      </c>
      <c r="K7">
        <f>SUM(I$4:I7)</f>
        <v>0.27995953618057001</v>
      </c>
      <c r="M7">
        <f t="shared" si="2"/>
        <v>7.4755202429298666E-3</v>
      </c>
      <c r="N7">
        <f t="shared" si="4"/>
        <v>7.4755202429298666E-3</v>
      </c>
      <c r="O7">
        <f t="shared" si="5"/>
        <v>11.177092933756821</v>
      </c>
      <c r="P7">
        <f t="shared" si="6"/>
        <v>4.1777292241703741E-2</v>
      </c>
      <c r="Q7">
        <f>SUM(O$4:O7)</f>
        <v>55.156481919753759</v>
      </c>
      <c r="R7">
        <f>SUM(P$4:P7)</f>
        <v>0.22518067706877909</v>
      </c>
    </row>
    <row r="8" spans="1:33" x14ac:dyDescent="0.35">
      <c r="A8" t="s">
        <v>44</v>
      </c>
      <c r="B8">
        <v>48</v>
      </c>
      <c r="C8">
        <f>175</f>
        <v>175</v>
      </c>
      <c r="D8" t="s">
        <v>115</v>
      </c>
      <c r="E8">
        <v>1</v>
      </c>
      <c r="F8">
        <f t="shared" si="3"/>
        <v>797.41824483383948</v>
      </c>
      <c r="G8">
        <f>initial!J8/1000</f>
        <v>4.9184101959101958E-3</v>
      </c>
      <c r="H8">
        <f t="shared" si="0"/>
        <v>7.8440600515911383</v>
      </c>
      <c r="I8">
        <f t="shared" si="1"/>
        <v>1.9290152467538856E-2</v>
      </c>
      <c r="J8">
        <f>SUM(H4:H8)</f>
        <v>69.364997515529708</v>
      </c>
      <c r="K8">
        <f>SUM(I$4:I8)</f>
        <v>0.29924968864810886</v>
      </c>
      <c r="M8">
        <f t="shared" si="2"/>
        <v>3.9794305818402053E-3</v>
      </c>
      <c r="N8">
        <f t="shared" si="4"/>
        <v>3.9794305818402053E-3</v>
      </c>
      <c r="O8">
        <f t="shared" si="5"/>
        <v>6.3465411000182419</v>
      </c>
      <c r="P8">
        <f t="shared" si="6"/>
        <v>1.2627809871159185E-2</v>
      </c>
      <c r="Q8">
        <f>SUM(O$4:O8)</f>
        <v>61.503023019772002</v>
      </c>
      <c r="R8">
        <f>SUM(P$4:P8)</f>
        <v>0.23780848693993828</v>
      </c>
    </row>
    <row r="9" spans="1:33" x14ac:dyDescent="0.35">
      <c r="A9" t="s">
        <v>45</v>
      </c>
      <c r="B9">
        <v>49</v>
      </c>
      <c r="C9">
        <f>175</f>
        <v>175</v>
      </c>
      <c r="E9">
        <v>1</v>
      </c>
      <c r="F9">
        <f t="shared" si="3"/>
        <v>814.03112493454444</v>
      </c>
      <c r="G9">
        <f>initial!J9/1000</f>
        <v>4.5145556270556279E-3</v>
      </c>
      <c r="H9">
        <f t="shared" si="0"/>
        <v>7.3499775913433405</v>
      </c>
      <c r="I9">
        <f t="shared" si="1"/>
        <v>1.6590941346865923E-2</v>
      </c>
      <c r="J9">
        <f>SUM(H4:H9)</f>
        <v>76.714975106873055</v>
      </c>
      <c r="K9">
        <f>SUM(I$4:I9)</f>
        <v>0.31584062999497475</v>
      </c>
      <c r="M9">
        <f t="shared" si="2"/>
        <v>3.5755760129856373E-3</v>
      </c>
      <c r="N9">
        <f t="shared" si="4"/>
        <v>3.5755760129856373E-3</v>
      </c>
      <c r="O9">
        <f t="shared" si="5"/>
        <v>5.8212603282793429</v>
      </c>
      <c r="P9">
        <f t="shared" si="6"/>
        <v>1.0407179397570257E-2</v>
      </c>
      <c r="Q9">
        <f>SUM(O$4:O9)</f>
        <v>67.324283348051338</v>
      </c>
      <c r="R9">
        <f>SUM(P$4:P9)</f>
        <v>0.24821566633750852</v>
      </c>
    </row>
    <row r="10" spans="1:33" x14ac:dyDescent="0.35">
      <c r="A10" t="s">
        <v>46</v>
      </c>
      <c r="B10">
        <v>40</v>
      </c>
      <c r="C10">
        <f>175</f>
        <v>175</v>
      </c>
      <c r="E10">
        <v>1</v>
      </c>
      <c r="F10">
        <f t="shared" si="3"/>
        <v>664.51520402819949</v>
      </c>
      <c r="G10">
        <f>initial!J10/1000</f>
        <v>-8.8808061633061652E-3</v>
      </c>
      <c r="H10">
        <f t="shared" si="0"/>
        <v>11.802861439088575</v>
      </c>
      <c r="I10">
        <f t="shared" si="1"/>
        <v>-5.2409462306453249E-2</v>
      </c>
      <c r="J10">
        <f>SUM(H4:H10)</f>
        <v>88.517836545961629</v>
      </c>
      <c r="K10">
        <f>SUM(I$4:I10)</f>
        <v>0.26343116768852148</v>
      </c>
      <c r="M10">
        <f t="shared" si="2"/>
        <v>-9.8197857773761558E-3</v>
      </c>
      <c r="N10">
        <f t="shared" si="4"/>
        <v>-9.8197857773761558E-3</v>
      </c>
      <c r="O10">
        <f t="shared" si="5"/>
        <v>13.050793898732655</v>
      </c>
      <c r="P10">
        <f t="shared" si="6"/>
        <v>-6.4078000155121217E-2</v>
      </c>
      <c r="Q10">
        <f>SUM(O$4:O10)</f>
        <v>80.375077246783988</v>
      </c>
      <c r="R10">
        <f>SUM(P$4:P10)</f>
        <v>0.18413766618238731</v>
      </c>
    </row>
    <row r="11" spans="1:33" x14ac:dyDescent="0.35">
      <c r="A11" t="s">
        <v>47</v>
      </c>
      <c r="B11">
        <v>54</v>
      </c>
      <c r="C11">
        <f>175</f>
        <v>175</v>
      </c>
      <c r="E11">
        <v>1</v>
      </c>
      <c r="F11">
        <f>16*0.033/((C11/1000)^5*PI()^2*2*9.81)*B11</f>
        <v>897.09552543806933</v>
      </c>
      <c r="G11">
        <f>initial!J11/1000</f>
        <v>-9.2721703846703855E-3</v>
      </c>
      <c r="H11">
        <f t="shared" si="0"/>
        <v>16.63604512637437</v>
      </c>
      <c r="I11">
        <f t="shared" si="1"/>
        <v>-7.7126122469404271E-2</v>
      </c>
      <c r="J11">
        <f>SUM(H4:H11)</f>
        <v>105.153881672336</v>
      </c>
      <c r="K11">
        <f>SUM(I$4:I11)</f>
        <v>0.18630504521911723</v>
      </c>
      <c r="M11">
        <f t="shared" si="2"/>
        <v>-1.0211149998740376E-2</v>
      </c>
      <c r="N11">
        <f t="shared" si="4"/>
        <v>-1.0211149998740376E-2</v>
      </c>
      <c r="O11">
        <f t="shared" si="5"/>
        <v>18.320753946893877</v>
      </c>
      <c r="P11">
        <f>$F11*N11*ABS(N11)</f>
        <v>-9.3537983320874082E-2</v>
      </c>
      <c r="Q11">
        <f>SUM(O$4:O11)</f>
        <v>98.695831193677861</v>
      </c>
      <c r="R11">
        <f>SUM(P$4:P11)</f>
        <v>9.0599682861513223E-2</v>
      </c>
    </row>
    <row r="12" spans="1:33" x14ac:dyDescent="0.35">
      <c r="A12" s="44" t="s">
        <v>58</v>
      </c>
      <c r="B12">
        <v>47</v>
      </c>
      <c r="C12">
        <f>175</f>
        <v>175</v>
      </c>
      <c r="E12">
        <v>1</v>
      </c>
      <c r="F12">
        <f t="shared" si="3"/>
        <v>780.80536473313441</v>
      </c>
      <c r="G12">
        <f>initial!J12/1000</f>
        <v>-9.6926787501787504E-3</v>
      </c>
      <c r="H12">
        <f t="shared" si="0"/>
        <v>15.136191133548841</v>
      </c>
      <c r="I12">
        <f t="shared" si="1"/>
        <v>-7.335511907939643E-2</v>
      </c>
      <c r="J12">
        <f>SUM(H4:H12)</f>
        <v>120.29007280588485</v>
      </c>
      <c r="K12">
        <f>SUM(I$4:I12)</f>
        <v>0.1129499261397208</v>
      </c>
      <c r="L12">
        <f>-K12/J12</f>
        <v>-9.3897961406999033E-4</v>
      </c>
      <c r="M12">
        <f t="shared" si="2"/>
        <v>-1.0631658364248741E-2</v>
      </c>
      <c r="N12">
        <f t="shared" si="4"/>
        <v>-1.0631658364248741E-2</v>
      </c>
      <c r="O12">
        <f t="shared" si="5"/>
        <v>16.602511773630635</v>
      </c>
      <c r="P12">
        <f t="shared" si="6"/>
        <v>-8.8256116582829169E-2</v>
      </c>
      <c r="Q12">
        <f>SUM(O$4:O12)</f>
        <v>115.2983429673085</v>
      </c>
      <c r="R12">
        <f>SUM(P$4:P12)</f>
        <v>2.3435662786840533E-3</v>
      </c>
      <c r="S12">
        <f>R12/Q12</f>
        <v>2.0326105461450945E-5</v>
      </c>
    </row>
    <row r="14" spans="1:33" x14ac:dyDescent="0.35">
      <c r="K14" t="s">
        <v>111</v>
      </c>
      <c r="R14" t="s">
        <v>111</v>
      </c>
    </row>
    <row r="16" spans="1:33" x14ac:dyDescent="0.35">
      <c r="A16" t="s">
        <v>112</v>
      </c>
      <c r="G16" t="s">
        <v>97</v>
      </c>
      <c r="M16" t="s">
        <v>98</v>
      </c>
    </row>
    <row r="17" spans="1:26" x14ac:dyDescent="0.35">
      <c r="A17" t="s">
        <v>79</v>
      </c>
      <c r="B17" t="s">
        <v>99</v>
      </c>
      <c r="C17" t="s">
        <v>95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103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</row>
    <row r="18" spans="1:26" x14ac:dyDescent="0.35">
      <c r="A18" t="s">
        <v>39</v>
      </c>
      <c r="B18">
        <v>76</v>
      </c>
      <c r="C18">
        <v>200</v>
      </c>
      <c r="D18" t="s">
        <v>109</v>
      </c>
      <c r="E18">
        <v>1</v>
      </c>
      <c r="F18">
        <f>16*0.033/((C18/1000)^5*PI()^2*2*9.81)*B18</f>
        <v>647.58799331035436</v>
      </c>
      <c r="G18">
        <f>'[1]initial flow'!H22/1000</f>
        <v>2.2232530698716179E-2</v>
      </c>
      <c r="H18">
        <f>2*ABS(F18*G18)</f>
        <v>28.795039882784923</v>
      </c>
      <c r="I18">
        <f>F18*G18*ABS(G18)</f>
        <v>0.32009330408238629</v>
      </c>
      <c r="M18">
        <f>G18</f>
        <v>2.2232530698716179E-2</v>
      </c>
      <c r="N18">
        <f>M18</f>
        <v>2.2232530698716179E-2</v>
      </c>
    </row>
    <row r="19" spans="1:26" x14ac:dyDescent="0.35">
      <c r="A19" t="s">
        <v>40</v>
      </c>
      <c r="B19">
        <v>56</v>
      </c>
      <c r="C19">
        <v>175</v>
      </c>
      <c r="E19">
        <v>1</v>
      </c>
      <c r="F19">
        <f>16*0.033/((C19/1000)^5*PI()^2*2*9.81)*B19</f>
        <v>930.32128563947936</v>
      </c>
      <c r="G19">
        <f>'[1]initial flow'!H23/1000</f>
        <v>1.101881522466981E-2</v>
      </c>
      <c r="H19">
        <f t="shared" ref="H19:H27" si="7">2*ABS(F19*G19)</f>
        <v>20.502076692077374</v>
      </c>
      <c r="I19">
        <f t="shared" ref="I19:I27" si="8">F19*G19*ABS(G19)</f>
        <v>0.11295429739600511</v>
      </c>
      <c r="J19">
        <f>SUM(H$19:H19)</f>
        <v>20.502076692077374</v>
      </c>
      <c r="K19">
        <f>SUM(I$19:I19)</f>
        <v>0.11295429739600511</v>
      </c>
      <c r="M19">
        <f t="shared" ref="M19:M27" si="9">G19+$E19*L$27</f>
        <v>9.1728186516375348E-3</v>
      </c>
      <c r="N19">
        <f>M19</f>
        <v>9.1728186516375348E-3</v>
      </c>
      <c r="O19">
        <f>2*ABS($F19*N19)</f>
        <v>17.067336881858452</v>
      </c>
      <c r="P19">
        <f>$F19*N19*ABS(N19)</f>
        <v>7.8277793041846205E-2</v>
      </c>
      <c r="Q19">
        <f>SUM(O$19:O19)</f>
        <v>17.067336881858452</v>
      </c>
      <c r="R19">
        <f>SUM(P$19:P19)</f>
        <v>7.8277793041846205E-2</v>
      </c>
    </row>
    <row r="20" spans="1:26" x14ac:dyDescent="0.35">
      <c r="A20" t="s">
        <v>41</v>
      </c>
      <c r="B20">
        <v>56</v>
      </c>
      <c r="C20">
        <v>175</v>
      </c>
      <c r="E20">
        <v>1</v>
      </c>
      <c r="F20">
        <f t="shared" ref="F20:F25" si="10">16*0.033/((C20/1000)^5*PI()^2*2*9.81)*B20</f>
        <v>930.32128563947936</v>
      </c>
      <c r="G20">
        <f>'[1]initial flow'!H24/1000</f>
        <v>1.0891533429158589E-2</v>
      </c>
      <c r="H20">
        <f t="shared" si="7"/>
        <v>20.265250764800371</v>
      </c>
      <c r="I20">
        <f t="shared" si="8"/>
        <v>0.11035982807755244</v>
      </c>
      <c r="J20">
        <f>SUM(H$19:H20)</f>
        <v>40.767327456877744</v>
      </c>
      <c r="K20">
        <f>SUM(I$19:I20)</f>
        <v>0.22331412547355756</v>
      </c>
      <c r="M20">
        <f t="shared" si="9"/>
        <v>9.0455368561263138E-3</v>
      </c>
      <c r="N20">
        <f t="shared" ref="N20:N27" si="11">M20</f>
        <v>9.0455368561263138E-3</v>
      </c>
      <c r="O20">
        <f t="shared" ref="O20:O27" si="12">2*ABS($F20*N20)</f>
        <v>16.830510954581452</v>
      </c>
      <c r="P20">
        <f t="shared" ref="P20:P27" si="13">$F20*N20*ABS(N20)</f>
        <v>7.6120503573552101E-2</v>
      </c>
      <c r="Q20">
        <f>SUM(O$19:O20)</f>
        <v>33.897847836439908</v>
      </c>
      <c r="R20">
        <f>SUM(P$19:P20)</f>
        <v>0.15439829661539831</v>
      </c>
    </row>
    <row r="21" spans="1:26" x14ac:dyDescent="0.35">
      <c r="A21" t="s">
        <v>42</v>
      </c>
      <c r="B21">
        <v>47</v>
      </c>
      <c r="C21">
        <v>175</v>
      </c>
      <c r="E21">
        <v>1</v>
      </c>
      <c r="F21">
        <f t="shared" si="10"/>
        <v>780.80536473313441</v>
      </c>
      <c r="G21">
        <f>'[1]initial flow'!H25/1000</f>
        <v>1.0776979813198488E-2</v>
      </c>
      <c r="H21">
        <f t="shared" si="7"/>
        <v>16.829447307532146</v>
      </c>
      <c r="I21">
        <f t="shared" si="8"/>
        <v>9.0685306950280792E-2</v>
      </c>
      <c r="J21">
        <f>SUM(H$19:H21)</f>
        <v>57.596774764409886</v>
      </c>
      <c r="K21">
        <f>SUM(I$19:I21)</f>
        <v>0.31399943242383832</v>
      </c>
      <c r="M21">
        <f t="shared" si="9"/>
        <v>8.9309832401662133E-3</v>
      </c>
      <c r="N21">
        <f t="shared" si="11"/>
        <v>8.9309832401662133E-3</v>
      </c>
      <c r="O21">
        <f t="shared" si="12"/>
        <v>13.946719252526982</v>
      </c>
      <c r="P21">
        <f t="shared" si="13"/>
        <v>6.2278957949810969E-2</v>
      </c>
      <c r="Q21">
        <f>SUM(O$19:O21)</f>
        <v>47.84456708896689</v>
      </c>
      <c r="R21">
        <f>SUM(P$19:P21)</f>
        <v>0.21667725456520928</v>
      </c>
    </row>
    <row r="22" spans="1:26" x14ac:dyDescent="0.35">
      <c r="A22" t="s">
        <v>43</v>
      </c>
      <c r="B22">
        <v>45</v>
      </c>
      <c r="C22">
        <v>175</v>
      </c>
      <c r="E22">
        <v>1</v>
      </c>
      <c r="F22">
        <f t="shared" si="10"/>
        <v>747.5796045317245</v>
      </c>
      <c r="G22">
        <f>'[1]initial flow'!H26/1000</f>
        <v>1.0645322705966569E-2</v>
      </c>
      <c r="H22">
        <f t="shared" si="7"/>
        <v>15.91645227727815</v>
      </c>
      <c r="I22">
        <f t="shared" si="8"/>
        <v>8.4717885412871202E-2</v>
      </c>
      <c r="J22">
        <f>SUM(H$19:H22)</f>
        <v>73.51322704168804</v>
      </c>
      <c r="K22">
        <f>SUM(I$19:I22)</f>
        <v>0.3987173178367095</v>
      </c>
      <c r="M22">
        <f t="shared" si="9"/>
        <v>8.7993261329342935E-3</v>
      </c>
      <c r="N22">
        <f t="shared" si="11"/>
        <v>8.7993261329342935E-3</v>
      </c>
      <c r="O22">
        <f t="shared" si="12"/>
        <v>13.156393501209376</v>
      </c>
      <c r="P22">
        <f t="shared" si="13"/>
        <v>5.7883698575179283E-2</v>
      </c>
      <c r="Q22">
        <f>SUM(O$19:O22)</f>
        <v>61.000960590176263</v>
      </c>
      <c r="R22">
        <f>SUM(P$19:P22)</f>
        <v>0.27456095314038859</v>
      </c>
    </row>
    <row r="23" spans="1:26" x14ac:dyDescent="0.35">
      <c r="A23" t="s">
        <v>44</v>
      </c>
      <c r="B23">
        <v>48</v>
      </c>
      <c r="C23">
        <v>175</v>
      </c>
      <c r="D23" t="s">
        <v>110</v>
      </c>
      <c r="E23">
        <v>1</v>
      </c>
      <c r="F23">
        <f t="shared" si="10"/>
        <v>797.41824483383948</v>
      </c>
      <c r="G23">
        <f>'[1]initial flow'!H27/1000</f>
        <v>1.0065724202225922E-2</v>
      </c>
      <c r="H23">
        <f t="shared" si="7"/>
        <v>16.053184252640985</v>
      </c>
      <c r="I23">
        <f t="shared" si="8"/>
        <v>8.0793462627300208E-2</v>
      </c>
      <c r="J23">
        <f>SUM(H$19:H23)</f>
        <v>89.566411294329029</v>
      </c>
      <c r="K23">
        <f>SUM(I$19:I23)</f>
        <v>0.47951078046400969</v>
      </c>
      <c r="M23">
        <f t="shared" si="9"/>
        <v>8.2197276291936464E-3</v>
      </c>
      <c r="N23">
        <f t="shared" si="11"/>
        <v>8.2197276291936464E-3</v>
      </c>
      <c r="O23">
        <f t="shared" si="12"/>
        <v>13.109121558167628</v>
      </c>
      <c r="P23">
        <f t="shared" si="13"/>
        <v>5.3876704333064254E-2</v>
      </c>
      <c r="Q23">
        <f>SUM(O$19:O23)</f>
        <v>74.110082148343892</v>
      </c>
      <c r="R23">
        <f>SUM(P$19:P23)</f>
        <v>0.32843765747345283</v>
      </c>
    </row>
    <row r="24" spans="1:26" x14ac:dyDescent="0.35">
      <c r="A24" t="s">
        <v>45</v>
      </c>
      <c r="B24">
        <v>49</v>
      </c>
      <c r="C24">
        <v>175</v>
      </c>
      <c r="E24">
        <v>1</v>
      </c>
      <c r="F24">
        <f t="shared" si="10"/>
        <v>814.03112493454444</v>
      </c>
      <c r="G24">
        <f>'[1]initial flow'!H28/1000</f>
        <v>9.97105836681445E-3</v>
      </c>
      <c r="H24">
        <f t="shared" si="7"/>
        <v>16.233503718251935</v>
      </c>
      <c r="I24">
        <f t="shared" si="8"/>
        <v>8.0932606536294721E-2</v>
      </c>
      <c r="J24">
        <f>SUM(H$19:H24)</f>
        <v>105.79991501258097</v>
      </c>
      <c r="K24">
        <f>SUM(I$19:I24)</f>
        <v>0.56044338700030438</v>
      </c>
      <c r="M24">
        <f t="shared" si="9"/>
        <v>8.1250617937821748E-3</v>
      </c>
      <c r="N24">
        <f t="shared" si="11"/>
        <v>8.1250617937821748E-3</v>
      </c>
      <c r="O24">
        <f t="shared" si="12"/>
        <v>13.228106384310383</v>
      </c>
      <c r="P24">
        <f t="shared" si="13"/>
        <v>5.3739590893623179E-2</v>
      </c>
      <c r="Q24">
        <f>SUM(O$19:O24)</f>
        <v>87.338188532654272</v>
      </c>
      <c r="R24">
        <f>SUM(P$19:P24)</f>
        <v>0.38217724836707601</v>
      </c>
    </row>
    <row r="25" spans="1:26" x14ac:dyDescent="0.35">
      <c r="A25" t="s">
        <v>46</v>
      </c>
      <c r="B25">
        <v>40</v>
      </c>
      <c r="C25">
        <v>175</v>
      </c>
      <c r="E25">
        <v>1</v>
      </c>
      <c r="F25">
        <f t="shared" si="10"/>
        <v>664.51520402819949</v>
      </c>
      <c r="G25">
        <f>'[1]initial flow'!H29/1000</f>
        <v>-1.0652880062575044E-2</v>
      </c>
      <c r="H25">
        <f t="shared" si="7"/>
        <v>14.158001536539988</v>
      </c>
      <c r="I25">
        <f t="shared" si="8"/>
        <v>-7.5411746147256833E-2</v>
      </c>
      <c r="J25">
        <f>SUM(H$19:H25)</f>
        <v>119.95791654912095</v>
      </c>
      <c r="K25">
        <f>SUM(I$19:I25)</f>
        <v>0.48503164085304756</v>
      </c>
      <c r="M25">
        <f t="shared" si="9"/>
        <v>-1.2498876635607319E-2</v>
      </c>
      <c r="N25">
        <f t="shared" si="11"/>
        <v>-1.2498876635607319E-2</v>
      </c>
      <c r="O25">
        <f t="shared" si="12"/>
        <v>16.611387115267785</v>
      </c>
      <c r="P25">
        <f t="shared" si="13"/>
        <v>-0.1038118391500245</v>
      </c>
      <c r="Q25">
        <f>SUM(O$19:O25)</f>
        <v>103.94957564792206</v>
      </c>
      <c r="R25">
        <f>SUM(P$19:P25)</f>
        <v>0.2783654092170515</v>
      </c>
    </row>
    <row r="26" spans="1:26" x14ac:dyDescent="0.35">
      <c r="A26" t="s">
        <v>47</v>
      </c>
      <c r="B26">
        <v>54</v>
      </c>
      <c r="C26">
        <v>175</v>
      </c>
      <c r="E26">
        <v>1</v>
      </c>
      <c r="F26">
        <f>16*0.033/((C26/1000)^5*PI()^2*2*9.81)*B26</f>
        <v>897.09552543806933</v>
      </c>
      <c r="G26">
        <f>'[1]initial flow'!H30/1000</f>
        <v>-1.0768229189757087E-2</v>
      </c>
      <c r="H26">
        <f t="shared" si="7"/>
        <v>19.320260446045381</v>
      </c>
      <c r="I26">
        <f t="shared" si="8"/>
        <v>-0.10402249624440758</v>
      </c>
      <c r="J26">
        <f>SUM(H$19:H26)</f>
        <v>139.27817699516635</v>
      </c>
      <c r="K26">
        <f>SUM(I$19:I26)</f>
        <v>0.38100914460863999</v>
      </c>
      <c r="M26">
        <f t="shared" si="9"/>
        <v>-1.2614225762789363E-2</v>
      </c>
      <c r="N26">
        <f t="shared" si="11"/>
        <v>-1.2614225762789363E-2</v>
      </c>
      <c r="O26">
        <f t="shared" si="12"/>
        <v>22.632330977327907</v>
      </c>
      <c r="P26">
        <f t="shared" si="13"/>
        <v>-0.14274466624309273</v>
      </c>
      <c r="Q26">
        <f>SUM(O$19:O26)</f>
        <v>126.58190662524997</v>
      </c>
      <c r="R26">
        <f>SUM(P$19:P26)</f>
        <v>0.13562074297395876</v>
      </c>
    </row>
    <row r="27" spans="1:26" x14ac:dyDescent="0.35">
      <c r="A27" t="s">
        <v>48</v>
      </c>
      <c r="B27">
        <v>47</v>
      </c>
      <c r="C27">
        <v>175</v>
      </c>
      <c r="E27">
        <v>1</v>
      </c>
      <c r="F27">
        <f t="shared" ref="F27" si="14">16*0.033/((C27/1000)^5*PI()^2*2*9.81)*B27</f>
        <v>780.80536473313441</v>
      </c>
      <c r="G27">
        <f>'[1]initial flow'!H31/1000</f>
        <v>-1.0885567094993996E-2</v>
      </c>
      <c r="H27">
        <f t="shared" si="7"/>
        <v>16.999018371867585</v>
      </c>
      <c r="I27">
        <f t="shared" si="8"/>
        <v>-9.2521977518000093E-2</v>
      </c>
      <c r="J27">
        <f>SUM(H$19:H27)</f>
        <v>156.27719536703393</v>
      </c>
      <c r="K27">
        <f>SUM(I$19:I27)</f>
        <v>0.28848716709063993</v>
      </c>
      <c r="L27">
        <f>-K27/J27</f>
        <v>-1.8459965730322748E-3</v>
      </c>
      <c r="M27">
        <f t="shared" si="9"/>
        <v>-1.2731563668026271E-2</v>
      </c>
      <c r="N27">
        <f t="shared" si="11"/>
        <v>-1.2731563668026271E-2</v>
      </c>
      <c r="O27">
        <f t="shared" si="12"/>
        <v>19.881746426872752</v>
      </c>
      <c r="P27">
        <f t="shared" si="13"/>
        <v>-0.12656286023264213</v>
      </c>
      <c r="Q27">
        <f>SUM(O$19:O27)</f>
        <v>146.46365305212271</v>
      </c>
      <c r="R27">
        <f>SUM(P$19:P27)</f>
        <v>9.0578827413166363E-3</v>
      </c>
      <c r="S27">
        <f>-R27/Q27</f>
        <v>-6.1843894731296672E-5</v>
      </c>
    </row>
    <row r="29" spans="1:26" x14ac:dyDescent="0.35">
      <c r="K29" t="s">
        <v>111</v>
      </c>
      <c r="R29" t="s">
        <v>111</v>
      </c>
    </row>
    <row r="31" spans="1:26" x14ac:dyDescent="0.35">
      <c r="A31" t="s">
        <v>113</v>
      </c>
      <c r="G31" t="s">
        <v>97</v>
      </c>
      <c r="M31" t="s">
        <v>98</v>
      </c>
      <c r="T31" t="s">
        <v>114</v>
      </c>
    </row>
    <row r="32" spans="1:26" x14ac:dyDescent="0.35">
      <c r="A32" t="s">
        <v>79</v>
      </c>
      <c r="B32" t="s">
        <v>99</v>
      </c>
      <c r="C32" t="s">
        <v>95</v>
      </c>
      <c r="D32" t="s">
        <v>100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103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t="s">
        <v>108</v>
      </c>
      <c r="T32" t="s">
        <v>103</v>
      </c>
      <c r="U32" t="s">
        <v>103</v>
      </c>
      <c r="V32" t="s">
        <v>104</v>
      </c>
      <c r="W32" t="s">
        <v>105</v>
      </c>
      <c r="X32" t="s">
        <v>106</v>
      </c>
      <c r="Y32" t="s">
        <v>107</v>
      </c>
      <c r="Z32" t="s">
        <v>108</v>
      </c>
    </row>
    <row r="33" spans="1:26" x14ac:dyDescent="0.35">
      <c r="A33" t="s">
        <v>39</v>
      </c>
      <c r="B33">
        <v>90</v>
      </c>
      <c r="C33">
        <v>200</v>
      </c>
      <c r="D33" t="s">
        <v>109</v>
      </c>
      <c r="E33">
        <v>1</v>
      </c>
      <c r="F33">
        <f>16*0.033/((C33/1000)^5*PI()^2*2*9.81)*B33</f>
        <v>766.8805183938407</v>
      </c>
      <c r="G33">
        <f>'[1]initial flow'!H38/1000</f>
        <v>4.3129371738477883E-2</v>
      </c>
      <c r="H33">
        <f>2*ABS(F33*G33)</f>
        <v>66.15014991360917</v>
      </c>
      <c r="I33">
        <f>F33*G33*ABS(G33)</f>
        <v>1.4265072030900452</v>
      </c>
      <c r="M33">
        <f>G33</f>
        <v>4.3129371738477883E-2</v>
      </c>
      <c r="N33">
        <f>M33</f>
        <v>4.3129371738477883E-2</v>
      </c>
      <c r="T33">
        <f>N33</f>
        <v>4.3129371738477883E-2</v>
      </c>
      <c r="U33">
        <f>T33</f>
        <v>4.3129371738477883E-2</v>
      </c>
    </row>
    <row r="34" spans="1:26" x14ac:dyDescent="0.35">
      <c r="A34" t="s">
        <v>40</v>
      </c>
      <c r="B34">
        <v>205</v>
      </c>
      <c r="C34">
        <v>150</v>
      </c>
      <c r="E34">
        <v>1</v>
      </c>
      <c r="F34">
        <f>16*0.033/((C34/1000)^5*PI()^2*2*9.81)*B34</f>
        <v>7360.9308834583953</v>
      </c>
      <c r="G34">
        <f>'[1]initial flow'!H39/1000</f>
        <v>2.115864368303778E-2</v>
      </c>
      <c r="H34">
        <f t="shared" ref="H34:H42" si="15">2*ABS(F34*G34)</f>
        <v>311.49462747712937</v>
      </c>
      <c r="I34">
        <f t="shared" ref="I34:I42" si="16">F34*G34*ABS(G34)</f>
        <v>3.2954019159845851</v>
      </c>
      <c r="J34">
        <f>SUM(H$34:H34)</f>
        <v>311.49462747712937</v>
      </c>
      <c r="K34">
        <f>SUM(I$34:I34)</f>
        <v>3.2954019159845851</v>
      </c>
      <c r="M34">
        <f t="shared" ref="M34:M42" si="17">G34+$E34*L$42</f>
        <v>1.4829369692179403E-2</v>
      </c>
      <c r="N34">
        <f>M34</f>
        <v>1.4829369692179403E-2</v>
      </c>
      <c r="O34">
        <f>2*ABS($F34*N34)</f>
        <v>218.31593069877056</v>
      </c>
      <c r="P34">
        <f>$F34*N34*ABS(N34)</f>
        <v>1.6187438230121434</v>
      </c>
      <c r="Q34">
        <f>SUM(O$34:O34)</f>
        <v>218.31593069877056</v>
      </c>
      <c r="R34">
        <f>SUM(P$34:P34)</f>
        <v>1.6187438230121434</v>
      </c>
      <c r="T34">
        <f t="shared" ref="T34:T42" si="18">N34+$E34*S$42</f>
        <v>1.4338538307654683E-2</v>
      </c>
      <c r="U34">
        <f>T34</f>
        <v>1.4338538307654683E-2</v>
      </c>
      <c r="V34">
        <f>2*ABS($F34*U34)</f>
        <v>211.08997890493325</v>
      </c>
      <c r="W34">
        <f>$F34*U34*ABS(U34)</f>
        <v>1.5133608744452021</v>
      </c>
      <c r="X34">
        <f>SUM(V$34:V34)</f>
        <v>211.08997890493325</v>
      </c>
      <c r="Y34">
        <f>SUM(W$34:W34)</f>
        <v>1.5133608744452021</v>
      </c>
    </row>
    <row r="35" spans="1:26" x14ac:dyDescent="0.35">
      <c r="A35" t="s">
        <v>41</v>
      </c>
      <c r="B35">
        <v>115</v>
      </c>
      <c r="C35">
        <v>150</v>
      </c>
      <c r="E35">
        <v>1</v>
      </c>
      <c r="F35">
        <f t="shared" ref="F35:F40" si="19">16*0.033/((C35/1000)^5*PI()^2*2*9.81)*B35</f>
        <v>4129.3026907205631</v>
      </c>
      <c r="G35">
        <f>'[1]initial flow'!H40/1000</f>
        <v>2.0628302868407691E-2</v>
      </c>
      <c r="H35">
        <f t="shared" si="15"/>
        <v>170.36101307902916</v>
      </c>
      <c r="I35">
        <f t="shared" si="16"/>
        <v>1.7571292873814888</v>
      </c>
      <c r="J35">
        <f>SUM(H$34:H35)</f>
        <v>481.85564055615851</v>
      </c>
      <c r="K35">
        <f>SUM(I$34:I35)</f>
        <v>5.0525312033660743</v>
      </c>
      <c r="M35">
        <f t="shared" si="17"/>
        <v>1.4299028877549313E-2</v>
      </c>
      <c r="N35">
        <f t="shared" ref="N35:N42" si="20">M35</f>
        <v>1.4299028877549313E-2</v>
      </c>
      <c r="O35">
        <f t="shared" ref="O35:O42" si="21">2*ABS($F35*N35)</f>
        <v>118.09003683751082</v>
      </c>
      <c r="P35">
        <f t="shared" ref="P35:P42" si="22">$F35*N35*ABS(N35)</f>
        <v>0.84428642344521465</v>
      </c>
      <c r="Q35">
        <f>SUM(O$34:O35)</f>
        <v>336.40596753628137</v>
      </c>
      <c r="R35">
        <f>SUM(P$34:P35)</f>
        <v>2.4630302464573579</v>
      </c>
      <c r="T35">
        <f t="shared" si="18"/>
        <v>1.3808197493024593E-2</v>
      </c>
      <c r="U35">
        <f>T35</f>
        <v>1.3808197493024593E-2</v>
      </c>
      <c r="V35">
        <f t="shared" ref="V35:V42" si="23">2*ABS($F35*U35)</f>
        <v>114.03645412389477</v>
      </c>
      <c r="W35">
        <f t="shared" ref="W35:W42" si="24">$F35*U35*ABS(U35)</f>
        <v>0.7873189399734889</v>
      </c>
      <c r="X35">
        <f>SUM(V$34:V35)</f>
        <v>325.12643302882805</v>
      </c>
      <c r="Y35">
        <f>SUM(W$34:W35)</f>
        <v>2.3006798144186908</v>
      </c>
    </row>
    <row r="36" spans="1:26" x14ac:dyDescent="0.35">
      <c r="A36" t="s">
        <v>42</v>
      </c>
      <c r="B36">
        <v>173</v>
      </c>
      <c r="C36">
        <v>150</v>
      </c>
      <c r="E36">
        <v>1</v>
      </c>
      <c r="F36">
        <f t="shared" si="19"/>
        <v>6211.9075260404989</v>
      </c>
      <c r="G36">
        <f>'[1]initial flow'!H41/1000</f>
        <v>2.0150996135240608E-2</v>
      </c>
      <c r="H36">
        <f t="shared" si="15"/>
        <v>250.35224909942826</v>
      </c>
      <c r="I36">
        <f t="shared" si="16"/>
        <v>2.5224236020256865</v>
      </c>
      <c r="J36">
        <f>SUM(H$34:H36)</f>
        <v>732.20788965558677</v>
      </c>
      <c r="K36">
        <f>SUM(I$34:I36)</f>
        <v>7.5749548053917604</v>
      </c>
      <c r="M36">
        <f t="shared" si="17"/>
        <v>1.382172214438223E-2</v>
      </c>
      <c r="N36">
        <f t="shared" si="20"/>
        <v>1.382172214438223E-2</v>
      </c>
      <c r="O36">
        <f t="shared" si="21"/>
        <v>171.7185196230572</v>
      </c>
      <c r="P36">
        <f t="shared" si="22"/>
        <v>1.1867228326372721</v>
      </c>
      <c r="Q36">
        <f>SUM(O$34:O36)</f>
        <v>508.12448715933857</v>
      </c>
      <c r="R36">
        <f>SUM(P$34:P36)</f>
        <v>3.64975307909463</v>
      </c>
      <c r="T36">
        <f t="shared" si="18"/>
        <v>1.333089075985751E-2</v>
      </c>
      <c r="U36">
        <f t="shared" ref="U36:U42" si="25">T36</f>
        <v>1.333089075985751E-2</v>
      </c>
      <c r="V36">
        <f t="shared" si="23"/>
        <v>165.62052127996523</v>
      </c>
      <c r="W36">
        <f t="shared" si="24"/>
        <v>1.1039345383869363</v>
      </c>
      <c r="X36">
        <f>SUM(V$34:V36)</f>
        <v>490.74695430879331</v>
      </c>
      <c r="Y36">
        <f>SUM(W$34:W36)</f>
        <v>3.404614352805627</v>
      </c>
    </row>
    <row r="37" spans="1:26" x14ac:dyDescent="0.35">
      <c r="A37" t="s">
        <v>43</v>
      </c>
      <c r="B37">
        <v>158</v>
      </c>
      <c r="C37">
        <v>150</v>
      </c>
      <c r="E37">
        <v>1</v>
      </c>
      <c r="F37">
        <f t="shared" si="19"/>
        <v>5673.3028272508609</v>
      </c>
      <c r="G37">
        <f>'[1]initial flow'!H42/1000</f>
        <v>1.9602424855107606E-2</v>
      </c>
      <c r="H37">
        <f t="shared" si="15"/>
        <v>222.42098470290907</v>
      </c>
      <c r="I37">
        <f t="shared" si="16"/>
        <v>2.1799953194189068</v>
      </c>
      <c r="J37">
        <f>SUM(H$34:H37)</f>
        <v>954.62887435849586</v>
      </c>
      <c r="K37">
        <f>SUM(I$34:I37)</f>
        <v>9.7549501248106676</v>
      </c>
      <c r="M37">
        <f t="shared" si="17"/>
        <v>1.3273150864249229E-2</v>
      </c>
      <c r="N37">
        <f t="shared" si="20"/>
        <v>1.3273150864249229E-2</v>
      </c>
      <c r="O37">
        <f t="shared" si="21"/>
        <v>150.60520864934472</v>
      </c>
      <c r="P37">
        <f t="shared" si="22"/>
        <v>0.99950282767224263</v>
      </c>
      <c r="Q37">
        <f>SUM(O$34:O37)</f>
        <v>658.72969580868335</v>
      </c>
      <c r="R37">
        <f>SUM(P$34:P37)</f>
        <v>4.6492559067668724</v>
      </c>
      <c r="T37">
        <f t="shared" si="18"/>
        <v>1.2782319479724509E-2</v>
      </c>
      <c r="U37">
        <f t="shared" si="25"/>
        <v>1.2782319479724509E-2</v>
      </c>
      <c r="V37">
        <f t="shared" si="23"/>
        <v>145.03593848628961</v>
      </c>
      <c r="W37">
        <f t="shared" si="24"/>
        <v>0.92694785088671261</v>
      </c>
      <c r="X37">
        <f>SUM(V$34:V37)</f>
        <v>635.78289279508294</v>
      </c>
      <c r="Y37">
        <f>SUM(W$34:W37)</f>
        <v>4.3315622036923394</v>
      </c>
    </row>
    <row r="38" spans="1:26" x14ac:dyDescent="0.35">
      <c r="A38" t="s">
        <v>44</v>
      </c>
      <c r="B38">
        <v>110</v>
      </c>
      <c r="C38">
        <v>150</v>
      </c>
      <c r="D38" t="s">
        <v>110</v>
      </c>
      <c r="E38">
        <v>1</v>
      </c>
      <c r="F38">
        <f t="shared" si="19"/>
        <v>3949.7677911240166</v>
      </c>
      <c r="G38">
        <f>'[1]initial flow'!H43/1000</f>
        <v>1.7187431089521574E-2</v>
      </c>
      <c r="H38">
        <f t="shared" si="15"/>
        <v>135.77272345911175</v>
      </c>
      <c r="I38">
        <f t="shared" si="16"/>
        <v>1.1667921641450762</v>
      </c>
      <c r="J38">
        <f>SUM(H$34:H38)</f>
        <v>1090.4015978176076</v>
      </c>
      <c r="K38">
        <f>SUM(I$34:I38)</f>
        <v>10.921742288955745</v>
      </c>
      <c r="M38">
        <f t="shared" si="17"/>
        <v>1.0858157098663196E-2</v>
      </c>
      <c r="N38">
        <f t="shared" si="20"/>
        <v>1.0858157098663196E-2</v>
      </c>
      <c r="O38">
        <f t="shared" si="21"/>
        <v>85.774398358528984</v>
      </c>
      <c r="P38">
        <f t="shared" si="22"/>
        <v>0.46567594621011316</v>
      </c>
      <c r="Q38">
        <f>SUM(O$34:O38)</f>
        <v>744.50409416721232</v>
      </c>
      <c r="R38">
        <f>SUM(P$34:P38)</f>
        <v>5.1149318529769854</v>
      </c>
      <c r="T38">
        <f t="shared" si="18"/>
        <v>1.0367325714138476E-2</v>
      </c>
      <c r="U38">
        <f t="shared" si="25"/>
        <v>1.0367325714138476E-2</v>
      </c>
      <c r="V38">
        <f t="shared" si="23"/>
        <v>81.897058371591896</v>
      </c>
      <c r="W38">
        <f t="shared" si="24"/>
        <v>0.42452673958405218</v>
      </c>
      <c r="X38">
        <f>SUM(V$34:V38)</f>
        <v>717.67995116667487</v>
      </c>
      <c r="Y38">
        <f>SUM(W$34:W38)</f>
        <v>4.7560889432763913</v>
      </c>
    </row>
    <row r="39" spans="1:26" x14ac:dyDescent="0.35">
      <c r="A39" t="s">
        <v>45</v>
      </c>
      <c r="B39">
        <v>128</v>
      </c>
      <c r="C39">
        <v>150</v>
      </c>
      <c r="E39">
        <v>1</v>
      </c>
      <c r="F39">
        <f t="shared" si="19"/>
        <v>4596.0934296715832</v>
      </c>
      <c r="G39">
        <f>'[1]initial flow'!H44/1000</f>
        <v>1.6792990108640441E-2</v>
      </c>
      <c r="H39">
        <f t="shared" si="15"/>
        <v>154.36430300572442</v>
      </c>
      <c r="I39">
        <f t="shared" si="16"/>
        <v>1.296119106751153</v>
      </c>
      <c r="J39">
        <f>SUM(H$34:H39)</f>
        <v>1244.765900823332</v>
      </c>
      <c r="K39">
        <f>SUM(I$34:I39)</f>
        <v>12.217861395706898</v>
      </c>
      <c r="M39">
        <f t="shared" si="17"/>
        <v>1.0463716117782063E-2</v>
      </c>
      <c r="N39">
        <f t="shared" si="20"/>
        <v>1.0463716117782063E-2</v>
      </c>
      <c r="O39">
        <f t="shared" si="21"/>
        <v>96.184433797773579</v>
      </c>
      <c r="P39">
        <f t="shared" si="22"/>
        <v>0.50322330510475266</v>
      </c>
      <c r="Q39">
        <f>SUM(O$34:O39)</f>
        <v>840.68852796498595</v>
      </c>
      <c r="R39">
        <f>SUM(P$34:P39)</f>
        <v>5.6181551580817377</v>
      </c>
      <c r="T39">
        <f t="shared" si="18"/>
        <v>9.9728847332573433E-3</v>
      </c>
      <c r="U39">
        <f t="shared" si="25"/>
        <v>9.9728847332573433E-3</v>
      </c>
      <c r="V39">
        <f t="shared" si="23"/>
        <v>91.672619994792228</v>
      </c>
      <c r="W39">
        <f t="shared" si="24"/>
        <v>0.45712023620188263</v>
      </c>
      <c r="X39">
        <f>SUM(V$34:V39)</f>
        <v>809.35257116146704</v>
      </c>
      <c r="Y39">
        <f>SUM(W$34:W39)</f>
        <v>5.213209179478274</v>
      </c>
    </row>
    <row r="40" spans="1:26" x14ac:dyDescent="0.35">
      <c r="A40" t="s">
        <v>46</v>
      </c>
      <c r="B40">
        <v>135</v>
      </c>
      <c r="C40">
        <v>150</v>
      </c>
      <c r="E40">
        <v>1</v>
      </c>
      <c r="F40">
        <f t="shared" si="19"/>
        <v>4847.4422891067479</v>
      </c>
      <c r="G40">
        <f>'[1]initial flow'!H45/1000</f>
        <v>-4.633913840976259E-3</v>
      </c>
      <c r="H40">
        <f t="shared" si="15"/>
        <v>44.925259833650799</v>
      </c>
      <c r="I40">
        <f t="shared" si="16"/>
        <v>-0.10408989167630461</v>
      </c>
      <c r="J40">
        <f>SUM(H$34:H40)</f>
        <v>1289.6911606569829</v>
      </c>
      <c r="K40">
        <f>SUM(I$34:I40)</f>
        <v>12.113771504030593</v>
      </c>
      <c r="M40">
        <f t="shared" si="17"/>
        <v>-1.0963187831834637E-2</v>
      </c>
      <c r="N40">
        <f t="shared" si="20"/>
        <v>-1.0963187831834637E-2</v>
      </c>
      <c r="O40">
        <f t="shared" si="21"/>
        <v>106.28684063891147</v>
      </c>
      <c r="P40">
        <f t="shared" si="22"/>
        <v>-0.5826212989883307</v>
      </c>
      <c r="Q40">
        <f>SUM(O$34:O40)</f>
        <v>946.97536860389744</v>
      </c>
      <c r="R40">
        <f>SUM(P$34:P40)</f>
        <v>5.0355338590934071</v>
      </c>
      <c r="T40">
        <f t="shared" si="18"/>
        <v>-1.1454019216359357E-2</v>
      </c>
      <c r="U40">
        <f t="shared" si="25"/>
        <v>-1.1454019216359357E-2</v>
      </c>
      <c r="V40">
        <f t="shared" si="23"/>
        <v>111.04539425924337</v>
      </c>
      <c r="W40">
        <f t="shared" si="24"/>
        <v>-0.63595803986678723</v>
      </c>
      <c r="X40">
        <f>SUM(V$34:V40)</f>
        <v>920.39796542071042</v>
      </c>
      <c r="Y40">
        <f>SUM(W$34:W40)</f>
        <v>4.5772511396114872</v>
      </c>
    </row>
    <row r="41" spans="1:26" x14ac:dyDescent="0.35">
      <c r="A41" t="s">
        <v>47</v>
      </c>
      <c r="B41">
        <v>155</v>
      </c>
      <c r="C41">
        <v>150</v>
      </c>
      <c r="E41">
        <v>1</v>
      </c>
      <c r="F41">
        <f>16*0.033/((C41/1000)^5*PI()^2*2*9.81)*B41</f>
        <v>5565.5818874929328</v>
      </c>
      <c r="G41">
        <f>'[1]initial flow'!H46/1000</f>
        <v>-5.1145352042347792E-3</v>
      </c>
      <c r="H41">
        <f t="shared" si="15"/>
        <v>56.930728991268111</v>
      </c>
      <c r="I41">
        <f t="shared" si="16"/>
        <v>-0.14558710881429515</v>
      </c>
      <c r="J41">
        <f>SUM(H$34:H41)</f>
        <v>1346.621889648251</v>
      </c>
      <c r="K41">
        <f>SUM(I$34:I41)</f>
        <v>11.968184395216298</v>
      </c>
      <c r="M41">
        <f t="shared" si="17"/>
        <v>-1.1443809195093156E-2</v>
      </c>
      <c r="N41">
        <f t="shared" si="20"/>
        <v>-1.1443809195093156E-2</v>
      </c>
      <c r="O41">
        <f t="shared" si="21"/>
        <v>127.3829143602711</v>
      </c>
      <c r="P41">
        <f t="shared" si="22"/>
        <v>-0.72887288332691724</v>
      </c>
      <c r="Q41">
        <f>SUM(O$34:O41)</f>
        <v>1074.3582829641684</v>
      </c>
      <c r="R41">
        <f>SUM(P$34:P41)</f>
        <v>4.3066609757664898</v>
      </c>
      <c r="T41">
        <f t="shared" si="18"/>
        <v>-1.1934640579617876E-2</v>
      </c>
      <c r="U41">
        <f t="shared" si="25"/>
        <v>-1.1934640579617876E-2</v>
      </c>
      <c r="V41">
        <f t="shared" si="23"/>
        <v>132.84643888731881</v>
      </c>
      <c r="W41">
        <f t="shared" si="24"/>
        <v>-0.7927372502011607</v>
      </c>
      <c r="X41">
        <f>SUM(V$34:V41)</f>
        <v>1053.2444043080293</v>
      </c>
      <c r="Y41">
        <f>SUM(W$34:W41)</f>
        <v>3.7845138894103263</v>
      </c>
    </row>
    <row r="42" spans="1:26" x14ac:dyDescent="0.35">
      <c r="A42" t="s">
        <v>48</v>
      </c>
      <c r="B42">
        <v>140</v>
      </c>
      <c r="C42">
        <v>150</v>
      </c>
      <c r="E42">
        <v>1</v>
      </c>
      <c r="F42">
        <f t="shared" ref="F42" si="26">16*0.033/((C42/1000)^5*PI()^2*2*9.81)*B42</f>
        <v>5026.9771887032939</v>
      </c>
      <c r="G42">
        <f>'[1]initial flow'!H47/1000</f>
        <v>-2.0603443142721892E-2</v>
      </c>
      <c r="H42">
        <f t="shared" si="15"/>
        <v>207.14607737441651</v>
      </c>
      <c r="I42">
        <f t="shared" si="16"/>
        <v>-2.1339612137108301</v>
      </c>
      <c r="J42">
        <f>SUM(H$34:H42)</f>
        <v>1553.7679670226676</v>
      </c>
      <c r="K42">
        <f>SUM(I$34:I42)</f>
        <v>9.8342231815054681</v>
      </c>
      <c r="L42">
        <f>-K42/J42</f>
        <v>-6.3292739908583778E-3</v>
      </c>
      <c r="M42">
        <f t="shared" si="17"/>
        <v>-2.693271713358027E-2</v>
      </c>
      <c r="N42">
        <f t="shared" si="20"/>
        <v>-2.693271713358027E-2</v>
      </c>
      <c r="O42">
        <f t="shared" si="21"/>
        <v>270.78030932061279</v>
      </c>
      <c r="P42">
        <f t="shared" si="22"/>
        <v>-3.6464247381377168</v>
      </c>
      <c r="Q42">
        <f>SUM(O$34:O42)</f>
        <v>1345.1385922847812</v>
      </c>
      <c r="R42">
        <f>SUM(P$34:P42)</f>
        <v>0.66023623762877293</v>
      </c>
      <c r="S42">
        <f>-R42/Q42</f>
        <v>-4.9083138452472072E-4</v>
      </c>
      <c r="T42">
        <f t="shared" si="18"/>
        <v>-2.7423548518104992E-2</v>
      </c>
      <c r="U42">
        <f t="shared" si="25"/>
        <v>-2.7423548518104992E-2</v>
      </c>
      <c r="V42">
        <f t="shared" si="23"/>
        <v>275.71510566762362</v>
      </c>
      <c r="W42">
        <f t="shared" si="24"/>
        <v>-3.7805432887252604</v>
      </c>
      <c r="X42">
        <f>SUM(V$34:V42)</f>
        <v>1328.959509975653</v>
      </c>
      <c r="Y42">
        <f>SUM(W$34:W42)</f>
        <v>3.9706006850659392E-3</v>
      </c>
      <c r="Z42">
        <f>-Y42/X42</f>
        <v>-2.9877514365645962E-6</v>
      </c>
    </row>
    <row r="44" spans="1:26" x14ac:dyDescent="0.35">
      <c r="K44" t="s">
        <v>111</v>
      </c>
      <c r="R44" t="s">
        <v>111</v>
      </c>
      <c r="Y44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1" workbookViewId="0">
      <selection activeCell="B38" sqref="B38"/>
    </sheetView>
  </sheetViews>
  <sheetFormatPr defaultRowHeight="14.5" x14ac:dyDescent="0.35"/>
  <sheetData>
    <row r="1" spans="1:8" x14ac:dyDescent="0.35">
      <c r="A1" t="s">
        <v>96</v>
      </c>
    </row>
    <row r="2" spans="1:8" x14ac:dyDescent="0.35">
      <c r="A2" t="s">
        <v>32</v>
      </c>
      <c r="B2" t="s">
        <v>99</v>
      </c>
      <c r="C2" t="s">
        <v>95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</row>
    <row r="3" spans="1:8" x14ac:dyDescent="0.35">
      <c r="A3" t="s">
        <v>39</v>
      </c>
      <c r="B3">
        <v>76</v>
      </c>
      <c r="C3">
        <v>200</v>
      </c>
      <c r="D3">
        <f>cross!M3</f>
        <v>2.01306149006149E-2</v>
      </c>
      <c r="E3">
        <f t="shared" ref="E3:E12" si="0">D3*1000</f>
        <v>20.130614900614901</v>
      </c>
      <c r="F3">
        <f>4*D3/((C3/1000)^2*PI())</f>
        <v>0.64077737378244493</v>
      </c>
      <c r="G3">
        <f>cross!F3*D3*ABS(D3)</f>
        <v>0.26242963099409528</v>
      </c>
      <c r="H3">
        <f>1000/B3*G3</f>
        <v>3.453021460448622</v>
      </c>
    </row>
    <row r="4" spans="1:8" x14ac:dyDescent="0.35">
      <c r="A4" t="s">
        <v>40</v>
      </c>
      <c r="B4">
        <v>56</v>
      </c>
      <c r="C4">
        <v>175</v>
      </c>
      <c r="D4">
        <f>cross!M4</f>
        <v>8.7536991361087599E-3</v>
      </c>
      <c r="E4">
        <f t="shared" si="0"/>
        <v>8.753699136108759</v>
      </c>
      <c r="F4">
        <f t="shared" ref="F4:F12" si="1">4*D4/((C4/1000)^2*PI())</f>
        <v>0.3639365192753537</v>
      </c>
      <c r="G4">
        <f>cross!F4*D4*ABS(D4)</f>
        <v>7.1287960400482381E-2</v>
      </c>
      <c r="H4">
        <f t="shared" ref="H4:H12" si="2">1000/B4*G4</f>
        <v>1.2729992928657567</v>
      </c>
    </row>
    <row r="5" spans="1:8" x14ac:dyDescent="0.35">
      <c r="A5" t="s">
        <v>41</v>
      </c>
      <c r="B5">
        <v>56</v>
      </c>
      <c r="C5">
        <v>175</v>
      </c>
      <c r="D5">
        <f>cross!M5</f>
        <v>8.2873928298024535E-3</v>
      </c>
      <c r="E5">
        <f t="shared" si="0"/>
        <v>8.2873928298024531</v>
      </c>
      <c r="F5">
        <f t="shared" si="1"/>
        <v>0.34454975587458381</v>
      </c>
      <c r="G5">
        <f>cross!F5*D5*ABS(D5)</f>
        <v>6.3895284501802485E-2</v>
      </c>
      <c r="H5">
        <f t="shared" si="2"/>
        <v>1.1409872232464731</v>
      </c>
    </row>
    <row r="6" spans="1:8" x14ac:dyDescent="0.35">
      <c r="A6" t="s">
        <v>42</v>
      </c>
      <c r="B6">
        <v>47</v>
      </c>
      <c r="C6">
        <v>175</v>
      </c>
      <c r="D6">
        <f>cross!M6</f>
        <v>7.8585575659671902E-3</v>
      </c>
      <c r="E6">
        <f t="shared" si="0"/>
        <v>7.8585575659671898</v>
      </c>
      <c r="F6">
        <f t="shared" si="1"/>
        <v>0.32672085738994727</v>
      </c>
      <c r="G6">
        <f>cross!F6*D6*ABS(D6)</f>
        <v>4.8220139924790476E-2</v>
      </c>
      <c r="H6">
        <f t="shared" si="2"/>
        <v>1.0259604239317122</v>
      </c>
    </row>
    <row r="7" spans="1:8" x14ac:dyDescent="0.35">
      <c r="A7" t="s">
        <v>43</v>
      </c>
      <c r="B7">
        <v>45</v>
      </c>
      <c r="C7">
        <v>175</v>
      </c>
      <c r="D7">
        <f>cross!M7</f>
        <v>7.4755202429298666E-3</v>
      </c>
      <c r="E7">
        <f t="shared" si="0"/>
        <v>7.4755202429298668</v>
      </c>
      <c r="F7">
        <f t="shared" si="1"/>
        <v>0.31079601602502915</v>
      </c>
      <c r="G7">
        <f>cross!F7*D7*ABS(D7)</f>
        <v>4.1777292241703741E-2</v>
      </c>
      <c r="H7">
        <f t="shared" si="2"/>
        <v>0.92838427203786089</v>
      </c>
    </row>
    <row r="8" spans="1:8" x14ac:dyDescent="0.35">
      <c r="A8" t="s">
        <v>44</v>
      </c>
      <c r="B8">
        <v>48</v>
      </c>
      <c r="C8">
        <v>175</v>
      </c>
      <c r="D8">
        <f>cross!M8</f>
        <v>3.9794305818402053E-3</v>
      </c>
      <c r="E8">
        <f t="shared" si="0"/>
        <v>3.9794305818402052</v>
      </c>
      <c r="F8">
        <f t="shared" si="1"/>
        <v>0.16544549819844595</v>
      </c>
      <c r="G8">
        <f>cross!F8*D8*ABS(D8)</f>
        <v>1.2627809871159185E-2</v>
      </c>
      <c r="H8">
        <f t="shared" si="2"/>
        <v>0.26307937231581635</v>
      </c>
    </row>
    <row r="9" spans="1:8" x14ac:dyDescent="0.35">
      <c r="A9" t="s">
        <v>45</v>
      </c>
      <c r="B9">
        <v>49</v>
      </c>
      <c r="C9">
        <v>175</v>
      </c>
      <c r="D9">
        <f>cross!M9</f>
        <v>3.5755760129856373E-3</v>
      </c>
      <c r="E9">
        <f t="shared" si="0"/>
        <v>3.5755760129856373</v>
      </c>
      <c r="F9">
        <f t="shared" si="1"/>
        <v>0.14865517632456496</v>
      </c>
      <c r="G9">
        <f>cross!F9*D9*ABS(D9)</f>
        <v>1.0407179397570257E-2</v>
      </c>
      <c r="H9">
        <f t="shared" si="2"/>
        <v>0.21239141627694402</v>
      </c>
    </row>
    <row r="10" spans="1:8" x14ac:dyDescent="0.35">
      <c r="A10" t="s">
        <v>46</v>
      </c>
      <c r="B10">
        <v>40</v>
      </c>
      <c r="C10">
        <v>175</v>
      </c>
      <c r="D10">
        <f>cross!M10</f>
        <v>-9.8197857773761558E-3</v>
      </c>
      <c r="E10">
        <f t="shared" si="0"/>
        <v>-9.8197857773761559</v>
      </c>
      <c r="F10">
        <f t="shared" si="1"/>
        <v>-0.40825925134965696</v>
      </c>
      <c r="G10">
        <f>cross!F10*D10*ABS(D10)</f>
        <v>-6.4078000155121217E-2</v>
      </c>
      <c r="H10">
        <f t="shared" si="2"/>
        <v>-1.6019500038780303</v>
      </c>
    </row>
    <row r="11" spans="1:8" x14ac:dyDescent="0.35">
      <c r="A11" t="s">
        <v>47</v>
      </c>
      <c r="B11">
        <v>54</v>
      </c>
      <c r="C11">
        <v>175</v>
      </c>
      <c r="D11">
        <f>cross!M11</f>
        <v>-1.0211149998740376E-2</v>
      </c>
      <c r="E11">
        <f t="shared" si="0"/>
        <v>-10.211149998740376</v>
      </c>
      <c r="F11">
        <f t="shared" si="1"/>
        <v>-0.42453028491816019</v>
      </c>
      <c r="G11">
        <f>cross!F11*D11*ABS(D11)</f>
        <v>-9.3537983320874082E-2</v>
      </c>
      <c r="H11">
        <f t="shared" si="2"/>
        <v>-1.732184876312483</v>
      </c>
    </row>
    <row r="12" spans="1:8" x14ac:dyDescent="0.35">
      <c r="A12" s="19" t="s">
        <v>58</v>
      </c>
      <c r="B12">
        <v>47</v>
      </c>
      <c r="C12">
        <v>175</v>
      </c>
      <c r="D12">
        <f>cross!M12</f>
        <v>-1.0631658364248741E-2</v>
      </c>
      <c r="E12">
        <f t="shared" si="0"/>
        <v>-10.631658364248741</v>
      </c>
      <c r="F12">
        <f t="shared" si="1"/>
        <v>-0.44201299119921156</v>
      </c>
      <c r="G12">
        <f>cross!F12*D12*ABS(D12)</f>
        <v>-8.8256116582829169E-2</v>
      </c>
      <c r="H12">
        <f t="shared" si="2"/>
        <v>-1.8777897145282803</v>
      </c>
    </row>
    <row r="16" spans="1:8" x14ac:dyDescent="0.35">
      <c r="A16" t="s">
        <v>112</v>
      </c>
    </row>
    <row r="17" spans="1:8" x14ac:dyDescent="0.35">
      <c r="A17" t="s">
        <v>32</v>
      </c>
      <c r="B17" t="s">
        <v>99</v>
      </c>
      <c r="C17" t="s">
        <v>95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</row>
    <row r="18" spans="1:8" x14ac:dyDescent="0.35">
      <c r="A18" t="s">
        <v>39</v>
      </c>
      <c r="B18">
        <v>76</v>
      </c>
      <c r="C18">
        <v>200</v>
      </c>
      <c r="D18">
        <f>cross!M18</f>
        <v>2.2232530698716179E-2</v>
      </c>
      <c r="E18">
        <f t="shared" ref="E18:E27" si="3">D18*1000</f>
        <v>22.232530698716179</v>
      </c>
      <c r="F18">
        <f>4*D18/((C18/1000)^2*PI())</f>
        <v>0.70768343162859781</v>
      </c>
      <c r="G18">
        <f>cross!F18*D18*ABS(D18)</f>
        <v>0.32009330408238629</v>
      </c>
      <c r="H18">
        <f>1000/B18*G18</f>
        <v>4.2117540010840298</v>
      </c>
    </row>
    <row r="19" spans="1:8" x14ac:dyDescent="0.35">
      <c r="A19" t="s">
        <v>40</v>
      </c>
      <c r="B19">
        <v>56</v>
      </c>
      <c r="C19">
        <v>175</v>
      </c>
      <c r="D19">
        <f>cross!M19</f>
        <v>9.1728186516375348E-3</v>
      </c>
      <c r="E19">
        <f t="shared" si="3"/>
        <v>9.1728186516375345</v>
      </c>
      <c r="F19">
        <f t="shared" ref="F19:F27" si="4">4*D19/((C19/1000)^2*PI())</f>
        <v>0.38136148388405505</v>
      </c>
      <c r="G19">
        <f>cross!F19*D19*ABS(D19)</f>
        <v>7.8277793041846205E-2</v>
      </c>
      <c r="H19">
        <f t="shared" ref="H19:H27" si="5">1000/B19*G19</f>
        <v>1.3978177328901109</v>
      </c>
    </row>
    <row r="20" spans="1:8" x14ac:dyDescent="0.35">
      <c r="A20" t="s">
        <v>41</v>
      </c>
      <c r="B20">
        <v>56</v>
      </c>
      <c r="C20">
        <v>175</v>
      </c>
      <c r="D20">
        <f>cross!M20</f>
        <v>9.0455368561263138E-3</v>
      </c>
      <c r="E20">
        <f t="shared" si="3"/>
        <v>9.0455368561263132</v>
      </c>
      <c r="F20">
        <f t="shared" si="4"/>
        <v>0.37606972174953157</v>
      </c>
      <c r="G20">
        <f>cross!F20*D20*ABS(D20)</f>
        <v>7.6120503573552101E-2</v>
      </c>
      <c r="H20">
        <f t="shared" si="5"/>
        <v>1.3592947066705732</v>
      </c>
    </row>
    <row r="21" spans="1:8" x14ac:dyDescent="0.35">
      <c r="A21" t="s">
        <v>42</v>
      </c>
      <c r="B21">
        <v>47</v>
      </c>
      <c r="C21">
        <v>175</v>
      </c>
      <c r="D21">
        <f>cross!M21</f>
        <v>8.9309832401662133E-3</v>
      </c>
      <c r="E21">
        <f t="shared" si="3"/>
        <v>8.9309832401662135</v>
      </c>
      <c r="F21">
        <f t="shared" si="4"/>
        <v>0.37130713582846042</v>
      </c>
      <c r="G21">
        <f>cross!F21*D21*ABS(D21)</f>
        <v>6.2278957949810969E-2</v>
      </c>
      <c r="H21">
        <f t="shared" si="5"/>
        <v>1.3250842116981056</v>
      </c>
    </row>
    <row r="22" spans="1:8" x14ac:dyDescent="0.35">
      <c r="A22" t="s">
        <v>43</v>
      </c>
      <c r="B22">
        <v>45</v>
      </c>
      <c r="C22">
        <v>175</v>
      </c>
      <c r="D22">
        <f>cross!M22</f>
        <v>8.7993261329342935E-3</v>
      </c>
      <c r="E22">
        <f t="shared" si="3"/>
        <v>8.7993261329342936</v>
      </c>
      <c r="F22">
        <f t="shared" si="4"/>
        <v>0.36583346937056266</v>
      </c>
      <c r="G22">
        <f>cross!F22*D22*ABS(D22)</f>
        <v>5.7883698575179283E-2</v>
      </c>
      <c r="H22">
        <f t="shared" si="5"/>
        <v>1.2863044127817618</v>
      </c>
    </row>
    <row r="23" spans="1:8" x14ac:dyDescent="0.35">
      <c r="A23" t="s">
        <v>44</v>
      </c>
      <c r="B23">
        <v>48</v>
      </c>
      <c r="C23">
        <v>175</v>
      </c>
      <c r="D23">
        <f>cross!M23</f>
        <v>8.2197276291936464E-3</v>
      </c>
      <c r="E23">
        <f t="shared" si="3"/>
        <v>8.2197276291936472</v>
      </c>
      <c r="F23">
        <f t="shared" si="4"/>
        <v>0.34173656373686723</v>
      </c>
      <c r="G23">
        <f>cross!F23*D23*ABS(D23)</f>
        <v>5.3876704333064254E-2</v>
      </c>
      <c r="H23">
        <f t="shared" si="5"/>
        <v>1.122431340272172</v>
      </c>
    </row>
    <row r="24" spans="1:8" x14ac:dyDescent="0.35">
      <c r="A24" t="s">
        <v>45</v>
      </c>
      <c r="B24">
        <v>49</v>
      </c>
      <c r="C24">
        <v>175</v>
      </c>
      <c r="D24">
        <f>cross!M24</f>
        <v>8.1250617937821748E-3</v>
      </c>
      <c r="E24">
        <f t="shared" si="3"/>
        <v>8.1250617937821747</v>
      </c>
      <c r="F24">
        <f t="shared" si="4"/>
        <v>0.33780081564931536</v>
      </c>
      <c r="G24">
        <f>cross!F24*D24*ABS(D24)</f>
        <v>5.3739590893623179E-2</v>
      </c>
      <c r="H24">
        <f t="shared" si="5"/>
        <v>1.0967263447678199</v>
      </c>
    </row>
    <row r="25" spans="1:8" x14ac:dyDescent="0.35">
      <c r="A25" t="s">
        <v>46</v>
      </c>
      <c r="B25">
        <v>40</v>
      </c>
      <c r="C25">
        <v>175</v>
      </c>
      <c r="D25">
        <f>cross!M25</f>
        <v>-1.2498876635607319E-2</v>
      </c>
      <c r="E25">
        <f t="shared" si="3"/>
        <v>-12.498876635607319</v>
      </c>
      <c r="F25">
        <f t="shared" si="4"/>
        <v>-0.51964290603172669</v>
      </c>
      <c r="G25">
        <f>cross!F25*D25*ABS(D25)</f>
        <v>-0.1038118391500245</v>
      </c>
      <c r="H25">
        <f t="shared" si="5"/>
        <v>-2.5952959787506122</v>
      </c>
    </row>
    <row r="26" spans="1:8" x14ac:dyDescent="0.35">
      <c r="A26" t="s">
        <v>47</v>
      </c>
      <c r="B26">
        <v>54</v>
      </c>
      <c r="C26">
        <v>175</v>
      </c>
      <c r="D26">
        <f>cross!M26</f>
        <v>-1.2614225762789363E-2</v>
      </c>
      <c r="E26">
        <f t="shared" si="3"/>
        <v>-12.614225762789363</v>
      </c>
      <c r="F26">
        <f t="shared" si="4"/>
        <v>-0.52443856546613854</v>
      </c>
      <c r="G26">
        <f>cross!F26*D26*ABS(D26)</f>
        <v>-0.14274466624309273</v>
      </c>
      <c r="H26">
        <f t="shared" si="5"/>
        <v>-2.6434197452424582</v>
      </c>
    </row>
    <row r="27" spans="1:8" x14ac:dyDescent="0.35">
      <c r="A27" s="19" t="s">
        <v>58</v>
      </c>
      <c r="B27">
        <v>47</v>
      </c>
      <c r="C27">
        <v>175</v>
      </c>
      <c r="D27">
        <f>cross!M27</f>
        <v>-1.2731563668026271E-2</v>
      </c>
      <c r="E27">
        <f t="shared" si="3"/>
        <v>-12.73156366802627</v>
      </c>
      <c r="F27">
        <f t="shared" si="4"/>
        <v>-0.52931690868390235</v>
      </c>
      <c r="G27">
        <f>cross!F27*D27*ABS(D27)</f>
        <v>-0.12656286023264213</v>
      </c>
      <c r="H27">
        <f t="shared" si="5"/>
        <v>-2.6928268134604707</v>
      </c>
    </row>
    <row r="31" spans="1:8" x14ac:dyDescent="0.35">
      <c r="A31" t="s">
        <v>113</v>
      </c>
    </row>
    <row r="32" spans="1:8" x14ac:dyDescent="0.35">
      <c r="A32" t="s">
        <v>32</v>
      </c>
      <c r="B32" t="s">
        <v>99</v>
      </c>
      <c r="C32" t="s">
        <v>95</v>
      </c>
      <c r="D32" t="s">
        <v>116</v>
      </c>
      <c r="E32" t="s">
        <v>117</v>
      </c>
      <c r="F32" t="s">
        <v>118</v>
      </c>
      <c r="G32" t="s">
        <v>119</v>
      </c>
      <c r="H32" t="s">
        <v>120</v>
      </c>
    </row>
    <row r="33" spans="1:8" x14ac:dyDescent="0.35">
      <c r="A33" t="s">
        <v>39</v>
      </c>
      <c r="B33">
        <v>76</v>
      </c>
      <c r="C33">
        <v>200</v>
      </c>
      <c r="D33">
        <f>cross!T33</f>
        <v>4.3129371738477883E-2</v>
      </c>
      <c r="E33">
        <f t="shared" ref="E33:E42" si="6">D33*1000</f>
        <v>43.129371738477886</v>
      </c>
      <c r="F33">
        <f>4*D33/((C33/1000)^2*PI())</f>
        <v>1.3728505409253293</v>
      </c>
      <c r="G33">
        <f>cross!F33*D33*ABS(D33)</f>
        <v>1.4265072030900452</v>
      </c>
      <c r="H33">
        <f>1000/B33*G33</f>
        <v>18.769831619605856</v>
      </c>
    </row>
    <row r="34" spans="1:8" x14ac:dyDescent="0.35">
      <c r="A34" t="s">
        <v>40</v>
      </c>
      <c r="B34">
        <v>56</v>
      </c>
      <c r="C34">
        <v>175</v>
      </c>
      <c r="D34">
        <f>cross!T34</f>
        <v>1.4338538307654683E-2</v>
      </c>
      <c r="E34">
        <f t="shared" si="6"/>
        <v>14.338538307654682</v>
      </c>
      <c r="F34">
        <f t="shared" ref="F34:F42" si="7">4*D34/((C34/1000)^2*PI())</f>
        <v>0.59612715059611243</v>
      </c>
      <c r="G34">
        <f>cross!F34*D34*ABS(D34)</f>
        <v>1.5133608744452021</v>
      </c>
      <c r="H34">
        <f t="shared" ref="H34:H42" si="8">1000/B34*G34</f>
        <v>27.024301329378609</v>
      </c>
    </row>
    <row r="35" spans="1:8" x14ac:dyDescent="0.35">
      <c r="A35" t="s">
        <v>41</v>
      </c>
      <c r="B35">
        <v>56</v>
      </c>
      <c r="C35">
        <v>175</v>
      </c>
      <c r="D35">
        <f>cross!T35</f>
        <v>1.3808197493024593E-2</v>
      </c>
      <c r="E35">
        <f t="shared" si="6"/>
        <v>13.808197493024593</v>
      </c>
      <c r="F35">
        <f t="shared" si="7"/>
        <v>0.57407814170226457</v>
      </c>
      <c r="G35">
        <f>cross!F35*D35*ABS(D35)</f>
        <v>0.7873189399734889</v>
      </c>
      <c r="H35">
        <f t="shared" si="8"/>
        <v>14.059266785240874</v>
      </c>
    </row>
    <row r="36" spans="1:8" x14ac:dyDescent="0.35">
      <c r="A36" t="s">
        <v>42</v>
      </c>
      <c r="B36">
        <v>47</v>
      </c>
      <c r="C36">
        <v>175</v>
      </c>
      <c r="D36">
        <f>cross!T36</f>
        <v>1.333089075985751E-2</v>
      </c>
      <c r="E36">
        <f t="shared" si="6"/>
        <v>13.33089075985751</v>
      </c>
      <c r="F36">
        <f t="shared" si="7"/>
        <v>0.55423403369780133</v>
      </c>
      <c r="G36">
        <f>cross!F36*D36*ABS(D36)</f>
        <v>1.1039345383869363</v>
      </c>
      <c r="H36">
        <f t="shared" si="8"/>
        <v>23.487968901849708</v>
      </c>
    </row>
    <row r="37" spans="1:8" x14ac:dyDescent="0.35">
      <c r="A37" t="s">
        <v>43</v>
      </c>
      <c r="B37">
        <v>45</v>
      </c>
      <c r="C37">
        <v>175</v>
      </c>
      <c r="D37">
        <f>cross!T37</f>
        <v>1.2782319479724509E-2</v>
      </c>
      <c r="E37">
        <f t="shared" si="6"/>
        <v>12.782319479724508</v>
      </c>
      <c r="F37">
        <f t="shared" si="7"/>
        <v>0.53142709012322742</v>
      </c>
      <c r="G37">
        <f>cross!F37*D37*ABS(D37)</f>
        <v>0.92694785088671261</v>
      </c>
      <c r="H37">
        <f t="shared" si="8"/>
        <v>20.598841130815835</v>
      </c>
    </row>
    <row r="38" spans="1:8" x14ac:dyDescent="0.35">
      <c r="A38" t="s">
        <v>44</v>
      </c>
      <c r="B38">
        <v>48</v>
      </c>
      <c r="C38">
        <v>175</v>
      </c>
      <c r="D38">
        <f>cross!T38</f>
        <v>1.0367325714138476E-2</v>
      </c>
      <c r="E38">
        <f t="shared" si="6"/>
        <v>10.367325714138476</v>
      </c>
      <c r="F38">
        <f t="shared" si="7"/>
        <v>0.43102331664949622</v>
      </c>
      <c r="G38">
        <f>cross!F38*D38*ABS(D38)</f>
        <v>0.42452673958405218</v>
      </c>
      <c r="H38">
        <f t="shared" si="8"/>
        <v>8.8443070746677535</v>
      </c>
    </row>
    <row r="39" spans="1:8" x14ac:dyDescent="0.35">
      <c r="A39" t="s">
        <v>45</v>
      </c>
      <c r="B39">
        <v>49</v>
      </c>
      <c r="C39">
        <v>175</v>
      </c>
      <c r="D39">
        <f>cross!T39</f>
        <v>9.9728847332573433E-3</v>
      </c>
      <c r="E39">
        <f t="shared" si="6"/>
        <v>9.9728847332573434</v>
      </c>
      <c r="F39">
        <f t="shared" si="7"/>
        <v>0.41462436628469673</v>
      </c>
      <c r="G39">
        <f>cross!F39*D39*ABS(D39)</f>
        <v>0.45712023620188263</v>
      </c>
      <c r="H39">
        <f t="shared" si="8"/>
        <v>9.3289844122833188</v>
      </c>
    </row>
    <row r="40" spans="1:8" x14ac:dyDescent="0.35">
      <c r="A40" t="s">
        <v>46</v>
      </c>
      <c r="B40">
        <v>40</v>
      </c>
      <c r="C40">
        <v>175</v>
      </c>
      <c r="D40">
        <f>cross!T40</f>
        <v>-1.1454019216359357E-2</v>
      </c>
      <c r="E40">
        <f t="shared" si="6"/>
        <v>-11.454019216359356</v>
      </c>
      <c r="F40">
        <f t="shared" si="7"/>
        <v>-0.47620278244653702</v>
      </c>
      <c r="G40">
        <f>cross!F40*D40*ABS(D40)</f>
        <v>-0.63595803986678723</v>
      </c>
      <c r="H40">
        <f t="shared" si="8"/>
        <v>-15.898950996669681</v>
      </c>
    </row>
    <row r="41" spans="1:8" x14ac:dyDescent="0.35">
      <c r="A41" t="s">
        <v>47</v>
      </c>
      <c r="B41">
        <v>54</v>
      </c>
      <c r="C41">
        <v>175</v>
      </c>
      <c r="D41">
        <f>cross!T41</f>
        <v>-1.1934640579617876E-2</v>
      </c>
      <c r="E41">
        <f t="shared" si="6"/>
        <v>-11.934640579617875</v>
      </c>
      <c r="F41">
        <f t="shared" si="7"/>
        <v>-0.49618469675658666</v>
      </c>
      <c r="G41">
        <f>cross!F41*D41*ABS(D41)</f>
        <v>-0.7927372502011607</v>
      </c>
      <c r="H41">
        <f t="shared" si="8"/>
        <v>-14.680319448169643</v>
      </c>
    </row>
    <row r="42" spans="1:8" x14ac:dyDescent="0.35">
      <c r="A42" t="s">
        <v>58</v>
      </c>
      <c r="B42">
        <v>47</v>
      </c>
      <c r="C42">
        <v>175</v>
      </c>
      <c r="D42">
        <f>cross!T42</f>
        <v>-2.7423548518104992E-2</v>
      </c>
      <c r="E42">
        <f t="shared" si="6"/>
        <v>-27.42354851810499</v>
      </c>
      <c r="F42">
        <f t="shared" si="7"/>
        <v>-1.1401386589457845</v>
      </c>
      <c r="G42">
        <f>cross!F42*D42*ABS(D42)</f>
        <v>-3.7805432887252604</v>
      </c>
      <c r="H42">
        <f t="shared" si="8"/>
        <v>-80.437091249473625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16" workbookViewId="0">
      <selection activeCell="B39" sqref="B39"/>
    </sheetView>
  </sheetViews>
  <sheetFormatPr defaultRowHeight="14.5" x14ac:dyDescent="0.35"/>
  <sheetData>
    <row r="1" spans="1:10" x14ac:dyDescent="0.35">
      <c r="A1" t="s">
        <v>96</v>
      </c>
    </row>
    <row r="2" spans="1:10" x14ac:dyDescent="0.35">
      <c r="A2" t="s">
        <v>121</v>
      </c>
      <c r="C2" t="s">
        <v>79</v>
      </c>
      <c r="E2" t="s">
        <v>122</v>
      </c>
      <c r="G2" t="s">
        <v>123</v>
      </c>
      <c r="H2" t="s">
        <v>124</v>
      </c>
      <c r="I2" t="s">
        <v>125</v>
      </c>
      <c r="J2" t="s">
        <v>126</v>
      </c>
    </row>
    <row r="3" spans="1:10" x14ac:dyDescent="0.35">
      <c r="B3" t="s">
        <v>127</v>
      </c>
      <c r="D3" t="s">
        <v>128</v>
      </c>
      <c r="F3" t="s">
        <v>127</v>
      </c>
      <c r="G3" t="s">
        <v>129</v>
      </c>
      <c r="H3" t="s">
        <v>130</v>
      </c>
      <c r="I3" t="s">
        <v>131</v>
      </c>
    </row>
    <row r="4" spans="1:10" x14ac:dyDescent="0.35">
      <c r="A4">
        <v>1</v>
      </c>
      <c r="B4">
        <v>68</v>
      </c>
      <c r="C4" t="s">
        <v>39</v>
      </c>
      <c r="D4">
        <f>'[1]pressure flow loss'!G3</f>
        <v>0.95385162375990562</v>
      </c>
      <c r="E4">
        <v>2</v>
      </c>
      <c r="F4">
        <f>B4-D4</f>
        <v>67.046148376240097</v>
      </c>
      <c r="G4">
        <v>35.5</v>
      </c>
      <c r="H4">
        <f>F4-G4</f>
        <v>31.546148376240097</v>
      </c>
      <c r="I4">
        <v>25</v>
      </c>
      <c r="J4" t="str">
        <f t="shared" ref="J4:J8" si="0">IF(H4&gt;=I4,"OK","not satisfied!")</f>
        <v>OK</v>
      </c>
    </row>
    <row r="5" spans="1:10" x14ac:dyDescent="0.35">
      <c r="A5">
        <v>2</v>
      </c>
      <c r="B5">
        <f>F4</f>
        <v>67.046148376240097</v>
      </c>
      <c r="C5" t="s">
        <v>40</v>
      </c>
      <c r="D5">
        <f>'[1]pressure flow loss'!G4</f>
        <v>1.9575309510230523</v>
      </c>
      <c r="E5">
        <v>3</v>
      </c>
      <c r="F5">
        <f t="shared" ref="F5:F13" si="1">B5-D5</f>
        <v>65.088617425217052</v>
      </c>
      <c r="G5">
        <v>36</v>
      </c>
      <c r="H5">
        <f t="shared" ref="H5:H13" si="2">F5-G5</f>
        <v>29.088617425217052</v>
      </c>
      <c r="I5">
        <v>25</v>
      </c>
      <c r="J5" t="str">
        <f t="shared" si="0"/>
        <v>OK</v>
      </c>
    </row>
    <row r="6" spans="1:10" x14ac:dyDescent="0.35">
      <c r="A6">
        <v>3</v>
      </c>
      <c r="B6">
        <f t="shared" ref="B6:B13" si="3">F5</f>
        <v>65.088617425217052</v>
      </c>
      <c r="C6" t="s">
        <v>41</v>
      </c>
      <c r="D6">
        <f>'[1]pressure flow loss'!G5</f>
        <v>0.96527272174313072</v>
      </c>
      <c r="E6">
        <v>4</v>
      </c>
      <c r="F6">
        <f t="shared" si="1"/>
        <v>64.123344703473919</v>
      </c>
      <c r="G6">
        <v>36</v>
      </c>
      <c r="H6">
        <f t="shared" si="2"/>
        <v>28.123344703473919</v>
      </c>
      <c r="I6">
        <v>25</v>
      </c>
      <c r="J6" t="str">
        <f t="shared" si="0"/>
        <v>OK</v>
      </c>
    </row>
    <row r="7" spans="1:10" x14ac:dyDescent="0.35">
      <c r="A7">
        <v>4</v>
      </c>
      <c r="B7">
        <f t="shared" si="3"/>
        <v>64.123344703473919</v>
      </c>
      <c r="C7" t="s">
        <v>42</v>
      </c>
      <c r="D7">
        <f>'[1]pressure flow loss'!G6</f>
        <v>1.2832463297807049</v>
      </c>
      <c r="E7">
        <v>5</v>
      </c>
      <c r="F7">
        <f t="shared" si="1"/>
        <v>62.840098373693216</v>
      </c>
      <c r="G7">
        <v>36.5</v>
      </c>
      <c r="H7">
        <f t="shared" si="2"/>
        <v>26.340098373693216</v>
      </c>
      <c r="I7">
        <v>25</v>
      </c>
      <c r="J7" t="str">
        <f t="shared" si="0"/>
        <v>OK</v>
      </c>
    </row>
    <row r="8" spans="1:10" x14ac:dyDescent="0.35">
      <c r="A8">
        <v>5</v>
      </c>
      <c r="B8">
        <f t="shared" si="3"/>
        <v>62.840098373693216</v>
      </c>
      <c r="C8" t="s">
        <v>43</v>
      </c>
      <c r="D8">
        <f>'[1]pressure flow loss'!G7</f>
        <v>1.0065076690330268</v>
      </c>
      <c r="E8">
        <v>6</v>
      </c>
      <c r="F8">
        <f t="shared" si="1"/>
        <v>61.833590704660189</v>
      </c>
      <c r="G8">
        <v>36</v>
      </c>
      <c r="H8">
        <f t="shared" si="2"/>
        <v>25.833590704660189</v>
      </c>
      <c r="I8">
        <v>25</v>
      </c>
      <c r="J8" t="str">
        <f t="shared" si="0"/>
        <v>OK</v>
      </c>
    </row>
    <row r="9" spans="1:10" x14ac:dyDescent="0.35">
      <c r="A9">
        <v>6</v>
      </c>
      <c r="B9">
        <f t="shared" si="3"/>
        <v>61.833590704660189</v>
      </c>
      <c r="C9" t="s">
        <v>44</v>
      </c>
      <c r="D9">
        <f>'[1]pressure flow loss'!G8</f>
        <v>0.29777651975264141</v>
      </c>
      <c r="E9">
        <v>7</v>
      </c>
      <c r="F9">
        <f t="shared" si="1"/>
        <v>61.535814184907551</v>
      </c>
      <c r="G9">
        <v>36</v>
      </c>
      <c r="H9">
        <f t="shared" si="2"/>
        <v>25.535814184907551</v>
      </c>
      <c r="I9">
        <v>25</v>
      </c>
      <c r="J9" t="str">
        <f>IF(H9&gt;=I9,"OK","not satisfied!")</f>
        <v>OK</v>
      </c>
    </row>
    <row r="10" spans="1:10" x14ac:dyDescent="0.35">
      <c r="A10">
        <v>7</v>
      </c>
      <c r="B10">
        <f t="shared" si="3"/>
        <v>61.535814184907551</v>
      </c>
      <c r="C10" t="s">
        <v>45</v>
      </c>
      <c r="D10">
        <f>'[1]pressure flow loss'!G9</f>
        <v>0.28869448507707757</v>
      </c>
      <c r="E10">
        <v>8</v>
      </c>
      <c r="F10">
        <f t="shared" si="1"/>
        <v>61.247119699830471</v>
      </c>
      <c r="G10">
        <v>36</v>
      </c>
      <c r="H10">
        <f t="shared" si="2"/>
        <v>25.247119699830471</v>
      </c>
      <c r="I10">
        <v>25</v>
      </c>
      <c r="J10" t="str">
        <f>IF(H10&gt;=I10,"OK","not satisfied!")</f>
        <v>OK</v>
      </c>
    </row>
    <row r="11" spans="1:10" x14ac:dyDescent="0.35">
      <c r="A11">
        <v>8</v>
      </c>
      <c r="B11">
        <f t="shared" si="3"/>
        <v>61.247119699830471</v>
      </c>
      <c r="C11" t="s">
        <v>46</v>
      </c>
      <c r="D11">
        <f>'[1]pressure flow loss'!G10</f>
        <v>-1.0154456759415551</v>
      </c>
      <c r="E11">
        <v>9</v>
      </c>
      <c r="F11">
        <f t="shared" si="1"/>
        <v>62.262565375772027</v>
      </c>
      <c r="G11">
        <v>35.5</v>
      </c>
      <c r="H11">
        <f t="shared" si="2"/>
        <v>26.762565375772027</v>
      </c>
      <c r="I11">
        <v>25</v>
      </c>
      <c r="J11" t="str">
        <f>IF(H11&gt;=I11,"OK","not satisfied!")</f>
        <v>OK</v>
      </c>
    </row>
    <row r="12" spans="1:10" x14ac:dyDescent="0.35">
      <c r="A12">
        <v>9</v>
      </c>
      <c r="B12">
        <f t="shared" si="3"/>
        <v>62.262565375772027</v>
      </c>
      <c r="C12" t="s">
        <v>47</v>
      </c>
      <c r="D12">
        <f>'[1]pressure flow loss'!G11</f>
        <v>-1.3192892202433939</v>
      </c>
      <c r="E12">
        <v>10</v>
      </c>
      <c r="F12">
        <f t="shared" si="1"/>
        <v>63.581854596015418</v>
      </c>
      <c r="G12">
        <v>36</v>
      </c>
      <c r="H12">
        <f t="shared" si="2"/>
        <v>27.581854596015418</v>
      </c>
      <c r="I12">
        <v>25</v>
      </c>
      <c r="J12" t="str">
        <f>IF(H12&gt;=I12,"OK","not satisfied!")</f>
        <v>OK</v>
      </c>
    </row>
    <row r="13" spans="1:10" x14ac:dyDescent="0.35">
      <c r="A13">
        <v>10</v>
      </c>
      <c r="B13">
        <f t="shared" si="3"/>
        <v>63.581854596015418</v>
      </c>
      <c r="C13" t="s">
        <v>48</v>
      </c>
      <c r="D13">
        <f>'[1]pressure flow loss'!G12</f>
        <v>-1.3413504551925406</v>
      </c>
      <c r="E13">
        <v>2</v>
      </c>
      <c r="F13">
        <f t="shared" si="1"/>
        <v>64.923205051207958</v>
      </c>
      <c r="G13">
        <v>36.5</v>
      </c>
      <c r="H13">
        <f t="shared" si="2"/>
        <v>28.423205051207958</v>
      </c>
      <c r="I13">
        <v>25</v>
      </c>
      <c r="J13" t="str">
        <f t="shared" ref="J13" si="4">IF(H13&gt;=I13,"OK","not satisfied!")</f>
        <v>OK</v>
      </c>
    </row>
    <row r="15" spans="1:10" x14ac:dyDescent="0.35">
      <c r="F15">
        <f>F4-F14</f>
        <v>67.046148376240097</v>
      </c>
    </row>
    <row r="18" spans="1:10" x14ac:dyDescent="0.35">
      <c r="A18" t="s">
        <v>112</v>
      </c>
    </row>
    <row r="19" spans="1:10" x14ac:dyDescent="0.35">
      <c r="A19" t="s">
        <v>121</v>
      </c>
      <c r="C19" t="s">
        <v>79</v>
      </c>
      <c r="E19" t="s">
        <v>122</v>
      </c>
      <c r="G19" t="s">
        <v>123</v>
      </c>
      <c r="H19" t="s">
        <v>124</v>
      </c>
      <c r="I19" t="s">
        <v>125</v>
      </c>
      <c r="J19" t="s">
        <v>126</v>
      </c>
    </row>
    <row r="20" spans="1:10" x14ac:dyDescent="0.35">
      <c r="B20" t="s">
        <v>127</v>
      </c>
      <c r="D20" t="s">
        <v>128</v>
      </c>
      <c r="F20" t="s">
        <v>127</v>
      </c>
      <c r="G20" t="s">
        <v>129</v>
      </c>
      <c r="H20" t="s">
        <v>130</v>
      </c>
      <c r="I20" t="s">
        <v>131</v>
      </c>
    </row>
    <row r="21" spans="1:10" x14ac:dyDescent="0.35">
      <c r="A21">
        <v>1</v>
      </c>
      <c r="B21">
        <v>68</v>
      </c>
      <c r="C21" t="s">
        <v>39</v>
      </c>
      <c r="D21">
        <f>'pressure flow loss'!G18</f>
        <v>0.32009330408238629</v>
      </c>
      <c r="E21">
        <v>2</v>
      </c>
      <c r="F21">
        <f>B21-D21</f>
        <v>67.679906695917609</v>
      </c>
      <c r="G21">
        <v>35.5</v>
      </c>
      <c r="H21">
        <f>F21-G21</f>
        <v>32.179906695917609</v>
      </c>
      <c r="I21">
        <v>25</v>
      </c>
      <c r="J21" t="str">
        <f t="shared" ref="J21:J25" si="5">IF(H21&gt;=I21,"OK","not satisfied!")</f>
        <v>OK</v>
      </c>
    </row>
    <row r="22" spans="1:10" x14ac:dyDescent="0.35">
      <c r="A22">
        <v>2</v>
      </c>
      <c r="B22">
        <f>F21</f>
        <v>67.679906695917609</v>
      </c>
      <c r="C22" t="s">
        <v>40</v>
      </c>
      <c r="D22">
        <f>'pressure flow loss'!G19</f>
        <v>7.8277793041846205E-2</v>
      </c>
      <c r="E22">
        <v>3</v>
      </c>
      <c r="F22">
        <f t="shared" ref="F22:F30" si="6">B22-D22</f>
        <v>67.60162890287576</v>
      </c>
      <c r="G22">
        <v>36</v>
      </c>
      <c r="H22">
        <f t="shared" ref="H22:H30" si="7">F22-G22</f>
        <v>31.60162890287576</v>
      </c>
      <c r="I22">
        <v>25</v>
      </c>
      <c r="J22" t="str">
        <f t="shared" si="5"/>
        <v>OK</v>
      </c>
    </row>
    <row r="23" spans="1:10" x14ac:dyDescent="0.35">
      <c r="A23">
        <v>3</v>
      </c>
      <c r="B23">
        <f t="shared" ref="B23:B30" si="8">F22</f>
        <v>67.60162890287576</v>
      </c>
      <c r="C23" t="s">
        <v>41</v>
      </c>
      <c r="D23">
        <f>'pressure flow loss'!G20</f>
        <v>7.6120503573552101E-2</v>
      </c>
      <c r="E23">
        <v>4</v>
      </c>
      <c r="F23">
        <f t="shared" si="6"/>
        <v>67.525508399302211</v>
      </c>
      <c r="G23">
        <v>36</v>
      </c>
      <c r="H23">
        <f t="shared" si="7"/>
        <v>31.525508399302211</v>
      </c>
      <c r="I23">
        <v>25</v>
      </c>
      <c r="J23" t="str">
        <f t="shared" si="5"/>
        <v>OK</v>
      </c>
    </row>
    <row r="24" spans="1:10" x14ac:dyDescent="0.35">
      <c r="A24">
        <v>4</v>
      </c>
      <c r="B24">
        <f t="shared" si="8"/>
        <v>67.525508399302211</v>
      </c>
      <c r="C24" t="s">
        <v>42</v>
      </c>
      <c r="D24">
        <f>'pressure flow loss'!G21</f>
        <v>6.2278957949810969E-2</v>
      </c>
      <c r="E24">
        <v>5</v>
      </c>
      <c r="F24">
        <f t="shared" si="6"/>
        <v>67.463229441352397</v>
      </c>
      <c r="G24">
        <v>36.5</v>
      </c>
      <c r="H24">
        <f t="shared" si="7"/>
        <v>30.963229441352397</v>
      </c>
      <c r="I24">
        <v>25</v>
      </c>
      <c r="J24" t="str">
        <f t="shared" si="5"/>
        <v>OK</v>
      </c>
    </row>
    <row r="25" spans="1:10" x14ac:dyDescent="0.35">
      <c r="A25">
        <v>5</v>
      </c>
      <c r="B25">
        <f t="shared" si="8"/>
        <v>67.463229441352397</v>
      </c>
      <c r="C25" t="s">
        <v>43</v>
      </c>
      <c r="D25">
        <f>'pressure flow loss'!G22</f>
        <v>5.7883698575179283E-2</v>
      </c>
      <c r="E25">
        <v>6</v>
      </c>
      <c r="F25">
        <f t="shared" si="6"/>
        <v>67.405345742777214</v>
      </c>
      <c r="G25">
        <v>36</v>
      </c>
      <c r="H25">
        <f t="shared" si="7"/>
        <v>31.405345742777214</v>
      </c>
      <c r="I25">
        <v>25</v>
      </c>
      <c r="J25" t="str">
        <f t="shared" si="5"/>
        <v>OK</v>
      </c>
    </row>
    <row r="26" spans="1:10" x14ac:dyDescent="0.35">
      <c r="A26">
        <v>6</v>
      </c>
      <c r="B26">
        <f t="shared" si="8"/>
        <v>67.405345742777214</v>
      </c>
      <c r="C26" t="s">
        <v>44</v>
      </c>
      <c r="D26">
        <f>'pressure flow loss'!G23</f>
        <v>5.3876704333064254E-2</v>
      </c>
      <c r="E26">
        <v>7</v>
      </c>
      <c r="F26">
        <f t="shared" si="6"/>
        <v>67.351469038444151</v>
      </c>
      <c r="G26">
        <v>36</v>
      </c>
      <c r="H26">
        <f t="shared" si="7"/>
        <v>31.351469038444151</v>
      </c>
      <c r="I26">
        <v>25</v>
      </c>
      <c r="J26" t="str">
        <f>IF(H26&gt;=I26,"OK","not satisfied!")</f>
        <v>OK</v>
      </c>
    </row>
    <row r="27" spans="1:10" x14ac:dyDescent="0.35">
      <c r="A27">
        <v>7</v>
      </c>
      <c r="B27">
        <f t="shared" si="8"/>
        <v>67.351469038444151</v>
      </c>
      <c r="C27" t="s">
        <v>45</v>
      </c>
      <c r="D27">
        <f>'pressure flow loss'!G24</f>
        <v>5.3739590893623179E-2</v>
      </c>
      <c r="E27">
        <v>8</v>
      </c>
      <c r="F27">
        <f t="shared" si="6"/>
        <v>67.297729447550523</v>
      </c>
      <c r="G27">
        <v>36</v>
      </c>
      <c r="H27">
        <f t="shared" si="7"/>
        <v>31.297729447550523</v>
      </c>
      <c r="I27">
        <v>25</v>
      </c>
      <c r="J27" t="str">
        <f>IF(H27&gt;=I27,"OK","not satisfied!")</f>
        <v>OK</v>
      </c>
    </row>
    <row r="28" spans="1:10" x14ac:dyDescent="0.35">
      <c r="A28">
        <v>8</v>
      </c>
      <c r="B28">
        <f t="shared" si="8"/>
        <v>67.297729447550523</v>
      </c>
      <c r="C28" t="s">
        <v>46</v>
      </c>
      <c r="D28">
        <f>'pressure flow loss'!G25</f>
        <v>-0.1038118391500245</v>
      </c>
      <c r="E28">
        <v>9</v>
      </c>
      <c r="F28">
        <f t="shared" si="6"/>
        <v>67.401541286700549</v>
      </c>
      <c r="G28">
        <v>35.5</v>
      </c>
      <c r="H28">
        <f t="shared" si="7"/>
        <v>31.901541286700549</v>
      </c>
      <c r="I28">
        <v>25</v>
      </c>
      <c r="J28" t="str">
        <f>IF(H28&gt;=I28,"OK","not satisfied!")</f>
        <v>OK</v>
      </c>
    </row>
    <row r="29" spans="1:10" x14ac:dyDescent="0.35">
      <c r="A29">
        <v>9</v>
      </c>
      <c r="B29">
        <f t="shared" si="8"/>
        <v>67.401541286700549</v>
      </c>
      <c r="C29" t="s">
        <v>47</v>
      </c>
      <c r="D29">
        <f>'pressure flow loss'!G26</f>
        <v>-0.14274466624309273</v>
      </c>
      <c r="E29">
        <v>10</v>
      </c>
      <c r="F29">
        <f t="shared" si="6"/>
        <v>67.544285952943639</v>
      </c>
      <c r="G29">
        <v>36</v>
      </c>
      <c r="H29">
        <f t="shared" si="7"/>
        <v>31.544285952943639</v>
      </c>
      <c r="I29">
        <v>25</v>
      </c>
      <c r="J29" t="str">
        <f>IF(H29&gt;=I29,"OK","not satisfied!")</f>
        <v>OK</v>
      </c>
    </row>
    <row r="30" spans="1:10" x14ac:dyDescent="0.35">
      <c r="A30">
        <v>10</v>
      </c>
      <c r="B30">
        <f t="shared" si="8"/>
        <v>67.544285952943639</v>
      </c>
      <c r="C30" t="s">
        <v>48</v>
      </c>
      <c r="D30">
        <f>'pressure flow loss'!G27</f>
        <v>-0.12656286023264213</v>
      </c>
      <c r="E30">
        <v>2</v>
      </c>
      <c r="F30">
        <f t="shared" si="6"/>
        <v>67.670848813176278</v>
      </c>
      <c r="G30">
        <v>36.5</v>
      </c>
      <c r="H30">
        <f t="shared" si="7"/>
        <v>31.170848813176278</v>
      </c>
      <c r="I30">
        <v>25</v>
      </c>
      <c r="J30" t="str">
        <f t="shared" ref="J30" si="9">IF(H30&gt;=I30,"OK","not satisfied!")</f>
        <v>OK</v>
      </c>
    </row>
    <row r="32" spans="1:10" x14ac:dyDescent="0.35">
      <c r="F32">
        <f>F21-F30</f>
        <v>9.0578827413310137E-3</v>
      </c>
    </row>
    <row r="35" spans="1:10" x14ac:dyDescent="0.35">
      <c r="A35" t="s">
        <v>113</v>
      </c>
    </row>
    <row r="36" spans="1:10" x14ac:dyDescent="0.35">
      <c r="A36" t="s">
        <v>121</v>
      </c>
      <c r="C36" t="s">
        <v>79</v>
      </c>
      <c r="E36" t="s">
        <v>122</v>
      </c>
      <c r="G36" t="s">
        <v>123</v>
      </c>
      <c r="H36" t="s">
        <v>124</v>
      </c>
      <c r="I36" t="s">
        <v>125</v>
      </c>
      <c r="J36" t="s">
        <v>126</v>
      </c>
    </row>
    <row r="37" spans="1:10" x14ac:dyDescent="0.35">
      <c r="B37" t="s">
        <v>127</v>
      </c>
      <c r="D37" t="s">
        <v>128</v>
      </c>
      <c r="F37" t="s">
        <v>127</v>
      </c>
      <c r="G37" t="s">
        <v>129</v>
      </c>
      <c r="H37" t="s">
        <v>130</v>
      </c>
      <c r="I37" t="s">
        <v>131</v>
      </c>
    </row>
    <row r="38" spans="1:10" x14ac:dyDescent="0.35">
      <c r="A38">
        <v>1</v>
      </c>
      <c r="B38">
        <v>68</v>
      </c>
      <c r="C38" t="s">
        <v>39</v>
      </c>
      <c r="D38">
        <f>'pressure flow loss'!G33</f>
        <v>1.4265072030900452</v>
      </c>
      <c r="E38">
        <v>2</v>
      </c>
      <c r="F38">
        <f>B38-D38</f>
        <v>66.57349279690996</v>
      </c>
      <c r="G38">
        <v>35.5</v>
      </c>
      <c r="H38">
        <f>F38-G38</f>
        <v>31.07349279690996</v>
      </c>
      <c r="I38">
        <v>25</v>
      </c>
      <c r="J38" t="str">
        <f t="shared" ref="J38:J42" si="10">IF(H38&gt;=I38,"OK","not satisfied!")</f>
        <v>OK</v>
      </c>
    </row>
    <row r="39" spans="1:10" x14ac:dyDescent="0.35">
      <c r="A39">
        <v>2</v>
      </c>
      <c r="B39">
        <f>F38</f>
        <v>66.57349279690996</v>
      </c>
      <c r="C39" t="s">
        <v>40</v>
      </c>
      <c r="D39">
        <f>'pressure flow loss'!G34</f>
        <v>1.5133608744452021</v>
      </c>
      <c r="E39">
        <v>3</v>
      </c>
      <c r="F39">
        <f t="shared" ref="F39:F47" si="11">B39-D39</f>
        <v>65.060131922464763</v>
      </c>
      <c r="G39">
        <v>36</v>
      </c>
      <c r="H39">
        <f t="shared" ref="H39:H47" si="12">F39-G39</f>
        <v>29.060131922464763</v>
      </c>
      <c r="I39">
        <v>25</v>
      </c>
      <c r="J39" t="str">
        <f t="shared" si="10"/>
        <v>OK</v>
      </c>
    </row>
    <row r="40" spans="1:10" x14ac:dyDescent="0.35">
      <c r="A40">
        <v>3</v>
      </c>
      <c r="B40">
        <f t="shared" ref="B40:B47" si="13">F39</f>
        <v>65.060131922464763</v>
      </c>
      <c r="C40" t="s">
        <v>41</v>
      </c>
      <c r="D40">
        <f>'pressure flow loss'!G35</f>
        <v>0.7873189399734889</v>
      </c>
      <c r="E40">
        <v>4</v>
      </c>
      <c r="F40">
        <f t="shared" si="11"/>
        <v>64.272812982491274</v>
      </c>
      <c r="G40">
        <v>36</v>
      </c>
      <c r="H40">
        <f t="shared" si="12"/>
        <v>28.272812982491274</v>
      </c>
      <c r="I40">
        <v>25</v>
      </c>
      <c r="J40" t="str">
        <f t="shared" si="10"/>
        <v>OK</v>
      </c>
    </row>
    <row r="41" spans="1:10" x14ac:dyDescent="0.35">
      <c r="A41">
        <v>4</v>
      </c>
      <c r="B41">
        <f t="shared" si="13"/>
        <v>64.272812982491274</v>
      </c>
      <c r="C41" t="s">
        <v>42</v>
      </c>
      <c r="D41">
        <f>'pressure flow loss'!G36</f>
        <v>1.1039345383869363</v>
      </c>
      <c r="E41">
        <v>5</v>
      </c>
      <c r="F41">
        <f t="shared" si="11"/>
        <v>63.168878444104337</v>
      </c>
      <c r="G41">
        <v>36.5</v>
      </c>
      <c r="H41">
        <f t="shared" si="12"/>
        <v>26.668878444104337</v>
      </c>
      <c r="I41">
        <v>25</v>
      </c>
      <c r="J41" t="str">
        <f t="shared" si="10"/>
        <v>OK</v>
      </c>
    </row>
    <row r="42" spans="1:10" x14ac:dyDescent="0.35">
      <c r="A42">
        <v>5</v>
      </c>
      <c r="B42">
        <f t="shared" si="13"/>
        <v>63.168878444104337</v>
      </c>
      <c r="C42" t="s">
        <v>43</v>
      </c>
      <c r="D42">
        <f>'pressure flow loss'!G37</f>
        <v>0.92694785088671261</v>
      </c>
      <c r="E42">
        <v>6</v>
      </c>
      <c r="F42">
        <f t="shared" si="11"/>
        <v>62.241930593217624</v>
      </c>
      <c r="G42">
        <v>36</v>
      </c>
      <c r="H42">
        <f t="shared" si="12"/>
        <v>26.241930593217624</v>
      </c>
      <c r="I42">
        <v>25</v>
      </c>
      <c r="J42" t="str">
        <f t="shared" si="10"/>
        <v>OK</v>
      </c>
    </row>
    <row r="43" spans="1:10" x14ac:dyDescent="0.35">
      <c r="A43">
        <v>6</v>
      </c>
      <c r="B43">
        <f t="shared" si="13"/>
        <v>62.241930593217624</v>
      </c>
      <c r="C43" t="s">
        <v>44</v>
      </c>
      <c r="D43">
        <f>'pressure flow loss'!G38</f>
        <v>0.42452673958405218</v>
      </c>
      <c r="E43">
        <v>7</v>
      </c>
      <c r="F43">
        <f t="shared" si="11"/>
        <v>61.817403853633571</v>
      </c>
      <c r="G43">
        <v>36</v>
      </c>
      <c r="H43">
        <f t="shared" si="12"/>
        <v>25.817403853633571</v>
      </c>
      <c r="I43">
        <v>25</v>
      </c>
      <c r="J43" t="str">
        <f>IF(H43&gt;=I43,"OK","not satisfied!")</f>
        <v>OK</v>
      </c>
    </row>
    <row r="44" spans="1:10" x14ac:dyDescent="0.35">
      <c r="A44">
        <v>7</v>
      </c>
      <c r="B44">
        <f t="shared" si="13"/>
        <v>61.817403853633571</v>
      </c>
      <c r="C44" t="s">
        <v>45</v>
      </c>
      <c r="D44">
        <f>'pressure flow loss'!G39</f>
        <v>0.45712023620188263</v>
      </c>
      <c r="E44">
        <v>8</v>
      </c>
      <c r="F44">
        <f t="shared" si="11"/>
        <v>61.360283617431691</v>
      </c>
      <c r="G44">
        <v>36</v>
      </c>
      <c r="H44">
        <f t="shared" si="12"/>
        <v>25.360283617431691</v>
      </c>
      <c r="I44">
        <v>25</v>
      </c>
      <c r="J44" t="str">
        <f>IF(H44&gt;=I44,"OK","not satisfied!")</f>
        <v>OK</v>
      </c>
    </row>
    <row r="45" spans="1:10" x14ac:dyDescent="0.35">
      <c r="A45">
        <v>8</v>
      </c>
      <c r="B45">
        <f t="shared" si="13"/>
        <v>61.360283617431691</v>
      </c>
      <c r="C45" t="s">
        <v>46</v>
      </c>
      <c r="D45">
        <f>'pressure flow loss'!G40</f>
        <v>-0.63595803986678723</v>
      </c>
      <c r="E45">
        <v>9</v>
      </c>
      <c r="F45">
        <f t="shared" si="11"/>
        <v>61.996241657298476</v>
      </c>
      <c r="G45">
        <v>35.5</v>
      </c>
      <c r="H45">
        <f t="shared" si="12"/>
        <v>26.496241657298476</v>
      </c>
      <c r="I45">
        <v>25</v>
      </c>
      <c r="J45" t="str">
        <f>IF(H45&gt;=I45,"OK","not satisfied!")</f>
        <v>OK</v>
      </c>
    </row>
    <row r="46" spans="1:10" x14ac:dyDescent="0.35">
      <c r="A46">
        <v>9</v>
      </c>
      <c r="B46">
        <f t="shared" si="13"/>
        <v>61.996241657298476</v>
      </c>
      <c r="C46" t="s">
        <v>47</v>
      </c>
      <c r="D46">
        <f>'pressure flow loss'!G41</f>
        <v>-0.7927372502011607</v>
      </c>
      <c r="E46">
        <v>10</v>
      </c>
      <c r="F46">
        <f t="shared" si="11"/>
        <v>62.78897890749964</v>
      </c>
      <c r="G46">
        <v>36</v>
      </c>
      <c r="H46">
        <f t="shared" si="12"/>
        <v>26.78897890749964</v>
      </c>
      <c r="I46">
        <v>25</v>
      </c>
      <c r="J46" t="str">
        <f>IF(H46&gt;=I46,"OK","not satisfied!")</f>
        <v>OK</v>
      </c>
    </row>
    <row r="47" spans="1:10" x14ac:dyDescent="0.35">
      <c r="A47">
        <v>10</v>
      </c>
      <c r="B47">
        <f t="shared" si="13"/>
        <v>62.78897890749964</v>
      </c>
      <c r="C47" t="s">
        <v>48</v>
      </c>
      <c r="D47">
        <f>'pressure flow loss'!G42</f>
        <v>-3.7805432887252604</v>
      </c>
      <c r="E47">
        <v>2</v>
      </c>
      <c r="F47">
        <f t="shared" si="11"/>
        <v>66.569522196224895</v>
      </c>
      <c r="G47">
        <v>36.5</v>
      </c>
      <c r="H47">
        <f t="shared" si="12"/>
        <v>30.069522196224895</v>
      </c>
      <c r="I47">
        <v>25</v>
      </c>
      <c r="J47" t="str">
        <f t="shared" ref="J47" si="14">IF(H47&gt;=I47,"OK","not satisfied!")</f>
        <v>OK</v>
      </c>
    </row>
    <row r="49" spans="6:6" x14ac:dyDescent="0.35">
      <c r="F49">
        <f>F38-F47</f>
        <v>3.970600685065051E-3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19" zoomScale="130" zoomScaleNormal="130" workbookViewId="0">
      <selection activeCell="B39" sqref="B39"/>
    </sheetView>
  </sheetViews>
  <sheetFormatPr defaultRowHeight="14.5" x14ac:dyDescent="0.35"/>
  <sheetData>
    <row r="1" spans="1:12" x14ac:dyDescent="0.35">
      <c r="A1" t="s">
        <v>96</v>
      </c>
    </row>
    <row r="2" spans="1:12" x14ac:dyDescent="0.35">
      <c r="A2" t="s">
        <v>121</v>
      </c>
      <c r="C2" t="s">
        <v>79</v>
      </c>
      <c r="G2" t="s">
        <v>122</v>
      </c>
      <c r="I2" t="s">
        <v>123</v>
      </c>
      <c r="J2" t="s">
        <v>124</v>
      </c>
      <c r="K2" t="s">
        <v>125</v>
      </c>
      <c r="L2" t="s">
        <v>126</v>
      </c>
    </row>
    <row r="3" spans="1:12" x14ac:dyDescent="0.35">
      <c r="B3" t="s">
        <v>132</v>
      </c>
      <c r="D3" t="s">
        <v>133</v>
      </c>
      <c r="E3" t="s">
        <v>134</v>
      </c>
      <c r="F3" t="s">
        <v>128</v>
      </c>
      <c r="H3" t="s">
        <v>132</v>
      </c>
      <c r="I3" t="s">
        <v>135</v>
      </c>
      <c r="J3" t="s">
        <v>130</v>
      </c>
      <c r="K3" t="s">
        <v>131</v>
      </c>
    </row>
    <row r="4" spans="1:12" x14ac:dyDescent="0.35">
      <c r="A4">
        <v>1</v>
      </c>
      <c r="B4">
        <v>68</v>
      </c>
      <c r="C4" t="s">
        <v>39</v>
      </c>
      <c r="D4">
        <v>76</v>
      </c>
      <c r="E4">
        <f>D4</f>
        <v>76</v>
      </c>
      <c r="F4">
        <f>'pressure flow loss'!G3</f>
        <v>0.26242963099409528</v>
      </c>
      <c r="G4">
        <v>2</v>
      </c>
      <c r="H4">
        <f t="shared" ref="H4:H13" si="0">B4-F4</f>
        <v>67.737570369005908</v>
      </c>
      <c r="I4">
        <v>35.5</v>
      </c>
      <c r="J4">
        <f>H4-I4</f>
        <v>32.237570369005908</v>
      </c>
      <c r="K4">
        <v>25</v>
      </c>
      <c r="L4" t="str">
        <f t="shared" ref="L4:L8" si="1">IF(J4&gt;=K4,"OK","not satisfied!")</f>
        <v>OK</v>
      </c>
    </row>
    <row r="5" spans="1:12" x14ac:dyDescent="0.35">
      <c r="A5">
        <v>2</v>
      </c>
      <c r="B5">
        <f>H4</f>
        <v>67.737570369005908</v>
      </c>
      <c r="C5" t="s">
        <v>40</v>
      </c>
      <c r="D5">
        <v>56</v>
      </c>
      <c r="E5">
        <f>D4+D5:D6</f>
        <v>132</v>
      </c>
      <c r="F5">
        <f>'pressure flow loss'!G4</f>
        <v>7.1287960400482381E-2</v>
      </c>
      <c r="G5">
        <v>3</v>
      </c>
      <c r="H5">
        <f t="shared" si="0"/>
        <v>67.666282408605426</v>
      </c>
      <c r="I5">
        <v>36</v>
      </c>
      <c r="J5">
        <f t="shared" ref="J5:J13" si="2">H5-I5</f>
        <v>31.666282408605426</v>
      </c>
      <c r="K5">
        <v>25</v>
      </c>
      <c r="L5" t="str">
        <f t="shared" si="1"/>
        <v>OK</v>
      </c>
    </row>
    <row r="6" spans="1:12" x14ac:dyDescent="0.35">
      <c r="A6">
        <v>3</v>
      </c>
      <c r="B6">
        <f t="shared" ref="B6:B13" si="3">H5</f>
        <v>67.666282408605426</v>
      </c>
      <c r="C6" t="s">
        <v>41</v>
      </c>
      <c r="D6">
        <v>56</v>
      </c>
      <c r="E6">
        <f>E5+D6</f>
        <v>188</v>
      </c>
      <c r="F6">
        <f>'pressure flow loss'!G5</f>
        <v>6.3895284501802485E-2</v>
      </c>
      <c r="G6">
        <v>4</v>
      </c>
      <c r="H6">
        <f t="shared" si="0"/>
        <v>67.602387124103629</v>
      </c>
      <c r="I6">
        <v>36</v>
      </c>
      <c r="J6">
        <f t="shared" si="2"/>
        <v>31.602387124103629</v>
      </c>
      <c r="K6">
        <v>25</v>
      </c>
      <c r="L6" t="str">
        <f t="shared" si="1"/>
        <v>OK</v>
      </c>
    </row>
    <row r="7" spans="1:12" x14ac:dyDescent="0.35">
      <c r="A7">
        <v>4</v>
      </c>
      <c r="B7">
        <f t="shared" si="3"/>
        <v>67.602387124103629</v>
      </c>
      <c r="C7" t="s">
        <v>42</v>
      </c>
      <c r="D7">
        <v>47</v>
      </c>
      <c r="E7">
        <f t="shared" ref="E7:E13" si="4">E6+D7</f>
        <v>235</v>
      </c>
      <c r="F7">
        <f>'pressure flow loss'!G6</f>
        <v>4.8220139924790476E-2</v>
      </c>
      <c r="G7">
        <v>5</v>
      </c>
      <c r="H7">
        <f t="shared" si="0"/>
        <v>67.554166984178835</v>
      </c>
      <c r="I7">
        <v>36.5</v>
      </c>
      <c r="J7">
        <f t="shared" si="2"/>
        <v>31.054166984178835</v>
      </c>
      <c r="K7">
        <v>25</v>
      </c>
      <c r="L7" t="str">
        <f t="shared" si="1"/>
        <v>OK</v>
      </c>
    </row>
    <row r="8" spans="1:12" x14ac:dyDescent="0.35">
      <c r="A8">
        <v>5</v>
      </c>
      <c r="B8">
        <f t="shared" si="3"/>
        <v>67.554166984178835</v>
      </c>
      <c r="C8" t="s">
        <v>43</v>
      </c>
      <c r="D8">
        <v>45</v>
      </c>
      <c r="E8">
        <f t="shared" si="4"/>
        <v>280</v>
      </c>
      <c r="F8">
        <f>'pressure flow loss'!G7</f>
        <v>4.1777292241703741E-2</v>
      </c>
      <c r="G8">
        <v>6</v>
      </c>
      <c r="H8">
        <f t="shared" si="0"/>
        <v>67.51238969193713</v>
      </c>
      <c r="I8">
        <v>36</v>
      </c>
      <c r="J8">
        <f t="shared" si="2"/>
        <v>31.51238969193713</v>
      </c>
      <c r="K8">
        <v>25</v>
      </c>
      <c r="L8" t="str">
        <f t="shared" si="1"/>
        <v>OK</v>
      </c>
    </row>
    <row r="9" spans="1:12" x14ac:dyDescent="0.35">
      <c r="A9">
        <v>6</v>
      </c>
      <c r="B9">
        <f t="shared" si="3"/>
        <v>67.51238969193713</v>
      </c>
      <c r="C9" t="s">
        <v>44</v>
      </c>
      <c r="D9">
        <v>48</v>
      </c>
      <c r="E9">
        <f t="shared" si="4"/>
        <v>328</v>
      </c>
      <c r="F9">
        <f>'pressure flow loss'!G8</f>
        <v>1.2627809871159185E-2</v>
      </c>
      <c r="G9">
        <v>7</v>
      </c>
      <c r="H9">
        <f t="shared" si="0"/>
        <v>67.499761882065968</v>
      </c>
      <c r="I9">
        <v>36</v>
      </c>
      <c r="J9">
        <f t="shared" si="2"/>
        <v>31.499761882065968</v>
      </c>
      <c r="K9">
        <v>25</v>
      </c>
      <c r="L9" t="str">
        <f>IF(J9&gt;=K9,"OK","not satisfied!")</f>
        <v>OK</v>
      </c>
    </row>
    <row r="10" spans="1:12" x14ac:dyDescent="0.35">
      <c r="A10">
        <v>7</v>
      </c>
      <c r="B10">
        <f t="shared" si="3"/>
        <v>67.499761882065968</v>
      </c>
      <c r="C10" t="s">
        <v>45</v>
      </c>
      <c r="D10">
        <v>49</v>
      </c>
      <c r="E10">
        <f t="shared" si="4"/>
        <v>377</v>
      </c>
      <c r="F10">
        <f>'pressure flow loss'!G9</f>
        <v>1.0407179397570257E-2</v>
      </c>
      <c r="G10">
        <v>8</v>
      </c>
      <c r="H10">
        <f t="shared" si="0"/>
        <v>67.489354702668393</v>
      </c>
      <c r="I10">
        <v>36</v>
      </c>
      <c r="J10">
        <f t="shared" si="2"/>
        <v>31.489354702668393</v>
      </c>
      <c r="K10">
        <v>25</v>
      </c>
      <c r="L10" t="str">
        <f>IF(J10&gt;=K10,"OK","not satisfied!")</f>
        <v>OK</v>
      </c>
    </row>
    <row r="11" spans="1:12" x14ac:dyDescent="0.35">
      <c r="A11">
        <v>8</v>
      </c>
      <c r="B11">
        <f t="shared" si="3"/>
        <v>67.489354702668393</v>
      </c>
      <c r="C11" t="s">
        <v>46</v>
      </c>
      <c r="D11">
        <v>40</v>
      </c>
      <c r="E11">
        <f t="shared" si="4"/>
        <v>417</v>
      </c>
      <c r="F11">
        <f>'pressure flow loss'!G10</f>
        <v>-6.4078000155121217E-2</v>
      </c>
      <c r="G11">
        <v>9</v>
      </c>
      <c r="H11">
        <f t="shared" si="0"/>
        <v>67.553432702823514</v>
      </c>
      <c r="I11">
        <v>35.5</v>
      </c>
      <c r="J11">
        <f t="shared" si="2"/>
        <v>32.053432702823514</v>
      </c>
      <c r="K11">
        <v>25</v>
      </c>
      <c r="L11" t="str">
        <f>IF(J11&gt;=K11,"OK","not satisfied!")</f>
        <v>OK</v>
      </c>
    </row>
    <row r="12" spans="1:12" x14ac:dyDescent="0.35">
      <c r="A12">
        <v>9</v>
      </c>
      <c r="B12">
        <f t="shared" si="3"/>
        <v>67.553432702823514</v>
      </c>
      <c r="C12" t="s">
        <v>47</v>
      </c>
      <c r="D12">
        <v>54</v>
      </c>
      <c r="E12">
        <f t="shared" si="4"/>
        <v>471</v>
      </c>
      <c r="F12">
        <f>'pressure flow loss'!G11</f>
        <v>-9.3537983320874082E-2</v>
      </c>
      <c r="G12">
        <v>10</v>
      </c>
      <c r="H12">
        <f t="shared" si="0"/>
        <v>67.646970686144385</v>
      </c>
      <c r="I12">
        <v>36</v>
      </c>
      <c r="J12">
        <f t="shared" si="2"/>
        <v>31.646970686144385</v>
      </c>
      <c r="K12">
        <v>25</v>
      </c>
      <c r="L12" t="str">
        <f>IF(J12&gt;=K12,"OK","not satisfied!")</f>
        <v>OK</v>
      </c>
    </row>
    <row r="13" spans="1:12" x14ac:dyDescent="0.35">
      <c r="A13">
        <v>10</v>
      </c>
      <c r="B13">
        <f t="shared" si="3"/>
        <v>67.646970686144385</v>
      </c>
      <c r="C13" t="s">
        <v>48</v>
      </c>
      <c r="D13">
        <v>47</v>
      </c>
      <c r="E13">
        <f t="shared" si="4"/>
        <v>518</v>
      </c>
      <c r="F13">
        <f>'pressure flow loss'!G12</f>
        <v>-8.8256116582829169E-2</v>
      </c>
      <c r="G13">
        <v>11</v>
      </c>
      <c r="H13">
        <f t="shared" si="0"/>
        <v>67.735226802727212</v>
      </c>
      <c r="I13">
        <v>36.5</v>
      </c>
      <c r="J13">
        <f t="shared" si="2"/>
        <v>31.235226802727212</v>
      </c>
      <c r="K13">
        <v>25</v>
      </c>
      <c r="L13" t="str">
        <f t="shared" ref="L13" si="5">IF(J13&gt;=K13,"OK","not satisfied!")</f>
        <v>OK</v>
      </c>
    </row>
    <row r="15" spans="1:12" x14ac:dyDescent="0.35">
      <c r="H15">
        <f>H4-H13</f>
        <v>2.343566278696585E-3</v>
      </c>
    </row>
    <row r="18" spans="1:12" x14ac:dyDescent="0.35">
      <c r="A18" t="s">
        <v>112</v>
      </c>
    </row>
    <row r="19" spans="1:12" x14ac:dyDescent="0.35">
      <c r="A19" t="s">
        <v>121</v>
      </c>
      <c r="C19" t="s">
        <v>79</v>
      </c>
      <c r="G19" t="s">
        <v>122</v>
      </c>
      <c r="I19" t="s">
        <v>123</v>
      </c>
      <c r="J19" t="s">
        <v>124</v>
      </c>
      <c r="K19" t="s">
        <v>125</v>
      </c>
      <c r="L19" t="s">
        <v>126</v>
      </c>
    </row>
    <row r="20" spans="1:12" x14ac:dyDescent="0.35">
      <c r="B20" t="s">
        <v>132</v>
      </c>
      <c r="D20" t="s">
        <v>133</v>
      </c>
      <c r="E20" t="s">
        <v>134</v>
      </c>
      <c r="F20" t="s">
        <v>128</v>
      </c>
      <c r="H20" t="s">
        <v>132</v>
      </c>
      <c r="I20" t="s">
        <v>135</v>
      </c>
      <c r="J20" t="s">
        <v>130</v>
      </c>
      <c r="K20" t="s">
        <v>131</v>
      </c>
    </row>
    <row r="21" spans="1:12" x14ac:dyDescent="0.35">
      <c r="A21">
        <v>1</v>
      </c>
      <c r="B21">
        <v>68</v>
      </c>
      <c r="C21" t="s">
        <v>39</v>
      </c>
      <c r="D21">
        <v>76</v>
      </c>
      <c r="E21">
        <f>D21</f>
        <v>76</v>
      </c>
      <c r="F21">
        <f>'pressure flow loss'!G18</f>
        <v>0.32009330408238629</v>
      </c>
      <c r="G21">
        <v>2</v>
      </c>
      <c r="H21">
        <f t="shared" ref="H21:H30" si="6">B21-F21</f>
        <v>67.679906695917609</v>
      </c>
      <c r="I21">
        <v>35.5</v>
      </c>
      <c r="J21">
        <f>H21-I21</f>
        <v>32.179906695917609</v>
      </c>
      <c r="K21">
        <v>25</v>
      </c>
      <c r="L21" t="str">
        <f t="shared" ref="L21:L25" si="7">IF(J21&gt;=K21,"OK","not satisfied!")</f>
        <v>OK</v>
      </c>
    </row>
    <row r="22" spans="1:12" x14ac:dyDescent="0.35">
      <c r="A22">
        <v>2</v>
      </c>
      <c r="B22">
        <f>H21</f>
        <v>67.679906695917609</v>
      </c>
      <c r="C22" t="s">
        <v>40</v>
      </c>
      <c r="D22">
        <v>56</v>
      </c>
      <c r="E22">
        <f>D21+D22:D23</f>
        <v>132</v>
      </c>
      <c r="F22">
        <f>'pressure flow loss'!G19</f>
        <v>7.8277793041846205E-2</v>
      </c>
      <c r="G22">
        <v>3</v>
      </c>
      <c r="H22">
        <f t="shared" si="6"/>
        <v>67.60162890287576</v>
      </c>
      <c r="I22">
        <v>36</v>
      </c>
      <c r="J22">
        <f t="shared" ref="J22:J30" si="8">H22-I22</f>
        <v>31.60162890287576</v>
      </c>
      <c r="K22">
        <v>25</v>
      </c>
      <c r="L22" t="str">
        <f t="shared" si="7"/>
        <v>OK</v>
      </c>
    </row>
    <row r="23" spans="1:12" x14ac:dyDescent="0.35">
      <c r="A23">
        <v>3</v>
      </c>
      <c r="B23">
        <f t="shared" ref="B23:B30" si="9">H22</f>
        <v>67.60162890287576</v>
      </c>
      <c r="C23" t="s">
        <v>41</v>
      </c>
      <c r="D23">
        <v>56</v>
      </c>
      <c r="E23">
        <f>E22+D23</f>
        <v>188</v>
      </c>
      <c r="F23">
        <f>'pressure flow loss'!G20</f>
        <v>7.6120503573552101E-2</v>
      </c>
      <c r="G23">
        <v>4</v>
      </c>
      <c r="H23">
        <f t="shared" si="6"/>
        <v>67.525508399302211</v>
      </c>
      <c r="I23">
        <v>36</v>
      </c>
      <c r="J23">
        <f t="shared" si="8"/>
        <v>31.525508399302211</v>
      </c>
      <c r="K23">
        <v>25</v>
      </c>
      <c r="L23" t="str">
        <f t="shared" si="7"/>
        <v>OK</v>
      </c>
    </row>
    <row r="24" spans="1:12" x14ac:dyDescent="0.35">
      <c r="A24">
        <v>4</v>
      </c>
      <c r="B24">
        <f t="shared" si="9"/>
        <v>67.525508399302211</v>
      </c>
      <c r="C24" t="s">
        <v>42</v>
      </c>
      <c r="D24">
        <v>47</v>
      </c>
      <c r="E24">
        <f t="shared" ref="E24:E30" si="10">E23+D24</f>
        <v>235</v>
      </c>
      <c r="F24">
        <f>'pressure flow loss'!G21</f>
        <v>6.2278957949810969E-2</v>
      </c>
      <c r="G24">
        <v>5</v>
      </c>
      <c r="H24">
        <f t="shared" si="6"/>
        <v>67.463229441352397</v>
      </c>
      <c r="I24">
        <v>36.5</v>
      </c>
      <c r="J24">
        <f t="shared" si="8"/>
        <v>30.963229441352397</v>
      </c>
      <c r="K24">
        <v>25</v>
      </c>
      <c r="L24" t="str">
        <f t="shared" si="7"/>
        <v>OK</v>
      </c>
    </row>
    <row r="25" spans="1:12" x14ac:dyDescent="0.35">
      <c r="A25">
        <v>5</v>
      </c>
      <c r="B25">
        <f t="shared" si="9"/>
        <v>67.463229441352397</v>
      </c>
      <c r="C25" t="s">
        <v>43</v>
      </c>
      <c r="D25">
        <v>45</v>
      </c>
      <c r="E25">
        <f t="shared" si="10"/>
        <v>280</v>
      </c>
      <c r="F25">
        <f>'pressure flow loss'!G22</f>
        <v>5.7883698575179283E-2</v>
      </c>
      <c r="G25">
        <v>6</v>
      </c>
      <c r="H25">
        <f t="shared" si="6"/>
        <v>67.405345742777214</v>
      </c>
      <c r="I25">
        <v>36</v>
      </c>
      <c r="J25">
        <f t="shared" si="8"/>
        <v>31.405345742777214</v>
      </c>
      <c r="K25">
        <v>25</v>
      </c>
      <c r="L25" t="str">
        <f t="shared" si="7"/>
        <v>OK</v>
      </c>
    </row>
    <row r="26" spans="1:12" x14ac:dyDescent="0.35">
      <c r="A26">
        <v>6</v>
      </c>
      <c r="B26">
        <f t="shared" si="9"/>
        <v>67.405345742777214</v>
      </c>
      <c r="C26" t="s">
        <v>44</v>
      </c>
      <c r="D26">
        <v>48</v>
      </c>
      <c r="E26">
        <f t="shared" si="10"/>
        <v>328</v>
      </c>
      <c r="F26">
        <f>'pressure flow loss'!G23</f>
        <v>5.3876704333064254E-2</v>
      </c>
      <c r="G26">
        <v>7</v>
      </c>
      <c r="H26">
        <f t="shared" si="6"/>
        <v>67.351469038444151</v>
      </c>
      <c r="I26">
        <v>36</v>
      </c>
      <c r="J26">
        <f t="shared" si="8"/>
        <v>31.351469038444151</v>
      </c>
      <c r="K26">
        <v>25</v>
      </c>
      <c r="L26" t="str">
        <f>IF(J26&gt;=K26,"OK","not satisfied!")</f>
        <v>OK</v>
      </c>
    </row>
    <row r="27" spans="1:12" x14ac:dyDescent="0.35">
      <c r="A27">
        <v>7</v>
      </c>
      <c r="B27">
        <f t="shared" si="9"/>
        <v>67.351469038444151</v>
      </c>
      <c r="C27" t="s">
        <v>45</v>
      </c>
      <c r="D27">
        <v>49</v>
      </c>
      <c r="E27">
        <f t="shared" si="10"/>
        <v>377</v>
      </c>
      <c r="F27">
        <f>'pressure flow loss'!G24</f>
        <v>5.3739590893623179E-2</v>
      </c>
      <c r="G27">
        <v>8</v>
      </c>
      <c r="H27">
        <f t="shared" si="6"/>
        <v>67.297729447550523</v>
      </c>
      <c r="I27">
        <v>36</v>
      </c>
      <c r="J27">
        <f t="shared" si="8"/>
        <v>31.297729447550523</v>
      </c>
      <c r="K27">
        <v>25</v>
      </c>
      <c r="L27" t="str">
        <f>IF(J27&gt;=K27,"OK","not satisfied!")</f>
        <v>OK</v>
      </c>
    </row>
    <row r="28" spans="1:12" x14ac:dyDescent="0.35">
      <c r="A28">
        <v>8</v>
      </c>
      <c r="B28">
        <f t="shared" si="9"/>
        <v>67.297729447550523</v>
      </c>
      <c r="C28" t="s">
        <v>46</v>
      </c>
      <c r="D28">
        <v>40</v>
      </c>
      <c r="E28">
        <f t="shared" si="10"/>
        <v>417</v>
      </c>
      <c r="F28">
        <f>'pressure flow loss'!G25</f>
        <v>-0.1038118391500245</v>
      </c>
      <c r="G28">
        <v>9</v>
      </c>
      <c r="H28">
        <f t="shared" si="6"/>
        <v>67.401541286700549</v>
      </c>
      <c r="I28">
        <v>35.5</v>
      </c>
      <c r="J28">
        <f t="shared" si="8"/>
        <v>31.901541286700549</v>
      </c>
      <c r="K28">
        <v>25</v>
      </c>
      <c r="L28" t="str">
        <f>IF(J28&gt;=K28,"OK","not satisfied!")</f>
        <v>OK</v>
      </c>
    </row>
    <row r="29" spans="1:12" x14ac:dyDescent="0.35">
      <c r="A29">
        <v>9</v>
      </c>
      <c r="B29">
        <f t="shared" si="9"/>
        <v>67.401541286700549</v>
      </c>
      <c r="C29" t="s">
        <v>47</v>
      </c>
      <c r="D29">
        <v>54</v>
      </c>
      <c r="E29">
        <f t="shared" si="10"/>
        <v>471</v>
      </c>
      <c r="F29">
        <f>'pressure flow loss'!G26</f>
        <v>-0.14274466624309273</v>
      </c>
      <c r="G29">
        <v>10</v>
      </c>
      <c r="H29">
        <f t="shared" si="6"/>
        <v>67.544285952943639</v>
      </c>
      <c r="I29">
        <v>36</v>
      </c>
      <c r="J29">
        <f t="shared" si="8"/>
        <v>31.544285952943639</v>
      </c>
      <c r="K29">
        <v>25</v>
      </c>
      <c r="L29" t="str">
        <f>IF(J29&gt;=K29,"OK","not satisfied!")</f>
        <v>OK</v>
      </c>
    </row>
    <row r="30" spans="1:12" x14ac:dyDescent="0.35">
      <c r="A30">
        <v>10</v>
      </c>
      <c r="B30">
        <f t="shared" si="9"/>
        <v>67.544285952943639</v>
      </c>
      <c r="C30" t="s">
        <v>48</v>
      </c>
      <c r="D30">
        <v>47</v>
      </c>
      <c r="E30">
        <f t="shared" si="10"/>
        <v>518</v>
      </c>
      <c r="F30">
        <f>'pressure flow loss'!G27</f>
        <v>-0.12656286023264213</v>
      </c>
      <c r="G30">
        <v>2</v>
      </c>
      <c r="H30">
        <f t="shared" si="6"/>
        <v>67.670848813176278</v>
      </c>
      <c r="I30">
        <v>36.5</v>
      </c>
      <c r="J30">
        <f t="shared" si="8"/>
        <v>31.170848813176278</v>
      </c>
      <c r="K30">
        <v>25</v>
      </c>
      <c r="L30" t="str">
        <f t="shared" ref="L30" si="11">IF(J30&gt;=K30,"OK","not satisfied!")</f>
        <v>OK</v>
      </c>
    </row>
    <row r="32" spans="1:12" x14ac:dyDescent="0.35">
      <c r="H32">
        <f>H21-H30</f>
        <v>9.0578827413310137E-3</v>
      </c>
    </row>
    <row r="35" spans="1:12" x14ac:dyDescent="0.35">
      <c r="A35" t="s">
        <v>113</v>
      </c>
    </row>
    <row r="36" spans="1:12" x14ac:dyDescent="0.35">
      <c r="A36" t="s">
        <v>121</v>
      </c>
      <c r="C36" t="s">
        <v>79</v>
      </c>
      <c r="G36" t="s">
        <v>122</v>
      </c>
      <c r="I36" t="s">
        <v>123</v>
      </c>
      <c r="J36" t="s">
        <v>124</v>
      </c>
      <c r="K36" t="s">
        <v>125</v>
      </c>
      <c r="L36" t="s">
        <v>126</v>
      </c>
    </row>
    <row r="37" spans="1:12" x14ac:dyDescent="0.35">
      <c r="B37" t="s">
        <v>132</v>
      </c>
      <c r="D37" t="s">
        <v>133</v>
      </c>
      <c r="E37" t="s">
        <v>134</v>
      </c>
      <c r="F37" t="s">
        <v>128</v>
      </c>
      <c r="H37" t="s">
        <v>132</v>
      </c>
      <c r="I37" t="s">
        <v>135</v>
      </c>
      <c r="J37" t="s">
        <v>130</v>
      </c>
      <c r="K37" t="s">
        <v>131</v>
      </c>
    </row>
    <row r="38" spans="1:12" x14ac:dyDescent="0.35">
      <c r="A38">
        <v>1</v>
      </c>
      <c r="B38">
        <v>68</v>
      </c>
      <c r="C38" t="s">
        <v>39</v>
      </c>
      <c r="D38">
        <v>76</v>
      </c>
      <c r="E38">
        <f>D38</f>
        <v>76</v>
      </c>
      <c r="F38">
        <f>'pressure flow loss'!G33</f>
        <v>1.4265072030900452</v>
      </c>
      <c r="G38">
        <v>2</v>
      </c>
      <c r="H38">
        <f t="shared" ref="H38:H47" si="12">B38-F38</f>
        <v>66.57349279690996</v>
      </c>
      <c r="I38">
        <v>35.5</v>
      </c>
      <c r="J38">
        <f>H38-I38</f>
        <v>31.07349279690996</v>
      </c>
      <c r="K38">
        <v>25</v>
      </c>
      <c r="L38" t="str">
        <f t="shared" ref="L38:L42" si="13">IF(J38&gt;=K38,"OK","not satisfied!")</f>
        <v>OK</v>
      </c>
    </row>
    <row r="39" spans="1:12" x14ac:dyDescent="0.35">
      <c r="A39">
        <v>2</v>
      </c>
      <c r="B39">
        <f>H38</f>
        <v>66.57349279690996</v>
      </c>
      <c r="C39" t="s">
        <v>40</v>
      </c>
      <c r="D39">
        <v>56</v>
      </c>
      <c r="E39">
        <f>D38+D39:D40</f>
        <v>132</v>
      </c>
      <c r="F39">
        <f>'pressure flow loss'!G34</f>
        <v>1.5133608744452021</v>
      </c>
      <c r="G39">
        <v>3</v>
      </c>
      <c r="H39">
        <f t="shared" si="12"/>
        <v>65.060131922464763</v>
      </c>
      <c r="I39">
        <v>36</v>
      </c>
      <c r="J39">
        <f t="shared" ref="J39:J47" si="14">H39-I39</f>
        <v>29.060131922464763</v>
      </c>
      <c r="K39">
        <v>25</v>
      </c>
      <c r="L39" t="str">
        <f t="shared" si="13"/>
        <v>OK</v>
      </c>
    </row>
    <row r="40" spans="1:12" x14ac:dyDescent="0.35">
      <c r="A40">
        <v>3</v>
      </c>
      <c r="B40">
        <f t="shared" ref="B40:B47" si="15">H39</f>
        <v>65.060131922464763</v>
      </c>
      <c r="C40" t="s">
        <v>41</v>
      </c>
      <c r="D40">
        <v>56</v>
      </c>
      <c r="E40">
        <f>E39+D40</f>
        <v>188</v>
      </c>
      <c r="F40">
        <f>'pressure flow loss'!G35</f>
        <v>0.7873189399734889</v>
      </c>
      <c r="G40">
        <v>4</v>
      </c>
      <c r="H40">
        <f t="shared" si="12"/>
        <v>64.272812982491274</v>
      </c>
      <c r="I40">
        <v>36</v>
      </c>
      <c r="J40">
        <f t="shared" si="14"/>
        <v>28.272812982491274</v>
      </c>
      <c r="K40">
        <v>25</v>
      </c>
      <c r="L40" t="str">
        <f t="shared" si="13"/>
        <v>OK</v>
      </c>
    </row>
    <row r="41" spans="1:12" x14ac:dyDescent="0.35">
      <c r="A41">
        <v>4</v>
      </c>
      <c r="B41">
        <f t="shared" si="15"/>
        <v>64.272812982491274</v>
      </c>
      <c r="C41" t="s">
        <v>42</v>
      </c>
      <c r="D41">
        <v>47</v>
      </c>
      <c r="E41">
        <f t="shared" ref="E41:E47" si="16">E40+D41</f>
        <v>235</v>
      </c>
      <c r="F41">
        <f>'pressure flow loss'!G36</f>
        <v>1.1039345383869363</v>
      </c>
      <c r="G41">
        <v>5</v>
      </c>
      <c r="H41">
        <f t="shared" si="12"/>
        <v>63.168878444104337</v>
      </c>
      <c r="I41">
        <v>36.5</v>
      </c>
      <c r="J41">
        <f t="shared" si="14"/>
        <v>26.668878444104337</v>
      </c>
      <c r="K41">
        <v>25</v>
      </c>
      <c r="L41" t="str">
        <f t="shared" si="13"/>
        <v>OK</v>
      </c>
    </row>
    <row r="42" spans="1:12" x14ac:dyDescent="0.35">
      <c r="A42">
        <v>5</v>
      </c>
      <c r="B42">
        <f t="shared" si="15"/>
        <v>63.168878444104337</v>
      </c>
      <c r="C42" t="s">
        <v>43</v>
      </c>
      <c r="D42">
        <v>45</v>
      </c>
      <c r="E42">
        <f t="shared" si="16"/>
        <v>280</v>
      </c>
      <c r="F42">
        <f>'pressure flow loss'!G37</f>
        <v>0.92694785088671261</v>
      </c>
      <c r="G42">
        <v>6</v>
      </c>
      <c r="H42">
        <f t="shared" si="12"/>
        <v>62.241930593217624</v>
      </c>
      <c r="I42">
        <v>36</v>
      </c>
      <c r="J42">
        <f t="shared" si="14"/>
        <v>26.241930593217624</v>
      </c>
      <c r="K42">
        <v>25</v>
      </c>
      <c r="L42" t="str">
        <f t="shared" si="13"/>
        <v>OK</v>
      </c>
    </row>
    <row r="43" spans="1:12" x14ac:dyDescent="0.35">
      <c r="A43">
        <v>6</v>
      </c>
      <c r="B43">
        <f t="shared" si="15"/>
        <v>62.241930593217624</v>
      </c>
      <c r="C43" t="s">
        <v>44</v>
      </c>
      <c r="D43">
        <v>48</v>
      </c>
      <c r="E43">
        <f t="shared" si="16"/>
        <v>328</v>
      </c>
      <c r="F43">
        <f>'pressure flow loss'!G38</f>
        <v>0.42452673958405218</v>
      </c>
      <c r="G43">
        <v>7</v>
      </c>
      <c r="H43">
        <f t="shared" si="12"/>
        <v>61.817403853633571</v>
      </c>
      <c r="I43">
        <v>36</v>
      </c>
      <c r="J43">
        <f t="shared" si="14"/>
        <v>25.817403853633571</v>
      </c>
      <c r="K43">
        <v>25</v>
      </c>
      <c r="L43" t="str">
        <f>IF(J43&gt;=K43,"OK","not satisfied!")</f>
        <v>OK</v>
      </c>
    </row>
    <row r="44" spans="1:12" x14ac:dyDescent="0.35">
      <c r="A44">
        <v>7</v>
      </c>
      <c r="B44">
        <f t="shared" si="15"/>
        <v>61.817403853633571</v>
      </c>
      <c r="C44" t="s">
        <v>45</v>
      </c>
      <c r="D44">
        <v>49</v>
      </c>
      <c r="E44">
        <f t="shared" si="16"/>
        <v>377</v>
      </c>
      <c r="F44">
        <f>'pressure flow loss'!G39</f>
        <v>0.45712023620188263</v>
      </c>
      <c r="G44">
        <v>8</v>
      </c>
      <c r="H44">
        <f t="shared" si="12"/>
        <v>61.360283617431691</v>
      </c>
      <c r="I44">
        <v>36</v>
      </c>
      <c r="J44">
        <f t="shared" si="14"/>
        <v>25.360283617431691</v>
      </c>
      <c r="K44">
        <v>25</v>
      </c>
      <c r="L44" t="str">
        <f>IF(J44&gt;=K44,"OK","not satisfied!")</f>
        <v>OK</v>
      </c>
    </row>
    <row r="45" spans="1:12" x14ac:dyDescent="0.35">
      <c r="A45">
        <v>8</v>
      </c>
      <c r="B45">
        <f t="shared" si="15"/>
        <v>61.360283617431691</v>
      </c>
      <c r="C45" t="s">
        <v>46</v>
      </c>
      <c r="D45">
        <v>40</v>
      </c>
      <c r="E45">
        <f t="shared" si="16"/>
        <v>417</v>
      </c>
      <c r="F45">
        <f>'pressure flow loss'!G40</f>
        <v>-0.63595803986678723</v>
      </c>
      <c r="G45">
        <v>9</v>
      </c>
      <c r="H45">
        <f t="shared" si="12"/>
        <v>61.996241657298476</v>
      </c>
      <c r="I45">
        <v>35.5</v>
      </c>
      <c r="J45">
        <f t="shared" si="14"/>
        <v>26.496241657298476</v>
      </c>
      <c r="K45">
        <v>25</v>
      </c>
      <c r="L45" t="str">
        <f>IF(J45&gt;=K45,"OK","not satisfied!")</f>
        <v>OK</v>
      </c>
    </row>
    <row r="46" spans="1:12" x14ac:dyDescent="0.35">
      <c r="A46">
        <v>9</v>
      </c>
      <c r="B46">
        <f t="shared" si="15"/>
        <v>61.996241657298476</v>
      </c>
      <c r="C46" t="s">
        <v>47</v>
      </c>
      <c r="D46">
        <v>54</v>
      </c>
      <c r="E46">
        <f t="shared" si="16"/>
        <v>471</v>
      </c>
      <c r="F46">
        <f>'pressure flow loss'!G41</f>
        <v>-0.7927372502011607</v>
      </c>
      <c r="G46">
        <v>10</v>
      </c>
      <c r="H46">
        <f t="shared" si="12"/>
        <v>62.78897890749964</v>
      </c>
      <c r="I46">
        <v>36</v>
      </c>
      <c r="J46">
        <f t="shared" si="14"/>
        <v>26.78897890749964</v>
      </c>
      <c r="K46">
        <v>25</v>
      </c>
      <c r="L46" t="str">
        <f>IF(J46&gt;=K46,"OK","not satisfied!")</f>
        <v>OK</v>
      </c>
    </row>
    <row r="47" spans="1:12" x14ac:dyDescent="0.35">
      <c r="A47">
        <v>10</v>
      </c>
      <c r="B47">
        <f t="shared" si="15"/>
        <v>62.78897890749964</v>
      </c>
      <c r="C47" t="s">
        <v>48</v>
      </c>
      <c r="D47">
        <v>47</v>
      </c>
      <c r="E47">
        <f t="shared" si="16"/>
        <v>518</v>
      </c>
      <c r="F47">
        <f>'pressure flow loss'!G42</f>
        <v>-3.7805432887252604</v>
      </c>
      <c r="G47">
        <v>11</v>
      </c>
      <c r="H47">
        <f t="shared" si="12"/>
        <v>66.569522196224895</v>
      </c>
      <c r="I47">
        <v>36.5</v>
      </c>
      <c r="J47">
        <f t="shared" si="14"/>
        <v>30.069522196224895</v>
      </c>
      <c r="K47">
        <v>25</v>
      </c>
      <c r="L47" t="str">
        <f t="shared" ref="L47" si="17">IF(J47&gt;=K47,"OK","not satisfied!")</f>
        <v>OK</v>
      </c>
    </row>
    <row r="48" spans="1:12" x14ac:dyDescent="0.35">
      <c r="H48">
        <f>H38-H47</f>
        <v>3.970600685065051E-3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'pressure profile'!E4:E4</xm:f>
              <xm:sqref>I4</xm:sqref>
            </x14:sparkline>
            <x14:sparkline>
              <xm:f>'pressure profile'!E5:E5</xm:f>
              <xm:sqref>I5</xm:sqref>
            </x14:sparkline>
            <x14:sparkline>
              <xm:f>'pressure profile'!E6:E6</xm:f>
              <xm:sqref>I6</xm:sqref>
            </x14:sparkline>
            <x14:sparkline>
              <xm:f>'pressure profile'!E7:E7</xm:f>
              <xm:sqref>I7</xm:sqref>
            </x14:sparkline>
            <x14:sparkline>
              <xm:f>'pressure profile'!E8:E8</xm:f>
              <xm:sqref>I8</xm:sqref>
            </x14:sparkline>
            <x14:sparkline>
              <xm:f>'pressure profile'!E9:E9</xm:f>
              <xm:sqref>I9</xm:sqref>
            </x14:sparkline>
            <x14:sparkline>
              <xm:f>'pressure profile'!E10:E10</xm:f>
              <xm:sqref>I10</xm:sqref>
            </x14:sparkline>
            <x14:sparkline>
              <xm:f>'pressure profile'!E11:E11</xm:f>
              <xm:sqref>I11</xm:sqref>
            </x14:sparkline>
            <x14:sparkline>
              <xm:f>'pressure profile'!E12:E12</xm:f>
              <xm:sqref>I12</xm:sqref>
            </x14:sparkline>
            <x14:sparkline>
              <xm:f>'pressure profile'!E13:E13</xm:f>
              <xm:sqref>I13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perimeter</vt:lpstr>
      <vt:lpstr>water</vt:lpstr>
      <vt:lpstr>cons.nodes</vt:lpstr>
      <vt:lpstr>max-min aver</vt:lpstr>
      <vt:lpstr>initial</vt:lpstr>
      <vt:lpstr>diameter</vt:lpstr>
      <vt:lpstr>cross</vt:lpstr>
      <vt:lpstr>pressure flow loss</vt:lpstr>
      <vt:lpstr>node pressure</vt:lpstr>
      <vt:lpstr>pressure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Amgalantuul Purevsuren</dc:creator>
  <cp:lastModifiedBy>dell</cp:lastModifiedBy>
  <dcterms:created xsi:type="dcterms:W3CDTF">2015-06-05T18:17:20Z</dcterms:created>
  <dcterms:modified xsi:type="dcterms:W3CDTF">2020-12-17T16:29:23Z</dcterms:modified>
</cp:coreProperties>
</file>