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3rd semester\Public works\"/>
    </mc:Choice>
  </mc:AlternateContent>
  <bookViews>
    <workbookView xWindow="0" yWindow="0" windowWidth="22260" windowHeight="12650"/>
  </bookViews>
  <sheets>
    <sheet name="wastewaterdemand" sheetId="1" r:id="rId1"/>
    <sheet name="waterdemand" sheetId="2" r:id="rId2"/>
    <sheet name="stress profile" sheetId="3" r:id="rId3"/>
    <sheet name="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E4" i="3"/>
  <c r="E3" i="3"/>
  <c r="E2" i="3"/>
  <c r="E1" i="3"/>
  <c r="D2" i="3"/>
  <c r="D3" i="3"/>
  <c r="D4" i="3"/>
  <c r="G70" i="1" l="1"/>
  <c r="H70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G37" i="1"/>
  <c r="E37" i="1"/>
  <c r="F37" i="1" s="1"/>
  <c r="E34" i="1"/>
  <c r="F34" i="1" s="1"/>
  <c r="E35" i="1"/>
  <c r="G68" i="1" s="1"/>
  <c r="E33" i="1"/>
  <c r="G66" i="1" s="1"/>
  <c r="E32" i="1"/>
  <c r="F32" i="1" s="1"/>
  <c r="G33" i="1"/>
  <c r="G34" i="1"/>
  <c r="G35" i="1"/>
  <c r="G36" i="1"/>
  <c r="G32" i="1"/>
  <c r="E36" i="1"/>
  <c r="F36" i="1" s="1"/>
  <c r="H36" i="1" s="1"/>
  <c r="B69" i="1" s="1"/>
  <c r="G67" i="1" l="1"/>
  <c r="H67" i="1" s="1"/>
  <c r="G69" i="1"/>
  <c r="H69" i="1" s="1"/>
  <c r="G65" i="1"/>
  <c r="H65" i="1" s="1"/>
  <c r="H37" i="1"/>
  <c r="B70" i="1" s="1"/>
  <c r="F35" i="1"/>
  <c r="H35" i="1" s="1"/>
  <c r="B68" i="1" s="1"/>
  <c r="H68" i="1"/>
  <c r="F33" i="1"/>
  <c r="H33" i="1" s="1"/>
  <c r="B66" i="1" s="1"/>
  <c r="H66" i="1"/>
  <c r="H34" i="1"/>
  <c r="B67" i="1" s="1"/>
  <c r="H32" i="1"/>
  <c r="B65" i="1" s="1"/>
  <c r="C22" i="1" l="1"/>
  <c r="D23" i="1" s="1"/>
  <c r="C23" i="1" s="1"/>
  <c r="D24" i="1" s="1"/>
  <c r="C24" i="1" s="1"/>
  <c r="D25" i="1" s="1"/>
  <c r="C25" i="1" s="1"/>
  <c r="D26" i="1" s="1"/>
  <c r="C26" i="1" s="1"/>
  <c r="J9" i="1"/>
  <c r="J8" i="1"/>
  <c r="J7" i="1"/>
  <c r="J6" i="1"/>
  <c r="J5" i="1"/>
  <c r="J4" i="1"/>
  <c r="I8" i="1"/>
  <c r="I5" i="1"/>
  <c r="I4" i="1"/>
  <c r="H8" i="1"/>
  <c r="H5" i="1"/>
  <c r="H4" i="1"/>
  <c r="G7" i="1"/>
  <c r="G4" i="1"/>
  <c r="F9" i="1"/>
  <c r="F8" i="1"/>
  <c r="F7" i="1"/>
  <c r="F6" i="1"/>
  <c r="F5" i="1"/>
  <c r="F17" i="1"/>
  <c r="F16" i="1"/>
  <c r="F15" i="1"/>
  <c r="D17" i="1"/>
  <c r="D16" i="1"/>
  <c r="D15" i="1"/>
  <c r="B17" i="1"/>
  <c r="B16" i="1"/>
  <c r="B15" i="1"/>
  <c r="F14" i="1"/>
  <c r="D14" i="1"/>
  <c r="E15" i="1"/>
  <c r="E16" i="1"/>
  <c r="E17" i="1"/>
  <c r="E14" i="1"/>
  <c r="B14" i="1"/>
  <c r="F4" i="1"/>
  <c r="E10" i="1" l="1"/>
  <c r="E4" i="1"/>
  <c r="E5" i="1"/>
  <c r="E6" i="1"/>
</calcChain>
</file>

<file path=xl/sharedStrings.xml><?xml version="1.0" encoding="utf-8"?>
<sst xmlns="http://schemas.openxmlformats.org/spreadsheetml/2006/main" count="127" uniqueCount="79">
  <si>
    <t>Point number</t>
  </si>
  <si>
    <t>Catchment</t>
  </si>
  <si>
    <t>Catchment areas</t>
  </si>
  <si>
    <t>Waste water load due to :</t>
  </si>
  <si>
    <t>Total design load</t>
  </si>
  <si>
    <t>Inhabitants</t>
  </si>
  <si>
    <t>Public institution</t>
  </si>
  <si>
    <t>Communal demand</t>
  </si>
  <si>
    <t>Technological demand</t>
  </si>
  <si>
    <t>[m2]</t>
  </si>
  <si>
    <t>[m3/h]</t>
  </si>
  <si>
    <t>S4</t>
  </si>
  <si>
    <t>S1 + S2 + S3 + S4+S5+S6</t>
  </si>
  <si>
    <t>S3+S4</t>
  </si>
  <si>
    <t>S2+S5+S6</t>
  </si>
  <si>
    <t>S5</t>
  </si>
  <si>
    <t>S6</t>
  </si>
  <si>
    <t>Count of connections</t>
  </si>
  <si>
    <t>Persons per connection</t>
  </si>
  <si>
    <t>Persons</t>
  </si>
  <si>
    <t>Average water demand</t>
  </si>
  <si>
    <t>Seasonal
ratio</t>
  </si>
  <si>
    <t>Peak water demand</t>
  </si>
  <si>
    <t>Loss
coefficient</t>
  </si>
  <si>
    <t>Designing peak water demand</t>
  </si>
  <si>
    <t>piece</t>
  </si>
  <si>
    <t>person/binding in</t>
  </si>
  <si>
    <t>head</t>
  </si>
  <si>
    <t>l/person/day</t>
  </si>
  <si>
    <t>m3/day</t>
  </si>
  <si>
    <t>-</t>
  </si>
  <si>
    <t>PUBLIC INSTITUTIONS WATER DEMAND</t>
  </si>
  <si>
    <t>Profession of people</t>
  </si>
  <si>
    <t>Number of people</t>
  </si>
  <si>
    <t>specific water demand</t>
  </si>
  <si>
    <t>average water
demand</t>
  </si>
  <si>
    <t>seasonal
ratio</t>
  </si>
  <si>
    <t>peak water demand</t>
  </si>
  <si>
    <t>loss
coefficient</t>
  </si>
  <si>
    <t>designing peak water demand</t>
  </si>
  <si>
    <t>worker</t>
  </si>
  <si>
    <t>student</t>
  </si>
  <si>
    <t>SUM</t>
  </si>
  <si>
    <t>THE INDUSTRIAL WATER DEMAND</t>
  </si>
  <si>
    <t>Technological
water demand</t>
  </si>
  <si>
    <t xml:space="preserve">total consumption will be </t>
  </si>
  <si>
    <t>Specific water demand</t>
  </si>
  <si>
    <t>Derivation of waste water</t>
  </si>
  <si>
    <t>dweller</t>
  </si>
  <si>
    <t>public institution</t>
  </si>
  <si>
    <t>technological water</t>
  </si>
  <si>
    <t>social water</t>
  </si>
  <si>
    <t>maximum water consumption (m3/day)</t>
  </si>
  <si>
    <t>Waste water fraction / sewage ratio</t>
  </si>
  <si>
    <t>Maximum waste water quantity (m3/day)</t>
  </si>
  <si>
    <t>hourly-peak ratio</t>
  </si>
  <si>
    <t>hourly maximum waste water quantity (m3/hour)</t>
  </si>
  <si>
    <t>Pipe number</t>
  </si>
  <si>
    <t>Length of the pipes</t>
  </si>
  <si>
    <t>Depth of the inlet point of the pipe</t>
  </si>
  <si>
    <t>Depth of the outlet point of the pipe</t>
  </si>
  <si>
    <t>Slope</t>
  </si>
  <si>
    <t>[m]</t>
  </si>
  <si>
    <t>[‰]</t>
  </si>
  <si>
    <t>Total.</t>
  </si>
  <si>
    <t>Roughness of the pipe</t>
  </si>
  <si>
    <t>Diameter of the pipes d</t>
  </si>
  <si>
    <r>
      <t>v</t>
    </r>
    <r>
      <rPr>
        <b/>
        <vertAlign val="subscript"/>
        <sz val="12"/>
        <color indexed="8"/>
        <rFont val="Calibri"/>
        <family val="2"/>
      </rPr>
      <t>tot</t>
    </r>
  </si>
  <si>
    <r>
      <t>Q</t>
    </r>
    <r>
      <rPr>
        <b/>
        <vertAlign val="subscript"/>
        <sz val="12"/>
        <color indexed="8"/>
        <rFont val="Calibri"/>
        <family val="2"/>
      </rPr>
      <t>tot</t>
    </r>
  </si>
  <si>
    <r>
      <t>Q</t>
    </r>
    <r>
      <rPr>
        <b/>
        <vertAlign val="subscript"/>
        <sz val="12"/>
        <color indexed="8"/>
        <rFont val="Calibri"/>
        <family val="2"/>
      </rPr>
      <t>design</t>
    </r>
  </si>
  <si>
    <r>
      <t>Q</t>
    </r>
    <r>
      <rPr>
        <b/>
        <vertAlign val="subscript"/>
        <sz val="12"/>
        <color indexed="8"/>
        <rFont val="Calibri"/>
        <family val="2"/>
      </rPr>
      <t>design</t>
    </r>
    <r>
      <rPr>
        <b/>
        <sz val="12"/>
        <color indexed="8"/>
        <rFont val="Calibri"/>
        <family val="2"/>
      </rPr>
      <t>/Q</t>
    </r>
    <r>
      <rPr>
        <b/>
        <vertAlign val="subscript"/>
        <sz val="12"/>
        <color indexed="8"/>
        <rFont val="Calibri"/>
        <family val="2"/>
      </rPr>
      <t>tot</t>
    </r>
  </si>
  <si>
    <t>[mm]</t>
  </si>
  <si>
    <t>[m/s]</t>
  </si>
  <si>
    <t>[L/s]</t>
  </si>
  <si>
    <r>
      <t>v</t>
    </r>
    <r>
      <rPr>
        <b/>
        <vertAlign val="subscript"/>
        <sz val="12"/>
        <color indexed="8"/>
        <rFont val="Calibri"/>
        <family val="2"/>
      </rPr>
      <t>design</t>
    </r>
    <r>
      <rPr>
        <b/>
        <sz val="12"/>
        <color indexed="8"/>
        <rFont val="Calibri"/>
        <family val="2"/>
      </rPr>
      <t>/v</t>
    </r>
    <r>
      <rPr>
        <b/>
        <vertAlign val="subscript"/>
        <sz val="12"/>
        <color indexed="8"/>
        <rFont val="Calibri"/>
        <family val="2"/>
      </rPr>
      <t>tot</t>
    </r>
  </si>
  <si>
    <t>h/d</t>
  </si>
  <si>
    <t>h</t>
  </si>
  <si>
    <t>vreal</t>
  </si>
  <si>
    <t>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</si>
</sst>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2">
      <alignment horizontal="center" vertical="center" wrapText="1"/>
    </xf>
    <xf numFmtId="0" fontId="3" fillId="0" borderId="4">
      <alignment horizontal="center" vertical="center" wrapText="1"/>
    </xf>
    <xf numFmtId="0" fontId="3" fillId="0" borderId="3">
      <alignment horizontal="center" vertical="center" wrapText="1"/>
    </xf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4" fillId="0" borderId="2" xfId="3" applyFont="1">
      <alignment horizontal="center" vertical="center" wrapText="1"/>
    </xf>
    <xf numFmtId="0" fontId="4" fillId="0" borderId="3" xfId="3" applyFont="1" applyBorder="1">
      <alignment horizontal="center" vertical="center" wrapText="1"/>
    </xf>
    <xf numFmtId="0" fontId="4" fillId="0" borderId="4" xfId="4" applyFont="1">
      <alignment horizontal="center" vertical="center" wrapText="1"/>
    </xf>
    <xf numFmtId="0" fontId="3" fillId="0" borderId="3" xfId="5">
      <alignment horizontal="center" vertical="center" wrapText="1"/>
    </xf>
    <xf numFmtId="0" fontId="3" fillId="0" borderId="4" xfId="5" applyBorder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1" applyNumberFormat="1" applyFont="1" applyBorder="1"/>
    <xf numFmtId="0" fontId="3" fillId="0" borderId="3" xfId="5" applyFill="1" applyBorder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4" fillId="0" borderId="7" xfId="4" applyFont="1" applyBorder="1">
      <alignment horizontal="center" vertical="center" wrapText="1"/>
    </xf>
    <xf numFmtId="0" fontId="3" fillId="0" borderId="1" xfId="5" applyBorder="1">
      <alignment horizontal="center" vertical="center" wrapText="1"/>
    </xf>
    <xf numFmtId="165" fontId="8" fillId="0" borderId="1" xfId="2" applyNumberFormat="1" applyFont="1" applyBorder="1" applyAlignment="1">
      <alignment horizontal="center" vertical="center" wrapText="1"/>
    </xf>
    <xf numFmtId="0" fontId="3" fillId="0" borderId="1" xfId="5" applyFill="1" applyBorder="1">
      <alignment horizontal="center" vertical="center" wrapText="1"/>
    </xf>
    <xf numFmtId="165" fontId="8" fillId="0" borderId="1" xfId="2" applyNumberFormat="1" applyFont="1" applyFill="1" applyBorder="1" applyAlignment="1">
      <alignment horizontal="center" vertical="center" wrapText="1"/>
    </xf>
    <xf numFmtId="0" fontId="4" fillId="0" borderId="1" xfId="3" applyFont="1" applyBorder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1" xfId="4" applyFont="1" applyBorder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center" wrapText="1"/>
    </xf>
    <xf numFmtId="165" fontId="3" fillId="0" borderId="1" xfId="5" applyNumberFormat="1" applyBorder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64" fontId="8" fillId="0" borderId="1" xfId="2" applyNumberFormat="1" applyFont="1" applyFill="1" applyBorder="1" applyAlignment="1">
      <alignment horizontal="center" vertical="center" wrapText="1"/>
    </xf>
    <xf numFmtId="165" fontId="3" fillId="0" borderId="1" xfId="5" applyNumberFormat="1" applyFill="1" applyBorder="1">
      <alignment horizontal="center" vertical="center" wrapText="1"/>
    </xf>
    <xf numFmtId="165" fontId="0" fillId="0" borderId="1" xfId="0" applyNumberFormat="1" applyBorder="1"/>
  </cellXfs>
  <cellStyles count="6">
    <cellStyle name="Normal" xfId="0" builtinId="0"/>
    <cellStyle name="Normál 2" xfId="2"/>
    <cellStyle name="Percent" xfId="1" builtinId="5"/>
    <cellStyle name="Style 1" xfId="3"/>
    <cellStyle name="Style 2" xfId="4"/>
    <cellStyle name="Style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profile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Ground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'stress profile'!$B$1:$B$4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'stress profile'!$C$1:$C$4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36.200000000000003</c:v>
                </c:pt>
                <c:pt idx="3">
                  <c:v>36.5</c:v>
                </c:pt>
              </c:numCache>
            </c:numRef>
          </c:val>
          <c:smooth val="0"/>
        </c:ser>
        <c:ser>
          <c:idx val="1"/>
          <c:order val="1"/>
          <c:tx>
            <c:v>Pipe upside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'stress profile'!$B$1:$B$4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'stress profile'!$D$1:$D$4</c:f>
              <c:numCache>
                <c:formatCode>General</c:formatCode>
                <c:ptCount val="4"/>
                <c:pt idx="0">
                  <c:v>31.1816818</c:v>
                </c:pt>
                <c:pt idx="1">
                  <c:v>31.270937400000001</c:v>
                </c:pt>
                <c:pt idx="2">
                  <c:v>31.516375000000004</c:v>
                </c:pt>
                <c:pt idx="3">
                  <c:v>31.919892900000001</c:v>
                </c:pt>
              </c:numCache>
            </c:numRef>
          </c:val>
          <c:smooth val="0"/>
        </c:ser>
        <c:ser>
          <c:idx val="2"/>
          <c:order val="2"/>
          <c:tx>
            <c:v>Pipe downside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'stress profile'!$B$1:$B$4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'stress profile'!$E$1:$E$4</c:f>
              <c:numCache>
                <c:formatCode>General</c:formatCode>
                <c:ptCount val="4"/>
                <c:pt idx="0">
                  <c:v>31</c:v>
                </c:pt>
                <c:pt idx="1">
                  <c:v>31.1816818</c:v>
                </c:pt>
                <c:pt idx="2">
                  <c:v>31.270937400000001</c:v>
                </c:pt>
                <c:pt idx="3">
                  <c:v>31.316375000000001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76776"/>
        <c:axId val="359477952"/>
      </c:lineChart>
      <c:catAx>
        <c:axId val="3594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77952"/>
        <c:crosses val="autoZero"/>
        <c:auto val="1"/>
        <c:lblAlgn val="ctr"/>
        <c:lblOffset val="100"/>
        <c:noMultiLvlLbl val="0"/>
      </c:catAx>
      <c:valAx>
        <c:axId val="3594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7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76200</xdr:rowOff>
    </xdr:from>
    <xdr:to>
      <xdr:col>4</xdr:col>
      <xdr:colOff>479376</xdr:colOff>
      <xdr:row>59</xdr:row>
      <xdr:rowOff>133350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4450"/>
          <a:ext cx="3565476" cy="355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433295</xdr:colOff>
      <xdr:row>0</xdr:row>
      <xdr:rowOff>104589</xdr:rowOff>
    </xdr:from>
    <xdr:to>
      <xdr:col>13</xdr:col>
      <xdr:colOff>104589</xdr:colOff>
      <xdr:row>15</xdr:row>
      <xdr:rowOff>52294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zoomScale="85" zoomScaleNormal="85" workbookViewId="0">
      <selection activeCell="D65" sqref="D65"/>
    </sheetView>
  </sheetViews>
  <sheetFormatPr defaultRowHeight="14.5" x14ac:dyDescent="0.35"/>
  <cols>
    <col min="1" max="1" width="9.81640625" customWidth="1"/>
    <col min="2" max="2" width="10.6328125" customWidth="1"/>
    <col min="3" max="3" width="12.36328125" customWidth="1"/>
    <col min="4" max="4" width="11.36328125" customWidth="1"/>
    <col min="5" max="5" width="11" customWidth="1"/>
    <col min="6" max="6" width="17.1796875" customWidth="1"/>
    <col min="7" max="7" width="10.08984375" customWidth="1"/>
    <col min="8" max="8" width="11.1796875" customWidth="1"/>
    <col min="9" max="9" width="10.90625" customWidth="1"/>
  </cols>
  <sheetData>
    <row r="1" spans="1:11" ht="29" x14ac:dyDescent="0.35">
      <c r="C1" s="2" t="s">
        <v>0</v>
      </c>
      <c r="D1" s="2" t="s">
        <v>1</v>
      </c>
      <c r="E1" s="8" t="s">
        <v>2</v>
      </c>
      <c r="F1" s="8" t="s">
        <v>3</v>
      </c>
      <c r="G1" s="2"/>
      <c r="H1" s="2"/>
      <c r="I1" s="2"/>
      <c r="J1" s="2" t="s">
        <v>4</v>
      </c>
      <c r="K1" s="2"/>
    </row>
    <row r="2" spans="1:11" ht="43.5" x14ac:dyDescent="0.35">
      <c r="C2" s="2"/>
      <c r="D2" s="2"/>
      <c r="E2" s="2"/>
      <c r="F2" s="2" t="s">
        <v>5</v>
      </c>
      <c r="G2" s="8" t="s">
        <v>6</v>
      </c>
      <c r="H2" s="8" t="s">
        <v>7</v>
      </c>
      <c r="I2" s="8" t="s">
        <v>8</v>
      </c>
      <c r="J2" s="2"/>
      <c r="K2" s="2"/>
    </row>
    <row r="3" spans="1:11" x14ac:dyDescent="0.35">
      <c r="C3" s="2"/>
      <c r="D3" s="2"/>
      <c r="E3" s="2" t="s">
        <v>9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  <c r="K3" s="2"/>
    </row>
    <row r="4" spans="1:11" ht="29" x14ac:dyDescent="0.35">
      <c r="C4" s="2">
        <v>1</v>
      </c>
      <c r="D4" s="8" t="s">
        <v>12</v>
      </c>
      <c r="E4" s="2">
        <f>3887.5+1428.2+E5+E8+E9</f>
        <v>15643.800000000003</v>
      </c>
      <c r="F4" s="2">
        <f>waterdemand!I3*E4/E10</f>
        <v>194.11392000000004</v>
      </c>
      <c r="G4" s="2">
        <f>F15</f>
        <v>5.5968</v>
      </c>
      <c r="H4" s="2">
        <f>F17</f>
        <v>0.52800000000000014</v>
      </c>
      <c r="I4" s="2">
        <f>F16</f>
        <v>44</v>
      </c>
      <c r="J4" s="2">
        <f>SUM(F4:I4)</f>
        <v>244.23872000000003</v>
      </c>
      <c r="K4" s="2"/>
    </row>
    <row r="5" spans="1:11" x14ac:dyDescent="0.35">
      <c r="C5" s="2">
        <v>1</v>
      </c>
      <c r="D5" s="2" t="s">
        <v>13</v>
      </c>
      <c r="E5" s="2">
        <f>1686.4+E7</f>
        <v>4936.7000000000007</v>
      </c>
      <c r="F5" s="2">
        <f>waterdemand!I3*E5/E10</f>
        <v>61.256356439228334</v>
      </c>
      <c r="G5" s="2"/>
      <c r="H5" s="2">
        <f>F17</f>
        <v>0.52800000000000014</v>
      </c>
      <c r="I5" s="2">
        <f>F16</f>
        <v>44</v>
      </c>
      <c r="J5" s="2">
        <f>SUM(F5:I5)</f>
        <v>105.78435643922833</v>
      </c>
      <c r="K5" s="2"/>
    </row>
    <row r="6" spans="1:11" x14ac:dyDescent="0.35">
      <c r="C6" s="2">
        <v>2</v>
      </c>
      <c r="D6" s="2" t="s">
        <v>14</v>
      </c>
      <c r="E6" s="2">
        <f>1428.2+E8+E9</f>
        <v>6819.5999999999995</v>
      </c>
      <c r="F6" s="2">
        <f>waterdemand!I3*E6/E10</f>
        <v>84.620059629501782</v>
      </c>
      <c r="G6" s="2"/>
      <c r="H6" s="2"/>
      <c r="I6" s="2"/>
      <c r="J6" s="2">
        <f>SUM(F6:I6)</f>
        <v>84.620059629501782</v>
      </c>
      <c r="K6" s="2"/>
    </row>
    <row r="7" spans="1:11" x14ac:dyDescent="0.35">
      <c r="C7" s="2">
        <v>3</v>
      </c>
      <c r="D7" s="2" t="s">
        <v>11</v>
      </c>
      <c r="E7" s="2">
        <v>3250.3</v>
      </c>
      <c r="F7" s="2">
        <f>waterdemand!I3*E7/E10</f>
        <v>40.330896212940587</v>
      </c>
      <c r="G7" s="2">
        <f>F15</f>
        <v>5.5968</v>
      </c>
      <c r="H7" s="2"/>
      <c r="I7" s="2"/>
      <c r="J7" s="2">
        <f>SUM(F7:I7)</f>
        <v>45.927696212940589</v>
      </c>
      <c r="K7" s="2"/>
    </row>
    <row r="8" spans="1:11" x14ac:dyDescent="0.35">
      <c r="C8" s="2">
        <v>4</v>
      </c>
      <c r="D8" s="2" t="s">
        <v>15</v>
      </c>
      <c r="E8" s="2">
        <v>2273.6999999999998</v>
      </c>
      <c r="F8" s="2">
        <f>waterdemand!I3*E8/E10</f>
        <v>28.212890723737196</v>
      </c>
      <c r="G8" s="2"/>
      <c r="H8" s="2">
        <f>F17</f>
        <v>0.52800000000000014</v>
      </c>
      <c r="I8" s="2">
        <f>F16</f>
        <v>44</v>
      </c>
      <c r="J8" s="2">
        <f>SUM(F8:I8)</f>
        <v>72.740890723737195</v>
      </c>
      <c r="K8" s="2"/>
    </row>
    <row r="9" spans="1:11" x14ac:dyDescent="0.35">
      <c r="C9" s="2">
        <v>5</v>
      </c>
      <c r="D9" s="2" t="s">
        <v>16</v>
      </c>
      <c r="E9" s="2">
        <v>3117.7</v>
      </c>
      <c r="F9" s="2">
        <f>waterdemand!I3*E9/E10</f>
        <v>38.68554752579297</v>
      </c>
      <c r="G9" s="2"/>
      <c r="H9" s="2"/>
      <c r="I9" s="2"/>
      <c r="J9" s="2">
        <f>SUM(F9:I9)</f>
        <v>38.68554752579297</v>
      </c>
      <c r="K9" s="2"/>
    </row>
    <row r="10" spans="1:11" x14ac:dyDescent="0.35">
      <c r="C10" t="s">
        <v>64</v>
      </c>
      <c r="E10">
        <f>E4</f>
        <v>15643.800000000003</v>
      </c>
    </row>
    <row r="13" spans="1:11" ht="61" customHeight="1" x14ac:dyDescent="0.35">
      <c r="A13" s="8" t="s">
        <v>47</v>
      </c>
      <c r="B13" s="8" t="s">
        <v>52</v>
      </c>
      <c r="C13" s="8" t="s">
        <v>53</v>
      </c>
      <c r="D13" s="8" t="s">
        <v>54</v>
      </c>
      <c r="E13" s="8" t="s">
        <v>55</v>
      </c>
      <c r="F13" s="8" t="s">
        <v>56</v>
      </c>
    </row>
    <row r="14" spans="1:11" x14ac:dyDescent="0.35">
      <c r="A14" s="2" t="s">
        <v>48</v>
      </c>
      <c r="B14" s="2">
        <f>waterdemand!I3</f>
        <v>194.11392000000004</v>
      </c>
      <c r="C14" s="2">
        <v>0.8</v>
      </c>
      <c r="D14" s="2">
        <f>B14*C14</f>
        <v>155.29113600000005</v>
      </c>
      <c r="E14" s="9">
        <f>1/20</f>
        <v>0.05</v>
      </c>
      <c r="F14" s="2">
        <f>D14*E14</f>
        <v>7.7645568000000029</v>
      </c>
    </row>
    <row r="15" spans="1:11" x14ac:dyDescent="0.35">
      <c r="A15" s="2" t="s">
        <v>49</v>
      </c>
      <c r="B15" s="2">
        <f>waterdemand!H12</f>
        <v>139.91999999999999</v>
      </c>
      <c r="C15" s="2">
        <v>0.8</v>
      </c>
      <c r="D15" s="2">
        <f>B15*C15</f>
        <v>111.93599999999999</v>
      </c>
      <c r="E15" s="9">
        <f t="shared" ref="E15:E17" si="0">1/20</f>
        <v>0.05</v>
      </c>
      <c r="F15" s="2">
        <f>D15*E15</f>
        <v>5.5968</v>
      </c>
    </row>
    <row r="16" spans="1:11" x14ac:dyDescent="0.35">
      <c r="A16" s="2" t="s">
        <v>50</v>
      </c>
      <c r="B16" s="2">
        <f>waterdemand!C18</f>
        <v>1100</v>
      </c>
      <c r="C16" s="2">
        <v>0.8</v>
      </c>
      <c r="D16" s="2">
        <f>B16*C16</f>
        <v>880</v>
      </c>
      <c r="E16" s="9">
        <f t="shared" si="0"/>
        <v>0.05</v>
      </c>
      <c r="F16" s="2">
        <f>D16*E16</f>
        <v>44</v>
      </c>
    </row>
    <row r="17" spans="1:8" x14ac:dyDescent="0.35">
      <c r="A17" s="2" t="s">
        <v>51</v>
      </c>
      <c r="B17" s="2">
        <f>waterdemand!G22</f>
        <v>13.200000000000001</v>
      </c>
      <c r="C17" s="2">
        <v>0.8</v>
      </c>
      <c r="D17" s="2">
        <f>B17*C17</f>
        <v>10.560000000000002</v>
      </c>
      <c r="E17" s="9">
        <f t="shared" si="0"/>
        <v>0.05</v>
      </c>
      <c r="F17" s="2">
        <f>D17*E17</f>
        <v>0.52800000000000014</v>
      </c>
    </row>
    <row r="19" spans="1:8" ht="14.5" customHeight="1" x14ac:dyDescent="0.35">
      <c r="A19" s="3" t="s">
        <v>57</v>
      </c>
      <c r="B19" s="3" t="s">
        <v>58</v>
      </c>
      <c r="C19" s="3" t="s">
        <v>59</v>
      </c>
      <c r="D19" s="3" t="s">
        <v>60</v>
      </c>
      <c r="E19" s="3" t="s">
        <v>61</v>
      </c>
    </row>
    <row r="20" spans="1:8" ht="14.5" customHeight="1" x14ac:dyDescent="0.35">
      <c r="A20" s="4"/>
      <c r="B20" s="4"/>
      <c r="C20" s="4"/>
      <c r="D20" s="4"/>
      <c r="E20" s="4"/>
    </row>
    <row r="21" spans="1:8" ht="15.5" x14ac:dyDescent="0.35">
      <c r="A21" s="5"/>
      <c r="B21" s="5" t="s">
        <v>62</v>
      </c>
      <c r="C21" s="5" t="s">
        <v>62</v>
      </c>
      <c r="D21" s="5" t="s">
        <v>62</v>
      </c>
      <c r="E21" s="5" t="s">
        <v>63</v>
      </c>
    </row>
    <row r="22" spans="1:8" ht="15.5" x14ac:dyDescent="0.35">
      <c r="A22" s="6">
        <v>0</v>
      </c>
      <c r="B22" s="6">
        <v>181.68180000000001</v>
      </c>
      <c r="C22" s="6">
        <f t="shared" ref="C22:C26" si="1">D22-(B22*E22/1000)</f>
        <v>4.8183182000000002</v>
      </c>
      <c r="D22" s="6">
        <v>5</v>
      </c>
      <c r="E22" s="6">
        <v>1</v>
      </c>
    </row>
    <row r="23" spans="1:8" ht="15.5" x14ac:dyDescent="0.35">
      <c r="A23" s="6">
        <v>1</v>
      </c>
      <c r="B23" s="6">
        <v>89.255600000000001</v>
      </c>
      <c r="C23" s="6">
        <f t="shared" si="1"/>
        <v>4.7290625999999998</v>
      </c>
      <c r="D23" s="6">
        <f>C22</f>
        <v>4.8183182000000002</v>
      </c>
      <c r="E23" s="6">
        <v>1</v>
      </c>
    </row>
    <row r="24" spans="1:8" ht="15.5" x14ac:dyDescent="0.35">
      <c r="A24" s="6">
        <v>2</v>
      </c>
      <c r="B24" s="6">
        <v>45.437600000000003</v>
      </c>
      <c r="C24" s="6">
        <f t="shared" si="1"/>
        <v>4.6836250000000001</v>
      </c>
      <c r="D24" s="6">
        <f t="shared" ref="D24:D26" si="2">C23</f>
        <v>4.7290625999999998</v>
      </c>
      <c r="E24" s="6">
        <v>1</v>
      </c>
    </row>
    <row r="25" spans="1:8" ht="15.5" x14ac:dyDescent="0.35">
      <c r="A25" s="6">
        <v>3</v>
      </c>
      <c r="B25" s="6">
        <v>103.5179</v>
      </c>
      <c r="C25" s="6">
        <f t="shared" si="1"/>
        <v>4.5801071000000002</v>
      </c>
      <c r="D25" s="6">
        <f t="shared" si="2"/>
        <v>4.6836250000000001</v>
      </c>
      <c r="E25" s="6">
        <v>1</v>
      </c>
    </row>
    <row r="26" spans="1:8" ht="15.5" x14ac:dyDescent="0.35">
      <c r="A26" s="7">
        <v>4</v>
      </c>
      <c r="B26" s="7">
        <v>111.08710000000001</v>
      </c>
      <c r="C26" s="7">
        <f t="shared" si="1"/>
        <v>4.4690200000000004</v>
      </c>
      <c r="D26" s="7">
        <f t="shared" si="2"/>
        <v>4.5801071000000002</v>
      </c>
      <c r="E26" s="6">
        <v>1</v>
      </c>
    </row>
    <row r="27" spans="1:8" ht="15.5" x14ac:dyDescent="0.35">
      <c r="A27" s="10">
        <v>5</v>
      </c>
    </row>
    <row r="29" spans="1:8" ht="14.5" customHeight="1" x14ac:dyDescent="0.35">
      <c r="A29" s="3" t="s">
        <v>57</v>
      </c>
      <c r="B29" s="3" t="s">
        <v>61</v>
      </c>
      <c r="C29" s="3" t="s">
        <v>65</v>
      </c>
      <c r="D29" s="3" t="s">
        <v>66</v>
      </c>
      <c r="E29" s="11" t="s">
        <v>67</v>
      </c>
      <c r="F29" s="11" t="s">
        <v>68</v>
      </c>
      <c r="G29" s="11" t="s">
        <v>69</v>
      </c>
      <c r="H29" s="12" t="s">
        <v>70</v>
      </c>
    </row>
    <row r="30" spans="1:8" ht="14.5" customHeight="1" x14ac:dyDescent="0.35">
      <c r="A30" s="4"/>
      <c r="B30" s="4"/>
      <c r="C30" s="4"/>
      <c r="D30" s="4"/>
      <c r="E30" s="13"/>
      <c r="F30" s="13"/>
      <c r="G30" s="13"/>
      <c r="H30" s="14"/>
    </row>
    <row r="31" spans="1:8" ht="15.5" x14ac:dyDescent="0.35">
      <c r="A31" s="5"/>
      <c r="B31" s="5" t="s">
        <v>63</v>
      </c>
      <c r="C31" s="5" t="s">
        <v>71</v>
      </c>
      <c r="D31" s="5" t="s">
        <v>62</v>
      </c>
      <c r="E31" s="5" t="s">
        <v>72</v>
      </c>
      <c r="F31" s="5" t="s">
        <v>73</v>
      </c>
      <c r="G31" s="5" t="s">
        <v>73</v>
      </c>
      <c r="H31" s="15"/>
    </row>
    <row r="32" spans="1:8" ht="15.5" x14ac:dyDescent="0.35">
      <c r="A32" s="16">
        <v>0</v>
      </c>
      <c r="B32" s="16">
        <v>1</v>
      </c>
      <c r="C32" s="16">
        <v>0.5</v>
      </c>
      <c r="D32" s="16">
        <v>0.5</v>
      </c>
      <c r="E32" s="17">
        <f>-2*LOG10(((2.51*1.31*10^-6)/(D32*(2*9.81*(B32/1000)*D32)^0.5))+(C32/(3710*D32)))*(2*9.81*(B32/1000)*D32)^0.5</f>
        <v>0.68811652565480297</v>
      </c>
      <c r="F32" s="17">
        <f t="shared" ref="F32:F37" si="3">1000*E32*PI()*D32^2/4</f>
        <v>135.11136386317884</v>
      </c>
      <c r="G32" s="17">
        <f>J4/3.6</f>
        <v>67.844088888888891</v>
      </c>
      <c r="H32" s="17">
        <f t="shared" ref="H32:H37" si="4">G32/F32</f>
        <v>0.50213458697368729</v>
      </c>
    </row>
    <row r="33" spans="1:8" ht="15.5" x14ac:dyDescent="0.35">
      <c r="A33" s="16">
        <v>1</v>
      </c>
      <c r="B33" s="16">
        <v>1</v>
      </c>
      <c r="C33" s="16">
        <v>0.5</v>
      </c>
      <c r="D33" s="16">
        <v>0.5</v>
      </c>
      <c r="E33" s="17">
        <f>-2*LOG10(((2.51*1.31*10^-6)/(D32*(2*9.81*(B33/1000)*D33)^0.5))+(C33/(3710*D33)))*(2*9.81*(B33/1000)*D33)^0.5</f>
        <v>0.68811652565480297</v>
      </c>
      <c r="F33" s="17">
        <f t="shared" si="3"/>
        <v>135.11136386317884</v>
      </c>
      <c r="G33" s="17">
        <f t="shared" ref="G33:G36" si="5">J5/3.6</f>
        <v>29.384543455341202</v>
      </c>
      <c r="H33" s="17">
        <f t="shared" si="4"/>
        <v>0.21748387859586407</v>
      </c>
    </row>
    <row r="34" spans="1:8" ht="15.5" x14ac:dyDescent="0.35">
      <c r="A34" s="16">
        <v>2</v>
      </c>
      <c r="B34" s="16">
        <v>1</v>
      </c>
      <c r="C34" s="16">
        <v>0.5</v>
      </c>
      <c r="D34" s="16">
        <v>0.5</v>
      </c>
      <c r="E34" s="17">
        <f>-2*LOG10(((2.51*1.31*10^-6)/(D34*(2*9.81*(B34/1000)*D34)^0.5))+(C34/(3710*D34)))*(2*9.81*(B34/1000)*D34)^0.5</f>
        <v>0.68811652565480297</v>
      </c>
      <c r="F34" s="17">
        <f t="shared" si="3"/>
        <v>135.11136386317884</v>
      </c>
      <c r="G34" s="17">
        <f t="shared" si="5"/>
        <v>23.505572119306049</v>
      </c>
      <c r="H34" s="17">
        <f t="shared" si="4"/>
        <v>0.17397183661848811</v>
      </c>
    </row>
    <row r="35" spans="1:8" ht="15.5" x14ac:dyDescent="0.35">
      <c r="A35" s="16">
        <v>3</v>
      </c>
      <c r="B35" s="16">
        <v>1</v>
      </c>
      <c r="C35" s="16">
        <v>0.5</v>
      </c>
      <c r="D35" s="16">
        <v>0.5</v>
      </c>
      <c r="E35" s="17">
        <f>-2*LOG10(((2.51*1.31*10^-6)/(D35*(2*9.81*(B35/1000)*D35)^0.5))+(C35/(3710*D35)))*(2*9.81*(B35/1000)*D35)^0.5</f>
        <v>0.68811652565480297</v>
      </c>
      <c r="F35" s="17">
        <f t="shared" si="3"/>
        <v>135.11136386317884</v>
      </c>
      <c r="G35" s="17">
        <f t="shared" si="5"/>
        <v>12.757693392483496</v>
      </c>
      <c r="H35" s="17">
        <f t="shared" si="4"/>
        <v>9.442354090513537E-2</v>
      </c>
    </row>
    <row r="36" spans="1:8" ht="15.5" x14ac:dyDescent="0.35">
      <c r="A36" s="16">
        <v>4</v>
      </c>
      <c r="B36" s="16">
        <v>1</v>
      </c>
      <c r="C36" s="16">
        <v>0.5</v>
      </c>
      <c r="D36" s="16">
        <v>0.5</v>
      </c>
      <c r="E36" s="17">
        <f t="shared" ref="E32:E37" si="6">-2*LOG10(((2.51*1.31*10^-6)/(D36*(2*9.81*(B36/1000)*D36)^0.5))+(C36/(3710*D36)))*(2*9.81*(B36/1000)*D36)^0.5</f>
        <v>0.68811652565480297</v>
      </c>
      <c r="F36" s="17">
        <f t="shared" si="3"/>
        <v>135.11136386317884</v>
      </c>
      <c r="G36" s="17">
        <f t="shared" si="5"/>
        <v>20.205802978815885</v>
      </c>
      <c r="H36" s="17">
        <f t="shared" si="4"/>
        <v>0.14954924886464316</v>
      </c>
    </row>
    <row r="37" spans="1:8" ht="15.5" x14ac:dyDescent="0.35">
      <c r="A37" s="18">
        <v>5</v>
      </c>
      <c r="B37" s="18">
        <v>1</v>
      </c>
      <c r="C37" s="18">
        <v>0.5</v>
      </c>
      <c r="D37" s="16">
        <v>0.5</v>
      </c>
      <c r="E37" s="19">
        <f t="shared" si="6"/>
        <v>0.68811652565480297</v>
      </c>
      <c r="F37" s="19">
        <f t="shared" si="3"/>
        <v>135.11136386317884</v>
      </c>
      <c r="G37" s="19">
        <f>J9/3.6</f>
        <v>10.74598542383138</v>
      </c>
      <c r="H37" s="19">
        <f t="shared" si="4"/>
        <v>7.9534282806243833E-2</v>
      </c>
    </row>
    <row r="62" spans="1:8" x14ac:dyDescent="0.35">
      <c r="A62" s="20" t="s">
        <v>57</v>
      </c>
      <c r="B62" s="21" t="s">
        <v>70</v>
      </c>
      <c r="C62" s="21" t="s">
        <v>74</v>
      </c>
      <c r="D62" s="21" t="s">
        <v>75</v>
      </c>
      <c r="E62" s="20" t="s">
        <v>66</v>
      </c>
      <c r="F62" s="20" t="s">
        <v>76</v>
      </c>
      <c r="G62" s="21" t="s">
        <v>67</v>
      </c>
      <c r="H62" s="21" t="s">
        <v>77</v>
      </c>
    </row>
    <row r="63" spans="1:8" x14ac:dyDescent="0.35">
      <c r="A63" s="20"/>
      <c r="B63" s="21"/>
      <c r="C63" s="21"/>
      <c r="D63" s="21"/>
      <c r="E63" s="20"/>
      <c r="F63" s="20"/>
      <c r="G63" s="21"/>
      <c r="H63" s="21"/>
    </row>
    <row r="64" spans="1:8" ht="15.5" x14ac:dyDescent="0.35">
      <c r="A64" s="22"/>
      <c r="B64" s="22" t="s">
        <v>78</v>
      </c>
      <c r="C64" s="22" t="s">
        <v>78</v>
      </c>
      <c r="D64" s="23" t="s">
        <v>78</v>
      </c>
      <c r="E64" s="22" t="s">
        <v>62</v>
      </c>
      <c r="F64" s="22" t="s">
        <v>62</v>
      </c>
      <c r="G64" s="22" t="s">
        <v>72</v>
      </c>
      <c r="H64" s="22" t="s">
        <v>72</v>
      </c>
    </row>
    <row r="65" spans="1:8" ht="15.5" x14ac:dyDescent="0.35">
      <c r="A65" s="16">
        <v>0</v>
      </c>
      <c r="B65" s="24">
        <f>H32*100</f>
        <v>50.213458697368729</v>
      </c>
      <c r="C65" s="24">
        <v>89</v>
      </c>
      <c r="D65" s="24">
        <v>55</v>
      </c>
      <c r="E65" s="16">
        <f>D32</f>
        <v>0.5</v>
      </c>
      <c r="F65" s="25">
        <f t="shared" ref="F65:F69" si="7">E65*D65/100</f>
        <v>0.27500000000000002</v>
      </c>
      <c r="G65" s="17">
        <f>E32</f>
        <v>0.68811652565480297</v>
      </c>
      <c r="H65" s="17">
        <f>C65*G65/100</f>
        <v>0.61242370783277467</v>
      </c>
    </row>
    <row r="66" spans="1:8" ht="15.5" x14ac:dyDescent="0.35">
      <c r="A66" s="16">
        <v>1</v>
      </c>
      <c r="B66" s="24">
        <f t="shared" ref="B66:B70" si="8">H33*100</f>
        <v>21.748387859586408</v>
      </c>
      <c r="C66" s="24">
        <v>69</v>
      </c>
      <c r="D66" s="24">
        <v>38</v>
      </c>
      <c r="E66" s="16">
        <f>D33</f>
        <v>0.5</v>
      </c>
      <c r="F66" s="25">
        <f t="shared" si="7"/>
        <v>0.19</v>
      </c>
      <c r="G66" s="17">
        <f>E33</f>
        <v>0.68811652565480297</v>
      </c>
      <c r="H66" s="17">
        <f t="shared" ref="H66:H70" si="9">C66*G66/100</f>
        <v>0.47480040270181406</v>
      </c>
    </row>
    <row r="67" spans="1:8" ht="15.5" x14ac:dyDescent="0.35">
      <c r="A67" s="16">
        <v>2</v>
      </c>
      <c r="B67" s="24">
        <f t="shared" si="8"/>
        <v>17.39718366184881</v>
      </c>
      <c r="C67" s="24">
        <v>78</v>
      </c>
      <c r="D67" s="24">
        <v>42</v>
      </c>
      <c r="E67" s="16">
        <f>D34</f>
        <v>0.5</v>
      </c>
      <c r="F67" s="25">
        <f t="shared" si="7"/>
        <v>0.21</v>
      </c>
      <c r="G67" s="17">
        <f>E34</f>
        <v>0.68811652565480297</v>
      </c>
      <c r="H67" s="17">
        <f t="shared" si="9"/>
        <v>0.53673089001074625</v>
      </c>
    </row>
    <row r="68" spans="1:8" ht="15.5" x14ac:dyDescent="0.35">
      <c r="A68" s="16">
        <v>3</v>
      </c>
      <c r="B68" s="24">
        <f t="shared" si="8"/>
        <v>9.4423540905135361</v>
      </c>
      <c r="C68" s="24">
        <v>65</v>
      </c>
      <c r="D68" s="24">
        <v>31</v>
      </c>
      <c r="E68" s="16">
        <f>D35</f>
        <v>0.5</v>
      </c>
      <c r="F68" s="25">
        <f t="shared" si="7"/>
        <v>0.155</v>
      </c>
      <c r="G68" s="17">
        <f>E35</f>
        <v>0.68811652565480297</v>
      </c>
      <c r="H68" s="17">
        <f t="shared" si="9"/>
        <v>0.44727574167562195</v>
      </c>
    </row>
    <row r="69" spans="1:8" ht="15.5" x14ac:dyDescent="0.35">
      <c r="A69" s="16">
        <v>4</v>
      </c>
      <c r="B69" s="24">
        <f t="shared" si="8"/>
        <v>14.954924886464315</v>
      </c>
      <c r="C69" s="24">
        <v>71</v>
      </c>
      <c r="D69" s="24">
        <v>39</v>
      </c>
      <c r="E69" s="16">
        <f>D36</f>
        <v>0.5</v>
      </c>
      <c r="F69" s="25">
        <f t="shared" si="7"/>
        <v>0.19500000000000001</v>
      </c>
      <c r="G69" s="17">
        <f>E36</f>
        <v>0.68811652565480297</v>
      </c>
      <c r="H69" s="17">
        <f t="shared" si="9"/>
        <v>0.48856273321491012</v>
      </c>
    </row>
    <row r="70" spans="1:8" ht="15.5" x14ac:dyDescent="0.35">
      <c r="A70" s="18">
        <v>5</v>
      </c>
      <c r="B70" s="24">
        <f t="shared" si="8"/>
        <v>7.953428280624383</v>
      </c>
      <c r="C70" s="26">
        <v>58</v>
      </c>
      <c r="D70" s="26">
        <v>29</v>
      </c>
      <c r="E70" s="27">
        <f>D37</f>
        <v>0.5</v>
      </c>
      <c r="F70" s="28">
        <f>E70/D70*100</f>
        <v>1.7241379310344827</v>
      </c>
      <c r="G70" s="29">
        <f>E37</f>
        <v>0.68811652565480297</v>
      </c>
      <c r="H70" s="19">
        <f t="shared" si="9"/>
        <v>0.3991075848797857</v>
      </c>
    </row>
  </sheetData>
  <mergeCells count="21">
    <mergeCell ref="H62:H63"/>
    <mergeCell ref="F29:F30"/>
    <mergeCell ref="G29:G30"/>
    <mergeCell ref="H29:H30"/>
    <mergeCell ref="A62:A63"/>
    <mergeCell ref="B62:B63"/>
    <mergeCell ref="C62:C63"/>
    <mergeCell ref="D62:D63"/>
    <mergeCell ref="E62:E63"/>
    <mergeCell ref="F62:F63"/>
    <mergeCell ref="G62:G63"/>
    <mergeCell ref="A19:A20"/>
    <mergeCell ref="B19:B20"/>
    <mergeCell ref="C19:C20"/>
    <mergeCell ref="D19:D20"/>
    <mergeCell ref="E19:E20"/>
    <mergeCell ref="A29:A30"/>
    <mergeCell ref="B29:B30"/>
    <mergeCell ref="C29:C30"/>
    <mergeCell ref="D29:D30"/>
    <mergeCell ref="E29:E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0" workbookViewId="0">
      <selection activeCell="I22" sqref="I22:L22"/>
    </sheetView>
  </sheetViews>
  <sheetFormatPr defaultRowHeight="14.5" x14ac:dyDescent="0.35"/>
  <cols>
    <col min="1" max="1" width="13" customWidth="1"/>
    <col min="2" max="2" width="11.36328125" customWidth="1"/>
    <col min="4" max="4" width="9.81640625" customWidth="1"/>
    <col min="8" max="8" width="9.90625" customWidth="1"/>
    <col min="9" max="9" width="14.6328125" customWidth="1"/>
  </cols>
  <sheetData>
    <row r="1" spans="1:10" ht="58" x14ac:dyDescent="0.35">
      <c r="A1" s="8" t="s">
        <v>17</v>
      </c>
      <c r="B1" s="8" t="s">
        <v>18</v>
      </c>
      <c r="C1" s="8" t="s">
        <v>19</v>
      </c>
      <c r="D1" s="8" t="s">
        <v>46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</row>
    <row r="2" spans="1:10" x14ac:dyDescent="0.35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29</v>
      </c>
      <c r="H2" s="2" t="s">
        <v>30</v>
      </c>
      <c r="I2" s="2" t="s">
        <v>29</v>
      </c>
    </row>
    <row r="3" spans="1:10" x14ac:dyDescent="0.35">
      <c r="A3" s="2">
        <v>404</v>
      </c>
      <c r="B3" s="2">
        <v>2.6</v>
      </c>
      <c r="C3" s="2">
        <v>1050.4000000000001</v>
      </c>
      <c r="D3" s="2">
        <v>140</v>
      </c>
      <c r="E3" s="2">
        <v>147.05600000000001</v>
      </c>
      <c r="F3" s="2">
        <v>1.2</v>
      </c>
      <c r="G3" s="2">
        <v>176.46720000000002</v>
      </c>
      <c r="H3" s="2">
        <v>1.1000000000000001</v>
      </c>
      <c r="I3" s="2">
        <v>194.11392000000004</v>
      </c>
    </row>
    <row r="6" spans="1:10" x14ac:dyDescent="0.35">
      <c r="A6" t="s">
        <v>31</v>
      </c>
    </row>
    <row r="8" spans="1:10" ht="58" x14ac:dyDescent="0.35">
      <c r="A8" s="8" t="s">
        <v>32</v>
      </c>
      <c r="B8" s="8" t="s">
        <v>33</v>
      </c>
      <c r="C8" s="8" t="s">
        <v>34</v>
      </c>
      <c r="D8" s="8" t="s">
        <v>35</v>
      </c>
      <c r="E8" s="8" t="s">
        <v>36</v>
      </c>
      <c r="F8" s="8" t="s">
        <v>37</v>
      </c>
      <c r="G8" s="8" t="s">
        <v>38</v>
      </c>
      <c r="H8" s="8" t="s">
        <v>39</v>
      </c>
      <c r="I8" s="1"/>
      <c r="J8" s="1"/>
    </row>
    <row r="9" spans="1:10" x14ac:dyDescent="0.35">
      <c r="A9" s="2"/>
      <c r="B9" s="2"/>
      <c r="C9" s="2" t="s">
        <v>28</v>
      </c>
      <c r="D9" s="2" t="s">
        <v>29</v>
      </c>
      <c r="E9" s="2" t="s">
        <v>30</v>
      </c>
      <c r="F9" s="2" t="s">
        <v>29</v>
      </c>
      <c r="G9" s="2" t="s">
        <v>30</v>
      </c>
      <c r="H9" s="2" t="s">
        <v>29</v>
      </c>
    </row>
    <row r="10" spans="1:10" x14ac:dyDescent="0.35">
      <c r="A10" s="2" t="s">
        <v>40</v>
      </c>
      <c r="B10" s="2">
        <v>30</v>
      </c>
      <c r="C10" s="2">
        <v>160</v>
      </c>
      <c r="D10" s="2">
        <v>4.8</v>
      </c>
      <c r="E10" s="2">
        <v>1.5</v>
      </c>
      <c r="F10" s="2">
        <v>7.1999999999999993</v>
      </c>
      <c r="G10" s="2">
        <v>1.1000000000000001</v>
      </c>
      <c r="H10" s="2">
        <v>7.92</v>
      </c>
    </row>
    <row r="11" spans="1:10" x14ac:dyDescent="0.35">
      <c r="A11" s="2" t="s">
        <v>41</v>
      </c>
      <c r="B11" s="2">
        <v>500</v>
      </c>
      <c r="C11" s="2">
        <v>160</v>
      </c>
      <c r="D11" s="2">
        <v>80</v>
      </c>
      <c r="E11" s="2">
        <v>1.5</v>
      </c>
      <c r="F11" s="2">
        <v>120</v>
      </c>
      <c r="G11" s="2">
        <v>1.1000000000000001</v>
      </c>
      <c r="H11" s="2">
        <v>132</v>
      </c>
    </row>
    <row r="12" spans="1:10" x14ac:dyDescent="0.35">
      <c r="A12" t="s">
        <v>42</v>
      </c>
      <c r="H12" s="2">
        <v>139.91999999999999</v>
      </c>
    </row>
    <row r="14" spans="1:10" x14ac:dyDescent="0.35">
      <c r="A14" t="s">
        <v>43</v>
      </c>
    </row>
    <row r="16" spans="1:10" ht="58" x14ac:dyDescent="0.35">
      <c r="A16" s="8" t="s">
        <v>44</v>
      </c>
      <c r="B16" s="8" t="s">
        <v>38</v>
      </c>
      <c r="C16" s="8" t="s">
        <v>39</v>
      </c>
      <c r="D16" s="1"/>
      <c r="E16" s="1"/>
    </row>
    <row r="17" spans="1:12" x14ac:dyDescent="0.35">
      <c r="A17" s="2" t="s">
        <v>29</v>
      </c>
      <c r="B17" s="2" t="s">
        <v>30</v>
      </c>
      <c r="C17" s="2" t="s">
        <v>29</v>
      </c>
    </row>
    <row r="18" spans="1:12" x14ac:dyDescent="0.35">
      <c r="A18" s="2">
        <v>1000</v>
      </c>
      <c r="B18" s="2">
        <v>1.1000000000000001</v>
      </c>
      <c r="C18" s="2">
        <v>1100</v>
      </c>
    </row>
    <row r="20" spans="1:12" ht="58" x14ac:dyDescent="0.35">
      <c r="A20" s="8" t="s">
        <v>33</v>
      </c>
      <c r="B20" s="8" t="s">
        <v>34</v>
      </c>
      <c r="C20" s="8" t="s">
        <v>35</v>
      </c>
      <c r="D20" s="8" t="s">
        <v>36</v>
      </c>
      <c r="E20" s="8" t="s">
        <v>37</v>
      </c>
      <c r="F20" s="8" t="s">
        <v>38</v>
      </c>
      <c r="G20" s="8" t="s">
        <v>39</v>
      </c>
      <c r="H20" s="1"/>
      <c r="I20" s="1"/>
    </row>
    <row r="21" spans="1:12" x14ac:dyDescent="0.35">
      <c r="A21" s="2"/>
      <c r="B21" s="2" t="s">
        <v>28</v>
      </c>
      <c r="C21" s="2" t="s">
        <v>29</v>
      </c>
      <c r="D21" s="2" t="s">
        <v>30</v>
      </c>
      <c r="E21" s="2" t="s">
        <v>29</v>
      </c>
      <c r="F21" s="2" t="s">
        <v>30</v>
      </c>
      <c r="G21" s="2" t="s">
        <v>29</v>
      </c>
    </row>
    <row r="22" spans="1:12" ht="43.5" x14ac:dyDescent="0.35">
      <c r="A22" s="2">
        <v>100</v>
      </c>
      <c r="B22" s="2">
        <v>100</v>
      </c>
      <c r="C22" s="2">
        <v>10</v>
      </c>
      <c r="D22" s="2">
        <v>1.2</v>
      </c>
      <c r="E22" s="2">
        <v>12</v>
      </c>
      <c r="F22" s="2">
        <v>1.1000000000000001</v>
      </c>
      <c r="G22" s="2">
        <v>13.200000000000001</v>
      </c>
      <c r="I22" s="8" t="s">
        <v>45</v>
      </c>
      <c r="J22" s="2"/>
      <c r="K22" s="2"/>
      <c r="L22" s="2">
        <v>1447.2339200000001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zoomScale="85" zoomScaleNormal="85" workbookViewId="0">
      <selection activeCell="B1" sqref="B1"/>
    </sheetView>
  </sheetViews>
  <sheetFormatPr defaultRowHeight="14.5" x14ac:dyDescent="0.35"/>
  <sheetData>
    <row r="1" spans="2:5" x14ac:dyDescent="0.35">
      <c r="B1">
        <v>50</v>
      </c>
      <c r="C1">
        <v>36</v>
      </c>
      <c r="D1">
        <f>C1-wastewaterdemand!C22</f>
        <v>31.1816818</v>
      </c>
      <c r="E1">
        <f>C1-wastewaterdemand!D22</f>
        <v>31</v>
      </c>
    </row>
    <row r="2" spans="2:5" x14ac:dyDescent="0.35">
      <c r="B2">
        <v>100</v>
      </c>
      <c r="C2">
        <v>36</v>
      </c>
      <c r="D2">
        <f>C2-wastewaterdemand!C23</f>
        <v>31.270937400000001</v>
      </c>
      <c r="E2">
        <f>C1-wastewaterdemand!D23</f>
        <v>31.1816818</v>
      </c>
    </row>
    <row r="3" spans="2:5" x14ac:dyDescent="0.35">
      <c r="B3">
        <v>150</v>
      </c>
      <c r="C3">
        <v>36.200000000000003</v>
      </c>
      <c r="D3">
        <f>C3-wastewaterdemand!C24</f>
        <v>31.516375000000004</v>
      </c>
      <c r="E3">
        <f>C1-wastewaterdemand!D24</f>
        <v>31.270937400000001</v>
      </c>
    </row>
    <row r="4" spans="2:5" x14ac:dyDescent="0.35">
      <c r="B4">
        <v>200</v>
      </c>
      <c r="C4">
        <v>36.5</v>
      </c>
      <c r="D4">
        <f>C4-wastewaterdemand!C25</f>
        <v>31.919892900000001</v>
      </c>
      <c r="E4">
        <f>C1-wastewaterdemand!D25</f>
        <v>31.316375000000001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wastewaterdemand</vt:lpstr>
      <vt:lpstr>waterdemand</vt:lpstr>
      <vt:lpstr>stress profile</vt:lpstr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Amgalantuul Purevsuren</dc:creator>
  <cp:lastModifiedBy>dell</cp:lastModifiedBy>
  <dcterms:created xsi:type="dcterms:W3CDTF">2015-06-05T18:17:20Z</dcterms:created>
  <dcterms:modified xsi:type="dcterms:W3CDTF">2020-12-17T21:00:22Z</dcterms:modified>
</cp:coreProperties>
</file>