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AlgorithmName="SHA-512" workbookHashValue="Z4hToW7eVwt7bgobIZ+wg+VZZH+rH1NfC6paSSq37FCurTvhxshkNq5sLTnzMf8goCIADIiTyjxGKCoHd/9o4Q==" workbookSaltValue="Ih25Vkw7aQ6RbQEDOOOMKw==" workbookSpinCount="100000" lockStructure="1"/>
  <bookViews>
    <workbookView windowWidth="22188" windowHeight="9060"/>
  </bookViews>
  <sheets>
    <sheet name="云配队" sheetId="1" r:id="rId1"/>
    <sheet name="配装" sheetId="2" r:id="rId2"/>
    <sheet name="增益" sheetId="10" r:id="rId3"/>
    <sheet name="声明" sheetId="3" r:id="rId4"/>
    <sheet name="邦布" sheetId="4" r:id="rId5"/>
    <sheet name="数值" sheetId="5" r:id="rId6"/>
    <sheet name="计算" sheetId="6" r:id="rId7"/>
    <sheet name="角色" sheetId="7" r:id="rId8"/>
    <sheet name="音擎" sheetId="8" r:id="rId9"/>
    <sheet name="驱动盘" sheetId="9" r:id="rId10"/>
  </sheets>
  <definedNames>
    <definedName name="_xlnm._FilterDatabase" localSheetId="7" hidden="1">角色!$F$1:$DO$35</definedName>
    <definedName name="_xlnm._FilterDatabase" localSheetId="6" hidden="1">数值!#REF!</definedName>
    <definedName name="_xlnm._FilterDatabase" localSheetId="5" hidden="1">数值!#REF!</definedName>
    <definedName name="_xlnm._FilterDatabase" localSheetId="8" hidden="1">音擎!$A$2:$AJ$2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14252</author>
    <author>静默之光</author>
  </authors>
  <commentList>
    <comment ref="N2" authorId="0">
      <text>
        <r>
          <rPr>
            <sz val="9"/>
            <rFont val="宋体"/>
            <charset val="134"/>
          </rPr>
          <t>14252:
词条的个数，并不是加成百分比</t>
        </r>
      </text>
    </comment>
    <comment ref="A32" authorId="1">
      <text>
        <r>
          <rPr>
            <sz val="9"/>
            <rFont val="宋体"/>
            <charset val="134"/>
          </rPr>
          <t>静默之光:
请在配装中保证面板与露西一致，其余尽量不要添加
首页的亲卫小队已经是三只猪的了，无需再乘3</t>
        </r>
      </text>
    </comment>
  </commentList>
</comments>
</file>

<file path=xl/comments2.xml><?xml version="1.0" encoding="utf-8"?>
<comments xmlns="http://schemas.openxmlformats.org/spreadsheetml/2006/main">
  <authors>
    <author>14252</author>
    <author>静默之光</author>
    <author>Unknown User</author>
  </authors>
  <commentList>
    <comment ref="B1" authorId="0">
      <text>
        <r>
          <rPr>
            <sz val="9"/>
            <rFont val="宋体"/>
            <charset val="134"/>
          </rPr>
          <t>14252:
S为1命
A为5命</t>
        </r>
      </text>
    </comment>
    <comment ref="A4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未计入组队被动</t>
        </r>
      </text>
    </comment>
    <comment ref="A5" authorId="1">
      <text>
        <r>
          <rPr>
            <sz val="9"/>
            <rFont val="宋体"/>
            <charset val="134"/>
          </rPr>
          <t>静默之光:
未包含触发击杀减CD</t>
        </r>
      </text>
    </comment>
    <comment ref="A9" authorId="0">
      <text>
        <r>
          <rPr>
            <sz val="9"/>
            <rFont val="宋体"/>
            <charset val="134"/>
          </rPr>
          <t>14252:
连携会额外召唤陷阱，视为额外使用一次主动技，待复测</t>
        </r>
      </text>
    </comment>
    <comment ref="A13" authorId="0">
      <text>
        <r>
          <rPr>
            <sz val="9"/>
            <rFont val="宋体"/>
            <charset val="134"/>
          </rPr>
          <t>批注：
子弹的概率分布为15%-70%-15%</t>
        </r>
      </text>
    </comment>
    <comment ref="A14" authorId="1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主动技算2层</t>
        </r>
      </text>
    </comment>
    <comment ref="F17" authorId="2">
      <text>
        <r>
          <rPr>
            <sz val="9"/>
            <rFont val="宋体"/>
            <charset val="134"/>
          </rPr>
          <t xml:space="preserve">批注:
静默之光:
60%命中率
</t>
        </r>
      </text>
    </comment>
  </commentList>
</comments>
</file>

<file path=xl/comments3.xml><?xml version="1.0" encoding="utf-8"?>
<comments xmlns="http://schemas.openxmlformats.org/spreadsheetml/2006/main">
  <authors>
    <author>静默之光</author>
  </authors>
  <commentList>
    <comment ref="C8" authorId="0">
      <text>
        <r>
          <rPr>
            <sz val="9"/>
            <rFont val="宋体"/>
            <charset val="134"/>
          </rPr>
          <t>增伤14.1%</t>
        </r>
      </text>
    </comment>
  </commentList>
</comments>
</file>

<file path=xl/comments4.xml><?xml version="1.0" encoding="utf-8"?>
<comments xmlns="http://schemas.openxmlformats.org/spreadsheetml/2006/main">
  <authors>
    <author>静默之光</author>
    <author>14252</author>
    <author>Unknown User</author>
  </authors>
  <commentList>
    <comment ref="BZ3" authorId="0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三连</t>
        </r>
      </text>
    </comment>
    <comment ref="BP4" authorId="0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闪E</t>
        </r>
      </text>
    </comment>
    <comment ref="BZ4" authorId="0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合轴释放特殊技：束裂式·I型</t>
        </r>
      </text>
    </comment>
    <comment ref="AV5" authorId="0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普攻三四+落羽+甲已矢*6</t>
        </r>
      </text>
    </comment>
    <comment ref="BF5" authorId="0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落羽+甲已矢*6</t>
        </r>
      </text>
    </comment>
    <comment ref="CJ6" authorId="1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6命附加伤害</t>
        </r>
      </text>
    </comment>
    <comment ref="BA7" authorId="2">
      <text>
        <r>
          <rPr>
            <sz val="9"/>
            <rFont val="宋体"/>
            <charset val="134"/>
          </rPr>
          <t xml:space="preserve">批注:
批注:
批注:
仅第三段强化普攻
</t>
        </r>
      </text>
    </comment>
    <comment ref="AV9" authorId="0">
      <text>
        <r>
          <rPr>
            <sz val="9"/>
            <rFont val="宋体"/>
            <charset val="134"/>
          </rPr>
          <t xml:space="preserve">批注:
批注:
批注:
在恰当的时机发动普攻
</t>
        </r>
      </text>
    </comment>
    <comment ref="BA9" authorId="2">
      <text>
        <r>
          <rPr>
            <sz val="9"/>
            <rFont val="宋体"/>
            <charset val="134"/>
          </rPr>
          <t xml:space="preserve">静默之光:
技能后火刀
</t>
        </r>
      </text>
    </comment>
    <comment ref="AU11" authorId="0">
      <text>
        <r>
          <rPr>
            <sz val="9"/>
            <rFont val="宋体"/>
            <charset val="134"/>
          </rPr>
          <t xml:space="preserve">批注:
批注:
爆发下每套普攻40
</t>
        </r>
      </text>
    </comment>
    <comment ref="BA11" authorId="0">
      <text>
        <r>
          <rPr>
            <sz val="9"/>
            <rFont val="宋体"/>
            <charset val="134"/>
          </rPr>
          <t xml:space="preserve">批注:
批注:
批注:
爆发横扫
</t>
        </r>
      </text>
    </comment>
    <comment ref="BF11" authorId="0">
      <text>
        <r>
          <rPr>
            <sz val="9"/>
            <rFont val="宋体"/>
            <charset val="134"/>
          </rPr>
          <t xml:space="preserve">批注:
批注:
批注:
爆发电钻+打桩
</t>
        </r>
      </text>
    </comment>
    <comment ref="W12" authorId="1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首页buff区的暴击转化此表格吃不到
首页选雅才会显示</t>
        </r>
      </text>
    </comment>
    <comment ref="DI12" authorId="1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霜灼·破</t>
        </r>
      </text>
    </comment>
    <comment ref="AV13" authorId="0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淑女礼仪 · 舞步</t>
        </r>
      </text>
    </comment>
    <comment ref="BA13" authorId="0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裙裾浮游 · 悬落</t>
        </r>
      </text>
    </comment>
    <comment ref="BF13" authorId="0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落羽生花</t>
        </r>
      </text>
    </comment>
    <comment ref="DI13" authorId="0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薇薇安的预言</t>
        </r>
      </text>
    </comment>
    <comment ref="X14" authorId="1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二命效果加在了模组里</t>
        </r>
      </text>
    </comment>
    <comment ref="AV14" authorId="0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上弦</t>
        </r>
      </text>
    </comment>
    <comment ref="BA14" authorId="0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下弦
</t>
        </r>
      </text>
    </comment>
    <comment ref="CB14" authorId="0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快速流转0.3</t>
        </r>
      </text>
    </comment>
    <comment ref="CJ14" authorId="1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二命长E</t>
        </r>
      </text>
    </comment>
    <comment ref="BZ15" authorId="1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强化e单喷</t>
        </r>
      </text>
    </comment>
    <comment ref="CE15" authorId="1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强化E双喷</t>
        </r>
      </text>
    </comment>
    <comment ref="CJ15" authorId="1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双喷终结</t>
        </r>
      </text>
    </comment>
    <comment ref="AU18" authorId="2">
      <text>
        <r>
          <rPr>
            <sz val="9"/>
            <rFont val="宋体"/>
            <charset val="134"/>
          </rPr>
          <t xml:space="preserve">批注:
批注:
批注:
至多消耗80能量
</t>
        </r>
      </text>
    </comment>
    <comment ref="DD19" authorId="0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秒均0.3个小追击和0.04个大追击</t>
        </r>
      </text>
    </comment>
    <comment ref="Q20" authorId="1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平均</t>
        </r>
      </text>
    </comment>
    <comment ref="BA20" authorId="1">
      <text>
        <r>
          <rPr>
            <sz val="9"/>
            <rFont val="宋体"/>
            <charset val="134"/>
          </rPr>
          <t>14252:
完整的第五段带终结</t>
        </r>
      </text>
    </comment>
    <comment ref="AV23" authorId="0">
      <text>
        <r>
          <rPr>
            <sz val="9"/>
            <rFont val="宋体"/>
            <charset val="134"/>
          </rPr>
          <t xml:space="preserve">批注:
批注:
批注:
不含衔接的引爆
</t>
        </r>
      </text>
    </comment>
    <comment ref="BA23" authorId="0">
      <text>
        <r>
          <rPr>
            <sz val="9"/>
            <rFont val="宋体"/>
            <charset val="134"/>
          </rPr>
          <t xml:space="preserve">批注:
批注:
批注:
不含衔接的引爆
</t>
        </r>
      </text>
    </comment>
    <comment ref="BZ23" authorId="0">
      <text>
        <r>
          <rPr>
            <sz val="9"/>
            <rFont val="宋体"/>
            <charset val="134"/>
          </rPr>
          <t>静默之光:
仅引爆</t>
        </r>
      </text>
    </comment>
    <comment ref="CJ23" authorId="1">
      <text>
        <r>
          <rPr>
            <sz val="9"/>
            <rFont val="宋体"/>
            <charset val="134"/>
          </rPr>
          <t>14252:
仅引爆</t>
        </r>
      </text>
    </comment>
    <comment ref="AU24" authorId="0">
      <text>
        <r>
          <rPr>
            <sz val="9"/>
            <rFont val="宋体"/>
            <charset val="134"/>
          </rPr>
          <t xml:space="preserve">批注:
批注:
批注:
仅引爆
</t>
        </r>
      </text>
    </comment>
    <comment ref="DD25" authorId="0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6段总计</t>
        </r>
      </text>
    </comment>
    <comment ref="AV26" authorId="0">
      <text>
        <r>
          <rPr>
            <sz val="9"/>
            <rFont val="宋体"/>
            <charset val="134"/>
          </rPr>
          <t>静默之光:
前三段物伤</t>
        </r>
      </text>
    </comment>
    <comment ref="BA26" authorId="0">
      <text>
        <r>
          <rPr>
            <sz val="9"/>
            <rFont val="宋体"/>
            <charset val="134"/>
          </rPr>
          <t>静默之光:
落雷</t>
        </r>
      </text>
    </comment>
    <comment ref="BZ26" authorId="0">
      <text>
        <r>
          <rPr>
            <sz val="9"/>
            <rFont val="宋体"/>
            <charset val="134"/>
          </rPr>
          <t>静默之光:
在普攻2段之后打出</t>
        </r>
      </text>
    </comment>
    <comment ref="CA26" authorId="1">
      <text>
        <r>
          <rPr>
            <sz val="9"/>
            <rFont val="宋体"/>
            <charset val="134"/>
          </rPr>
          <t>14252:
特殊技没有算到技能失衡效率里</t>
        </r>
      </text>
    </comment>
    <comment ref="CJ26" authorId="0">
      <text>
        <r>
          <rPr>
            <sz val="9"/>
            <rFont val="宋体"/>
            <charset val="134"/>
          </rPr>
          <t>静默之光:
在普攻2段之后打出</t>
        </r>
      </text>
    </comment>
    <comment ref="CJ28" authorId="2">
      <text>
        <r>
          <rPr>
            <sz val="9"/>
            <rFont val="宋体"/>
            <charset val="134"/>
          </rPr>
          <t>批注:
e，e，长e，立刻闪</t>
        </r>
      </text>
    </comment>
    <comment ref="CO28" authorId="0">
      <text>
        <r>
          <rPr>
            <sz val="9"/>
            <rFont val="宋体"/>
            <charset val="134"/>
          </rPr>
          <t>静默之光:
待确认</t>
        </r>
      </text>
    </comment>
    <comment ref="CJ30" authorId="1">
      <text>
        <r>
          <rPr>
            <sz val="9"/>
            <rFont val="宋体"/>
            <charset val="134"/>
          </rPr>
          <t>14252:
待确认</t>
        </r>
      </text>
    </comment>
    <comment ref="CJ31" authorId="0">
      <text>
        <r>
          <rPr>
            <sz val="9"/>
            <rFont val="宋体"/>
            <charset val="134"/>
          </rPr>
          <t>静默之光:
蓄力直到可以切人
不等待支援弹出</t>
        </r>
      </text>
    </comment>
    <comment ref="BU32" authorId="0">
      <text>
        <r>
          <rPr>
            <sz val="9"/>
            <rFont val="宋体"/>
            <charset val="134"/>
          </rPr>
          <t>静默之光:
露西6命效果</t>
        </r>
      </text>
    </comment>
    <comment ref="BD34" authorId="0">
      <text>
        <r>
          <rPr>
            <sz val="9"/>
            <rFont val="宋体"/>
            <charset val="134"/>
          </rPr>
          <t>静默之光:
2命35%</t>
        </r>
      </text>
    </comment>
  </commentList>
</comments>
</file>

<file path=xl/sharedStrings.xml><?xml version="1.0" encoding="utf-8"?>
<sst xmlns="http://schemas.openxmlformats.org/spreadsheetml/2006/main" count="1340" uniqueCount="657">
  <si>
    <t>异常条
基础
长度</t>
  </si>
  <si>
    <t>普通600
精英2250
首领3000</t>
  </si>
  <si>
    <t>注意事项：异常伤害的同纵列可以选择buff，因美观没有加黄底高亮
同一个buff会作用于该纵列的全部动作，包括“艾莲强普暴伤”等自身buff
简的紊乱伤害会吃到“简强击”的buff，请使用“简狂热”buff；格丽丝的感电buff同理，计算紊乱时请剔除
未计算“破招”“属性异常”“紊乱”“失衡”的额外喧响值
手机版可能需要设置最多迭代次数为100以上，或手动点击全部重算才能更新到位</t>
  </si>
  <si>
    <t>角色等级</t>
  </si>
  <si>
    <t>怪物等级</t>
  </si>
  <si>
    <t>怪物类型</t>
  </si>
  <si>
    <t>绝区零云配队 V1.1.3       作者：静默之光</t>
  </si>
  <si>
    <t>首领</t>
  </si>
  <si>
    <t>默认均激活组队天赋；影画和音擎驱动配置在“配装”页；统一11级技能6级核心；邦布单算，见“邦布”页</t>
  </si>
  <si>
    <t>入场攻击</t>
  </si>
  <si>
    <t>入场暴击</t>
  </si>
  <si>
    <t>入场暴伤</t>
  </si>
  <si>
    <t>入场冲击</t>
  </si>
  <si>
    <t>入场精通</t>
  </si>
  <si>
    <t>角色选择</t>
  </si>
  <si>
    <t>属性</t>
  </si>
  <si>
    <t>阵营</t>
  </si>
  <si>
    <t>音擎</t>
  </si>
  <si>
    <t>累计回能</t>
  </si>
  <si>
    <t>累计喧响</t>
  </si>
  <si>
    <t>异常每跳</t>
  </si>
  <si>
    <t>动作1</t>
  </si>
  <si>
    <t>动作2</t>
  </si>
  <si>
    <t>动作3</t>
  </si>
  <si>
    <t>动作4</t>
  </si>
  <si>
    <t>动作5</t>
  </si>
  <si>
    <t>紊乱结算
剩余秒数</t>
  </si>
  <si>
    <t>紊乱伤害</t>
  </si>
  <si>
    <t>薇薇安
结算</t>
  </si>
  <si>
    <t>雅</t>
  </si>
  <si>
    <t>版机</t>
  </si>
  <si>
    <t>薇薇安</t>
  </si>
  <si>
    <t>累计时间</t>
  </si>
  <si>
    <t>紊乱倍率</t>
  </si>
  <si>
    <t>累计伤害</t>
  </si>
  <si>
    <t>紊乱增伤</t>
  </si>
  <si>
    <t>DPS</t>
  </si>
  <si>
    <t>累计失衡</t>
  </si>
  <si>
    <t>秒均失衡</t>
  </si>
  <si>
    <t>累计冰火电以物异常</t>
  </si>
  <si>
    <t>秒均冰火电以物异常</t>
  </si>
  <si>
    <t>自身BUFF</t>
  </si>
  <si>
    <t>BUFF 1</t>
  </si>
  <si>
    <t>BUFF 2</t>
  </si>
  <si>
    <t>BUFF 3</t>
  </si>
  <si>
    <t>BUFF 4</t>
  </si>
  <si>
    <t>BUFF 5</t>
  </si>
  <si>
    <t>BUFF 6</t>
  </si>
  <si>
    <t>BUFF 7</t>
  </si>
  <si>
    <t>BUFF 8</t>
  </si>
  <si>
    <t>角色</t>
  </si>
  <si>
    <t>职业</t>
  </si>
  <si>
    <t>影画</t>
  </si>
  <si>
    <t>预设武器</t>
  </si>
  <si>
    <t>被动覆盖率</t>
  </si>
  <si>
    <t>描述</t>
  </si>
  <si>
    <t>驱动4件套</t>
  </si>
  <si>
    <t>驱动2件套</t>
  </si>
  <si>
    <t>四号位</t>
  </si>
  <si>
    <t>五号位</t>
  </si>
  <si>
    <t>六号位</t>
  </si>
  <si>
    <t>副词条
暴击数量</t>
  </si>
  <si>
    <t>副词条
暴伤数量</t>
  </si>
  <si>
    <t>副词条
大攻击数量</t>
  </si>
  <si>
    <t>副词条
小攻击数量</t>
  </si>
  <si>
    <t>副词条
精通数量</t>
  </si>
  <si>
    <t>副词条
穿透值数量</t>
  </si>
  <si>
    <t>备注</t>
  </si>
  <si>
    <t>零号安比</t>
  </si>
  <si>
    <t>强攻</t>
  </si>
  <si>
    <t>硫磺石</t>
  </si>
  <si>
    <t>如影相随</t>
  </si>
  <si>
    <t>啄木鸟电音</t>
  </si>
  <si>
    <t>暴伤</t>
  </si>
  <si>
    <t>属伤</t>
  </si>
  <si>
    <t>攻击</t>
  </si>
  <si>
    <t>1命2命电鸣手动控制；
未记录6命</t>
  </si>
  <si>
    <t>伊芙琳</t>
  </si>
  <si>
    <t>河豚电音</t>
  </si>
  <si>
    <t>雷暴重金属</t>
  </si>
  <si>
    <t>暴击</t>
  </si>
  <si>
    <t>未记录6命</t>
  </si>
  <si>
    <t>悠真</t>
  </si>
  <si>
    <t>朱鸢</t>
  </si>
  <si>
    <t>混沌重金属</t>
  </si>
  <si>
    <t>6命子弹（特E）失衡和异常缺失</t>
  </si>
  <si>
    <t>艾莲</t>
  </si>
  <si>
    <t>深海访客</t>
  </si>
  <si>
    <t>极地重金属</t>
  </si>
  <si>
    <t>穿透</t>
  </si>
  <si>
    <t>未记录4命回能</t>
  </si>
  <si>
    <t>猫又</t>
  </si>
  <si>
    <t>激素朋克</t>
  </si>
  <si>
    <t>獠牙重金属</t>
  </si>
  <si>
    <t>未记录2命能量效率</t>
  </si>
  <si>
    <t>11号</t>
  </si>
  <si>
    <t>炎狱重金属</t>
  </si>
  <si>
    <t>2命记为全覆盖</t>
  </si>
  <si>
    <t>可琳</t>
  </si>
  <si>
    <t>家政员</t>
  </si>
  <si>
    <t>未记录4、6命</t>
  </si>
  <si>
    <t>安东</t>
  </si>
  <si>
    <t>异常</t>
  </si>
  <si>
    <t>霰落星殿</t>
  </si>
  <si>
    <t>折枝剑歌</t>
  </si>
  <si>
    <t>未记录4命喧响值</t>
  </si>
  <si>
    <t>飞鸟星梦</t>
  </si>
  <si>
    <t>法厄同之歌</t>
  </si>
  <si>
    <t>自由蓝调</t>
  </si>
  <si>
    <t>精通</t>
  </si>
  <si>
    <t>掌控</t>
  </si>
  <si>
    <t>柳</t>
  </si>
  <si>
    <t>时流贤者</t>
  </si>
  <si>
    <t>未计算极性紊乱</t>
  </si>
  <si>
    <t>柏妮思</t>
  </si>
  <si>
    <t>灼心摇壶</t>
  </si>
  <si>
    <t>混沌爵士</t>
  </si>
  <si>
    <t>未记录4命6命</t>
  </si>
  <si>
    <t>简</t>
  </si>
  <si>
    <t>淬锋钳刺</t>
  </si>
  <si>
    <t>格丽丝</t>
  </si>
  <si>
    <t>嵌合编译器</t>
  </si>
  <si>
    <t>未记录1命4命；
eE均视为满电能</t>
  </si>
  <si>
    <t>派派</t>
  </si>
  <si>
    <t>轰鸣座驾</t>
  </si>
  <si>
    <t>未记录2、4、6命
（暂未拆开转圈和下砸）</t>
  </si>
  <si>
    <t>击破</t>
  </si>
  <si>
    <t>索魂影眸</t>
  </si>
  <si>
    <t>震星迪斯科</t>
  </si>
  <si>
    <t>冲击</t>
  </si>
  <si>
    <t>莱特</t>
  </si>
  <si>
    <t>人为刀俎</t>
  </si>
  <si>
    <t>摇摆爵士</t>
  </si>
  <si>
    <t>青衣</t>
  </si>
  <si>
    <t>贵重骨核</t>
  </si>
  <si>
    <t>未记录4命</t>
  </si>
  <si>
    <t>莱卡恩</t>
  </si>
  <si>
    <t>1命均记为22%；未记录2命；6命记为全覆盖</t>
  </si>
  <si>
    <t>柯蕾妲</t>
  </si>
  <si>
    <t>未记录2命4命6命</t>
  </si>
  <si>
    <t>柯蕾妲连携</t>
  </si>
  <si>
    <t>波可娜</t>
  </si>
  <si>
    <t>原始朋克</t>
  </si>
  <si>
    <t>注：追击也会吃到仅给普攻的buff，考虑到只有波可娜，并未做区分</t>
  </si>
  <si>
    <t>安比</t>
  </si>
  <si>
    <t>1命6命全覆盖
未记录4命</t>
  </si>
  <si>
    <t>耀嘉音</t>
  </si>
  <si>
    <t>支援</t>
  </si>
  <si>
    <t>好斗的阿炮</t>
  </si>
  <si>
    <t>静听嘉音</t>
  </si>
  <si>
    <t>回能</t>
  </si>
  <si>
    <t>仓角</t>
  </si>
  <si>
    <t>含羞恶面</t>
  </si>
  <si>
    <t>未记录2命</t>
  </si>
  <si>
    <t>丽娜</t>
  </si>
  <si>
    <t>啜泣摇篮</t>
  </si>
  <si>
    <t>2命全覆盖；
未记录4命</t>
  </si>
  <si>
    <t>妮可</t>
  </si>
  <si>
    <t>聚宝箱</t>
  </si>
  <si>
    <t>露西</t>
  </si>
  <si>
    <t>1命均可触发；
未记录6命</t>
  </si>
  <si>
    <t>亲卫小队*</t>
  </si>
  <si>
    <t>凯撒</t>
  </si>
  <si>
    <t>防护</t>
  </si>
  <si>
    <t>奔袭獠牙</t>
  </si>
  <si>
    <t>未记录2命回能、4命</t>
  </si>
  <si>
    <t>赛斯</t>
  </si>
  <si>
    <t>4命未计算稀释；
未记录6命</t>
  </si>
  <si>
    <t>buff列表</t>
  </si>
  <si>
    <t>易伤</t>
  </si>
  <si>
    <t>抗性</t>
  </si>
  <si>
    <t>异常抗性</t>
  </si>
  <si>
    <t>异常效率</t>
  </si>
  <si>
    <t>小攻击</t>
  </si>
  <si>
    <t>大攻击</t>
  </si>
  <si>
    <t>增伤</t>
  </si>
  <si>
    <t>减防</t>
  </si>
  <si>
    <t>失衡</t>
  </si>
  <si>
    <t>异常buff</t>
  </si>
  <si>
    <t>独立</t>
  </si>
  <si>
    <t>格莉丝单层被动</t>
  </si>
  <si>
    <t>青衣失衡</t>
  </si>
  <si>
    <t>格莉丝双层被动</t>
  </si>
  <si>
    <t>狼哥失衡</t>
  </si>
  <si>
    <t>简狂热</t>
  </si>
  <si>
    <t>莱特失衡</t>
  </si>
  <si>
    <t>简强击</t>
  </si>
  <si>
    <t>版机易伤</t>
  </si>
  <si>
    <t>简4命增伤</t>
  </si>
  <si>
    <t>狼哥冰抗</t>
  </si>
  <si>
    <t>柏妮思2命穿透</t>
  </si>
  <si>
    <t>社长连携</t>
  </si>
  <si>
    <t>薇薇安侵蚀</t>
  </si>
  <si>
    <t>莱特减抗增伤</t>
  </si>
  <si>
    <t>派派动力</t>
  </si>
  <si>
    <t>波可娜全队追伤</t>
  </si>
  <si>
    <t>妮可减防</t>
  </si>
  <si>
    <t>丽娜人偶</t>
  </si>
  <si>
    <t>赛斯精通</t>
  </si>
  <si>
    <t>丽娜电伤</t>
  </si>
  <si>
    <t>仓角满层展旗</t>
  </si>
  <si>
    <t>仓角冰队满层展旗</t>
  </si>
  <si>
    <t>露西加油&amp;阿炮</t>
  </si>
  <si>
    <t>仓角4命减抗</t>
  </si>
  <si>
    <t>凯撒天赋</t>
  </si>
  <si>
    <t>妮可减防&amp;聚宝箱</t>
  </si>
  <si>
    <t>妮可以太减防&amp;聚宝箱</t>
  </si>
  <si>
    <t>妮可6命暴击</t>
  </si>
  <si>
    <t>自定义</t>
  </si>
  <si>
    <t>嘉音演唱&amp;静听嘉音</t>
  </si>
  <si>
    <t>本暴击</t>
  </si>
  <si>
    <t>雅异常效率</t>
  </si>
  <si>
    <t>柳4命穿透</t>
  </si>
  <si>
    <t>格丽丝2命</t>
  </si>
  <si>
    <t>零号安比全队追击伤</t>
  </si>
  <si>
    <t>可琳2命减抗</t>
  </si>
  <si>
    <t>安东4命暴击</t>
  </si>
  <si>
    <t>焰心桂冠</t>
  </si>
  <si>
    <t>玉壶青冰</t>
  </si>
  <si>
    <t>玲珑妆匣</t>
  </si>
  <si>
    <t>阿炮3层</t>
  </si>
  <si>
    <t>含羞恶面1层</t>
  </si>
  <si>
    <t>萎缩异常</t>
  </si>
  <si>
    <t>霜寒异常</t>
  </si>
  <si>
    <t>自buff</t>
  </si>
  <si>
    <t>艾莲强普暴伤</t>
  </si>
  <si>
    <t>艾莲2命特E暴伤</t>
  </si>
  <si>
    <t>朱鸢4命强普</t>
  </si>
  <si>
    <t>猫又1命背刺</t>
  </si>
  <si>
    <t>猫又4命暴击+背刺</t>
  </si>
  <si>
    <t>猫又6命暴伤+暴击+背刺</t>
  </si>
  <si>
    <t>11号失衡火伤</t>
  </si>
  <si>
    <t>11号6命火抗</t>
  </si>
  <si>
    <t>11号6命失衡</t>
  </si>
  <si>
    <t>悠真冲刺双暴</t>
  </si>
  <si>
    <t>雅蓄力</t>
  </si>
  <si>
    <t>雅紊乱后蓄力</t>
  </si>
  <si>
    <t>雅终结紊乱后蓄力</t>
  </si>
  <si>
    <t>伊芙琳减防暴伤</t>
  </si>
  <si>
    <t>零号安比追击</t>
  </si>
  <si>
    <t>零号安比常规</t>
  </si>
  <si>
    <t>凯撒6命弹刀特E</t>
  </si>
  <si>
    <t>珂蕾妲1命失衡</t>
  </si>
  <si>
    <t>青衣1命暴击</t>
  </si>
  <si>
    <t>青衣2命失衡+暴击</t>
  </si>
  <si>
    <t>青衣6命暴伤+失衡+暴击</t>
  </si>
  <si>
    <t>可琳1命失衡期</t>
  </si>
  <si>
    <t>安东6命增伤</t>
  </si>
  <si>
    <t>安比2命落雷</t>
  </si>
  <si>
    <t>安比2命强E</t>
  </si>
  <si>
    <t>作者：静默之光    数据来源：666bj &amp; 米游社-绳网情报站</t>
  </si>
  <si>
    <t>一键复制，选一下其中之一即可：（推荐使用不带格式粘贴）</t>
  </si>
  <si>
    <t>版权许可证声明
特此免费授予任何获得本文档文件（以下简称“本文档”）副本的人，您可以自由地：
使用、复制、发行并传播本文档；
修改、转换本文档，以及基于本文档创作新的作品；
但必须遵守下列条款：
1，署名： 您必须给出适当的署名，尤其在自媒体平台中引用本文档进行创作时，需要提供指向本文档仓库的链接（https://github.com/AmicBeam/ZzzCloudTeam）或作者的链接（https://space.bilibili.com/9412490），并指明是否对其进行了修改。特别的，如果您并非在正式场合发布，也可以仅包含首页带署名的图片，而无需单独填写文字版的署名。
参考格式：
参考工具：《zzz云配队》V ?.?.?
原作者：静默之光
项目仓库/作者主页：...（有其一即可，如您在bilibili.com中引用，也可以直接@静默之光）
修改声明：是否基于原作品进行了修改
2，非商业性地转卖： 您不得将本文档直接用于商业目的的转售。
3，相同方式共享： 如果您再混合、转换、或基于本文档创作，必须基于与原作相同的许可协议发行进行。
上述版权声明和此许可声明应包含在所有文档副本或其重要部分中。
此外，文档按“原样”提供，不提供任何形式的保证，无论是明示还是暗示，包括但不限于适销性、特定用途的适用性以及非侵权性的保证。在任何情况下，作者均不对任何索赔、损害或其他责任负责，无论是在合同行为、侵权行为或其他行为中，由文档或文档的使用或其他交易引起的。</t>
  </si>
  <si>
    <t>参考工具：</t>
  </si>
  <si>
    <t>原作者：</t>
  </si>
  <si>
    <t>静默之光</t>
  </si>
  <si>
    <t>项目仓库：</t>
  </si>
  <si>
    <t>https://github.com/AmicBeam/ZzzCloudTeam</t>
  </si>
  <si>
    <t>修改声明：</t>
  </si>
  <si>
    <t>作者主页：</t>
  </si>
  <si>
    <t>https://space.bilibili.com/9412490</t>
  </si>
  <si>
    <t>（在bilibili时可采用下面的格式）</t>
  </si>
  <si>
    <t>@静默之光</t>
  </si>
  <si>
    <t>名称</t>
  </si>
  <si>
    <t>星级</t>
  </si>
  <si>
    <t>双暴</t>
  </si>
  <si>
    <t>倍率</t>
  </si>
  <si>
    <t>失衡倍率</t>
  </si>
  <si>
    <t>异常值</t>
  </si>
  <si>
    <t>异常掌控</t>
  </si>
  <si>
    <t>主动技
CD</t>
  </si>
  <si>
    <t>主动技
DPS</t>
  </si>
  <si>
    <t>主动技
秒均失衡</t>
  </si>
  <si>
    <t>主动技
秒均异常</t>
  </si>
  <si>
    <t>连携倍率</t>
  </si>
  <si>
    <t>连携
总伤害</t>
  </si>
  <si>
    <t>连携异常</t>
  </si>
  <si>
    <t>连携
总异常</t>
  </si>
  <si>
    <t>罗宾[击破]</t>
  </si>
  <si>
    <t>S</t>
  </si>
  <si>
    <t>罗宾[异常]</t>
  </si>
  <si>
    <t>格列佛探员</t>
  </si>
  <si>
    <t>赤红莫库斯</t>
  </si>
  <si>
    <t>阿崔巡查</t>
  </si>
  <si>
    <t>阿全</t>
  </si>
  <si>
    <t>艾米莉安</t>
  </si>
  <si>
    <t>鲨牙布</t>
  </si>
  <si>
    <t>飚速布</t>
  </si>
  <si>
    <t>插头布</t>
  </si>
  <si>
    <t>共鸣布</t>
  </si>
  <si>
    <t>左轮布</t>
  </si>
  <si>
    <t>加班布</t>
  </si>
  <si>
    <t>A</t>
  </si>
  <si>
    <t>骑士布</t>
  </si>
  <si>
    <t>不良布</t>
  </si>
  <si>
    <t>招财布</t>
  </si>
  <si>
    <t>磁力布</t>
  </si>
  <si>
    <t>扑击布</t>
  </si>
  <si>
    <t>飞靶布</t>
  </si>
  <si>
    <t>企鹅布</t>
  </si>
  <si>
    <t>泪眼布</t>
  </si>
  <si>
    <t>电击布</t>
  </si>
  <si>
    <t>恶魔布</t>
  </si>
  <si>
    <t>驱动盘解释</t>
  </si>
  <si>
    <t>动作列表</t>
  </si>
  <si>
    <t>角色增伤</t>
  </si>
  <si>
    <t>武器增伤</t>
  </si>
  <si>
    <t>驱动增伤</t>
  </si>
  <si>
    <t>角色失衡</t>
  </si>
  <si>
    <t>武器失衡</t>
  </si>
  <si>
    <t>驱动失衡</t>
  </si>
  <si>
    <t>回能效率</t>
  </si>
  <si>
    <t>额外喧响</t>
  </si>
  <si>
    <t>类型</t>
  </si>
  <si>
    <t>异常倍率</t>
  </si>
  <si>
    <t>特种异常</t>
  </si>
  <si>
    <t>结算倍数</t>
  </si>
  <si>
    <t>角色动作</t>
  </si>
  <si>
    <t>额外回能</t>
  </si>
  <si>
    <t>主词条</t>
  </si>
  <si>
    <t>物理</t>
  </si>
  <si>
    <t>安比闪反</t>
  </si>
  <si>
    <t>4 | 5 | 6</t>
  </si>
  <si>
    <t>普攻</t>
  </si>
  <si>
    <t>电</t>
  </si>
  <si>
    <t>露西强E</t>
  </si>
  <si>
    <t>暴击率</t>
  </si>
  <si>
    <t>强普</t>
  </si>
  <si>
    <t>冰</t>
  </si>
  <si>
    <t>露西特E</t>
  </si>
  <si>
    <t>蓄力</t>
  </si>
  <si>
    <t>火</t>
  </si>
  <si>
    <t>妮可强E</t>
  </si>
  <si>
    <t>冲刺</t>
  </si>
  <si>
    <t>以太</t>
  </si>
  <si>
    <t>妮可特E</t>
  </si>
  <si>
    <t>属性伤害</t>
  </si>
  <si>
    <t>闪反</t>
  </si>
  <si>
    <t>无</t>
  </si>
  <si>
    <t>妮可连携</t>
  </si>
  <si>
    <t>穿透率</t>
  </si>
  <si>
    <t>普E</t>
  </si>
  <si>
    <t>妮可大招</t>
  </si>
  <si>
    <t>强E</t>
  </si>
  <si>
    <t>安东强普</t>
  </si>
  <si>
    <t>冲击力</t>
  </si>
  <si>
    <t>特E</t>
  </si>
  <si>
    <t>安东蓄力</t>
  </si>
  <si>
    <t>快支</t>
  </si>
  <si>
    <t>安东冲刺</t>
  </si>
  <si>
    <t>副词条</t>
  </si>
  <si>
    <t>弹刀</t>
  </si>
  <si>
    <t>安东快支</t>
  </si>
  <si>
    <t>连携</t>
  </si>
  <si>
    <t>安东连携</t>
  </si>
  <si>
    <t>大招</t>
  </si>
  <si>
    <t>追击</t>
  </si>
  <si>
    <t>穿透值</t>
  </si>
  <si>
    <t>协同</t>
  </si>
  <si>
    <t>1级</t>
  </si>
  <si>
    <t>60级</t>
  </si>
  <si>
    <t>武器主词条</t>
  </si>
  <si>
    <t>A级通用</t>
  </si>
  <si>
    <t>A级专武</t>
  </si>
  <si>
    <t>S级常驻</t>
  </si>
  <si>
    <t>S级限定</t>
  </si>
  <si>
    <t>虚狩</t>
  </si>
  <si>
    <t>武器副词条</t>
  </si>
  <si>
    <t>A级</t>
  </si>
  <si>
    <t>3.33倍</t>
  </si>
  <si>
    <t>8.33倍</t>
  </si>
  <si>
    <t>S级</t>
  </si>
  <si>
    <t>4倍</t>
  </si>
  <si>
    <t>10倍</t>
  </si>
  <si>
    <t>收益</t>
  </si>
  <si>
    <t>角色表行号</t>
  </si>
  <si>
    <t>武器</t>
  </si>
  <si>
    <t>驱动4</t>
  </si>
  <si>
    <t>驱动2</t>
  </si>
  <si>
    <t>驱动4覆盖</t>
  </si>
  <si>
    <t>武器表行号</t>
  </si>
  <si>
    <t>武器覆盖</t>
  </si>
  <si>
    <t>武器攻击</t>
  </si>
  <si>
    <t>驱动4行号</t>
  </si>
  <si>
    <t>驱动2行号</t>
  </si>
  <si>
    <t>武器驱动战前大攻</t>
  </si>
  <si>
    <t>驱动
战前小攻</t>
  </si>
  <si>
    <t>武器驱动暴击</t>
  </si>
  <si>
    <t>武器驱动暴伤</t>
  </si>
  <si>
    <t>武器驱动穿透率</t>
  </si>
  <si>
    <t>驱动
穿透值</t>
  </si>
  <si>
    <t>武器驱动精通</t>
  </si>
  <si>
    <t>武器驱动掌控</t>
  </si>
  <si>
    <t>武器异常效率</t>
  </si>
  <si>
    <t>能量回复</t>
  </si>
  <si>
    <t>后台回能</t>
  </si>
  <si>
    <t>能量效率</t>
  </si>
  <si>
    <t>面板冲击</t>
  </si>
  <si>
    <t>面板攻击</t>
  </si>
  <si>
    <t>战时数攻</t>
  </si>
  <si>
    <t>异常增伤</t>
  </si>
  <si>
    <t>防御区</t>
  </si>
  <si>
    <t>异常基底</t>
  </si>
  <si>
    <t>异常伤害</t>
  </si>
  <si>
    <t>薇薇安结算</t>
  </si>
  <si>
    <t>紊乱基底</t>
  </si>
  <si>
    <t>总喧响</t>
  </si>
  <si>
    <t>总回能</t>
  </si>
  <si>
    <t>喧响转化</t>
  </si>
  <si>
    <t>动作列号</t>
  </si>
  <si>
    <t>动作喧响</t>
  </si>
  <si>
    <t>获得喧响</t>
  </si>
  <si>
    <t>动作回能</t>
  </si>
  <si>
    <t>武器驱动增伤</t>
  </si>
  <si>
    <t>失衡提升</t>
  </si>
  <si>
    <t>动作异常</t>
  </si>
  <si>
    <t>异常总和</t>
  </si>
  <si>
    <t>战时冲击</t>
  </si>
  <si>
    <t>时间</t>
  </si>
  <si>
    <t>削韧</t>
  </si>
  <si>
    <t>伤害</t>
  </si>
  <si>
    <t>攻击方系数</t>
  </si>
  <si>
    <t>基础防御力</t>
  </si>
  <si>
    <t>buff行号</t>
  </si>
  <si>
    <t>总时间</t>
  </si>
  <si>
    <t>BUFF 自</t>
  </si>
  <si>
    <t>定位</t>
  </si>
  <si>
    <t>基础攻击</t>
  </si>
  <si>
    <t>战时大攻击</t>
  </si>
  <si>
    <t>战时小攻击</t>
  </si>
  <si>
    <t>战前冲击</t>
  </si>
  <si>
    <t>普攻强普异常效率</t>
  </si>
  <si>
    <t>蓄力技能异常效率</t>
  </si>
  <si>
    <t>协同异常效率</t>
  </si>
  <si>
    <t>其他异常效率</t>
  </si>
  <si>
    <t>基础回能</t>
  </si>
  <si>
    <t>普攻增伤</t>
  </si>
  <si>
    <t>强普增伤</t>
  </si>
  <si>
    <t>蓄力增伤</t>
  </si>
  <si>
    <t>冲刺增伤</t>
  </si>
  <si>
    <t>闪反增伤</t>
  </si>
  <si>
    <t>特技增伤</t>
  </si>
  <si>
    <t>技能增伤</t>
  </si>
  <si>
    <t>快支弹刀
增伤</t>
  </si>
  <si>
    <t>连锁增伤</t>
  </si>
  <si>
    <t>大招增伤</t>
  </si>
  <si>
    <t>追击增伤</t>
  </si>
  <si>
    <t>协同增伤</t>
  </si>
  <si>
    <t>普攻失衡</t>
  </si>
  <si>
    <t>强普失衡</t>
  </si>
  <si>
    <t>技能失衡</t>
  </si>
  <si>
    <t>追击失衡</t>
  </si>
  <si>
    <t>技能费用</t>
  </si>
  <si>
    <t>普攻倍率</t>
  </si>
  <si>
    <t>普攻耗时</t>
  </si>
  <si>
    <t>普攻异常</t>
  </si>
  <si>
    <t>普攻喧响</t>
  </si>
  <si>
    <t>强普倍率</t>
  </si>
  <si>
    <t>强普耗时</t>
  </si>
  <si>
    <t>强普异常</t>
  </si>
  <si>
    <t>强普喧响</t>
  </si>
  <si>
    <t>蓄力倍率</t>
  </si>
  <si>
    <t>蓄力失衡</t>
  </si>
  <si>
    <t>蓄力耗时</t>
  </si>
  <si>
    <t>蓄力异常</t>
  </si>
  <si>
    <t>蓄力喧响</t>
  </si>
  <si>
    <t>冲刺倍率</t>
  </si>
  <si>
    <t>冲刺失衡</t>
  </si>
  <si>
    <t>冲刺耗时</t>
  </si>
  <si>
    <t>冲刺异常</t>
  </si>
  <si>
    <t>冲刺喧响</t>
  </si>
  <si>
    <t>闪反倍率</t>
  </si>
  <si>
    <t>闪反失衡</t>
  </si>
  <si>
    <t>闪反耗时</t>
  </si>
  <si>
    <t>闪反异常</t>
  </si>
  <si>
    <t>闪反喧响</t>
  </si>
  <si>
    <t>快支倍率</t>
  </si>
  <si>
    <t>快支失衡</t>
  </si>
  <si>
    <t>快支耗时</t>
  </si>
  <si>
    <t>快支异常</t>
  </si>
  <si>
    <t>快支喧响</t>
  </si>
  <si>
    <t>普E倍率</t>
  </si>
  <si>
    <t>普E失衡</t>
  </si>
  <si>
    <t>普E耗时</t>
  </si>
  <si>
    <t>普E异常</t>
  </si>
  <si>
    <t>普E喧响</t>
  </si>
  <si>
    <t>强E倍率</t>
  </si>
  <si>
    <t>强E失衡</t>
  </si>
  <si>
    <t>强E耗时</t>
  </si>
  <si>
    <t>强E异常</t>
  </si>
  <si>
    <t>强E喧响</t>
  </si>
  <si>
    <t>特E倍率</t>
  </si>
  <si>
    <t>特E失衡</t>
  </si>
  <si>
    <t>特E耗时</t>
  </si>
  <si>
    <t>特E异常</t>
  </si>
  <si>
    <t>特E喧响</t>
  </si>
  <si>
    <t>弹刀倍率</t>
  </si>
  <si>
    <t>弹刀失衡</t>
  </si>
  <si>
    <t>弹刀耗时</t>
  </si>
  <si>
    <t>弹刀异常</t>
  </si>
  <si>
    <t>弹刀喧响</t>
  </si>
  <si>
    <t>连携失衡</t>
  </si>
  <si>
    <t>连携耗时</t>
  </si>
  <si>
    <t>连携喧响</t>
  </si>
  <si>
    <t>大招倍率</t>
  </si>
  <si>
    <t>大招失衡</t>
  </si>
  <si>
    <t>大招耗时</t>
  </si>
  <si>
    <t>大招异常</t>
  </si>
  <si>
    <t>大招喧响</t>
  </si>
  <si>
    <t>追击倍率</t>
  </si>
  <si>
    <t>追击耗时</t>
  </si>
  <si>
    <t>追击异常</t>
  </si>
  <si>
    <t>追击喧响</t>
  </si>
  <si>
    <t>协同倍率</t>
  </si>
  <si>
    <t>协同失衡</t>
  </si>
  <si>
    <t>协同耗时</t>
  </si>
  <si>
    <t>协同异常</t>
  </si>
  <si>
    <t>协同喧响</t>
  </si>
  <si>
    <t>被动</t>
  </si>
  <si>
    <t>二次转化</t>
  </si>
  <si>
    <t>防卫军</t>
  </si>
  <si>
    <t>25全伤；暴伤转化（未记）
10暴击；全队25追伤（未记）</t>
  </si>
  <si>
    <t>天琴座</t>
  </si>
  <si>
    <t>冲刺双暴（未记）
敌人异常失衡时40增伤</t>
  </si>
  <si>
    <t>六科</t>
  </si>
  <si>
    <t>治安局</t>
  </si>
  <si>
    <t>失衡80强普
发动技伤后30暴击10秒</t>
  </si>
  <si>
    <t>家政</t>
  </si>
  <si>
    <t>普攻蓄力100暴伤（未记）
30冰伤</t>
  </si>
  <si>
    <t>狡兔屋</t>
  </si>
  <si>
    <t>闪反触发全伤60%6秒（未计）
长轴强E35%-&gt;70%</t>
  </si>
  <si>
    <t>附魔刀70%
火伤10%--失衡&gt;&gt;22.5%</t>
  </si>
  <si>
    <t>持续锯37.5
失衡期22.5</t>
  </si>
  <si>
    <t>重工</t>
  </si>
  <si>
    <t>40电钻24打桩
5个暴击送0.45感电（未记）</t>
  </si>
  <si>
    <t>15积蓄效率（未记）
50蓄力伤；25蓄力冰抗</t>
  </si>
  <si>
    <t>反舌鸟</t>
  </si>
  <si>
    <t>特殊结算；
全队12伤侵蚀（未记）</t>
  </si>
  <si>
    <t>20电伤；250%紊乱倍率（未记）
45%普攻积蓄</t>
  </si>
  <si>
    <t>卡吕冬</t>
  </si>
  <si>
    <t>12.5/25
+10</t>
  </si>
  <si>
    <t>30协同伤
65强E协同异常效率</t>
  </si>
  <si>
    <t>强击暴击（未记）
35异常效率</t>
  </si>
  <si>
    <t>加E的异常130%
每次强化E，感电18%2层</t>
  </si>
  <si>
    <t>80物理异常效率
全队20增伤（未记）</t>
  </si>
  <si>
    <t>35易伤（未记）
追击失衡</t>
  </si>
  <si>
    <t>18%冲击；15冰火抗（未记）
20.4增伤（未记）</t>
  </si>
  <si>
    <t>60/80</t>
  </si>
  <si>
    <t>失衡易伤80%（未记）
普攻20失衡，600小攻击</t>
  </si>
  <si>
    <t>40/60</t>
  </si>
  <si>
    <t>蓄力失衡80%（已记）
失衡易伤+35%</t>
  </si>
  <si>
    <t>强普强E失衡60%（已记）
失衡连携+70%（未记）</t>
  </si>
  <si>
    <t>30失衡；
全队30追伤（未记）</t>
  </si>
  <si>
    <t>落雷普E强E失衡64%
闪反回能</t>
  </si>
  <si>
    <t>1200攻击（未记）
强E倍率提升</t>
  </si>
  <si>
    <t>20%攻击传递（未记）
满层展旗20%冰伤（未记）</t>
  </si>
  <si>
    <t>穿透（未记）
感电时10电伤（未记）</t>
  </si>
  <si>
    <t>40减防3.5秒（未记）
15以太（未记）</t>
  </si>
  <si>
    <t>继承攻击200%
继承双暴</t>
  </si>
  <si>
    <t>护盾
全队增伤25%（未记）</t>
  </si>
  <si>
    <t>100精通护盾（未记）
强普减异常全抗（未记）</t>
  </si>
  <si>
    <t>战时攻击</t>
  </si>
  <si>
    <t>异常协同
增伤</t>
  </si>
  <si>
    <t>空列</t>
  </si>
  <si>
    <t>牺牲洁纯</t>
  </si>
  <si>
    <t>30暴伤；ae追叠暴伤共30，叠满20电伤</t>
  </si>
  <si>
    <t>心弦夜响</t>
  </si>
  <si>
    <t>50暴伤；入场连携终结叠2层12.5%火抗（为记）</t>
  </si>
  <si>
    <t>残心青囊</t>
  </si>
  <si>
    <t>10暴击；40冲刺电伤
敌人异常失衡10暴击</t>
  </si>
  <si>
    <t>防爆者VI型</t>
  </si>
  <si>
    <t>15暴击
强E后8次35增伤的普攻</t>
  </si>
  <si>
    <t>25冰伤，普攻/冲刺攻击后各10暴击8/15秒</t>
  </si>
  <si>
    <t>钢铁肉垫</t>
  </si>
  <si>
    <t>20物伤，背刺25
（1/5覆盖率）</t>
  </si>
  <si>
    <t>普攻冲刺闪反叠层3.5%攻击8层8秒</t>
  </si>
  <si>
    <t>回能；强E3%物伤叠15层
（逐渐叠）</t>
  </si>
  <si>
    <t>旋钻机-赤轴</t>
  </si>
  <si>
    <t>强化E后50电伤10秒</t>
  </si>
  <si>
    <t>强音热望</t>
  </si>
  <si>
    <t>强E连携后8秒9.6攻；异常翻倍</t>
  </si>
  <si>
    <t>鸢尾秘藏</t>
  </si>
  <si>
    <t>9.6%攻；24强化E伤害</t>
  </si>
  <si>
    <t>星徽引擎</t>
  </si>
  <si>
    <t>闪反快支19.2攻，12秒</t>
  </si>
  <si>
    <t>加农转子</t>
  </si>
  <si>
    <t>12攻；33.3附带倍率（未记）</t>
  </si>
  <si>
    <t>50暴伤；E后异常后20冰伤，2层15秒独立计算</t>
  </si>
  <si>
    <t>40积蓄；以太伤20*6精通</t>
  </si>
  <si>
    <t>30电异常效率；75精通
25紊乱伤（未记）</t>
  </si>
  <si>
    <t>回能；强E协同伤害3.5叠10层6秒;50精通</t>
  </si>
  <si>
    <t>36物伤40异常效率</t>
  </si>
  <si>
    <t>12战时攻击
e和强化e后25精通3层</t>
  </si>
  <si>
    <t>强化E时给攻精效，5秒</t>
  </si>
  <si>
    <t>双生泣星</t>
  </si>
  <si>
    <t>每次异常48精通，最多4层
（注意覆盖率）</t>
  </si>
  <si>
    <t>雨林饕客</t>
  </si>
  <si>
    <t>10能量4攻击10层，10秒独立（注意覆盖率）</t>
  </si>
  <si>
    <t>触电唇彩</t>
  </si>
  <si>
    <t>有异常状态敌人，16攻25伤</t>
  </si>
  <si>
    <t>电磁爆-壹</t>
  </si>
  <si>
    <t>40掌控10秒，cd20秒</t>
  </si>
  <si>
    <t>电磁爆-贰</t>
  </si>
  <si>
    <t>40精通10秒，cd20秒</t>
  </si>
  <si>
    <t>25减防（未记）
20冲击</t>
  </si>
  <si>
    <t>22%冲击
50冰火爆伤（未记）</t>
  </si>
  <si>
    <t>普攻冲击0.7%，30层
全队20增伤（未记）</t>
  </si>
  <si>
    <t>拘缚者</t>
  </si>
  <si>
    <t>普攻招式伤害失衡6%，5层</t>
  </si>
  <si>
    <t>燃狱齿轮</t>
  </si>
  <si>
    <t>强化E后10冲击，2层
（只算1层）</t>
  </si>
  <si>
    <t>裁纸刀</t>
  </si>
  <si>
    <t>追击触发15物伤10失衡</t>
  </si>
  <si>
    <t>德玛拉电池Ⅱ型</t>
  </si>
  <si>
    <t>电伤15；闪反支援18能效</t>
  </si>
  <si>
    <t>左轮转子</t>
  </si>
  <si>
    <t>18秒充能，38.4强E失衡</t>
  </si>
  <si>
    <t>50%血线和75%血线18%失衡（注意覆盖率）</t>
  </si>
  <si>
    <t>每10能量3.2%冲击，最多8层</t>
  </si>
  <si>
    <t>湍流-矢</t>
  </si>
  <si>
    <t>12%失衡</t>
  </si>
  <si>
    <t>快支回能；耗能增伤10%2层20秒（未记）</t>
  </si>
  <si>
    <t>全队增伤10-20.2%（未记）</t>
  </si>
  <si>
    <t>造成以太技伤后，挂15增伤debuff（未记）回能提升（算妮可身上）</t>
  </si>
  <si>
    <t>全队2.5%攻4层（未记）</t>
  </si>
  <si>
    <t>15冰伤，强化e全队2%攻击，叠4层12秒（未记）</t>
  </si>
  <si>
    <t>时光切片</t>
  </si>
  <si>
    <t>额外喧响值回能（目前本计算器不记录）</t>
  </si>
  <si>
    <t>逍遥游球</t>
  </si>
  <si>
    <t>触发克制，全队暴击（未记）</t>
  </si>
  <si>
    <t>残响-II</t>
  </si>
  <si>
    <t>强化E和连携，全队16精通和掌控10秒，cd20秒（未记）</t>
  </si>
  <si>
    <t>20能效；全队18增伤12失衡20秒</t>
  </si>
  <si>
    <t>维序者-特化型</t>
  </si>
  <si>
    <t>有护盾40%回能；强E弹刀异常36%</t>
  </si>
  <si>
    <t>正版变身器</t>
  </si>
  <si>
    <t>生命；受击(含招架)16%冲击</t>
  </si>
  <si>
    <t>4件套效果</t>
  </si>
  <si>
    <t>普攻冲刺强E9%攻击，6秒</t>
  </si>
  <si>
    <t>大招20增伤，大招后15攻12秒</t>
  </si>
  <si>
    <t>切前台25%攻击10秒/20秒</t>
  </si>
  <si>
    <t>25%普伤冲伤，异常后翻倍12秒</t>
  </si>
  <si>
    <t>20暴伤，异常后5.5%暴伤6层8秒</t>
  </si>
  <si>
    <t>异常后28%暴击</t>
  </si>
  <si>
    <t>有感电27%攻击</t>
  </si>
  <si>
    <t>异常后35增伤12秒</t>
  </si>
  <si>
    <t>115掌控后30暴伤；
冰异常12%暴击，15秒</t>
  </si>
  <si>
    <t>【记四件套】15追加冲刺伤；
叠4层共12%攻击12%暴击，20s</t>
  </si>
  <si>
    <t>15火电伤；20强E协同伤</t>
  </si>
  <si>
    <t>队伍E给45精通，队友的额外给25以太伤</t>
  </si>
  <si>
    <t>普攻失衡20%</t>
  </si>
  <si>
    <t>连锁后全队15增伤12秒（未记）</t>
  </si>
  <si>
    <t>强E后20%异常减抗（未记）</t>
  </si>
  <si>
    <t>15护盾；招架后全队15增伤10秒（未记）</t>
  </si>
  <si>
    <t>快支给8%伤，叠3层（未记）</t>
  </si>
  <si>
    <t>灵魂摇滚</t>
  </si>
  <si>
    <t>16防御；减伤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</si>
</sst>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_);[Red]\(0.0\)"/>
    <numFmt numFmtId="178" formatCode="0_);[Red]\(0\)"/>
  </numFmts>
  <fonts count="44">
    <font>
      <sz val="11"/>
      <name val="宋体"/>
      <charset val="134"/>
    </font>
    <font>
      <sz val="14"/>
      <color rgb="FF000000"/>
      <name val="阿里巴巴普惠体"/>
      <charset val="134"/>
    </font>
    <font>
      <sz val="11"/>
      <color rgb="FF000000"/>
      <name val="阿里巴巴普惠体"/>
      <charset val="134"/>
    </font>
    <font>
      <sz val="14"/>
      <color rgb="FF00B050"/>
      <name val="阿里巴巴普惠体"/>
      <charset val="134"/>
    </font>
    <font>
      <sz val="14"/>
      <color rgb="FFF6328E"/>
      <name val="阿里巴巴普惠体"/>
      <charset val="134"/>
    </font>
    <font>
      <sz val="14"/>
      <color rgb="FF0070C0"/>
      <name val="阿里巴巴普惠体"/>
      <charset val="134"/>
    </font>
    <font>
      <sz val="14"/>
      <name val="阿里巴巴普惠体"/>
      <charset val="134"/>
    </font>
    <font>
      <sz val="12"/>
      <color rgb="FF000000"/>
      <name val="阿里巴巴普惠体"/>
      <charset val="134"/>
    </font>
    <font>
      <sz val="14"/>
      <color rgb="FF7030A0"/>
      <name val="阿里巴巴普惠体"/>
      <charset val="134"/>
    </font>
    <font>
      <sz val="14"/>
      <color rgb="FFED7D31"/>
      <name val="阿里巴巴普惠体"/>
      <charset val="134"/>
    </font>
    <font>
      <sz val="14"/>
      <color rgb="FFFF0000"/>
      <name val="阿里巴巴普惠体"/>
      <charset val="134"/>
    </font>
    <font>
      <sz val="14"/>
      <color rgb="FF833C0C"/>
      <name val="阿里巴巴普惠体"/>
      <charset val="134"/>
    </font>
    <font>
      <sz val="14"/>
      <color rgb="FFF4B084"/>
      <name val="阿里巴巴普惠体"/>
      <charset val="134"/>
    </font>
    <font>
      <sz val="14"/>
      <color rgb="FF2F75B5"/>
      <name val="阿里巴巴普惠体"/>
      <charset val="134"/>
    </font>
    <font>
      <sz val="14"/>
      <color rgb="FFF125EF"/>
      <name val="阿里巴巴普惠体"/>
      <charset val="134"/>
    </font>
    <font>
      <sz val="14"/>
      <color rgb="FF548235"/>
      <name val="阿里巴巴普惠体"/>
      <charset val="134"/>
    </font>
    <font>
      <sz val="14"/>
      <color rgb="FFC65911"/>
      <name val="阿里巴巴普惠体"/>
      <charset val="134"/>
    </font>
    <font>
      <sz val="14"/>
      <color rgb="FFC00000"/>
      <name val="阿里巴巴普惠体"/>
      <charset val="134"/>
    </font>
    <font>
      <sz val="16"/>
      <color rgb="FF000000"/>
      <name val="阿里巴巴普惠体"/>
      <charset val="134"/>
    </font>
    <font>
      <sz val="11"/>
      <color rgb="FFFDFEDD"/>
      <name val="阿里巴巴普惠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0"/>
      <color rgb="FF000000"/>
      <name val="阿里巴巴普惠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DFEDD"/>
        <bgColor indexed="64"/>
      </patternFill>
    </fill>
    <fill>
      <patternFill patternType="solid">
        <fgColor rgb="FFFBFD9E"/>
        <bgColor indexed="64"/>
      </patternFill>
    </fill>
    <fill>
      <patternFill patternType="solid">
        <fgColor rgb="FFE5FEEC"/>
        <bgColor indexed="64"/>
      </patternFill>
    </fill>
    <fill>
      <patternFill patternType="solid">
        <fgColor rgb="FFFEDAC4"/>
        <bgColor indexed="64"/>
      </patternFill>
    </fill>
    <fill>
      <patternFill patternType="solid">
        <fgColor rgb="FFD0DDFE"/>
        <bgColor indexed="64"/>
      </patternFill>
    </fill>
    <fill>
      <patternFill patternType="solid">
        <fgColor rgb="FFF5B4FE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1" fillId="0" borderId="0" applyBorder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3" fillId="9" borderId="1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0" borderId="14" applyNumberFormat="0" applyAlignment="0" applyProtection="0">
      <alignment vertical="center"/>
    </xf>
    <xf numFmtId="0" fontId="32" fillId="11" borderId="15" applyNumberFormat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34" fillId="12" borderId="16" applyNumberForma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8" fillId="2" borderId="0" xfId="0" applyNumberFormat="1" applyFont="1" applyFill="1" applyAlignment="1">
      <alignment horizontal="center" vertical="center"/>
    </xf>
    <xf numFmtId="177" fontId="9" fillId="2" borderId="0" xfId="0" applyNumberFormat="1" applyFont="1" applyFill="1" applyAlignment="1">
      <alignment horizontal="center" vertical="center"/>
    </xf>
    <xf numFmtId="0" fontId="10" fillId="2" borderId="0" xfId="0" applyNumberFormat="1" applyFont="1" applyFill="1" applyBorder="1" applyAlignment="1" applyProtection="1">
      <alignment horizontal="center" vertical="center"/>
    </xf>
    <xf numFmtId="0" fontId="8" fillId="2" borderId="0" xfId="0" applyNumberFormat="1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177" fontId="10" fillId="2" borderId="0" xfId="0" applyNumberFormat="1" applyFont="1" applyFill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 wrapText="1"/>
    </xf>
    <xf numFmtId="177" fontId="4" fillId="2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177" fontId="12" fillId="2" borderId="0" xfId="0" applyNumberFormat="1" applyFont="1" applyFill="1" applyAlignment="1">
      <alignment horizontal="center" vertical="center"/>
    </xf>
    <xf numFmtId="177" fontId="13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77" fontId="14" fillId="2" borderId="0" xfId="0" applyNumberFormat="1" applyFont="1" applyFill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177" fontId="15" fillId="2" borderId="0" xfId="0" applyNumberFormat="1" applyFont="1" applyFill="1" applyAlignment="1">
      <alignment horizontal="center" vertical="center"/>
    </xf>
    <xf numFmtId="177" fontId="15" fillId="2" borderId="0" xfId="0" applyNumberFormat="1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177" fontId="16" fillId="2" borderId="0" xfId="0" applyNumberFormat="1" applyFont="1" applyFill="1" applyAlignment="1">
      <alignment horizontal="center" vertical="center"/>
    </xf>
    <xf numFmtId="177" fontId="17" fillId="2" borderId="0" xfId="0" applyNumberFormat="1" applyFont="1" applyFill="1" applyAlignment="1">
      <alignment horizontal="center" vertical="center"/>
    </xf>
    <xf numFmtId="177" fontId="16" fillId="2" borderId="0" xfId="0" applyNumberFormat="1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2" borderId="7" xfId="0" applyFont="1" applyFill="1" applyBorder="1">
      <alignment vertical="center"/>
    </xf>
    <xf numFmtId="0" fontId="18" fillId="2" borderId="0" xfId="0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 wrapText="1"/>
    </xf>
    <xf numFmtId="178" fontId="6" fillId="2" borderId="0" xfId="0" applyNumberFormat="1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9" fillId="2" borderId="0" xfId="0" applyFont="1" applyFill="1">
      <alignment vertical="center"/>
    </xf>
    <xf numFmtId="0" fontId="2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Protection="1">
      <alignment vertical="center"/>
      <protection locked="0"/>
    </xf>
    <xf numFmtId="0" fontId="20" fillId="2" borderId="0" xfId="6" applyFont="1" applyFill="1" applyAlignment="1">
      <alignment vertical="center"/>
      <protection locked="0"/>
    </xf>
    <xf numFmtId="0" fontId="21" fillId="2" borderId="0" xfId="6" applyFill="1" applyAlignment="1">
      <alignment vertical="center"/>
      <protection locked="0"/>
    </xf>
    <xf numFmtId="176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 applyProtection="1">
      <alignment horizontal="center" vertical="center" wrapText="1"/>
      <protection locked="0"/>
    </xf>
    <xf numFmtId="9" fontId="1" fillId="3" borderId="0" xfId="0" applyNumberFormat="1" applyFont="1" applyFill="1" applyAlignment="1" applyProtection="1">
      <alignment horizontal="center" vertical="center"/>
      <protection locked="0"/>
    </xf>
    <xf numFmtId="0" fontId="10" fillId="3" borderId="0" xfId="0" applyFont="1" applyFill="1" applyAlignment="1" applyProtection="1">
      <alignment horizontal="center" vertical="center" wrapText="1"/>
      <protection locked="0"/>
    </xf>
    <xf numFmtId="178" fontId="1" fillId="2" borderId="0" xfId="0" applyNumberFormat="1" applyFont="1" applyFill="1" applyAlignment="1" applyProtection="1">
      <alignment horizontal="center" vertical="center"/>
      <protection locked="0"/>
    </xf>
    <xf numFmtId="0" fontId="22" fillId="2" borderId="0" xfId="0" applyFont="1" applyFill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78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77" fontId="1" fillId="4" borderId="3" xfId="0" applyNumberFormat="1" applyFont="1" applyFill="1" applyBorder="1" applyAlignment="1">
      <alignment horizontal="center" vertical="center"/>
    </xf>
    <xf numFmtId="177" fontId="1" fillId="5" borderId="3" xfId="0" applyNumberFormat="1" applyFont="1" applyFill="1" applyBorder="1" applyAlignment="1">
      <alignment horizontal="center" vertical="center"/>
    </xf>
    <xf numFmtId="177" fontId="1" fillId="6" borderId="3" xfId="0" applyNumberFormat="1" applyFont="1" applyFill="1" applyBorder="1" applyAlignment="1">
      <alignment horizontal="center" vertical="center"/>
    </xf>
    <xf numFmtId="177" fontId="1" fillId="7" borderId="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177" fontId="1" fillId="3" borderId="4" xfId="0" applyNumberFormat="1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77" fontId="1" fillId="8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ont>
        <color rgb="FFFDFEDD"/>
      </font>
    </dxf>
    <dxf>
      <font>
        <color rgb="FFE5FEEC"/>
      </font>
    </dxf>
    <dxf>
      <font>
        <color rgb="FFFEDAC4"/>
      </font>
    </dxf>
    <dxf>
      <font>
        <color rgb="FFD0DDFE"/>
      </font>
    </dxf>
    <dxf>
      <font>
        <color rgb="FFF5B4FE"/>
      </font>
    </dxf>
    <dxf>
      <font>
        <color rgb="FFF9FCFE"/>
      </font>
    </dxf>
    <dxf>
      <font>
        <strike val="0"/>
        <color rgb="FF548235"/>
      </font>
    </dxf>
    <dxf>
      <font>
        <strike val="0"/>
        <color rgb="FF7030A0"/>
      </font>
    </dxf>
    <dxf>
      <font>
        <strike val="0"/>
        <color rgb="FFFE76C4"/>
      </font>
    </dxf>
    <dxf>
      <font>
        <strike val="0"/>
        <color rgb="FFA9D08E"/>
      </font>
    </dxf>
    <dxf>
      <font>
        <strike val="0"/>
        <color rgb="FF5B9BD5"/>
      </font>
    </dxf>
    <dxf>
      <font>
        <strike val="0"/>
        <color rgb="FFC00000"/>
      </font>
    </dxf>
    <dxf>
      <fill>
        <patternFill patternType="solid">
          <fgColor rgb="FFDDEBF7"/>
          <bgColor rgb="FFDDEBF7"/>
        </patternFill>
      </fill>
      <border>
        <left/>
        <right/>
        <top/>
        <bottom style="thin">
          <color rgb="FF9BC2E6"/>
        </bottom>
      </border>
    </dxf>
    <dxf>
      <font>
        <b val="1"/>
      </font>
      <fill>
        <patternFill patternType="solid">
          <fgColor rgb="FFDDEBF7"/>
          <bgColor rgb="FFDDEBF7"/>
        </patternFill>
      </fill>
      <border>
        <left/>
        <right/>
        <top/>
        <bottom style="thin">
          <color rgb="FF9BC2E6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BC2E6"/>
        </bottom>
      </border>
    </dxf>
    <dxf>
      <font>
        <b val="1"/>
        <color rgb="FF000000"/>
      </font>
    </dxf>
    <dxf>
      <font>
        <b val="1"/>
        <color rgb="FF000000"/>
      </font>
      <border>
        <left/>
        <right/>
        <top style="thin">
          <color rgb="FF5B9BD5"/>
        </top>
        <bottom style="thin">
          <color rgb="FF5B9BD5"/>
        </bottom>
      </border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 val="1"/>
        <color rgb="FF000000"/>
      </font>
      <fill>
        <patternFill patternType="solid">
          <fgColor rgb="FFDDEBF7"/>
          <bgColor rgb="FFDDEBF7"/>
        </patternFill>
      </fill>
      <border>
        <left/>
        <right/>
        <top style="thin">
          <color rgb="FF9BC2E6"/>
        </top>
        <bottom style="thin">
          <color rgb="FF9BC2E6"/>
        </bottom>
      </border>
    </dxf>
    <dxf>
      <font>
        <b val="1"/>
        <color rgb="FF000000"/>
      </font>
      <fill>
        <patternFill patternType="solid">
          <fgColor rgb="FFDDEBF7"/>
          <bgColor rgb="FFDDEBF7"/>
        </patternFill>
      </fill>
      <border>
        <left/>
        <right/>
        <top/>
        <bottom style="thin">
          <color rgb="FF9BC2E6"/>
        </bottom>
      </border>
    </dxf>
  </dxfs>
  <tableStyles count="1" defaultTableStyle="TableStyleMedium2" defaultPivotStyle="PivotStylePreset2_Accent1 1">
    <tableStyle name="PivotStylePreset2_Accent1 1" table="0" count="10" xr9:uid="{907E98C1-E2F7-4EE4-A17D-5679F2B506EB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colors>
    <mruColors>
      <color rgb="00FBFD9E"/>
      <color rgb="00FBFD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customXml" Target="../customXml/item5.xml"/><Relationship Id="rId14" Type="http://schemas.openxmlformats.org/officeDocument/2006/relationships/customXml" Target="../customXml/item4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59</xdr:col>
      <xdr:colOff>43815</xdr:colOff>
      <xdr:row>5</xdr:row>
      <xdr:rowOff>543560</xdr:rowOff>
    </xdr:from>
    <xdr:to>
      <xdr:col>72</xdr:col>
      <xdr:colOff>10160</xdr:colOff>
      <xdr:row>6</xdr:row>
      <xdr:rowOff>488315</xdr:rowOff>
    </xdr:to>
    <xdr:pic>
      <xdr:nvPicPr>
        <xdr:cNvPr id="2" name="图片 6" descr=" "/>
        <xdr:cNvPicPr/>
      </xdr:nvPicPr>
      <xdr:blipFill>
        <a:blip r:embed="rId1"/>
        <a:srcRect/>
        <a:stretch>
          <a:fillRect/>
        </a:stretch>
      </xdr:blipFill>
      <xdr:spPr>
        <a:xfrm>
          <a:off x="55791735" y="3337560"/>
          <a:ext cx="12249785" cy="50355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35</xdr:col>
      <xdr:colOff>15875</xdr:colOff>
      <xdr:row>6</xdr:row>
      <xdr:rowOff>30480</xdr:rowOff>
    </xdr:from>
    <xdr:to>
      <xdr:col>44</xdr:col>
      <xdr:colOff>56515</xdr:colOff>
      <xdr:row>6</xdr:row>
      <xdr:rowOff>483870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086675" y="3383280"/>
          <a:ext cx="8544560" cy="453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81</xdr:col>
      <xdr:colOff>0</xdr:colOff>
      <xdr:row>6</xdr:row>
      <xdr:rowOff>0</xdr:rowOff>
    </xdr:from>
    <xdr:to>
      <xdr:col>93</xdr:col>
      <xdr:colOff>911225</xdr:colOff>
      <xdr:row>6</xdr:row>
      <xdr:rowOff>503555</xdr:rowOff>
    </xdr:to>
    <xdr:pic>
      <xdr:nvPicPr>
        <xdr:cNvPr id="3" name="图片 6" descr=" "/>
        <xdr:cNvPicPr/>
      </xdr:nvPicPr>
      <xdr:blipFill>
        <a:blip r:embed="rId1"/>
        <a:srcRect/>
        <a:stretch>
          <a:fillRect/>
        </a:stretch>
      </xdr:blipFill>
      <xdr:spPr>
        <a:xfrm>
          <a:off x="76535280" y="3352800"/>
          <a:ext cx="12249785" cy="50355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103</xdr:col>
      <xdr:colOff>0</xdr:colOff>
      <xdr:row>6</xdr:row>
      <xdr:rowOff>0</xdr:rowOff>
    </xdr:from>
    <xdr:to>
      <xdr:col>115</xdr:col>
      <xdr:colOff>911225</xdr:colOff>
      <xdr:row>6</xdr:row>
      <xdr:rowOff>503555</xdr:rowOff>
    </xdr:to>
    <xdr:pic>
      <xdr:nvPicPr>
        <xdr:cNvPr id="9" name="图片 6" descr=" "/>
        <xdr:cNvPicPr/>
      </xdr:nvPicPr>
      <xdr:blipFill>
        <a:blip r:embed="rId1"/>
        <a:srcRect/>
        <a:stretch>
          <a:fillRect/>
        </a:stretch>
      </xdr:blipFill>
      <xdr:spPr>
        <a:xfrm>
          <a:off x="97322640" y="3352800"/>
          <a:ext cx="12249785" cy="50355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125</xdr:col>
      <xdr:colOff>0</xdr:colOff>
      <xdr:row>6</xdr:row>
      <xdr:rowOff>0</xdr:rowOff>
    </xdr:from>
    <xdr:to>
      <xdr:col>137</xdr:col>
      <xdr:colOff>911225</xdr:colOff>
      <xdr:row>6</xdr:row>
      <xdr:rowOff>503555</xdr:rowOff>
    </xdr:to>
    <xdr:pic>
      <xdr:nvPicPr>
        <xdr:cNvPr id="10" name="图片 6" descr=" "/>
        <xdr:cNvPicPr/>
      </xdr:nvPicPr>
      <xdr:blipFill>
        <a:blip r:embed="rId1"/>
        <a:srcRect/>
        <a:stretch>
          <a:fillRect/>
        </a:stretch>
      </xdr:blipFill>
      <xdr:spPr>
        <a:xfrm>
          <a:off x="118110000" y="3352800"/>
          <a:ext cx="12249785" cy="50355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147</xdr:col>
      <xdr:colOff>0</xdr:colOff>
      <xdr:row>6</xdr:row>
      <xdr:rowOff>0</xdr:rowOff>
    </xdr:from>
    <xdr:to>
      <xdr:col>159</xdr:col>
      <xdr:colOff>911225</xdr:colOff>
      <xdr:row>6</xdr:row>
      <xdr:rowOff>503555</xdr:rowOff>
    </xdr:to>
    <xdr:pic>
      <xdr:nvPicPr>
        <xdr:cNvPr id="11" name="图片 6" descr=" "/>
        <xdr:cNvPicPr/>
      </xdr:nvPicPr>
      <xdr:blipFill>
        <a:blip r:embed="rId1"/>
        <a:srcRect/>
        <a:stretch>
          <a:fillRect/>
        </a:stretch>
      </xdr:blipFill>
      <xdr:spPr>
        <a:xfrm>
          <a:off x="138897360" y="3352800"/>
          <a:ext cx="12249785" cy="50355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pace.bilibili.com/9412490" TargetMode="External"/><Relationship Id="rId1" Type="http://schemas.openxmlformats.org/officeDocument/2006/relationships/hyperlink" Target="https://github.com/AmicBeam/ZzzCloudTea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tabSelected="1" zoomScale="70" zoomScaleNormal="70" topLeftCell="A3" workbookViewId="0">
      <selection activeCell="M6" sqref="M6"/>
    </sheetView>
  </sheetViews>
  <sheetFormatPr defaultColWidth="9.90740740740741" defaultRowHeight="44" customHeight="1"/>
  <cols>
    <col min="1" max="5" width="11.4814814814815" style="1" customWidth="1"/>
    <col min="6" max="17" width="13.7777777777778" style="1" customWidth="1"/>
    <col min="18" max="20" width="11.4814814814815" style="1" customWidth="1"/>
    <col min="21" max="29" width="13.7777777777778" style="1"/>
  </cols>
  <sheetData>
    <row r="1" ht="98" customHeight="1" spans="3:6">
      <c r="C1" s="4" t="s">
        <v>0</v>
      </c>
      <c r="D1" s="4" t="s">
        <v>1</v>
      </c>
      <c r="E1" s="4"/>
      <c r="F1" s="4" t="s">
        <v>2</v>
      </c>
    </row>
    <row r="2" ht="21" customHeight="1"/>
    <row r="3" s="71" customFormat="1" ht="58" customHeight="1" spans="3:17">
      <c r="C3" s="1" t="s">
        <v>3</v>
      </c>
      <c r="D3" s="1" t="s">
        <v>4</v>
      </c>
      <c r="E3" s="1" t="s">
        <v>5</v>
      </c>
      <c r="F3" s="89" t="s">
        <v>6</v>
      </c>
      <c r="G3" s="90"/>
      <c r="H3" s="90"/>
      <c r="I3" s="90"/>
      <c r="J3" s="90"/>
      <c r="K3" s="90"/>
      <c r="L3" s="90"/>
      <c r="M3" s="90"/>
      <c r="N3" s="90"/>
      <c r="O3" s="90"/>
      <c r="P3" s="90"/>
      <c r="Q3" s="104"/>
    </row>
    <row r="4" ht="42" customHeight="1" spans="3:17">
      <c r="C4" s="1">
        <v>60</v>
      </c>
      <c r="D4" s="1">
        <v>70</v>
      </c>
      <c r="E4" s="1" t="s">
        <v>7</v>
      </c>
      <c r="F4" s="91" t="s">
        <v>8</v>
      </c>
      <c r="G4" s="92"/>
      <c r="H4" s="92"/>
      <c r="I4" s="92"/>
      <c r="J4" s="92"/>
      <c r="K4" s="92"/>
      <c r="L4" s="92"/>
      <c r="M4" s="92"/>
      <c r="N4" s="92"/>
      <c r="O4" s="92"/>
      <c r="P4" s="92"/>
      <c r="Q4" s="105"/>
    </row>
    <row r="5" customHeight="1" spans="1:20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49" t="s">
        <v>14</v>
      </c>
      <c r="G5" s="49" t="s">
        <v>15</v>
      </c>
      <c r="H5" s="49" t="s">
        <v>16</v>
      </c>
      <c r="I5" s="49" t="s">
        <v>17</v>
      </c>
      <c r="J5" s="49" t="s">
        <v>18</v>
      </c>
      <c r="K5" s="49" t="s">
        <v>19</v>
      </c>
      <c r="L5" s="49" t="s">
        <v>20</v>
      </c>
      <c r="M5" s="49" t="s">
        <v>21</v>
      </c>
      <c r="N5" s="49" t="s">
        <v>22</v>
      </c>
      <c r="O5" s="49" t="s">
        <v>23</v>
      </c>
      <c r="P5" s="49" t="s">
        <v>24</v>
      </c>
      <c r="Q5" s="49" t="s">
        <v>25</v>
      </c>
      <c r="R5" s="4" t="s">
        <v>26</v>
      </c>
      <c r="S5" s="1" t="s">
        <v>27</v>
      </c>
      <c r="T5" s="4" t="s">
        <v>28</v>
      </c>
    </row>
    <row r="6" customHeight="1" spans="1:20">
      <c r="A6" s="93">
        <f>计算!AJ4</f>
        <v>2815.42</v>
      </c>
      <c r="B6" s="3">
        <f>计算!AH4</f>
        <v>0.89</v>
      </c>
      <c r="C6" s="3">
        <f>计算!AI4</f>
        <v>1.94</v>
      </c>
      <c r="D6" s="93">
        <f>计算!AG4</f>
        <v>86</v>
      </c>
      <c r="E6" s="1">
        <f>FLOOR(计算!AM4*100+100,1)</f>
        <v>274</v>
      </c>
      <c r="F6" s="50" t="s">
        <v>29</v>
      </c>
      <c r="G6" s="51" t="str">
        <f>计算!E4</f>
        <v>冰</v>
      </c>
      <c r="H6" s="51" t="str">
        <f>计算!F4</f>
        <v>六科</v>
      </c>
      <c r="I6" s="95" t="str">
        <f>计算!H4</f>
        <v>霰落星殿</v>
      </c>
      <c r="J6" s="63">
        <f>计算!$AX4</f>
        <v>0</v>
      </c>
      <c r="K6" s="63">
        <f>计算!$AW4</f>
        <v>0</v>
      </c>
      <c r="L6" s="96">
        <f>计算!$AR4</f>
        <v>59471.0964757709</v>
      </c>
      <c r="M6" s="50"/>
      <c r="N6" s="50"/>
      <c r="O6" s="50"/>
      <c r="P6" s="50"/>
      <c r="Q6" s="50"/>
      <c r="R6" s="1"/>
      <c r="S6" s="93">
        <f>计算!AV4</f>
        <v>71365.3157709251</v>
      </c>
      <c r="T6" s="93">
        <f>计算!AS4</f>
        <v>37573.8387533921</v>
      </c>
    </row>
    <row r="7" customHeight="1" spans="1:20">
      <c r="A7" s="93">
        <f>计算!AJ5</f>
        <v>2130.12</v>
      </c>
      <c r="B7" s="3">
        <f>计算!AH5</f>
        <v>0.89</v>
      </c>
      <c r="C7" s="3">
        <f>计算!AI5</f>
        <v>0.98</v>
      </c>
      <c r="D7" s="93">
        <f>计算!AG5</f>
        <v>162.44</v>
      </c>
      <c r="E7" s="1">
        <f>FLOOR(计算!AM5*100+100,1)</f>
        <v>95</v>
      </c>
      <c r="F7" s="50" t="s">
        <v>30</v>
      </c>
      <c r="G7" s="51" t="str">
        <f>计算!E5</f>
        <v>电</v>
      </c>
      <c r="H7" s="51" t="str">
        <f>计算!F5</f>
        <v>防卫军</v>
      </c>
      <c r="I7" s="95" t="str">
        <f>计算!H5</f>
        <v>索魂影眸</v>
      </c>
      <c r="J7" s="63">
        <f>计算!$AX5</f>
        <v>0</v>
      </c>
      <c r="K7" s="63">
        <f>计算!$AW5</f>
        <v>0</v>
      </c>
      <c r="L7" s="96">
        <f>计算!$AR5</f>
        <v>3348.16134545454</v>
      </c>
      <c r="M7" s="50"/>
      <c r="N7" s="50"/>
      <c r="O7" s="50"/>
      <c r="P7" s="50"/>
      <c r="Q7" s="50"/>
      <c r="R7" s="1"/>
      <c r="S7" s="93">
        <f>计算!AV5</f>
        <v>12053.3808436364</v>
      </c>
      <c r="T7" s="93">
        <f>计算!AS5</f>
        <v>6267.75803869091</v>
      </c>
    </row>
    <row r="8" customHeight="1" spans="1:20">
      <c r="A8" s="93">
        <f>计算!AJ6</f>
        <v>2562.9</v>
      </c>
      <c r="B8" s="3">
        <f>计算!AH6</f>
        <v>0.05</v>
      </c>
      <c r="C8" s="3">
        <f>计算!AI6</f>
        <v>0.5</v>
      </c>
      <c r="D8" s="93">
        <f>计算!AG6</f>
        <v>86</v>
      </c>
      <c r="E8" s="1">
        <f>FLOOR(计算!AM6*100+100,1)</f>
        <v>585</v>
      </c>
      <c r="F8" s="50" t="s">
        <v>31</v>
      </c>
      <c r="G8" s="94" t="str">
        <f>计算!E6</f>
        <v>以太</v>
      </c>
      <c r="H8" s="94" t="str">
        <f>计算!F6</f>
        <v>反舌鸟</v>
      </c>
      <c r="I8" s="97" t="str">
        <f>计算!H6</f>
        <v>飞鸟星梦</v>
      </c>
      <c r="J8" s="63">
        <f>计算!$AX6</f>
        <v>0</v>
      </c>
      <c r="K8" s="63">
        <f>计算!$AW6</f>
        <v>0</v>
      </c>
      <c r="L8" s="96">
        <f>计算!$AR6</f>
        <v>15316.6767443182</v>
      </c>
      <c r="M8" s="50"/>
      <c r="N8" s="50"/>
      <c r="O8" s="50"/>
      <c r="P8" s="50"/>
      <c r="Q8" s="50"/>
      <c r="R8" s="1"/>
      <c r="S8" s="93">
        <f>计算!AV6</f>
        <v>95069.0280681818</v>
      </c>
      <c r="T8" s="93">
        <f>计算!AS6</f>
        <v>55105.5737568707</v>
      </c>
    </row>
    <row r="9" customHeight="1" spans="6:19">
      <c r="F9" s="55" t="s">
        <v>32</v>
      </c>
      <c r="G9" s="54"/>
      <c r="H9" s="56"/>
      <c r="I9" s="56"/>
      <c r="J9" s="56"/>
      <c r="K9" s="56"/>
      <c r="L9" s="56"/>
      <c r="M9" s="63">
        <f>计算!AZ19</f>
        <v>0</v>
      </c>
      <c r="N9" s="63">
        <f>计算!BV19</f>
        <v>0</v>
      </c>
      <c r="O9" s="63">
        <f>计算!CR19</f>
        <v>0</v>
      </c>
      <c r="P9" s="63">
        <f>计算!DN19</f>
        <v>0</v>
      </c>
      <c r="Q9" s="63">
        <f>计算!EJ19</f>
        <v>0</v>
      </c>
      <c r="R9" s="57">
        <v>0</v>
      </c>
      <c r="S9" s="1" t="s">
        <v>33</v>
      </c>
    </row>
    <row r="10" customHeight="1" spans="6:19">
      <c r="F10" s="55" t="s">
        <v>34</v>
      </c>
      <c r="G10" s="54"/>
      <c r="H10" s="56"/>
      <c r="I10" s="56"/>
      <c r="J10" s="56"/>
      <c r="K10" s="56"/>
      <c r="L10" s="56"/>
      <c r="M10" s="63">
        <f>计算!AZ20</f>
        <v>0</v>
      </c>
      <c r="N10" s="63">
        <f>计算!BV20</f>
        <v>0</v>
      </c>
      <c r="O10" s="63">
        <f>计算!CR20</f>
        <v>0</v>
      </c>
      <c r="P10" s="63">
        <f>计算!DN20</f>
        <v>0</v>
      </c>
      <c r="Q10" s="63">
        <f>计算!EJ20</f>
        <v>0</v>
      </c>
      <c r="R10" s="57">
        <v>0</v>
      </c>
      <c r="S10" s="1" t="s">
        <v>35</v>
      </c>
    </row>
    <row r="11" customHeight="1" spans="6:17">
      <c r="F11" s="55" t="s">
        <v>36</v>
      </c>
      <c r="G11" s="54"/>
      <c r="H11" s="56"/>
      <c r="I11" s="56"/>
      <c r="J11" s="56"/>
      <c r="K11" s="56"/>
      <c r="L11" s="56"/>
      <c r="M11" s="63">
        <f>计算!AZ21</f>
        <v>0</v>
      </c>
      <c r="N11" s="63">
        <f>计算!BV21</f>
        <v>0</v>
      </c>
      <c r="O11" s="63">
        <f>计算!CR21</f>
        <v>0</v>
      </c>
      <c r="P11" s="63">
        <f>计算!DN21</f>
        <v>0</v>
      </c>
      <c r="Q11" s="63">
        <f>计算!EJ21</f>
        <v>0</v>
      </c>
    </row>
    <row r="12" customHeight="1" spans="6:17">
      <c r="F12" s="49" t="s">
        <v>37</v>
      </c>
      <c r="G12" s="63">
        <f>ROUND(计算!EJ22,0)</f>
        <v>0</v>
      </c>
      <c r="H12" s="49" t="s">
        <v>38</v>
      </c>
      <c r="I12" s="63">
        <f>IF($Q$9&lt;&gt;0,ROUND(G12/$Q$9,0),0)</f>
        <v>0</v>
      </c>
      <c r="J12" s="49" t="s">
        <v>39</v>
      </c>
      <c r="K12" s="49"/>
      <c r="L12" s="49"/>
      <c r="M12" s="98">
        <f>计算!BN18+计算!CJ18+计算!DF18+计算!EB18+计算!EX18</f>
        <v>0</v>
      </c>
      <c r="N12" s="99">
        <f>计算!BO18+计算!CK18+计算!DG18+计算!EC18+计算!EY18</f>
        <v>0</v>
      </c>
      <c r="O12" s="100">
        <f>计算!BP18+计算!CL18+计算!DH18+计算!ED18+计算!EZ18</f>
        <v>0</v>
      </c>
      <c r="P12" s="101">
        <f>计算!BQ18+计算!CM18+计算!DI18+计算!EE18+计算!FA18</f>
        <v>0</v>
      </c>
      <c r="Q12" s="106">
        <f>计算!BR18+计算!CN18+计算!DJ18+计算!EF18+计算!FB18</f>
        <v>0</v>
      </c>
    </row>
    <row r="13" hidden="1" customHeight="1" spans="6:17">
      <c r="F13" s="49"/>
      <c r="G13" s="63"/>
      <c r="H13" s="49"/>
      <c r="I13" s="63"/>
      <c r="J13" s="49" t="s">
        <v>40</v>
      </c>
      <c r="K13" s="49"/>
      <c r="L13" s="49"/>
      <c r="M13" s="98">
        <f t="shared" ref="L13:Q13" si="0">IF($Q$9&lt;&gt;0,ROUND(M12/$Q$9,0),0)</f>
        <v>0</v>
      </c>
      <c r="N13" s="99">
        <f t="shared" si="0"/>
        <v>0</v>
      </c>
      <c r="O13" s="100">
        <f t="shared" si="0"/>
        <v>0</v>
      </c>
      <c r="P13" s="101">
        <f t="shared" si="0"/>
        <v>0</v>
      </c>
      <c r="Q13" s="106">
        <f t="shared" si="0"/>
        <v>0</v>
      </c>
    </row>
    <row r="14" customHeight="1" spans="6:17">
      <c r="F14" s="55"/>
      <c r="G14" s="48"/>
      <c r="H14" s="54" t="s">
        <v>41</v>
      </c>
      <c r="I14" s="54"/>
      <c r="J14" s="48"/>
      <c r="K14" s="48"/>
      <c r="L14" s="102"/>
      <c r="M14" s="103"/>
      <c r="N14" s="103"/>
      <c r="O14" s="103"/>
      <c r="P14" s="103"/>
      <c r="Q14" s="103"/>
    </row>
    <row r="15" customHeight="1" spans="6:17">
      <c r="F15" s="55"/>
      <c r="G15" s="48"/>
      <c r="H15" s="54" t="s">
        <v>42</v>
      </c>
      <c r="I15" s="54"/>
      <c r="J15" s="48"/>
      <c r="K15" s="48"/>
      <c r="L15" s="102"/>
      <c r="M15" s="103"/>
      <c r="N15" s="103"/>
      <c r="O15" s="103"/>
      <c r="P15" s="103"/>
      <c r="Q15" s="103"/>
    </row>
    <row r="16" customHeight="1" spans="6:17">
      <c r="F16" s="55"/>
      <c r="G16" s="48"/>
      <c r="H16" s="54" t="s">
        <v>43</v>
      </c>
      <c r="I16" s="54"/>
      <c r="J16" s="48"/>
      <c r="K16" s="48"/>
      <c r="L16" s="102"/>
      <c r="M16" s="103"/>
      <c r="N16" s="103"/>
      <c r="O16" s="103"/>
      <c r="P16" s="103"/>
      <c r="Q16" s="103"/>
    </row>
    <row r="17" customHeight="1" spans="6:17">
      <c r="F17" s="55"/>
      <c r="G17" s="48"/>
      <c r="H17" s="54" t="s">
        <v>44</v>
      </c>
      <c r="I17" s="54"/>
      <c r="J17" s="48"/>
      <c r="K17" s="48"/>
      <c r="L17" s="102"/>
      <c r="M17" s="103"/>
      <c r="N17" s="103"/>
      <c r="O17" s="103"/>
      <c r="P17" s="103"/>
      <c r="Q17" s="103"/>
    </row>
    <row r="18" customHeight="1" spans="6:17">
      <c r="F18" s="55"/>
      <c r="G18" s="48"/>
      <c r="H18" s="54" t="s">
        <v>45</v>
      </c>
      <c r="I18" s="54"/>
      <c r="J18" s="48"/>
      <c r="K18" s="48"/>
      <c r="L18" s="102"/>
      <c r="M18" s="103"/>
      <c r="N18" s="103"/>
      <c r="O18" s="103"/>
      <c r="P18" s="103"/>
      <c r="Q18" s="103"/>
    </row>
    <row r="19" customHeight="1" spans="6:17">
      <c r="F19" s="55"/>
      <c r="G19" s="48"/>
      <c r="H19" s="54" t="s">
        <v>46</v>
      </c>
      <c r="I19" s="54"/>
      <c r="J19" s="48"/>
      <c r="K19" s="48"/>
      <c r="L19" s="102"/>
      <c r="M19" s="103"/>
      <c r="N19" s="103"/>
      <c r="O19" s="103"/>
      <c r="P19" s="103"/>
      <c r="Q19" s="103"/>
    </row>
    <row r="20" customFormat="1" customHeight="1" spans="1:29">
      <c r="A20" s="1"/>
      <c r="B20" s="1"/>
      <c r="C20" s="1"/>
      <c r="D20" s="1"/>
      <c r="E20" s="1"/>
      <c r="F20" s="55"/>
      <c r="G20" s="48"/>
      <c r="H20" s="54" t="s">
        <v>47</v>
      </c>
      <c r="I20" s="54"/>
      <c r="J20" s="48"/>
      <c r="K20" s="48"/>
      <c r="L20" s="102"/>
      <c r="M20" s="103"/>
      <c r="N20" s="103"/>
      <c r="O20" s="103"/>
      <c r="P20" s="103"/>
      <c r="Q20" s="103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customFormat="1" customHeight="1" spans="1:29">
      <c r="A21" s="1"/>
      <c r="B21" s="1"/>
      <c r="C21" s="1"/>
      <c r="D21" s="1"/>
      <c r="E21" s="1"/>
      <c r="F21" s="55"/>
      <c r="G21" s="48"/>
      <c r="H21" s="54" t="s">
        <v>48</v>
      </c>
      <c r="I21" s="54"/>
      <c r="J21" s="48"/>
      <c r="K21" s="48"/>
      <c r="L21" s="102"/>
      <c r="M21" s="103"/>
      <c r="N21" s="103"/>
      <c r="O21" s="103"/>
      <c r="P21" s="103"/>
      <c r="Q21" s="10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customHeight="1" spans="6:17">
      <c r="F22" s="55"/>
      <c r="G22" s="48"/>
      <c r="H22" s="54" t="s">
        <v>49</v>
      </c>
      <c r="I22" s="54"/>
      <c r="J22" s="48"/>
      <c r="K22" s="48"/>
      <c r="L22" s="102"/>
      <c r="M22" s="103"/>
      <c r="N22" s="103"/>
      <c r="O22" s="103"/>
      <c r="P22" s="103"/>
      <c r="Q22" s="103"/>
    </row>
  </sheetData>
  <sheetProtection selectLockedCells="1" formatCells="0" formatColumns="0" insertHyperlinks="0" autoFilter="0"/>
  <protectedRanges>
    <protectedRange sqref="O9:S13" name="区域2"/>
    <protectedRange sqref="F7 F8 A6:D6 F6" name="区域1"/>
  </protectedRanges>
  <mergeCells count="18">
    <mergeCell ref="D1:E1"/>
    <mergeCell ref="F1:Q1"/>
    <mergeCell ref="F3:Q3"/>
    <mergeCell ref="F4:Q4"/>
    <mergeCell ref="F9:L9"/>
    <mergeCell ref="F10:L10"/>
    <mergeCell ref="F11:L11"/>
    <mergeCell ref="J12:L12"/>
    <mergeCell ref="J13:L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</mergeCells>
  <conditionalFormatting sqref="G12">
    <cfRule type="cellIs" dxfId="0" priority="20" operator="equal">
      <formula>0</formula>
    </cfRule>
  </conditionalFormatting>
  <conditionalFormatting sqref="I12">
    <cfRule type="cellIs" dxfId="0" priority="19" operator="equal">
      <formula>0</formula>
    </cfRule>
  </conditionalFormatting>
  <conditionalFormatting sqref="M12">
    <cfRule type="cellIs" dxfId="1" priority="18" operator="equal">
      <formula>0</formula>
    </cfRule>
  </conditionalFormatting>
  <conditionalFormatting sqref="G13">
    <cfRule type="cellIs" dxfId="0" priority="2" operator="equal">
      <formula>0</formula>
    </cfRule>
  </conditionalFormatting>
  <conditionalFormatting sqref="I13">
    <cfRule type="cellIs" dxfId="0" priority="8" operator="equal">
      <formula>0</formula>
    </cfRule>
  </conditionalFormatting>
  <conditionalFormatting sqref="M13">
    <cfRule type="cellIs" dxfId="1" priority="17" operator="equal">
      <formula>0</formula>
    </cfRule>
  </conditionalFormatting>
  <conditionalFormatting sqref="A6:A8">
    <cfRule type="cellIs" dxfId="0" priority="5" operator="equal">
      <formula>0</formula>
    </cfRule>
  </conditionalFormatting>
  <conditionalFormatting sqref="D6:D8">
    <cfRule type="cellIs" dxfId="0" priority="4" operator="equal">
      <formula>0</formula>
    </cfRule>
  </conditionalFormatting>
  <conditionalFormatting sqref="L6:L8">
    <cfRule type="cellIs" dxfId="0" priority="21" operator="equal">
      <formula>0</formula>
    </cfRule>
  </conditionalFormatting>
  <conditionalFormatting sqref="M9:M11">
    <cfRule type="cellIs" dxfId="0" priority="54" operator="equal">
      <formula>0</formula>
    </cfRule>
  </conditionalFormatting>
  <conditionalFormatting sqref="N9:N11">
    <cfRule type="cellIs" dxfId="0" priority="50" operator="equal">
      <formula>0</formula>
    </cfRule>
  </conditionalFormatting>
  <conditionalFormatting sqref="N12:N13">
    <cfRule type="cellIs" dxfId="2" priority="16" operator="equal">
      <formula>0</formula>
    </cfRule>
  </conditionalFormatting>
  <conditionalFormatting sqref="O9:O11">
    <cfRule type="cellIs" dxfId="0" priority="42" operator="equal">
      <formula>0</formula>
    </cfRule>
  </conditionalFormatting>
  <conditionalFormatting sqref="O12:O13">
    <cfRule type="cellIs" dxfId="3" priority="15" operator="equal">
      <formula>0</formula>
    </cfRule>
  </conditionalFormatting>
  <conditionalFormatting sqref="P9:P11">
    <cfRule type="cellIs" dxfId="0" priority="34" operator="equal">
      <formula>0</formula>
    </cfRule>
  </conditionalFormatting>
  <conditionalFormatting sqref="P12:P13">
    <cfRule type="cellIs" dxfId="4" priority="14" operator="equal">
      <formula>0</formula>
    </cfRule>
  </conditionalFormatting>
  <conditionalFormatting sqref="Q9:Q11">
    <cfRule type="cellIs" dxfId="0" priority="26" operator="equal">
      <formula>0</formula>
    </cfRule>
  </conditionalFormatting>
  <conditionalFormatting sqref="Q12:Q13">
    <cfRule type="cellIs" dxfId="5" priority="13" operator="equal">
      <formula>0</formula>
    </cfRule>
  </conditionalFormatting>
  <conditionalFormatting sqref="S6:S8">
    <cfRule type="cellIs" dxfId="0" priority="7" operator="equal">
      <formula>0</formula>
    </cfRule>
  </conditionalFormatting>
  <conditionalFormatting sqref="T6:T8">
    <cfRule type="cellIs" dxfId="0" priority="1" operator="equal">
      <formula>0</formula>
    </cfRule>
  </conditionalFormatting>
  <conditionalFormatting sqref="J6:K8">
    <cfRule type="cellIs" dxfId="0" priority="12" operator="equal">
      <formula>0</formula>
    </cfRule>
  </conditionalFormatting>
  <dataValidations count="11">
    <dataValidation type="whole" operator="between" showInputMessage="1" showErrorMessage="1" sqref="C4">
      <formula1>0</formula1>
      <formula2>60</formula2>
    </dataValidation>
    <dataValidation type="whole" operator="between" showInputMessage="1" showErrorMessage="1" sqref="D4">
      <formula1>0</formula1>
      <formula2>70</formula2>
    </dataValidation>
    <dataValidation type="list" allowBlank="1" showInputMessage="1" showErrorMessage="1" sqref="E4">
      <formula1>"普通,精英,首领"</formula1>
    </dataValidation>
    <dataValidation type="list" allowBlank="1" showInputMessage="1" showErrorMessage="1" sqref="R9">
      <formula1>"0,150%,250%,400%"</formula1>
    </dataValidation>
    <dataValidation type="list" allowBlank="1" showInputMessage="1" showErrorMessage="1" sqref="R10">
      <formula1>"0%,25%,50%"</formula1>
    </dataValidation>
    <dataValidation type="list" allowBlank="1" showInputMessage="1" showErrorMessage="1" sqref="L14 L20 L21 L22 L15:L19">
      <formula1>增益!$Q$2:$Q$19</formula1>
    </dataValidation>
    <dataValidation type="list" allowBlank="1" showInputMessage="1" showErrorMessage="1" sqref="M14:Q14">
      <formula1>增益!$B$48:$B$75</formula1>
    </dataValidation>
    <dataValidation type="list" showInputMessage="1" showErrorMessage="1" sqref="M20:Q20 M21:Q21 M22:Q22 M15:Q19">
      <formula1>增益!$B$2:$B$46</formula1>
    </dataValidation>
    <dataValidation type="list" allowBlank="1" showErrorMessage="1" errorTitle="错误提示" error="请输入下拉列表中的值" sqref="F6:F8" errorStyle="information">
      <formula1>角色!$F$3:$F$34</formula1>
    </dataValidation>
    <dataValidation type="whole" operator="between" allowBlank="1" showInputMessage="1" showErrorMessage="1" sqref="R6:R8">
      <formula1>0</formula1>
      <formula2>20</formula2>
    </dataValidation>
    <dataValidation type="list" allowBlank="1" showErrorMessage="1" errorTitle="错误提示" error="请输入下拉列表中的值" sqref="M6:Q8" errorStyle="information">
      <formula1>数值!$F$2:$F$16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9"/>
  <sheetViews>
    <sheetView zoomScale="70" zoomScaleNormal="70" topLeftCell="A2" workbookViewId="0">
      <pane xSplit="1" ySplit="1" topLeftCell="B13" activePane="bottomRight" state="frozen"/>
      <selection/>
      <selection pane="topRight"/>
      <selection pane="bottomLeft"/>
      <selection pane="bottomRight" activeCell="L19" sqref="L19"/>
    </sheetView>
  </sheetViews>
  <sheetFormatPr defaultColWidth="9.90740740740741" defaultRowHeight="44" customHeight="1"/>
  <cols>
    <col min="1" max="2" width="13.7777777777778" style="1" customWidth="1"/>
    <col min="3" max="3" width="11.7777777777778" style="4" customWidth="1"/>
    <col min="4" max="4" width="13.7777777777778" style="4" customWidth="1"/>
    <col min="5" max="5" width="11.7777777777778" style="1" customWidth="1"/>
    <col min="6" max="6" width="35.2222222222222" style="5" customWidth="1"/>
    <col min="7" max="7" width="13.7777777777778" style="1" customWidth="1"/>
    <col min="8" max="8" width="11.7777777777778" style="1" customWidth="1"/>
    <col min="9" max="9" width="30.2222222222222" style="4" customWidth="1"/>
    <col min="10" max="10" width="13.7777777777778" style="1" customWidth="1"/>
    <col min="11" max="19" width="11.7777777777778" style="1" customWidth="1"/>
    <col min="20" max="20" width="26.3425925925926" style="46" customWidth="1"/>
    <col min="21" max="22" width="13.7777777777778" style="1" customWidth="1"/>
  </cols>
  <sheetData>
    <row r="1" customHeight="1" spans="1:19">
      <c r="A1" s="1">
        <f>COLUMN()</f>
        <v>1</v>
      </c>
      <c r="B1" s="1">
        <v>2</v>
      </c>
      <c r="D1" s="4">
        <f t="shared" ref="D1:S1" si="0">COLUMN()</f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  <c r="S1" s="1">
        <f t="shared" si="0"/>
        <v>19</v>
      </c>
    </row>
    <row r="2" customHeight="1" spans="1:20">
      <c r="A2" s="1" t="s">
        <v>50</v>
      </c>
      <c r="B2" s="1" t="s">
        <v>51</v>
      </c>
      <c r="C2" s="4" t="s">
        <v>52</v>
      </c>
      <c r="D2" s="4" t="s">
        <v>53</v>
      </c>
      <c r="E2" s="1" t="s">
        <v>54</v>
      </c>
      <c r="F2" s="1" t="s">
        <v>55</v>
      </c>
      <c r="G2" s="1" t="s">
        <v>56</v>
      </c>
      <c r="H2" s="1" t="s">
        <v>54</v>
      </c>
      <c r="I2" s="4" t="s">
        <v>55</v>
      </c>
      <c r="J2" s="1" t="s">
        <v>57</v>
      </c>
      <c r="K2" s="1" t="s">
        <v>58</v>
      </c>
      <c r="L2" s="1" t="s">
        <v>59</v>
      </c>
      <c r="M2" s="1" t="s">
        <v>60</v>
      </c>
      <c r="N2" s="4" t="s">
        <v>61</v>
      </c>
      <c r="O2" s="4" t="s">
        <v>62</v>
      </c>
      <c r="P2" s="4" t="s">
        <v>63</v>
      </c>
      <c r="Q2" s="4" t="s">
        <v>64</v>
      </c>
      <c r="R2" s="4" t="s">
        <v>65</v>
      </c>
      <c r="S2" s="4" t="s">
        <v>66</v>
      </c>
      <c r="T2" s="4" t="s">
        <v>67</v>
      </c>
    </row>
    <row r="3" customFormat="1" customHeight="1" spans="1:22">
      <c r="A3" s="1" t="s">
        <v>68</v>
      </c>
      <c r="B3" s="1" t="s">
        <v>69</v>
      </c>
      <c r="C3" s="84">
        <v>0</v>
      </c>
      <c r="D3" s="84" t="s">
        <v>70</v>
      </c>
      <c r="E3" s="85">
        <v>1</v>
      </c>
      <c r="F3" s="2" t="str">
        <f>VLOOKUP(D3,音擎!$A$2:$K$49,音擎!$K$1,FALSE)</f>
        <v>普攻冲刺闪反叠层3.5%攻击8层8秒</v>
      </c>
      <c r="G3" s="85" t="s">
        <v>71</v>
      </c>
      <c r="H3" s="85">
        <v>1</v>
      </c>
      <c r="I3" s="2" t="str">
        <f>VLOOKUP(G3,驱动盘!$A$2:$AB$21,驱动盘!$K$1,FALSE)</f>
        <v>【记四件套】15追加冲刺伤；
叠4层共12%攻击12%暴击，20s</v>
      </c>
      <c r="J3" s="85" t="s">
        <v>72</v>
      </c>
      <c r="K3" s="85" t="s">
        <v>73</v>
      </c>
      <c r="L3" s="85" t="s">
        <v>74</v>
      </c>
      <c r="M3" s="85" t="s">
        <v>75</v>
      </c>
      <c r="N3" s="87">
        <v>10</v>
      </c>
      <c r="O3" s="87">
        <v>10</v>
      </c>
      <c r="P3" s="87">
        <v>8</v>
      </c>
      <c r="Q3" s="87"/>
      <c r="R3" s="87"/>
      <c r="S3" s="87"/>
      <c r="T3" s="46" t="s">
        <v>76</v>
      </c>
      <c r="U3" s="1"/>
      <c r="V3" s="1"/>
    </row>
    <row r="4" customHeight="1" spans="1:20">
      <c r="A4" s="1" t="s">
        <v>77</v>
      </c>
      <c r="B4" s="1" t="s">
        <v>69</v>
      </c>
      <c r="C4" s="84">
        <v>0</v>
      </c>
      <c r="D4" s="84" t="s">
        <v>70</v>
      </c>
      <c r="E4" s="85">
        <v>1</v>
      </c>
      <c r="F4" s="2" t="str">
        <f>VLOOKUP(D4,音擎!$A$2:$K$49,音擎!$K$1,FALSE)</f>
        <v>普攻冲刺闪反叠层3.5%攻击8层8秒</v>
      </c>
      <c r="G4" s="85" t="s">
        <v>78</v>
      </c>
      <c r="H4" s="85">
        <v>1</v>
      </c>
      <c r="I4" s="2" t="str">
        <f>VLOOKUP(G4,驱动盘!$A$2:$AB$21,驱动盘!$K$1,FALSE)</f>
        <v>大招20增伤，大招后15攻12秒</v>
      </c>
      <c r="J4" s="85" t="s">
        <v>79</v>
      </c>
      <c r="K4" s="85" t="s">
        <v>80</v>
      </c>
      <c r="L4" s="85" t="s">
        <v>74</v>
      </c>
      <c r="M4" s="85" t="s">
        <v>75</v>
      </c>
      <c r="N4" s="87">
        <v>10</v>
      </c>
      <c r="O4" s="87">
        <v>10</v>
      </c>
      <c r="P4" s="87">
        <v>8</v>
      </c>
      <c r="Q4" s="87">
        <v>0</v>
      </c>
      <c r="R4" s="87">
        <v>0</v>
      </c>
      <c r="S4" s="87">
        <v>0</v>
      </c>
      <c r="T4" s="46" t="s">
        <v>81</v>
      </c>
    </row>
    <row r="5" customFormat="1" customHeight="1" spans="1:22">
      <c r="A5" s="1" t="s">
        <v>82</v>
      </c>
      <c r="B5" s="1" t="s">
        <v>69</v>
      </c>
      <c r="C5" s="84">
        <v>0</v>
      </c>
      <c r="D5" s="84" t="s">
        <v>70</v>
      </c>
      <c r="E5" s="85">
        <v>1</v>
      </c>
      <c r="F5" s="2" t="str">
        <f>VLOOKUP(D5,音擎!$A$2:$K$49,音擎!$K$1,FALSE)</f>
        <v>普攻冲刺闪反叠层3.5%攻击8层8秒</v>
      </c>
      <c r="G5" s="85" t="s">
        <v>71</v>
      </c>
      <c r="H5" s="85">
        <v>1</v>
      </c>
      <c r="I5" s="2" t="str">
        <f>VLOOKUP(G5,驱动盘!$A$2:$AB$21,驱动盘!$K$1,FALSE)</f>
        <v>【记四件套】15追加冲刺伤；
叠4层共12%攻击12%暴击，20s</v>
      </c>
      <c r="J5" s="85" t="s">
        <v>79</v>
      </c>
      <c r="K5" s="85" t="s">
        <v>80</v>
      </c>
      <c r="L5" s="85" t="s">
        <v>74</v>
      </c>
      <c r="M5" s="85" t="s">
        <v>75</v>
      </c>
      <c r="N5" s="87">
        <v>7</v>
      </c>
      <c r="O5" s="87">
        <v>13</v>
      </c>
      <c r="P5" s="87">
        <v>8</v>
      </c>
      <c r="Q5" s="87">
        <v>0</v>
      </c>
      <c r="R5" s="87">
        <v>0</v>
      </c>
      <c r="S5" s="87">
        <v>0</v>
      </c>
      <c r="T5" s="46"/>
      <c r="U5" s="1"/>
      <c r="V5" s="1"/>
    </row>
    <row r="6" customFormat="1" customHeight="1" spans="1:22">
      <c r="A6" s="1" t="s">
        <v>83</v>
      </c>
      <c r="B6" s="1" t="s">
        <v>69</v>
      </c>
      <c r="C6" s="84">
        <v>0</v>
      </c>
      <c r="D6" s="84" t="s">
        <v>70</v>
      </c>
      <c r="E6" s="85">
        <v>1</v>
      </c>
      <c r="F6" s="2" t="str">
        <f>VLOOKUP(D6,音擎!$A$2:$K$49,音擎!$K$1,FALSE)</f>
        <v>普攻冲刺闪反叠层3.5%攻击8层8秒</v>
      </c>
      <c r="G6" s="85" t="s">
        <v>84</v>
      </c>
      <c r="H6" s="85">
        <v>0.6</v>
      </c>
      <c r="I6" s="2" t="str">
        <f>VLOOKUP(G6,驱动盘!$A$2:$AB$21,驱动盘!$K$1,FALSE)</f>
        <v>20暴伤，异常后5.5%暴伤6层8秒</v>
      </c>
      <c r="J6" s="85" t="s">
        <v>72</v>
      </c>
      <c r="K6" s="85" t="s">
        <v>73</v>
      </c>
      <c r="L6" s="85" t="s">
        <v>75</v>
      </c>
      <c r="M6" s="85" t="s">
        <v>75</v>
      </c>
      <c r="N6" s="87">
        <v>10</v>
      </c>
      <c r="O6" s="87">
        <v>10</v>
      </c>
      <c r="P6" s="87">
        <v>8</v>
      </c>
      <c r="Q6" s="87">
        <v>0</v>
      </c>
      <c r="R6" s="87">
        <v>0</v>
      </c>
      <c r="S6" s="87">
        <v>0</v>
      </c>
      <c r="T6" s="46" t="s">
        <v>85</v>
      </c>
      <c r="U6" s="1"/>
      <c r="V6" s="1"/>
    </row>
    <row r="7" customHeight="1" spans="1:20">
      <c r="A7" s="1" t="s">
        <v>86</v>
      </c>
      <c r="B7" s="1" t="s">
        <v>69</v>
      </c>
      <c r="C7" s="84">
        <v>0</v>
      </c>
      <c r="D7" s="84" t="s">
        <v>87</v>
      </c>
      <c r="E7" s="85">
        <v>1</v>
      </c>
      <c r="F7" s="2" t="str">
        <f>VLOOKUP(D7,音擎!$A$2:$K$49,音擎!$K$1,FALSE)</f>
        <v>25冰伤，普攻/冲刺攻击后各10暴击8/15秒</v>
      </c>
      <c r="G7" s="85" t="s">
        <v>88</v>
      </c>
      <c r="H7" s="85">
        <v>0.75</v>
      </c>
      <c r="I7" s="2" t="str">
        <f>VLOOKUP(G7,驱动盘!$A$2:$AB$21,驱动盘!$K$1,FALSE)</f>
        <v>25%普伤冲伤，异常后翻倍12秒</v>
      </c>
      <c r="J7" s="85" t="s">
        <v>78</v>
      </c>
      <c r="K7" s="85" t="s">
        <v>73</v>
      </c>
      <c r="L7" s="85" t="s">
        <v>89</v>
      </c>
      <c r="M7" s="85" t="s">
        <v>75</v>
      </c>
      <c r="N7" s="87">
        <v>10</v>
      </c>
      <c r="O7" s="87">
        <v>10</v>
      </c>
      <c r="P7" s="87">
        <v>8</v>
      </c>
      <c r="Q7" s="87">
        <v>0</v>
      </c>
      <c r="R7" s="87">
        <v>0</v>
      </c>
      <c r="S7" s="87">
        <v>0</v>
      </c>
      <c r="T7" s="46" t="s">
        <v>90</v>
      </c>
    </row>
    <row r="8" customHeight="1" spans="1:20">
      <c r="A8" s="1" t="s">
        <v>91</v>
      </c>
      <c r="B8" s="1" t="s">
        <v>69</v>
      </c>
      <c r="C8" s="84">
        <v>0</v>
      </c>
      <c r="D8" s="84" t="s">
        <v>70</v>
      </c>
      <c r="E8" s="85">
        <v>1</v>
      </c>
      <c r="F8" s="2" t="str">
        <f>VLOOKUP(D8,音擎!$A$2:$K$49,音擎!$K$1,FALSE)</f>
        <v>普攻冲刺闪反叠层3.5%攻击8层8秒</v>
      </c>
      <c r="G8" s="85" t="s">
        <v>92</v>
      </c>
      <c r="H8" s="85">
        <v>0.5</v>
      </c>
      <c r="I8" s="2" t="str">
        <f>VLOOKUP(G8,驱动盘!$A$2:$AB$21,驱动盘!$K$1,FALSE)</f>
        <v>切前台25%攻击10秒/20秒</v>
      </c>
      <c r="J8" s="85" t="s">
        <v>93</v>
      </c>
      <c r="K8" s="85" t="s">
        <v>80</v>
      </c>
      <c r="L8" s="85" t="s">
        <v>89</v>
      </c>
      <c r="M8" s="85" t="s">
        <v>75</v>
      </c>
      <c r="N8" s="87">
        <v>10</v>
      </c>
      <c r="O8" s="87">
        <v>10</v>
      </c>
      <c r="P8" s="87">
        <v>8</v>
      </c>
      <c r="Q8" s="87">
        <v>0</v>
      </c>
      <c r="R8" s="87">
        <v>0</v>
      </c>
      <c r="S8" s="87">
        <v>0</v>
      </c>
      <c r="T8" s="46" t="s">
        <v>94</v>
      </c>
    </row>
    <row r="9" customHeight="1" spans="1:20">
      <c r="A9" s="1" t="s">
        <v>95</v>
      </c>
      <c r="B9" s="1" t="s">
        <v>69</v>
      </c>
      <c r="C9" s="84">
        <v>0</v>
      </c>
      <c r="D9" s="84" t="s">
        <v>70</v>
      </c>
      <c r="E9" s="85">
        <v>1</v>
      </c>
      <c r="F9" s="2" t="str">
        <f>VLOOKUP(D9,音擎!$A$2:$K$49,音擎!$K$1,FALSE)</f>
        <v>普攻冲刺闪反叠层3.5%攻击8层8秒</v>
      </c>
      <c r="G9" s="85" t="s">
        <v>96</v>
      </c>
      <c r="H9" s="85">
        <v>1</v>
      </c>
      <c r="I9" s="2" t="str">
        <f>VLOOKUP(G9,驱动盘!$A$2:$AB$21,驱动盘!$K$1,FALSE)</f>
        <v>异常后28%暴击</v>
      </c>
      <c r="J9" s="85" t="s">
        <v>72</v>
      </c>
      <c r="K9" s="85" t="s">
        <v>73</v>
      </c>
      <c r="L9" s="85" t="s">
        <v>89</v>
      </c>
      <c r="M9" s="85" t="s">
        <v>75</v>
      </c>
      <c r="N9" s="87">
        <v>10</v>
      </c>
      <c r="O9" s="87">
        <v>10</v>
      </c>
      <c r="P9" s="87">
        <v>8</v>
      </c>
      <c r="Q9" s="87">
        <v>0</v>
      </c>
      <c r="R9" s="87">
        <v>0</v>
      </c>
      <c r="S9" s="87">
        <v>0</v>
      </c>
      <c r="T9" s="46" t="s">
        <v>97</v>
      </c>
    </row>
    <row r="10" customHeight="1" spans="1:20">
      <c r="A10" s="1" t="s">
        <v>98</v>
      </c>
      <c r="B10" s="1" t="s">
        <v>69</v>
      </c>
      <c r="C10" s="84">
        <v>6</v>
      </c>
      <c r="D10" s="84" t="s">
        <v>99</v>
      </c>
      <c r="E10" s="85">
        <v>0.9</v>
      </c>
      <c r="F10" s="2" t="str">
        <f>VLOOKUP(D10,音擎!$A$2:$K$49,音擎!$K$1,FALSE)</f>
        <v>回能；强E3%物伤叠15层
（逐渐叠）</v>
      </c>
      <c r="G10" s="85" t="s">
        <v>92</v>
      </c>
      <c r="H10" s="85">
        <v>1</v>
      </c>
      <c r="I10" s="2" t="str">
        <f>VLOOKUP(G10,驱动盘!$A$2:$AB$21,驱动盘!$K$1,FALSE)</f>
        <v>切前台25%攻击10秒/20秒</v>
      </c>
      <c r="J10" s="85" t="s">
        <v>72</v>
      </c>
      <c r="K10" s="85" t="s">
        <v>80</v>
      </c>
      <c r="L10" s="85" t="s">
        <v>89</v>
      </c>
      <c r="M10" s="85" t="s">
        <v>75</v>
      </c>
      <c r="N10" s="87">
        <v>10</v>
      </c>
      <c r="O10" s="87">
        <v>10</v>
      </c>
      <c r="P10" s="87">
        <v>8</v>
      </c>
      <c r="Q10" s="87">
        <v>0</v>
      </c>
      <c r="R10" s="87">
        <v>0</v>
      </c>
      <c r="S10" s="87">
        <v>0</v>
      </c>
      <c r="T10" s="46" t="s">
        <v>100</v>
      </c>
    </row>
    <row r="11" customHeight="1" spans="1:19">
      <c r="A11" s="1" t="s">
        <v>101</v>
      </c>
      <c r="B11" s="1" t="s">
        <v>69</v>
      </c>
      <c r="C11" s="84">
        <v>6</v>
      </c>
      <c r="D11" s="84" t="s">
        <v>70</v>
      </c>
      <c r="E11" s="85">
        <v>1</v>
      </c>
      <c r="F11" s="2" t="str">
        <f>VLOOKUP(D11,音擎!$A$2:$K$49,音擎!$K$1,FALSE)</f>
        <v>普攻冲刺闪反叠层3.5%攻击8层8秒</v>
      </c>
      <c r="G11" s="85" t="s">
        <v>79</v>
      </c>
      <c r="H11" s="85">
        <v>1</v>
      </c>
      <c r="I11" s="2" t="str">
        <f>VLOOKUP(G11,驱动盘!$A$2:$AB$21,驱动盘!$K$1,FALSE)</f>
        <v>有感电27%攻击</v>
      </c>
      <c r="J11" s="85" t="s">
        <v>72</v>
      </c>
      <c r="K11" s="85" t="s">
        <v>80</v>
      </c>
      <c r="L11" s="85" t="s">
        <v>89</v>
      </c>
      <c r="M11" s="85" t="s">
        <v>75</v>
      </c>
      <c r="N11" s="87">
        <v>10</v>
      </c>
      <c r="O11" s="87">
        <v>10</v>
      </c>
      <c r="P11" s="87">
        <v>8</v>
      </c>
      <c r="Q11" s="87">
        <v>0</v>
      </c>
      <c r="R11" s="87">
        <v>0</v>
      </c>
      <c r="S11" s="87">
        <v>0</v>
      </c>
    </row>
    <row r="12" customHeight="1" spans="1:20">
      <c r="A12" s="1" t="s">
        <v>29</v>
      </c>
      <c r="B12" s="1" t="s">
        <v>102</v>
      </c>
      <c r="C12" s="84">
        <v>0</v>
      </c>
      <c r="D12" s="84" t="s">
        <v>103</v>
      </c>
      <c r="E12" s="85">
        <v>1</v>
      </c>
      <c r="F12" s="2" t="str">
        <f>VLOOKUP(D12,音擎!$A$2:$K$49,音擎!$K$1,FALSE)</f>
        <v>50暴伤；E后异常后20冰伤，2层15秒独立计算</v>
      </c>
      <c r="G12" s="85" t="s">
        <v>104</v>
      </c>
      <c r="H12" s="85">
        <v>1</v>
      </c>
      <c r="I12" s="2" t="str">
        <f>VLOOKUP(G12,驱动盘!$A$2:$AB$21,驱动盘!$K$1,FALSE)</f>
        <v>115掌控后30暴伤；
冰异常12%暴击，15秒</v>
      </c>
      <c r="J12" s="85" t="s">
        <v>78</v>
      </c>
      <c r="K12" s="85" t="s">
        <v>80</v>
      </c>
      <c r="L12" s="85" t="s">
        <v>89</v>
      </c>
      <c r="M12" s="85" t="s">
        <v>75</v>
      </c>
      <c r="N12" s="87">
        <v>10</v>
      </c>
      <c r="O12" s="87">
        <v>10</v>
      </c>
      <c r="P12" s="87">
        <v>8</v>
      </c>
      <c r="Q12" s="87">
        <v>0</v>
      </c>
      <c r="R12" s="87">
        <v>4</v>
      </c>
      <c r="S12" s="87">
        <v>0</v>
      </c>
      <c r="T12" s="46" t="s">
        <v>105</v>
      </c>
    </row>
    <row r="13" customHeight="1" spans="1:19">
      <c r="A13" s="1" t="s">
        <v>31</v>
      </c>
      <c r="B13" s="1" t="s">
        <v>102</v>
      </c>
      <c r="C13" s="86">
        <v>0</v>
      </c>
      <c r="D13" s="84" t="s">
        <v>106</v>
      </c>
      <c r="E13" s="85">
        <v>1</v>
      </c>
      <c r="F13" s="2" t="str">
        <f>VLOOKUP(D13,音擎!$A$2:$K$49,音擎!$K$1,FALSE)</f>
        <v>40积蓄；以太伤20*6精通</v>
      </c>
      <c r="G13" s="85" t="s">
        <v>107</v>
      </c>
      <c r="H13" s="85">
        <v>1</v>
      </c>
      <c r="I13" s="2" t="str">
        <f>VLOOKUP(G13,驱动盘!$A$2:$AB$21,驱动盘!$K$1,FALSE)</f>
        <v>队伍E给45精通，队友的额外给25以太伤</v>
      </c>
      <c r="J13" s="85" t="s">
        <v>108</v>
      </c>
      <c r="K13" s="85" t="s">
        <v>109</v>
      </c>
      <c r="L13" s="85" t="s">
        <v>74</v>
      </c>
      <c r="M13" s="85" t="s">
        <v>110</v>
      </c>
      <c r="N13" s="87"/>
      <c r="O13" s="87"/>
      <c r="P13" s="87">
        <v>10</v>
      </c>
      <c r="Q13" s="87">
        <v>8</v>
      </c>
      <c r="R13" s="87">
        <v>10</v>
      </c>
      <c r="S13" s="87"/>
    </row>
    <row r="14" customHeight="1" spans="1:20">
      <c r="A14" s="1" t="s">
        <v>111</v>
      </c>
      <c r="B14" s="1" t="s">
        <v>102</v>
      </c>
      <c r="C14" s="84">
        <v>0</v>
      </c>
      <c r="D14" s="84" t="s">
        <v>112</v>
      </c>
      <c r="E14" s="85">
        <v>1</v>
      </c>
      <c r="F14" s="2" t="str">
        <f>VLOOKUP(D14,音擎!$A$2:$K$49,音擎!$K$1,FALSE)</f>
        <v>30电异常效率；75精通
25紊乱伤（未记）</v>
      </c>
      <c r="G14" s="85" t="s">
        <v>79</v>
      </c>
      <c r="H14" s="85">
        <v>0.7</v>
      </c>
      <c r="I14" s="2" t="str">
        <f>VLOOKUP(G14,驱动盘!$A$2:$AB$21,驱动盘!$K$1,FALSE)</f>
        <v>有感电27%攻击</v>
      </c>
      <c r="J14" s="85" t="s">
        <v>108</v>
      </c>
      <c r="K14" s="85" t="s">
        <v>109</v>
      </c>
      <c r="L14" s="85" t="s">
        <v>74</v>
      </c>
      <c r="M14" s="85" t="s">
        <v>75</v>
      </c>
      <c r="N14" s="87"/>
      <c r="O14" s="87"/>
      <c r="P14" s="87">
        <v>10</v>
      </c>
      <c r="Q14" s="87">
        <v>8</v>
      </c>
      <c r="R14" s="87">
        <v>10</v>
      </c>
      <c r="S14" s="87"/>
      <c r="T14" s="46" t="s">
        <v>113</v>
      </c>
    </row>
    <row r="15" customHeight="1" spans="1:20">
      <c r="A15" s="1" t="s">
        <v>114</v>
      </c>
      <c r="B15" s="1" t="s">
        <v>102</v>
      </c>
      <c r="C15" s="84">
        <v>0</v>
      </c>
      <c r="D15" s="84" t="s">
        <v>115</v>
      </c>
      <c r="E15" s="85">
        <v>1</v>
      </c>
      <c r="F15" s="2" t="str">
        <f>VLOOKUP(D15,音擎!$A$2:$K$49,音擎!$K$1,FALSE)</f>
        <v>回能；强E协同伤害3.5叠10层6秒;50精通</v>
      </c>
      <c r="G15" s="85" t="s">
        <v>116</v>
      </c>
      <c r="H15" s="85">
        <v>1</v>
      </c>
      <c r="I15" s="2" t="str">
        <f>VLOOKUP(G15,驱动盘!$A$2:$AB$21,驱动盘!$K$1,FALSE)</f>
        <v>15火电伤；20强E协同伤</v>
      </c>
      <c r="J15" s="85" t="s">
        <v>107</v>
      </c>
      <c r="K15" s="85" t="s">
        <v>109</v>
      </c>
      <c r="L15" s="85" t="s">
        <v>74</v>
      </c>
      <c r="M15" s="85" t="s">
        <v>110</v>
      </c>
      <c r="N15" s="87"/>
      <c r="O15" s="87"/>
      <c r="P15" s="87">
        <v>10</v>
      </c>
      <c r="Q15" s="87">
        <v>8</v>
      </c>
      <c r="R15" s="87">
        <v>10</v>
      </c>
      <c r="S15" s="87"/>
      <c r="T15" s="46" t="s">
        <v>117</v>
      </c>
    </row>
    <row r="16" customHeight="1" spans="1:20">
      <c r="A16" s="1" t="s">
        <v>118</v>
      </c>
      <c r="B16" s="1" t="s">
        <v>102</v>
      </c>
      <c r="C16" s="84">
        <v>0</v>
      </c>
      <c r="D16" s="84" t="s">
        <v>119</v>
      </c>
      <c r="E16" s="85">
        <v>1</v>
      </c>
      <c r="F16" s="2" t="str">
        <f>VLOOKUP(D16,音擎!$A$2:$K$49,音擎!$K$1,FALSE)</f>
        <v>36物伤40异常效率</v>
      </c>
      <c r="G16" s="85" t="s">
        <v>93</v>
      </c>
      <c r="H16" s="85">
        <v>1</v>
      </c>
      <c r="I16" s="2" t="str">
        <f>VLOOKUP(G16,驱动盘!$A$2:$AB$21,驱动盘!$K$1,FALSE)</f>
        <v>异常后35增伤12秒</v>
      </c>
      <c r="J16" s="85" t="s">
        <v>108</v>
      </c>
      <c r="K16" s="85" t="s">
        <v>109</v>
      </c>
      <c r="L16" s="85" t="s">
        <v>89</v>
      </c>
      <c r="M16" s="85" t="s">
        <v>110</v>
      </c>
      <c r="N16" s="87"/>
      <c r="O16" s="87"/>
      <c r="P16" s="87">
        <v>10</v>
      </c>
      <c r="Q16" s="87">
        <v>8</v>
      </c>
      <c r="R16" s="87">
        <v>10</v>
      </c>
      <c r="S16" s="87"/>
      <c r="T16" s="46" t="s">
        <v>81</v>
      </c>
    </row>
    <row r="17" customHeight="1" spans="1:20">
      <c r="A17" s="1" t="s">
        <v>120</v>
      </c>
      <c r="B17" s="1" t="s">
        <v>102</v>
      </c>
      <c r="C17" s="84">
        <v>0</v>
      </c>
      <c r="D17" s="84" t="s">
        <v>121</v>
      </c>
      <c r="E17" s="85">
        <v>1</v>
      </c>
      <c r="F17" s="2" t="str">
        <f>VLOOKUP(D17,音擎!$A$2:$K$49,音擎!$K$1,FALSE)</f>
        <v>12战时攻击
e和强化e后25精通3层</v>
      </c>
      <c r="G17" s="85" t="s">
        <v>79</v>
      </c>
      <c r="H17" s="85">
        <v>1</v>
      </c>
      <c r="I17" s="2" t="str">
        <f>VLOOKUP(G17,驱动盘!$A$2:$AB$21,驱动盘!$K$1,FALSE)</f>
        <v>有感电27%攻击</v>
      </c>
      <c r="J17" s="85" t="s">
        <v>108</v>
      </c>
      <c r="K17" s="85" t="s">
        <v>109</v>
      </c>
      <c r="L17" s="85" t="s">
        <v>89</v>
      </c>
      <c r="M17" s="85" t="s">
        <v>110</v>
      </c>
      <c r="N17" s="87">
        <v>0</v>
      </c>
      <c r="O17" s="87"/>
      <c r="P17" s="87">
        <v>10</v>
      </c>
      <c r="Q17" s="87">
        <v>8</v>
      </c>
      <c r="R17" s="87">
        <v>10</v>
      </c>
      <c r="S17" s="87"/>
      <c r="T17" s="46" t="s">
        <v>122</v>
      </c>
    </row>
    <row r="18" customHeight="1" spans="1:20">
      <c r="A18" s="1" t="s">
        <v>123</v>
      </c>
      <c r="B18" s="1" t="s">
        <v>102</v>
      </c>
      <c r="C18" s="84">
        <v>6</v>
      </c>
      <c r="D18" s="84" t="s">
        <v>124</v>
      </c>
      <c r="E18" s="85">
        <v>0.7</v>
      </c>
      <c r="F18" s="2" t="str">
        <f>VLOOKUP(D18,音擎!$A$2:$K$49,音擎!$K$1,FALSE)</f>
        <v>强化E时给攻精效，5秒</v>
      </c>
      <c r="G18" s="85" t="s">
        <v>93</v>
      </c>
      <c r="H18" s="85">
        <v>1</v>
      </c>
      <c r="I18" s="2" t="str">
        <f>VLOOKUP(G18,驱动盘!$A$2:$AB$21,驱动盘!$K$1,FALSE)</f>
        <v>异常后35增伤12秒</v>
      </c>
      <c r="J18" s="85" t="s">
        <v>108</v>
      </c>
      <c r="K18" s="85" t="s">
        <v>109</v>
      </c>
      <c r="L18" s="85" t="s">
        <v>74</v>
      </c>
      <c r="M18" s="85" t="s">
        <v>75</v>
      </c>
      <c r="N18" s="87">
        <v>0</v>
      </c>
      <c r="O18" s="87"/>
      <c r="P18" s="87">
        <v>10</v>
      </c>
      <c r="Q18" s="87">
        <v>8</v>
      </c>
      <c r="R18" s="87">
        <v>10</v>
      </c>
      <c r="S18" s="87"/>
      <c r="T18" s="46" t="s">
        <v>125</v>
      </c>
    </row>
    <row r="19" customHeight="1" spans="1:19">
      <c r="A19" s="1" t="s">
        <v>30</v>
      </c>
      <c r="B19" s="1" t="s">
        <v>126</v>
      </c>
      <c r="C19" s="86">
        <v>0</v>
      </c>
      <c r="D19" s="84" t="s">
        <v>127</v>
      </c>
      <c r="E19" s="85">
        <v>1</v>
      </c>
      <c r="F19" s="2" t="str">
        <f>VLOOKUP(D19,音擎!$A$2:$K$49,音擎!$K$1,FALSE)</f>
        <v>25减防（未记）
20冲击</v>
      </c>
      <c r="G19" s="85" t="s">
        <v>71</v>
      </c>
      <c r="H19" s="85">
        <v>1</v>
      </c>
      <c r="I19" s="2" t="str">
        <f>VLOOKUP(G19,驱动盘!$A$2:$AB$21,驱动盘!$K$1,FALSE)</f>
        <v>【记四件套】15追加冲刺伤；
叠4层共12%攻击12%暴击，20s</v>
      </c>
      <c r="J19" s="85" t="s">
        <v>128</v>
      </c>
      <c r="K19" s="85" t="s">
        <v>80</v>
      </c>
      <c r="L19" s="85" t="s">
        <v>74</v>
      </c>
      <c r="M19" s="85" t="s">
        <v>129</v>
      </c>
      <c r="N19" s="87">
        <v>10</v>
      </c>
      <c r="O19" s="87">
        <v>10</v>
      </c>
      <c r="P19" s="87">
        <v>8</v>
      </c>
      <c r="Q19" s="87"/>
      <c r="R19" s="87"/>
      <c r="S19" s="87"/>
    </row>
    <row r="20" customHeight="1" spans="1:20">
      <c r="A20" s="1" t="s">
        <v>130</v>
      </c>
      <c r="B20" s="1" t="s">
        <v>126</v>
      </c>
      <c r="C20" s="84">
        <v>0</v>
      </c>
      <c r="D20" s="84" t="s">
        <v>131</v>
      </c>
      <c r="E20" s="85">
        <v>1</v>
      </c>
      <c r="F20" s="2" t="str">
        <f>VLOOKUP(D20,音擎!$A$2:$K$49,音擎!$K$1,FALSE)</f>
        <v>每10能量3.2%冲击，最多8层</v>
      </c>
      <c r="G20" s="85" t="s">
        <v>128</v>
      </c>
      <c r="H20" s="85">
        <v>1</v>
      </c>
      <c r="I20" s="2" t="str">
        <f>VLOOKUP(G20,驱动盘!$A$2:$AB$21,驱动盘!$K$1,FALSE)</f>
        <v>普攻失衡20%</v>
      </c>
      <c r="J20" s="85" t="s">
        <v>132</v>
      </c>
      <c r="K20" s="85" t="s">
        <v>80</v>
      </c>
      <c r="L20" s="85" t="s">
        <v>74</v>
      </c>
      <c r="M20" s="85" t="s">
        <v>129</v>
      </c>
      <c r="N20" s="87">
        <v>10</v>
      </c>
      <c r="O20" s="87">
        <v>10</v>
      </c>
      <c r="P20" s="87">
        <v>8</v>
      </c>
      <c r="Q20" s="87"/>
      <c r="R20" s="87"/>
      <c r="S20" s="87"/>
      <c r="T20" s="46" t="s">
        <v>117</v>
      </c>
    </row>
    <row r="21" customHeight="1" spans="1:20">
      <c r="A21" s="1" t="s">
        <v>133</v>
      </c>
      <c r="B21" s="1" t="s">
        <v>126</v>
      </c>
      <c r="C21" s="84">
        <v>0</v>
      </c>
      <c r="D21" s="84" t="s">
        <v>134</v>
      </c>
      <c r="E21" s="85">
        <v>1</v>
      </c>
      <c r="F21" s="2" t="str">
        <f>VLOOKUP(D21,音擎!$A$2:$K$49,音擎!$K$1,FALSE)</f>
        <v>50%血线和75%血线18%失衡（注意覆盖率）</v>
      </c>
      <c r="G21" s="85" t="s">
        <v>128</v>
      </c>
      <c r="H21" s="85">
        <v>1</v>
      </c>
      <c r="I21" s="2" t="str">
        <f>VLOOKUP(G21,驱动盘!$A$2:$AB$21,驱动盘!$K$1,FALSE)</f>
        <v>普攻失衡20%</v>
      </c>
      <c r="J21" s="85" t="s">
        <v>132</v>
      </c>
      <c r="K21" s="85" t="s">
        <v>80</v>
      </c>
      <c r="L21" s="85" t="s">
        <v>74</v>
      </c>
      <c r="M21" s="85" t="s">
        <v>129</v>
      </c>
      <c r="N21" s="87">
        <v>10</v>
      </c>
      <c r="O21" s="87">
        <v>10</v>
      </c>
      <c r="P21" s="87">
        <v>8</v>
      </c>
      <c r="Q21" s="87">
        <v>0</v>
      </c>
      <c r="R21" s="87">
        <v>0</v>
      </c>
      <c r="S21" s="87">
        <v>0</v>
      </c>
      <c r="T21" s="46" t="s">
        <v>135</v>
      </c>
    </row>
    <row r="22" customHeight="1" spans="1:20">
      <c r="A22" s="1" t="s">
        <v>136</v>
      </c>
      <c r="B22" s="1" t="s">
        <v>126</v>
      </c>
      <c r="C22" s="84">
        <v>0</v>
      </c>
      <c r="D22" s="84" t="s">
        <v>131</v>
      </c>
      <c r="E22" s="85">
        <v>1</v>
      </c>
      <c r="F22" s="2" t="str">
        <f>VLOOKUP(D22,音擎!$A$2:$K$49,音擎!$K$1,FALSE)</f>
        <v>每10能量3.2%冲击，最多8层</v>
      </c>
      <c r="G22" s="85" t="s">
        <v>108</v>
      </c>
      <c r="H22" s="85">
        <v>1</v>
      </c>
      <c r="I22" s="2" t="str">
        <f>VLOOKUP(G22,驱动盘!$A$2:$AB$21,驱动盘!$K$1,FALSE)</f>
        <v>强E后20%异常减抗（未记）</v>
      </c>
      <c r="J22" s="85" t="s">
        <v>128</v>
      </c>
      <c r="K22" s="85" t="s">
        <v>80</v>
      </c>
      <c r="L22" s="85" t="s">
        <v>74</v>
      </c>
      <c r="M22" s="85" t="s">
        <v>129</v>
      </c>
      <c r="N22" s="87">
        <v>10</v>
      </c>
      <c r="O22" s="87">
        <v>10</v>
      </c>
      <c r="P22" s="87">
        <v>8</v>
      </c>
      <c r="Q22" s="87">
        <v>0</v>
      </c>
      <c r="R22" s="87">
        <v>0</v>
      </c>
      <c r="S22" s="87">
        <v>0</v>
      </c>
      <c r="T22" s="46" t="s">
        <v>137</v>
      </c>
    </row>
    <row r="23" customHeight="1" spans="1:20">
      <c r="A23" s="1" t="s">
        <v>138</v>
      </c>
      <c r="B23" s="1" t="s">
        <v>126</v>
      </c>
      <c r="C23" s="84">
        <v>0</v>
      </c>
      <c r="D23" s="84" t="s">
        <v>131</v>
      </c>
      <c r="E23" s="85">
        <v>1</v>
      </c>
      <c r="F23" s="2" t="str">
        <f>VLOOKUP(D23,音擎!$A$2:$K$49,音擎!$K$1,FALSE)</f>
        <v>每10能量3.2%冲击，最多8层</v>
      </c>
      <c r="G23" s="85" t="s">
        <v>108</v>
      </c>
      <c r="H23" s="85">
        <v>1</v>
      </c>
      <c r="I23" s="2" t="str">
        <f>VLOOKUP(G23,驱动盘!$A$2:$AB$21,驱动盘!$K$1,FALSE)</f>
        <v>强E后20%异常减抗（未记）</v>
      </c>
      <c r="J23" s="85" t="s">
        <v>128</v>
      </c>
      <c r="K23" s="85" t="s">
        <v>80</v>
      </c>
      <c r="L23" s="85" t="s">
        <v>74</v>
      </c>
      <c r="M23" s="85" t="s">
        <v>129</v>
      </c>
      <c r="N23" s="87">
        <v>10</v>
      </c>
      <c r="O23" s="87">
        <v>10</v>
      </c>
      <c r="P23" s="87">
        <v>8</v>
      </c>
      <c r="Q23" s="87">
        <v>0</v>
      </c>
      <c r="R23" s="87">
        <v>0</v>
      </c>
      <c r="S23" s="87">
        <v>0</v>
      </c>
      <c r="T23" s="46" t="s">
        <v>139</v>
      </c>
    </row>
    <row r="24" customHeight="1" spans="1:20">
      <c r="A24" s="1" t="s">
        <v>140</v>
      </c>
      <c r="B24" s="1" t="s">
        <v>126</v>
      </c>
      <c r="C24" s="84">
        <v>0</v>
      </c>
      <c r="D24" s="84" t="s">
        <v>131</v>
      </c>
      <c r="E24" s="85">
        <v>1</v>
      </c>
      <c r="F24" s="2" t="str">
        <f>VLOOKUP(D24,音擎!$A$2:$K$49,音擎!$K$1,FALSE)</f>
        <v>每10能量3.2%冲击，最多8层</v>
      </c>
      <c r="G24" s="85" t="s">
        <v>108</v>
      </c>
      <c r="H24" s="85">
        <v>1</v>
      </c>
      <c r="I24" s="2" t="str">
        <f>VLOOKUP(G24,驱动盘!$A$2:$AB$21,驱动盘!$K$1,FALSE)</f>
        <v>强E后20%异常减抗（未记）</v>
      </c>
      <c r="J24" s="85" t="s">
        <v>128</v>
      </c>
      <c r="K24" s="85" t="s">
        <v>80</v>
      </c>
      <c r="L24" s="85" t="s">
        <v>74</v>
      </c>
      <c r="M24" s="85" t="s">
        <v>129</v>
      </c>
      <c r="N24" s="87">
        <v>10</v>
      </c>
      <c r="O24" s="87">
        <v>10</v>
      </c>
      <c r="P24" s="87">
        <v>8</v>
      </c>
      <c r="Q24" s="87">
        <v>0</v>
      </c>
      <c r="R24" s="87">
        <v>0</v>
      </c>
      <c r="S24" s="87">
        <v>0</v>
      </c>
      <c r="T24" s="46" t="s">
        <v>139</v>
      </c>
    </row>
    <row r="25" customHeight="1" spans="1:22">
      <c r="A25" s="1" t="s">
        <v>141</v>
      </c>
      <c r="B25" s="1" t="s">
        <v>126</v>
      </c>
      <c r="C25" s="84">
        <v>0</v>
      </c>
      <c r="D25" s="84" t="s">
        <v>131</v>
      </c>
      <c r="E25" s="85">
        <v>1</v>
      </c>
      <c r="F25" s="2" t="str">
        <f>VLOOKUP(D25,音擎!$A$2:$K$49,音擎!$K$1,FALSE)</f>
        <v>每10能量3.2%冲击，最多8层</v>
      </c>
      <c r="G25" s="85" t="s">
        <v>142</v>
      </c>
      <c r="H25" s="85">
        <v>1</v>
      </c>
      <c r="I25" s="2" t="str">
        <f>VLOOKUP(G25,驱动盘!$A$2:$AB$21,驱动盘!$K$1,FALSE)</f>
        <v>15护盾；招架后全队15增伤10秒（未记）</v>
      </c>
      <c r="J25" s="85" t="s">
        <v>128</v>
      </c>
      <c r="K25" s="85" t="s">
        <v>80</v>
      </c>
      <c r="L25" s="85" t="s">
        <v>74</v>
      </c>
      <c r="M25" s="85" t="s">
        <v>129</v>
      </c>
      <c r="N25" s="87">
        <v>10</v>
      </c>
      <c r="O25" s="87">
        <v>10</v>
      </c>
      <c r="P25" s="87">
        <v>8</v>
      </c>
      <c r="Q25" s="87"/>
      <c r="R25" s="87"/>
      <c r="S25" s="87"/>
      <c r="U25" s="88" t="s">
        <v>143</v>
      </c>
      <c r="V25" s="88"/>
    </row>
    <row r="26" customHeight="1" spans="1:20">
      <c r="A26" s="1" t="s">
        <v>144</v>
      </c>
      <c r="B26" s="1" t="s">
        <v>126</v>
      </c>
      <c r="C26" s="84">
        <v>6</v>
      </c>
      <c r="D26" s="84" t="s">
        <v>131</v>
      </c>
      <c r="E26" s="85">
        <v>1</v>
      </c>
      <c r="F26" s="2" t="str">
        <f>VLOOKUP(D26,音擎!$A$2:$K$49,音擎!$K$1,FALSE)</f>
        <v>每10能量3.2%冲击，最多8层</v>
      </c>
      <c r="G26" s="85" t="s">
        <v>142</v>
      </c>
      <c r="H26" s="85">
        <v>1</v>
      </c>
      <c r="I26" s="2" t="str">
        <f>VLOOKUP(G26,驱动盘!$A$2:$AB$21,驱动盘!$K$1,FALSE)</f>
        <v>15护盾；招架后全队15增伤10秒（未记）</v>
      </c>
      <c r="J26" s="85" t="s">
        <v>128</v>
      </c>
      <c r="K26" s="85" t="s">
        <v>80</v>
      </c>
      <c r="L26" s="85" t="s">
        <v>74</v>
      </c>
      <c r="M26" s="85" t="s">
        <v>129</v>
      </c>
      <c r="N26" s="87">
        <v>10</v>
      </c>
      <c r="O26" s="87">
        <v>10</v>
      </c>
      <c r="P26" s="87">
        <v>8</v>
      </c>
      <c r="Q26" s="87">
        <v>0</v>
      </c>
      <c r="R26" s="87">
        <v>0</v>
      </c>
      <c r="S26" s="87">
        <v>0</v>
      </c>
      <c r="T26" s="46" t="s">
        <v>145</v>
      </c>
    </row>
    <row r="27" customHeight="1" spans="1:19">
      <c r="A27" s="1" t="s">
        <v>146</v>
      </c>
      <c r="B27" s="1" t="s">
        <v>147</v>
      </c>
      <c r="C27" s="84">
        <v>0</v>
      </c>
      <c r="D27" s="84" t="s">
        <v>148</v>
      </c>
      <c r="E27" s="85">
        <v>1</v>
      </c>
      <c r="F27" s="2" t="str">
        <f>VLOOKUP(D27,音擎!$A$2:$K$49,音擎!$K$1,FALSE)</f>
        <v>全队2.5%攻4层（未记）</v>
      </c>
      <c r="G27" s="85" t="s">
        <v>149</v>
      </c>
      <c r="H27" s="85">
        <v>1</v>
      </c>
      <c r="I27" s="2" t="str">
        <f>VLOOKUP(G27,驱动盘!$A$2:$AB$21,驱动盘!$K$1,FALSE)</f>
        <v>快支给8%伤，叠3层（未记）</v>
      </c>
      <c r="J27" s="85" t="s">
        <v>92</v>
      </c>
      <c r="K27" s="85" t="s">
        <v>75</v>
      </c>
      <c r="L27" s="85" t="s">
        <v>75</v>
      </c>
      <c r="M27" s="85" t="s">
        <v>150</v>
      </c>
      <c r="N27" s="87"/>
      <c r="O27" s="87"/>
      <c r="P27" s="87">
        <v>12</v>
      </c>
      <c r="Q27" s="87">
        <v>10</v>
      </c>
      <c r="R27" s="87"/>
      <c r="S27" s="87"/>
    </row>
    <row r="28" customHeight="1" spans="1:20">
      <c r="A28" s="1" t="s">
        <v>151</v>
      </c>
      <c r="B28" s="1" t="s">
        <v>147</v>
      </c>
      <c r="C28" s="84">
        <v>6</v>
      </c>
      <c r="D28" s="84" t="s">
        <v>152</v>
      </c>
      <c r="E28" s="85">
        <v>1</v>
      </c>
      <c r="F28" s="2" t="str">
        <f>VLOOKUP(D28,音擎!$A$2:$K$49,音擎!$K$1,FALSE)</f>
        <v>15冰伤，强化e全队2%攻击，叠4层12秒（未记）</v>
      </c>
      <c r="G28" s="85" t="s">
        <v>132</v>
      </c>
      <c r="H28" s="85">
        <v>1</v>
      </c>
      <c r="I28" s="2" t="str">
        <f>VLOOKUP(G28,驱动盘!$A$2:$AB$21,驱动盘!$K$1,FALSE)</f>
        <v>连锁后全队15增伤12秒（未记）</v>
      </c>
      <c r="J28" s="85" t="s">
        <v>128</v>
      </c>
      <c r="K28" s="85" t="s">
        <v>80</v>
      </c>
      <c r="L28" s="85" t="s">
        <v>75</v>
      </c>
      <c r="M28" s="85" t="s">
        <v>75</v>
      </c>
      <c r="N28" s="87">
        <v>10</v>
      </c>
      <c r="O28" s="87">
        <v>10</v>
      </c>
      <c r="P28" s="87">
        <v>8</v>
      </c>
      <c r="Q28" s="87">
        <v>0</v>
      </c>
      <c r="R28" s="87">
        <v>0</v>
      </c>
      <c r="S28" s="87">
        <v>0</v>
      </c>
      <c r="T28" s="46" t="s">
        <v>153</v>
      </c>
    </row>
    <row r="29" customHeight="1" spans="1:20">
      <c r="A29" s="1" t="s">
        <v>154</v>
      </c>
      <c r="B29" s="1" t="s">
        <v>147</v>
      </c>
      <c r="C29" s="84">
        <v>0</v>
      </c>
      <c r="D29" s="84" t="s">
        <v>155</v>
      </c>
      <c r="E29" s="85">
        <v>1</v>
      </c>
      <c r="F29" s="2" t="str">
        <f>VLOOKUP(D29,音擎!$A$2:$K$49,音擎!$K$1,FALSE)</f>
        <v>全队增伤10-20.2%（未记）</v>
      </c>
      <c r="G29" s="85" t="s">
        <v>79</v>
      </c>
      <c r="H29" s="85">
        <v>1</v>
      </c>
      <c r="I29" s="2" t="str">
        <f>VLOOKUP(G29,驱动盘!$A$2:$AB$21,驱动盘!$K$1,FALSE)</f>
        <v>有感电27%攻击</v>
      </c>
      <c r="J29" s="85" t="s">
        <v>78</v>
      </c>
      <c r="K29" s="85" t="s">
        <v>109</v>
      </c>
      <c r="L29" s="85" t="s">
        <v>89</v>
      </c>
      <c r="M29" s="85" t="s">
        <v>75</v>
      </c>
      <c r="N29" s="87">
        <v>0</v>
      </c>
      <c r="O29" s="87"/>
      <c r="P29" s="87">
        <v>10</v>
      </c>
      <c r="Q29" s="87">
        <v>8</v>
      </c>
      <c r="R29" s="87">
        <v>10</v>
      </c>
      <c r="S29" s="87"/>
      <c r="T29" s="46" t="s">
        <v>156</v>
      </c>
    </row>
    <row r="30" customHeight="1" spans="1:20">
      <c r="A30" s="1" t="s">
        <v>157</v>
      </c>
      <c r="B30" s="1" t="s">
        <v>147</v>
      </c>
      <c r="C30" s="84">
        <v>6</v>
      </c>
      <c r="D30" s="84" t="s">
        <v>158</v>
      </c>
      <c r="E30" s="85">
        <v>1</v>
      </c>
      <c r="F30" s="2" t="str">
        <f>VLOOKUP(D30,音擎!$A$2:$K$49,音擎!$K$1,FALSE)</f>
        <v>造成以太技伤后，挂15增伤debuff（未记）回能提升（算妮可身上）</v>
      </c>
      <c r="G30" s="85" t="s">
        <v>132</v>
      </c>
      <c r="H30" s="85">
        <v>1</v>
      </c>
      <c r="I30" s="2" t="str">
        <f>VLOOKUP(G30,驱动盘!$A$2:$AB$21,驱动盘!$K$1,FALSE)</f>
        <v>连锁后全队15增伤12秒（未记）</v>
      </c>
      <c r="J30" s="85" t="s">
        <v>108</v>
      </c>
      <c r="K30" s="85" t="s">
        <v>80</v>
      </c>
      <c r="L30" s="85" t="s">
        <v>75</v>
      </c>
      <c r="M30" s="85" t="s">
        <v>150</v>
      </c>
      <c r="N30" s="87">
        <v>10</v>
      </c>
      <c r="O30" s="87">
        <v>10</v>
      </c>
      <c r="P30" s="87">
        <v>8</v>
      </c>
      <c r="Q30" s="87">
        <v>0</v>
      </c>
      <c r="R30" s="87">
        <v>0</v>
      </c>
      <c r="S30" s="87">
        <v>0</v>
      </c>
      <c r="T30" s="46" t="s">
        <v>153</v>
      </c>
    </row>
    <row r="31" customHeight="1" spans="1:20">
      <c r="A31" s="1" t="s">
        <v>159</v>
      </c>
      <c r="B31" s="1" t="s">
        <v>147</v>
      </c>
      <c r="C31" s="84">
        <v>6</v>
      </c>
      <c r="D31" s="84" t="s">
        <v>148</v>
      </c>
      <c r="E31" s="85">
        <v>1</v>
      </c>
      <c r="F31" s="2" t="str">
        <f>VLOOKUP(D31,音擎!$A$2:$K$49,音擎!$K$1,FALSE)</f>
        <v>全队2.5%攻4层（未记）</v>
      </c>
      <c r="G31" s="85" t="s">
        <v>132</v>
      </c>
      <c r="H31" s="85">
        <v>1</v>
      </c>
      <c r="I31" s="2" t="str">
        <f>VLOOKUP(G31,驱动盘!$A$2:$AB$21,驱动盘!$K$1,FALSE)</f>
        <v>连锁后全队15增伤12秒（未记）</v>
      </c>
      <c r="J31" s="85" t="s">
        <v>92</v>
      </c>
      <c r="K31" s="85" t="s">
        <v>75</v>
      </c>
      <c r="L31" s="85" t="s">
        <v>75</v>
      </c>
      <c r="M31" s="85" t="s">
        <v>150</v>
      </c>
      <c r="N31" s="87">
        <v>10</v>
      </c>
      <c r="O31" s="87">
        <v>10</v>
      </c>
      <c r="P31" s="87">
        <v>8</v>
      </c>
      <c r="Q31" s="87">
        <v>0</v>
      </c>
      <c r="R31" s="87">
        <v>0</v>
      </c>
      <c r="S31" s="87">
        <v>0</v>
      </c>
      <c r="T31" s="46" t="s">
        <v>160</v>
      </c>
    </row>
    <row r="32" hidden="1" customHeight="1" spans="1:19">
      <c r="A32" s="1" t="s">
        <v>161</v>
      </c>
      <c r="B32" s="1" t="s">
        <v>147</v>
      </c>
      <c r="C32" s="84">
        <f>C31</f>
        <v>6</v>
      </c>
      <c r="D32" s="84" t="str">
        <f>D31</f>
        <v>好斗的阿炮</v>
      </c>
      <c r="E32" s="85">
        <f>E31</f>
        <v>1</v>
      </c>
      <c r="F32" s="2" t="str">
        <f>VLOOKUP(D32,音擎!$A$2:$K$49,音擎!$K$1,FALSE)</f>
        <v>全队2.5%攻4层（未记）</v>
      </c>
      <c r="G32" s="85" t="str">
        <f>G31</f>
        <v>摇摆爵士</v>
      </c>
      <c r="H32" s="85">
        <f>H31</f>
        <v>1</v>
      </c>
      <c r="I32" s="2" t="str">
        <f>VLOOKUP(G32,驱动盘!$A$2:$AB$21,驱动盘!$K$1,FALSE)</f>
        <v>连锁后全队15增伤12秒（未记）</v>
      </c>
      <c r="J32" s="85" t="str">
        <f t="shared" ref="J32:S32" si="1">J31</f>
        <v>激素朋克</v>
      </c>
      <c r="K32" s="85" t="str">
        <f t="shared" si="1"/>
        <v>攻击</v>
      </c>
      <c r="L32" s="85" t="str">
        <f t="shared" si="1"/>
        <v>攻击</v>
      </c>
      <c r="M32" s="85" t="str">
        <f t="shared" si="1"/>
        <v>回能</v>
      </c>
      <c r="N32" s="87">
        <f t="shared" si="1"/>
        <v>10</v>
      </c>
      <c r="O32" s="87">
        <f t="shared" si="1"/>
        <v>10</v>
      </c>
      <c r="P32" s="87">
        <f t="shared" si="1"/>
        <v>8</v>
      </c>
      <c r="Q32" s="87">
        <f t="shared" si="1"/>
        <v>0</v>
      </c>
      <c r="R32" s="87">
        <f t="shared" si="1"/>
        <v>0</v>
      </c>
      <c r="S32" s="87">
        <f t="shared" si="1"/>
        <v>0</v>
      </c>
    </row>
    <row r="33" customHeight="1" spans="1:20">
      <c r="A33" s="1" t="s">
        <v>162</v>
      </c>
      <c r="B33" s="1" t="s">
        <v>163</v>
      </c>
      <c r="C33" s="84">
        <v>0</v>
      </c>
      <c r="D33" s="84" t="s">
        <v>164</v>
      </c>
      <c r="E33" s="85">
        <v>1</v>
      </c>
      <c r="F33" s="2" t="str">
        <f>VLOOKUP(D33,音擎!$A$2:$K$49,音擎!$K$1,FALSE)</f>
        <v>20能效；全队18增伤12失衡20秒</v>
      </c>
      <c r="G33" s="85" t="s">
        <v>142</v>
      </c>
      <c r="H33" s="85">
        <v>1</v>
      </c>
      <c r="I33" s="2" t="str">
        <f>VLOOKUP(G33,驱动盘!$A$2:$AB$21,驱动盘!$K$1,FALSE)</f>
        <v>15护盾；招架后全队15增伤10秒（未记）</v>
      </c>
      <c r="J33" s="85" t="s">
        <v>128</v>
      </c>
      <c r="K33" s="85" t="s">
        <v>80</v>
      </c>
      <c r="L33" s="85" t="s">
        <v>75</v>
      </c>
      <c r="M33" s="85" t="s">
        <v>129</v>
      </c>
      <c r="N33" s="87">
        <v>10</v>
      </c>
      <c r="O33" s="87">
        <v>10</v>
      </c>
      <c r="P33" s="87">
        <v>8</v>
      </c>
      <c r="Q33" s="87">
        <v>0</v>
      </c>
      <c r="R33" s="87">
        <v>0</v>
      </c>
      <c r="S33" s="87">
        <v>0</v>
      </c>
      <c r="T33" s="46" t="s">
        <v>165</v>
      </c>
    </row>
    <row r="34" customHeight="1" spans="1:20">
      <c r="A34" s="1" t="s">
        <v>166</v>
      </c>
      <c r="B34" s="1" t="s">
        <v>163</v>
      </c>
      <c r="C34" s="84">
        <v>6</v>
      </c>
      <c r="D34" s="84" t="s">
        <v>164</v>
      </c>
      <c r="E34" s="85">
        <v>1</v>
      </c>
      <c r="F34" s="2" t="str">
        <f>VLOOKUP(D34,音擎!$A$2:$K$49,音擎!$K$1,FALSE)</f>
        <v>20能效；全队18增伤12失衡20秒</v>
      </c>
      <c r="G34" s="85" t="s">
        <v>142</v>
      </c>
      <c r="H34" s="85">
        <v>1</v>
      </c>
      <c r="I34" s="2" t="str">
        <f>VLOOKUP(G34,驱动盘!$A$2:$AB$21,驱动盘!$K$1,FALSE)</f>
        <v>15护盾；招架后全队15增伤10秒（未记）</v>
      </c>
      <c r="J34" s="85" t="s">
        <v>128</v>
      </c>
      <c r="K34" s="85" t="s">
        <v>75</v>
      </c>
      <c r="L34" s="85" t="s">
        <v>75</v>
      </c>
      <c r="M34" s="85" t="s">
        <v>129</v>
      </c>
      <c r="N34" s="87">
        <v>0</v>
      </c>
      <c r="O34" s="87"/>
      <c r="P34" s="87">
        <v>10</v>
      </c>
      <c r="Q34" s="87">
        <v>8</v>
      </c>
      <c r="R34" s="87">
        <v>10</v>
      </c>
      <c r="S34" s="87"/>
      <c r="T34" s="46" t="s">
        <v>167</v>
      </c>
    </row>
    <row r="35" customHeight="1" spans="6:6">
      <c r="F35" s="2"/>
    </row>
    <row r="36" customHeight="1" spans="6:6">
      <c r="F36" s="2"/>
    </row>
    <row r="37" customHeight="1" spans="6:6">
      <c r="F37" s="2"/>
    </row>
    <row r="38" customHeight="1" spans="6:6">
      <c r="F38" s="2"/>
    </row>
    <row r="39" customHeight="1" spans="6:6">
      <c r="F39" s="2"/>
    </row>
    <row r="40" customHeight="1" spans="6:6">
      <c r="F40" s="2"/>
    </row>
    <row r="41" customHeight="1" spans="6:6">
      <c r="F41" s="2"/>
    </row>
    <row r="42" customHeight="1" spans="6:6">
      <c r="F42" s="2"/>
    </row>
    <row r="43" customHeight="1" spans="6:6">
      <c r="F43" s="2"/>
    </row>
    <row r="44" customHeight="1" spans="6:6">
      <c r="F44" s="2"/>
    </row>
    <row r="45" customHeight="1" spans="6:6">
      <c r="F45" s="2"/>
    </row>
    <row r="46" customHeight="1" spans="6:6">
      <c r="F46" s="2"/>
    </row>
    <row r="47" customHeight="1" spans="6:6">
      <c r="F47" s="2"/>
    </row>
    <row r="48" customHeight="1" spans="6:6">
      <c r="F48" s="2"/>
    </row>
    <row r="49" customHeight="1" spans="6:6">
      <c r="F49" s="2"/>
    </row>
  </sheetData>
  <sheetProtection selectLockedCells="1" formatCells="0" insertHyperlinks="0" autoFilter="0"/>
  <mergeCells count="1">
    <mergeCell ref="U25:V25"/>
  </mergeCells>
  <conditionalFormatting sqref="K5:M5">
    <cfRule type="cellIs" dxfId="6" priority="6" operator="equal">
      <formula>"回能"</formula>
    </cfRule>
    <cfRule type="cellIs" dxfId="7" priority="7" operator="equal">
      <formula>"暴伤"</formula>
    </cfRule>
    <cfRule type="cellIs" dxfId="8" priority="8" operator="equal">
      <formula>"暴击"</formula>
    </cfRule>
    <cfRule type="cellIs" dxfId="9" priority="9" operator="equal">
      <formula>"穿透"</formula>
    </cfRule>
    <cfRule type="cellIs" dxfId="10" priority="10" operator="equal">
      <formula>"冲击"</formula>
    </cfRule>
    <cfRule type="cellIs" dxfId="11" priority="11" operator="equal">
      <formula>"攻击"</formula>
    </cfRule>
  </conditionalFormatting>
  <conditionalFormatting sqref="O5">
    <cfRule type="cellIs" dxfId="0" priority="12" operator="equal">
      <formula>0</formula>
    </cfRule>
  </conditionalFormatting>
  <conditionalFormatting sqref="K6:M6">
    <cfRule type="cellIs" dxfId="6" priority="20" operator="equal">
      <formula>"回能"</formula>
    </cfRule>
    <cfRule type="cellIs" dxfId="7" priority="21" operator="equal">
      <formula>"暴伤"</formula>
    </cfRule>
    <cfRule type="cellIs" dxfId="8" priority="22" operator="equal">
      <formula>"暴击"</formula>
    </cfRule>
    <cfRule type="cellIs" dxfId="9" priority="23" operator="equal">
      <formula>"穿透"</formula>
    </cfRule>
    <cfRule type="cellIs" dxfId="10" priority="24" operator="equal">
      <formula>"冲击"</formula>
    </cfRule>
    <cfRule type="cellIs" dxfId="11" priority="25" operator="equal">
      <formula>"攻击"</formula>
    </cfRule>
  </conditionalFormatting>
  <conditionalFormatting sqref="O6">
    <cfRule type="cellIs" dxfId="0" priority="26" operator="equal">
      <formula>0</formula>
    </cfRule>
  </conditionalFormatting>
  <conditionalFormatting sqref="P13:R13">
    <cfRule type="cellIs" dxfId="0" priority="3" operator="equal">
      <formula>0</formula>
    </cfRule>
  </conditionalFormatting>
  <conditionalFormatting sqref="K14:M14">
    <cfRule type="cellIs" dxfId="6" priority="68" operator="equal">
      <formula>"回能"</formula>
    </cfRule>
    <cfRule type="cellIs" dxfId="7" priority="69" operator="equal">
      <formula>"暴伤"</formula>
    </cfRule>
    <cfRule type="cellIs" dxfId="8" priority="70" operator="equal">
      <formula>"暴击"</formula>
    </cfRule>
    <cfRule type="cellIs" dxfId="9" priority="71" operator="equal">
      <formula>"穿透"</formula>
    </cfRule>
    <cfRule type="cellIs" dxfId="10" priority="72" operator="equal">
      <formula>"冲击"</formula>
    </cfRule>
    <cfRule type="cellIs" dxfId="11" priority="73" operator="equal">
      <formula>"攻击"</formula>
    </cfRule>
  </conditionalFormatting>
  <conditionalFormatting sqref="N14">
    <cfRule type="cellIs" dxfId="0" priority="64" operator="equal">
      <formula>0</formula>
    </cfRule>
  </conditionalFormatting>
  <conditionalFormatting sqref="O14">
    <cfRule type="cellIs" dxfId="0" priority="60" operator="equal">
      <formula>0</formula>
    </cfRule>
  </conditionalFormatting>
  <conditionalFormatting sqref="P14:R14">
    <cfRule type="cellIs" dxfId="0" priority="62" operator="equal">
      <formula>0</formula>
    </cfRule>
  </conditionalFormatting>
  <conditionalFormatting sqref="S14">
    <cfRule type="cellIs" dxfId="0" priority="74" operator="equal">
      <formula>0</formula>
    </cfRule>
  </conditionalFormatting>
  <conditionalFormatting sqref="N15">
    <cfRule type="cellIs" dxfId="0" priority="63" operator="equal">
      <formula>0</formula>
    </cfRule>
  </conditionalFormatting>
  <conditionalFormatting sqref="O15">
    <cfRule type="cellIs" dxfId="0" priority="59" operator="equal">
      <formula>0</formula>
    </cfRule>
  </conditionalFormatting>
  <conditionalFormatting sqref="P15:R15">
    <cfRule type="cellIs" dxfId="0" priority="48" operator="equal">
      <formula>0</formula>
    </cfRule>
  </conditionalFormatting>
  <conditionalFormatting sqref="S15">
    <cfRule type="cellIs" dxfId="0" priority="49" operator="equal">
      <formula>0</formula>
    </cfRule>
  </conditionalFormatting>
  <conditionalFormatting sqref="O16">
    <cfRule type="cellIs" dxfId="0" priority="79" operator="equal">
      <formula>0</formula>
    </cfRule>
  </conditionalFormatting>
  <conditionalFormatting sqref="P16:R16">
    <cfRule type="cellIs" dxfId="0" priority="46" operator="equal">
      <formula>0</formula>
    </cfRule>
  </conditionalFormatting>
  <conditionalFormatting sqref="S16">
    <cfRule type="cellIs" dxfId="0" priority="47" operator="equal">
      <formula>0</formula>
    </cfRule>
  </conditionalFormatting>
  <conditionalFormatting sqref="O19">
    <cfRule type="cellIs" dxfId="0" priority="1" operator="equal">
      <formula>0</formula>
    </cfRule>
  </conditionalFormatting>
  <conditionalFormatting sqref="O25">
    <cfRule type="cellIs" dxfId="0" priority="4" operator="equal">
      <formula>0</formula>
    </cfRule>
  </conditionalFormatting>
  <conditionalFormatting sqref="K27:M27">
    <cfRule type="cellIs" dxfId="6" priority="14" operator="equal">
      <formula>"回能"</formula>
    </cfRule>
    <cfRule type="cellIs" dxfId="7" priority="15" operator="equal">
      <formula>"暴伤"</formula>
    </cfRule>
    <cfRule type="cellIs" dxfId="8" priority="16" operator="equal">
      <formula>"暴击"</formula>
    </cfRule>
    <cfRule type="cellIs" dxfId="9" priority="17" operator="equal">
      <formula>"穿透"</formula>
    </cfRule>
    <cfRule type="cellIs" dxfId="10" priority="18" operator="equal">
      <formula>"冲击"</formula>
    </cfRule>
    <cfRule type="cellIs" dxfId="11" priority="19" operator="equal">
      <formula>"攻击"</formula>
    </cfRule>
  </conditionalFormatting>
  <conditionalFormatting sqref="N28">
    <cfRule type="cellIs" dxfId="0" priority="100" operator="equal">
      <formula>0</formula>
    </cfRule>
  </conditionalFormatting>
  <conditionalFormatting sqref="O28">
    <cfRule type="cellIs" dxfId="0" priority="99" operator="equal">
      <formula>0</formula>
    </cfRule>
  </conditionalFormatting>
  <conditionalFormatting sqref="P29:S29">
    <cfRule type="cellIs" dxfId="0" priority="76" operator="equal">
      <formula>0</formula>
    </cfRule>
  </conditionalFormatting>
  <conditionalFormatting sqref="N30">
    <cfRule type="cellIs" dxfId="0" priority="96" operator="equal">
      <formula>0</formula>
    </cfRule>
  </conditionalFormatting>
  <conditionalFormatting sqref="O30">
    <cfRule type="cellIs" dxfId="0" priority="93" operator="equal">
      <formula>0</formula>
    </cfRule>
  </conditionalFormatting>
  <conditionalFormatting sqref="N33">
    <cfRule type="cellIs" dxfId="0" priority="94" operator="equal">
      <formula>0</formula>
    </cfRule>
  </conditionalFormatting>
  <conditionalFormatting sqref="O33">
    <cfRule type="cellIs" dxfId="0" priority="91" operator="equal">
      <formula>0</formula>
    </cfRule>
  </conditionalFormatting>
  <conditionalFormatting sqref="P34:S34">
    <cfRule type="cellIs" dxfId="0" priority="75" operator="equal">
      <formula>0</formula>
    </cfRule>
  </conditionalFormatting>
  <conditionalFormatting sqref="N31:N32">
    <cfRule type="cellIs" dxfId="0" priority="95" operator="equal">
      <formula>0</formula>
    </cfRule>
  </conditionalFormatting>
  <conditionalFormatting sqref="O12:O13">
    <cfRule type="cellIs" dxfId="0" priority="28" operator="equal">
      <formula>0</formula>
    </cfRule>
  </conditionalFormatting>
  <conditionalFormatting sqref="O31:O32">
    <cfRule type="cellIs" dxfId="0" priority="92" operator="equal">
      <formula>0</formula>
    </cfRule>
  </conditionalFormatting>
  <conditionalFormatting sqref="K3:M4 K7:M11 K15:M26 K28:M34">
    <cfRule type="cellIs" dxfId="6" priority="85" operator="equal">
      <formula>"回能"</formula>
    </cfRule>
    <cfRule type="cellIs" dxfId="7" priority="86" operator="equal">
      <formula>"暴伤"</formula>
    </cfRule>
    <cfRule type="cellIs" dxfId="8" priority="87" operator="equal">
      <formula>"暴击"</formula>
    </cfRule>
    <cfRule type="cellIs" dxfId="9" priority="88" operator="equal">
      <formula>"穿透"</formula>
    </cfRule>
    <cfRule type="cellIs" dxfId="10" priority="89" operator="equal">
      <formula>"冲击"</formula>
    </cfRule>
    <cfRule type="cellIs" dxfId="11" priority="90" operator="equal">
      <formula>"攻击"</formula>
    </cfRule>
  </conditionalFormatting>
  <conditionalFormatting sqref="P7:S11 P3:S4 N3:N4 N7:N11 N16:N18 N20:N24 N34 P30:S33 N29 P26:S26 N26:N27 P28:S28 P21:S24 Q25:S25 P20">
    <cfRule type="cellIs" dxfId="0" priority="102" operator="equal">
      <formula>0</formula>
    </cfRule>
  </conditionalFormatting>
  <conditionalFormatting sqref="O7:O11 O3:O4 O17:O18 O20:O24 O34 O29 O26:O27">
    <cfRule type="cellIs" dxfId="0" priority="101" operator="equal">
      <formula>0</formula>
    </cfRule>
  </conditionalFormatting>
  <conditionalFormatting sqref="N5 P5:S5">
    <cfRule type="cellIs" dxfId="0" priority="13" operator="equal">
      <formula>0</formula>
    </cfRule>
  </conditionalFormatting>
  <conditionalFormatting sqref="N6 P6:S6">
    <cfRule type="cellIs" dxfId="0" priority="27" operator="equal">
      <formula>0</formula>
    </cfRule>
  </conditionalFormatting>
  <conditionalFormatting sqref="K12:M13">
    <cfRule type="cellIs" dxfId="6" priority="30" operator="equal">
      <formula>"回能"</formula>
    </cfRule>
    <cfRule type="cellIs" dxfId="7" priority="31" operator="equal">
      <formula>"暴伤"</formula>
    </cfRule>
    <cfRule type="cellIs" dxfId="8" priority="32" operator="equal">
      <formula>"暴击"</formula>
    </cfRule>
    <cfRule type="cellIs" dxfId="9" priority="33" operator="equal">
      <formula>"穿透"</formula>
    </cfRule>
    <cfRule type="cellIs" dxfId="10" priority="34" operator="equal">
      <formula>"冲击"</formula>
    </cfRule>
    <cfRule type="cellIs" dxfId="11" priority="35" operator="equal">
      <formula>"攻击"</formula>
    </cfRule>
  </conditionalFormatting>
  <conditionalFormatting sqref="N12:N13 P12:S12 S13">
    <cfRule type="cellIs" dxfId="0" priority="29" operator="equal">
      <formula>0</formula>
    </cfRule>
  </conditionalFormatting>
  <conditionalFormatting sqref="P17:S18 P27:S27">
    <cfRule type="cellIs" dxfId="0" priority="80" operator="equal">
      <formula>0</formula>
    </cfRule>
  </conditionalFormatting>
  <conditionalFormatting sqref="N19 P19">
    <cfRule type="cellIs" dxfId="0" priority="2" operator="equal">
      <formula>0</formula>
    </cfRule>
  </conditionalFormatting>
  <conditionalFormatting sqref="Q19:S20">
    <cfRule type="cellIs" dxfId="0" priority="58" operator="equal">
      <formula>0</formula>
    </cfRule>
  </conditionalFormatting>
  <conditionalFormatting sqref="N25 P25">
    <cfRule type="cellIs" dxfId="0" priority="5" operator="equal">
      <formula>0</formula>
    </cfRule>
  </conditionalFormatting>
  <dataValidations count="14">
    <dataValidation type="whole" operator="between" allowBlank="1" showInputMessage="1" showErrorMessage="1" sqref="C3 C4 C13 C19 C20 C25 C5:C12 C14:C18 C21:C24 C26:C34">
      <formula1>0</formula1>
      <formula2>6</formula2>
    </dataValidation>
    <dataValidation type="list" allowBlank="1" showErrorMessage="1" errorTitle="错误提示" error="请输入下拉列表中的值" sqref="D3 D4 D5:D11">
      <formula1>音擎!$A$3:$A$15</formula1>
    </dataValidation>
    <dataValidation type="decimal" operator="between" showInputMessage="1" showErrorMessage="1" sqref="E3 E4 E13 E19 E20 E25 E5:E12 E14:E18 E21:E24 E26:E34">
      <formula1>0</formula1>
      <formula2>2</formula2>
    </dataValidation>
    <dataValidation type="list" allowBlank="1" showInputMessage="1" showErrorMessage="1" sqref="G3 J3 G4 J4 G13 J13 G19 J19 G20 J20 G25 J25 G5:G12 G14:G18 G21:G24 G26:G34 J5:J12 J14:J18 J21:J24 J26:J34">
      <formula1>驱动盘!$A$3:$A$21</formula1>
    </dataValidation>
    <dataValidation type="decimal" operator="between" showInputMessage="1" showErrorMessage="1" sqref="H3 H4 H13 H19 H20 H25 H5:H12 H14:H18 H21:H24 H26:H34">
      <formula1>0</formula1>
      <formula2>1</formula2>
    </dataValidation>
    <dataValidation type="list" allowBlank="1" showInputMessage="1" showErrorMessage="1" sqref="K3 K4 K13 K19 K20 K25 K5:K12 K14:K18 K21:K24 K26:K34">
      <formula1>"暴击,暴伤,精通,攻击"</formula1>
    </dataValidation>
    <dataValidation type="list" allowBlank="1" showInputMessage="1" showErrorMessage="1" sqref="L3 L4 L13 L19 L20 L25 L5:L12 L14:L18 L21:L24 L26:L34">
      <formula1>"攻击,属伤,穿透"</formula1>
    </dataValidation>
    <dataValidation type="list" allowBlank="1" showInputMessage="1" showErrorMessage="1" sqref="M3 M4 M13 M19 M20 M25 M5:M12 M14:M18 M21:M24 M26:M34">
      <formula1>"攻击,冲击,回能,掌控"</formula1>
    </dataValidation>
    <dataValidation type="whole" operator="between" allowBlank="1" showInputMessage="1" showErrorMessage="1" sqref="N3:S3 N4:S4 N13:O13 P13:R13 S13 N19:P19 Q19:S19 N20:S20 N25:P25 Q25:S25 N21:S24 N14:S18 N5:S12 N26:S34">
      <formula1>0</formula1>
      <formula2>40</formula2>
    </dataValidation>
    <dataValidation type="list" allowBlank="1" showErrorMessage="1" errorTitle="错误提示" error="请输入下拉列表中的值" sqref="D12 D13 D14:D18">
      <formula1>音擎!$A$16:$A$27</formula1>
    </dataValidation>
    <dataValidation type="list" allowBlank="1" showErrorMessage="1" errorTitle="错误提示" error="请输入下拉列表中的值" sqref="D19 D20 D25 D26 D21:D24">
      <formula1>音擎!$A$28:$A$38</formula1>
    </dataValidation>
    <dataValidation type="list" allowBlank="1" showErrorMessage="1" errorTitle="错误提示" error="请输入下拉列表中的值" sqref="D32">
      <formula1>音擎!$A$40:$A$46</formula1>
    </dataValidation>
    <dataValidation type="list" allowBlank="1" showErrorMessage="1" errorTitle="错误提示" error="请输入下拉列表中的值" sqref="D27:D31">
      <formula1>音擎!$A$39:$A$46</formula1>
    </dataValidation>
    <dataValidation type="list" allowBlank="1" showErrorMessage="1" errorTitle="错误提示" error="请输入下拉列表中的值" sqref="D33:D34">
      <formula1>音擎!$A$47:$A$49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5"/>
  <sheetViews>
    <sheetView zoomScale="70" zoomScaleNormal="70" workbookViewId="0">
      <pane ySplit="1" topLeftCell="A4" activePane="bottomLeft" state="frozen"/>
      <selection/>
      <selection pane="bottomLeft" activeCell="P8" sqref="P8"/>
    </sheetView>
  </sheetViews>
  <sheetFormatPr defaultColWidth="9.90740740740741" defaultRowHeight="44" customHeight="1"/>
  <cols>
    <col min="1" max="1" width="13.7777777777778" style="6" customWidth="1"/>
    <col min="2" max="26" width="13.7777777777778" style="1" customWidth="1"/>
    <col min="27" max="16384" width="13.7777777777778" style="6" customWidth="1"/>
  </cols>
  <sheetData>
    <row r="1" customHeight="1" spans="2:26">
      <c r="B1" s="20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80</v>
      </c>
      <c r="K1" s="1" t="s">
        <v>73</v>
      </c>
      <c r="L1" s="1" t="s">
        <v>89</v>
      </c>
      <c r="M1" s="1" t="s">
        <v>176</v>
      </c>
      <c r="N1" s="1" t="s">
        <v>129</v>
      </c>
      <c r="O1" s="1" t="s">
        <v>177</v>
      </c>
      <c r="Q1" s="20" t="s">
        <v>178</v>
      </c>
      <c r="R1" s="1" t="s">
        <v>179</v>
      </c>
      <c r="S1" s="1" t="s">
        <v>169</v>
      </c>
      <c r="T1" s="1" t="s">
        <v>170</v>
      </c>
      <c r="U1" s="1" t="s">
        <v>173</v>
      </c>
      <c r="V1" s="1" t="s">
        <v>174</v>
      </c>
      <c r="W1" s="1" t="s">
        <v>109</v>
      </c>
      <c r="X1" s="1" t="s">
        <v>175</v>
      </c>
      <c r="Y1" s="1" t="s">
        <v>89</v>
      </c>
      <c r="Z1" s="1" t="s">
        <v>176</v>
      </c>
    </row>
    <row r="2" customHeight="1" spans="2:26">
      <c r="B2" s="4"/>
      <c r="C2" s="3"/>
      <c r="D2" s="3"/>
      <c r="E2" s="3"/>
      <c r="F2" s="3"/>
      <c r="G2" s="6"/>
      <c r="H2" s="3"/>
      <c r="I2" s="3"/>
      <c r="J2" s="3"/>
      <c r="K2" s="3"/>
      <c r="L2" s="3"/>
      <c r="M2" s="3"/>
      <c r="N2" s="3"/>
      <c r="O2" s="3"/>
      <c r="P2" s="3"/>
      <c r="Q2" s="4" t="str">
        <f>""</f>
        <v/>
      </c>
      <c r="U2" s="6"/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customHeight="1" spans="2:26">
      <c r="B3" s="4" t="s">
        <v>177</v>
      </c>
      <c r="C3" s="3">
        <v>0.5</v>
      </c>
      <c r="D3" s="3"/>
      <c r="E3" s="3"/>
      <c r="F3" s="3"/>
      <c r="G3" s="6"/>
      <c r="H3" s="3"/>
      <c r="I3" s="3"/>
      <c r="J3" s="3"/>
      <c r="K3" s="3"/>
      <c r="L3" s="3"/>
      <c r="M3" s="3"/>
      <c r="N3" s="3"/>
      <c r="O3" s="3"/>
      <c r="P3" s="3"/>
      <c r="Q3" s="83" t="s">
        <v>180</v>
      </c>
      <c r="R3" s="3">
        <v>0.18</v>
      </c>
      <c r="S3" s="3"/>
      <c r="T3" s="3"/>
      <c r="U3" s="6"/>
      <c r="V3" s="3"/>
      <c r="W3" s="3"/>
      <c r="X3" s="3"/>
      <c r="Y3" s="3"/>
      <c r="Z3" s="3"/>
    </row>
    <row r="4" customHeight="1" spans="2:26">
      <c r="B4" s="4" t="s">
        <v>181</v>
      </c>
      <c r="C4" s="3">
        <f>IF(配装!$C$21&gt;1,158%,130%)</f>
        <v>1.3</v>
      </c>
      <c r="D4" s="3"/>
      <c r="E4" s="3"/>
      <c r="F4" s="3"/>
      <c r="G4" s="6"/>
      <c r="H4" s="3"/>
      <c r="I4" s="3"/>
      <c r="J4" s="3"/>
      <c r="K4" s="3"/>
      <c r="L4" s="3"/>
      <c r="M4" s="3"/>
      <c r="N4" s="3"/>
      <c r="O4" s="3"/>
      <c r="P4" s="3"/>
      <c r="Q4" s="83" t="s">
        <v>182</v>
      </c>
      <c r="R4" s="3">
        <v>0.36</v>
      </c>
      <c r="S4" s="3"/>
      <c r="T4" s="3"/>
      <c r="U4" s="6"/>
      <c r="V4" s="3"/>
      <c r="W4" s="3"/>
      <c r="X4" s="3"/>
      <c r="Y4" s="3"/>
      <c r="Z4" s="3"/>
    </row>
    <row r="5" customHeight="1" spans="2:24">
      <c r="B5" s="4" t="s">
        <v>183</v>
      </c>
      <c r="C5" s="3">
        <v>0.85</v>
      </c>
      <c r="D5" s="3"/>
      <c r="E5" s="3"/>
      <c r="F5" s="3"/>
      <c r="G5" s="6"/>
      <c r="H5" s="3"/>
      <c r="I5" s="3"/>
      <c r="J5" s="3"/>
      <c r="K5" s="3"/>
      <c r="L5" s="3"/>
      <c r="M5" s="3"/>
      <c r="N5" s="3"/>
      <c r="O5" s="3"/>
      <c r="P5" s="3"/>
      <c r="Q5" s="4" t="s">
        <v>184</v>
      </c>
      <c r="R5" s="57"/>
      <c r="S5" s="57"/>
      <c r="T5" s="57"/>
      <c r="U5" s="1">
        <v>600</v>
      </c>
      <c r="X5" s="1">
        <f>IF(配装!$C$16&gt;0,30%,0)</f>
        <v>0</v>
      </c>
    </row>
    <row r="6" customHeight="1" spans="2:26">
      <c r="B6" s="4" t="s">
        <v>185</v>
      </c>
      <c r="C6" s="3">
        <f>IF(配装!$C$20&gt;1,75%,50%)</f>
        <v>0.5</v>
      </c>
      <c r="D6" s="3"/>
      <c r="E6" s="3"/>
      <c r="F6" s="3"/>
      <c r="G6" s="6"/>
      <c r="H6" s="3"/>
      <c r="I6" s="3"/>
      <c r="J6" s="3"/>
      <c r="K6" s="3"/>
      <c r="L6" s="3"/>
      <c r="M6" s="3"/>
      <c r="N6" s="3"/>
      <c r="O6" s="3"/>
      <c r="P6" s="3"/>
      <c r="Q6" s="4" t="s">
        <v>186</v>
      </c>
      <c r="R6" s="57">
        <f>IF(配装!$C$16&gt;1,100%,50%)</f>
        <v>0.5</v>
      </c>
      <c r="S6" s="57"/>
      <c r="T6" s="57"/>
      <c r="Z6" s="1">
        <f>IF(配装!$C$16&gt;1,15%,0)</f>
        <v>0</v>
      </c>
    </row>
    <row r="7" customHeight="1" spans="2:26">
      <c r="B7" s="4" t="s">
        <v>187</v>
      </c>
      <c r="C7" s="3">
        <v>0.35</v>
      </c>
      <c r="D7" s="3"/>
      <c r="E7" s="3"/>
      <c r="F7" s="3"/>
      <c r="G7" s="6"/>
      <c r="H7" s="3"/>
      <c r="I7" s="3"/>
      <c r="J7" s="3"/>
      <c r="K7" s="3"/>
      <c r="L7" s="3"/>
      <c r="M7" s="3"/>
      <c r="N7" s="3"/>
      <c r="O7" s="3"/>
      <c r="P7" s="3"/>
      <c r="Q7" s="4" t="s">
        <v>188</v>
      </c>
      <c r="R7" s="57"/>
      <c r="S7" s="57"/>
      <c r="T7" s="57"/>
      <c r="X7" s="3">
        <v>0.18</v>
      </c>
      <c r="Z7" s="3"/>
    </row>
    <row r="8" customHeight="1" spans="2:26">
      <c r="B8" s="4" t="s">
        <v>189</v>
      </c>
      <c r="C8" s="3"/>
      <c r="D8" s="3">
        <v>0.25</v>
      </c>
      <c r="E8" s="3"/>
      <c r="F8" s="3"/>
      <c r="G8" s="6"/>
      <c r="H8" s="3"/>
      <c r="I8" s="3"/>
      <c r="J8" s="3"/>
      <c r="K8" s="3"/>
      <c r="L8" s="3"/>
      <c r="M8" s="3"/>
      <c r="N8" s="3"/>
      <c r="O8" s="3"/>
      <c r="P8" s="3"/>
      <c r="Q8" s="4" t="s">
        <v>190</v>
      </c>
      <c r="U8" s="6"/>
      <c r="V8" s="3"/>
      <c r="W8" s="3"/>
      <c r="X8" s="3"/>
      <c r="Y8" s="3">
        <v>0.2</v>
      </c>
      <c r="Z8" s="3"/>
    </row>
    <row r="9" customHeight="1" spans="2:26">
      <c r="B9" s="4" t="s">
        <v>191</v>
      </c>
      <c r="C9" s="3"/>
      <c r="D9" s="3"/>
      <c r="E9" s="3"/>
      <c r="F9" s="3"/>
      <c r="G9" s="6"/>
      <c r="H9" s="3"/>
      <c r="I9" s="3">
        <v>0.7</v>
      </c>
      <c r="J9" s="3"/>
      <c r="K9" s="3"/>
      <c r="L9" s="3"/>
      <c r="M9" s="3"/>
      <c r="N9" s="3"/>
      <c r="O9" s="3"/>
      <c r="P9" s="3"/>
      <c r="Q9" s="4" t="s">
        <v>192</v>
      </c>
      <c r="R9" s="3"/>
      <c r="S9" s="3"/>
      <c r="T9" s="3"/>
      <c r="U9" s="6"/>
      <c r="V9" s="3"/>
      <c r="W9" s="3"/>
      <c r="X9" s="3">
        <v>0.12</v>
      </c>
      <c r="Y9" s="3"/>
      <c r="Z9" s="3"/>
    </row>
    <row r="10" customHeight="1" spans="2:26">
      <c r="B10" s="4" t="s">
        <v>193</v>
      </c>
      <c r="C10" s="3"/>
      <c r="D10" s="3">
        <f>IF(配装!$C$20&gt;0,25%,15%)</f>
        <v>0.15</v>
      </c>
      <c r="E10" s="3"/>
      <c r="F10" s="3"/>
      <c r="G10" s="6"/>
      <c r="H10" s="3"/>
      <c r="I10" s="3">
        <f>IF(配装!$C$20&gt;1,1.2,1)*55%</f>
        <v>0.55</v>
      </c>
      <c r="J10" s="3"/>
      <c r="K10" s="3"/>
      <c r="L10" s="3"/>
      <c r="M10" s="3"/>
      <c r="N10" s="3"/>
      <c r="O10" s="3"/>
      <c r="P10" s="3"/>
      <c r="Q10" s="4" t="s">
        <v>194</v>
      </c>
      <c r="R10" s="3"/>
      <c r="S10" s="3"/>
      <c r="T10" s="3"/>
      <c r="U10" s="6"/>
      <c r="V10" s="3"/>
      <c r="W10" s="3"/>
      <c r="X10" s="3">
        <v>0.2</v>
      </c>
      <c r="Y10" s="3"/>
      <c r="Z10" s="3"/>
    </row>
    <row r="11" customHeight="1" spans="2:26">
      <c r="B11" s="4" t="s">
        <v>195</v>
      </c>
      <c r="C11" s="3"/>
      <c r="D11" s="3"/>
      <c r="E11" s="3"/>
      <c r="F11" s="3"/>
      <c r="G11" s="6"/>
      <c r="H11" s="3"/>
      <c r="I11" s="3">
        <v>0.3</v>
      </c>
      <c r="J11" s="3"/>
      <c r="K11" s="3"/>
      <c r="L11" s="3"/>
      <c r="M11" s="3"/>
      <c r="N11" s="3"/>
      <c r="O11" s="3"/>
      <c r="P11" s="3"/>
      <c r="Q11" s="4" t="s">
        <v>196</v>
      </c>
      <c r="U11" s="6"/>
      <c r="V11" s="3"/>
      <c r="W11" s="3"/>
      <c r="X11" s="3"/>
      <c r="Y11" s="3"/>
      <c r="Z11" s="3">
        <v>0.4</v>
      </c>
    </row>
    <row r="12" customHeight="1" spans="2:26">
      <c r="B12" s="4" t="s">
        <v>197</v>
      </c>
      <c r="C12" s="3"/>
      <c r="D12" s="3"/>
      <c r="E12" s="3"/>
      <c r="F12" s="3"/>
      <c r="G12" s="6"/>
      <c r="H12" s="3"/>
      <c r="I12" s="3"/>
      <c r="J12" s="3"/>
      <c r="K12" s="3"/>
      <c r="L12" s="3">
        <f>IF(配装!$C$29&gt;0,38.48%,29.6%)</f>
        <v>0.296</v>
      </c>
      <c r="M12" s="3"/>
      <c r="N12" s="3"/>
      <c r="O12" s="3"/>
      <c r="P12" s="3"/>
      <c r="Q12" s="4" t="s">
        <v>198</v>
      </c>
      <c r="U12" s="6"/>
      <c r="V12" s="3"/>
      <c r="W12" s="3">
        <v>1</v>
      </c>
      <c r="X12" s="3"/>
      <c r="Y12" s="3"/>
      <c r="Z12" s="3"/>
    </row>
    <row r="13" customHeight="1" spans="2:26">
      <c r="B13" s="4" t="s">
        <v>199</v>
      </c>
      <c r="C13" s="3"/>
      <c r="D13" s="3"/>
      <c r="E13" s="3"/>
      <c r="F13" s="3"/>
      <c r="G13" s="6"/>
      <c r="H13" s="3"/>
      <c r="I13" s="3">
        <f>IF(配装!$C$29&gt;5,25%,10%)</f>
        <v>0.1</v>
      </c>
      <c r="J13" s="3"/>
      <c r="K13" s="3"/>
      <c r="L13" s="3"/>
      <c r="M13" s="3"/>
      <c r="N13" s="3"/>
      <c r="O13" s="3"/>
      <c r="P13" s="3"/>
      <c r="Q13" s="4" t="s">
        <v>197</v>
      </c>
      <c r="U13" s="6"/>
      <c r="V13" s="3"/>
      <c r="W13" s="3"/>
      <c r="X13" s="3"/>
      <c r="Y13" s="3">
        <f>IF(配装!$C$29&gt;0,38.48%,29.6%)</f>
        <v>0.296</v>
      </c>
      <c r="Z13" s="3"/>
    </row>
    <row r="14" customHeight="1" spans="2:26">
      <c r="B14" s="4" t="s">
        <v>200</v>
      </c>
      <c r="C14" s="3"/>
      <c r="D14" s="3"/>
      <c r="E14" s="3"/>
      <c r="F14" s="3"/>
      <c r="G14" s="6">
        <v>1000</v>
      </c>
      <c r="H14" s="3"/>
      <c r="I14" s="3"/>
      <c r="J14" s="3"/>
      <c r="K14" s="3"/>
      <c r="L14" s="3"/>
      <c r="M14" s="3"/>
      <c r="N14" s="3"/>
      <c r="O14" s="3"/>
      <c r="Q14" s="4" t="s">
        <v>199</v>
      </c>
      <c r="U14" s="6"/>
      <c r="V14" s="3"/>
      <c r="W14" s="3"/>
      <c r="X14" s="3">
        <f>IF(配装!$C$29&gt;5,25%,10%)</f>
        <v>0.1</v>
      </c>
      <c r="Y14" s="3"/>
      <c r="Z14" s="3"/>
    </row>
    <row r="15" customHeight="1" spans="2:26">
      <c r="B15" s="4" t="s">
        <v>201</v>
      </c>
      <c r="C15" s="3"/>
      <c r="D15" s="3"/>
      <c r="E15" s="3"/>
      <c r="F15" s="3"/>
      <c r="G15" s="6">
        <v>1000</v>
      </c>
      <c r="H15" s="3"/>
      <c r="I15" s="3">
        <v>0.2</v>
      </c>
      <c r="J15" s="3"/>
      <c r="K15" s="3"/>
      <c r="L15" s="3"/>
      <c r="M15" s="3"/>
      <c r="N15" s="3"/>
      <c r="O15" s="3"/>
      <c r="Q15" s="4" t="s">
        <v>202</v>
      </c>
      <c r="R15" s="3"/>
      <c r="S15" s="3"/>
      <c r="T15" s="3"/>
      <c r="U15" s="6">
        <v>600</v>
      </c>
      <c r="V15" s="3">
        <v>0.1</v>
      </c>
      <c r="W15" s="3"/>
      <c r="X15" s="3"/>
      <c r="Y15" s="3"/>
      <c r="Z15" s="3"/>
    </row>
    <row r="16" customHeight="1" spans="2:25">
      <c r="B16" s="4" t="s">
        <v>203</v>
      </c>
      <c r="C16" s="3"/>
      <c r="D16" s="3">
        <v>0.1</v>
      </c>
      <c r="E16" s="3"/>
      <c r="F16" s="3"/>
      <c r="G16" s="6"/>
      <c r="H16" s="3"/>
      <c r="I16" s="3"/>
      <c r="J16" s="3"/>
      <c r="K16" s="3"/>
      <c r="L16" s="3"/>
      <c r="M16" s="3"/>
      <c r="N16" s="3"/>
      <c r="O16" s="3"/>
      <c r="Q16" s="4" t="s">
        <v>204</v>
      </c>
      <c r="R16" s="3"/>
      <c r="S16" s="3"/>
      <c r="T16" s="3">
        <f>IF(配装!$C$33&gt;0,15%,0)</f>
        <v>0</v>
      </c>
      <c r="U16" s="6">
        <f>IF(配装!$C$33&gt;1,1.5,1)*1000</f>
        <v>1000</v>
      </c>
      <c r="V16" s="3"/>
      <c r="W16" s="3"/>
      <c r="X16" s="3">
        <v>0.25</v>
      </c>
      <c r="Y16" s="3"/>
    </row>
    <row r="17" customHeight="1" spans="2:25">
      <c r="B17" s="4" t="s">
        <v>205</v>
      </c>
      <c r="C17" s="3"/>
      <c r="D17" s="3"/>
      <c r="E17" s="3"/>
      <c r="F17" s="3"/>
      <c r="G17" s="6"/>
      <c r="H17" s="3"/>
      <c r="I17" s="3">
        <v>0.15</v>
      </c>
      <c r="J17" s="3"/>
      <c r="K17" s="3"/>
      <c r="L17" s="3"/>
      <c r="M17" s="3">
        <v>0.4</v>
      </c>
      <c r="N17" s="3"/>
      <c r="O17" s="3"/>
      <c r="Q17" s="4" t="s">
        <v>164</v>
      </c>
      <c r="R17" s="3"/>
      <c r="S17" s="3"/>
      <c r="T17" s="3"/>
      <c r="U17" s="6"/>
      <c r="V17" s="3"/>
      <c r="W17" s="3"/>
      <c r="X17" s="3">
        <v>0.18</v>
      </c>
      <c r="Y17" s="3"/>
    </row>
    <row r="18" customHeight="1" spans="2:25">
      <c r="B18" s="4" t="s">
        <v>206</v>
      </c>
      <c r="C18" s="3"/>
      <c r="D18" s="3"/>
      <c r="E18" s="3"/>
      <c r="F18" s="3"/>
      <c r="G18" s="6"/>
      <c r="H18" s="3"/>
      <c r="I18" s="3">
        <f>15%+25%</f>
        <v>0.4</v>
      </c>
      <c r="J18" s="3"/>
      <c r="K18" s="3"/>
      <c r="L18" s="3"/>
      <c r="M18" s="3">
        <v>0.4</v>
      </c>
      <c r="N18" s="3"/>
      <c r="O18" s="3"/>
      <c r="Q18" s="4" t="s">
        <v>142</v>
      </c>
      <c r="R18" s="3"/>
      <c r="S18" s="3"/>
      <c r="T18" s="3"/>
      <c r="U18" s="6"/>
      <c r="V18" s="3"/>
      <c r="W18" s="3"/>
      <c r="X18" s="3">
        <v>0.15</v>
      </c>
      <c r="Y18" s="3"/>
    </row>
    <row r="19" customHeight="1" spans="2:25">
      <c r="B19" s="4" t="s">
        <v>207</v>
      </c>
      <c r="C19" s="3"/>
      <c r="D19" s="3"/>
      <c r="E19" s="3"/>
      <c r="F19" s="3"/>
      <c r="G19" s="6"/>
      <c r="H19" s="3"/>
      <c r="I19" s="3"/>
      <c r="J19" s="3">
        <v>0.15</v>
      </c>
      <c r="K19" s="3"/>
      <c r="L19" s="3"/>
      <c r="M19" s="3"/>
      <c r="N19" s="3"/>
      <c r="O19" s="3"/>
      <c r="Q19" s="4" t="s">
        <v>208</v>
      </c>
      <c r="R19" s="3"/>
      <c r="S19" s="3"/>
      <c r="T19" s="3"/>
      <c r="U19" s="6"/>
      <c r="V19" s="3"/>
      <c r="W19" s="3"/>
      <c r="X19" s="3"/>
      <c r="Y19" s="3"/>
    </row>
    <row r="20" customHeight="1" spans="2:15">
      <c r="B20" s="4" t="s">
        <v>202</v>
      </c>
      <c r="C20" s="3"/>
      <c r="D20" s="3"/>
      <c r="E20" s="3"/>
      <c r="F20" s="3"/>
      <c r="G20" s="6">
        <v>600</v>
      </c>
      <c r="H20" s="3">
        <v>0.1</v>
      </c>
      <c r="I20" s="3"/>
      <c r="J20" s="3"/>
      <c r="K20" s="3">
        <f>IF(配装!$C$31&gt;3,10%,0)</f>
        <v>0.1</v>
      </c>
      <c r="L20" s="3"/>
      <c r="M20" s="3"/>
      <c r="N20" s="3"/>
      <c r="O20" s="3"/>
    </row>
    <row r="21" customHeight="1" spans="2:15">
      <c r="B21" s="4" t="s">
        <v>209</v>
      </c>
      <c r="C21" s="3"/>
      <c r="D21" s="3"/>
      <c r="E21" s="3"/>
      <c r="F21" s="3"/>
      <c r="G21" s="6">
        <v>1200</v>
      </c>
      <c r="H21" s="3"/>
      <c r="I21" s="3">
        <f>20%+24%</f>
        <v>0.44</v>
      </c>
      <c r="J21" s="3"/>
      <c r="K21" s="3">
        <v>0.25</v>
      </c>
      <c r="L21" s="3"/>
      <c r="M21" s="3"/>
      <c r="N21" s="3"/>
      <c r="O21" s="3"/>
    </row>
    <row r="22" customHeight="1" spans="2:15">
      <c r="B22" s="4" t="s">
        <v>210</v>
      </c>
      <c r="C22" s="3"/>
      <c r="D22" s="3"/>
      <c r="E22" s="3"/>
      <c r="F22" s="3"/>
      <c r="G22" s="6"/>
      <c r="H22" s="3"/>
      <c r="I22" s="3"/>
      <c r="J22" s="3">
        <v>0.16</v>
      </c>
      <c r="K22" s="3"/>
      <c r="L22" s="3"/>
      <c r="M22" s="3"/>
      <c r="N22" s="3"/>
      <c r="O22" s="3"/>
    </row>
    <row r="23" customHeight="1" spans="2:15">
      <c r="B23" s="4" t="s">
        <v>211</v>
      </c>
      <c r="C23" s="3"/>
      <c r="D23" s="3"/>
      <c r="E23" s="3"/>
      <c r="F23" s="3">
        <v>0.15</v>
      </c>
      <c r="G23" s="6"/>
      <c r="H23" s="3"/>
      <c r="I23" s="3"/>
      <c r="J23" s="3"/>
      <c r="K23" s="3"/>
      <c r="L23" s="3"/>
      <c r="M23" s="3"/>
      <c r="N23" s="3"/>
      <c r="O23" s="3"/>
    </row>
    <row r="24" customHeight="1" spans="2:15">
      <c r="B24" s="4" t="s">
        <v>212</v>
      </c>
      <c r="C24" s="3"/>
      <c r="D24" s="3"/>
      <c r="E24" s="3"/>
      <c r="F24" s="3"/>
      <c r="G24" s="6"/>
      <c r="H24" s="3"/>
      <c r="I24" s="3"/>
      <c r="J24" s="3"/>
      <c r="K24" s="3"/>
      <c r="L24" s="3">
        <v>0.16</v>
      </c>
      <c r="M24" s="3"/>
      <c r="N24" s="3"/>
      <c r="O24" s="3"/>
    </row>
    <row r="25" customHeight="1" spans="2:15">
      <c r="B25" s="4" t="s">
        <v>190</v>
      </c>
      <c r="C25" s="3"/>
      <c r="D25" s="3"/>
      <c r="E25" s="3"/>
      <c r="F25" s="3"/>
      <c r="G25" s="6"/>
      <c r="H25" s="3"/>
      <c r="I25" s="3"/>
      <c r="J25" s="3"/>
      <c r="K25" s="3"/>
      <c r="L25" s="3">
        <v>0.2</v>
      </c>
      <c r="M25" s="3"/>
      <c r="N25" s="3"/>
      <c r="O25" s="3"/>
    </row>
    <row r="26" customHeight="1" spans="2:15">
      <c r="B26" s="4" t="s">
        <v>213</v>
      </c>
      <c r="C26" s="3"/>
      <c r="D26" s="3">
        <v>0.085</v>
      </c>
      <c r="E26" s="3">
        <v>0.085</v>
      </c>
      <c r="F26" s="3"/>
      <c r="G26" s="6"/>
      <c r="H26" s="3"/>
      <c r="I26" s="3"/>
      <c r="J26" s="3"/>
      <c r="K26" s="3"/>
      <c r="L26" s="3"/>
      <c r="M26" s="3"/>
      <c r="N26" s="3"/>
      <c r="O26" s="3"/>
    </row>
    <row r="27" customHeight="1" spans="2:15">
      <c r="B27" s="4" t="s">
        <v>214</v>
      </c>
      <c r="C27" s="3"/>
      <c r="D27" s="3"/>
      <c r="E27" s="3"/>
      <c r="F27" s="3"/>
      <c r="G27" s="6"/>
      <c r="H27" s="3"/>
      <c r="I27" s="3">
        <v>0.25</v>
      </c>
      <c r="J27" s="3"/>
      <c r="K27" s="3"/>
      <c r="L27" s="3"/>
      <c r="M27" s="3"/>
      <c r="N27" s="3"/>
      <c r="O27" s="3"/>
    </row>
    <row r="28" customHeight="1" spans="2:15">
      <c r="B28" s="4" t="s">
        <v>215</v>
      </c>
      <c r="C28" s="3"/>
      <c r="D28" s="3">
        <v>0.1</v>
      </c>
      <c r="E28" s="3"/>
      <c r="F28" s="3"/>
      <c r="G28" s="6"/>
      <c r="H28" s="3"/>
      <c r="I28" s="3"/>
      <c r="J28" s="3"/>
      <c r="K28" s="3"/>
      <c r="L28" s="3"/>
      <c r="M28" s="3"/>
      <c r="N28" s="3"/>
      <c r="O28" s="3"/>
    </row>
    <row r="29" customHeight="1" spans="2:15">
      <c r="B29" s="4" t="s">
        <v>194</v>
      </c>
      <c r="C29" s="3"/>
      <c r="D29" s="3"/>
      <c r="E29" s="3"/>
      <c r="F29" s="3"/>
      <c r="G29" s="6"/>
      <c r="H29" s="3"/>
      <c r="I29" s="3">
        <v>0.2</v>
      </c>
      <c r="J29" s="3"/>
      <c r="K29" s="3"/>
      <c r="L29" s="3"/>
      <c r="M29" s="3"/>
      <c r="N29" s="3"/>
      <c r="O29" s="3"/>
    </row>
    <row r="30" customHeight="1" spans="2:15">
      <c r="B30" s="4" t="s">
        <v>216</v>
      </c>
      <c r="C30" s="3"/>
      <c r="D30" s="3"/>
      <c r="E30" s="3"/>
      <c r="F30" s="3"/>
      <c r="G30" s="6"/>
      <c r="H30" s="3"/>
      <c r="I30" s="3"/>
      <c r="J30" s="3">
        <v>0.1</v>
      </c>
      <c r="K30" s="3"/>
      <c r="L30" s="3"/>
      <c r="M30" s="3"/>
      <c r="N30" s="3"/>
      <c r="O30" s="3"/>
    </row>
    <row r="31" customHeight="1" spans="2:15">
      <c r="B31" s="4" t="s">
        <v>204</v>
      </c>
      <c r="C31" s="3"/>
      <c r="D31" s="3">
        <f>IF(配装!$C$33&gt;0,15%,0)</f>
        <v>0</v>
      </c>
      <c r="E31" s="3"/>
      <c r="F31" s="3"/>
      <c r="G31" s="6">
        <f>IF(配装!$C$33&gt;1,1.5,1)*1000</f>
        <v>1000</v>
      </c>
      <c r="H31" s="3"/>
      <c r="I31" s="3">
        <v>0.25</v>
      </c>
      <c r="J31" s="3"/>
      <c r="K31" s="3"/>
      <c r="L31" s="3"/>
      <c r="M31" s="3"/>
      <c r="N31" s="3"/>
      <c r="O31" s="3"/>
    </row>
    <row r="32" customHeight="1" spans="2:15">
      <c r="B32" s="4" t="s">
        <v>164</v>
      </c>
      <c r="C32" s="3"/>
      <c r="D32" s="3"/>
      <c r="E32" s="3"/>
      <c r="F32" s="3"/>
      <c r="G32" s="6"/>
      <c r="H32" s="3"/>
      <c r="I32" s="3">
        <v>0.18</v>
      </c>
      <c r="J32" s="3"/>
      <c r="K32" s="3"/>
      <c r="L32" s="3"/>
      <c r="M32" s="3"/>
      <c r="N32" s="3"/>
      <c r="O32" s="3">
        <v>0.12</v>
      </c>
    </row>
    <row r="33" customHeight="1" spans="2:15">
      <c r="B33" s="4" t="s">
        <v>217</v>
      </c>
      <c r="C33" s="3"/>
      <c r="D33" s="3"/>
      <c r="E33" s="3"/>
      <c r="F33" s="3"/>
      <c r="G33" s="6"/>
      <c r="H33" s="3"/>
      <c r="I33" s="3"/>
      <c r="J33" s="3"/>
      <c r="K33" s="3">
        <v>0.5</v>
      </c>
      <c r="L33" s="3"/>
      <c r="M33" s="3"/>
      <c r="N33" s="3"/>
      <c r="O33" s="3"/>
    </row>
    <row r="34" customHeight="1" spans="2:15">
      <c r="B34" s="4" t="s">
        <v>218</v>
      </c>
      <c r="C34" s="3"/>
      <c r="D34" s="3"/>
      <c r="E34" s="3"/>
      <c r="F34" s="3"/>
      <c r="G34" s="6"/>
      <c r="H34" s="3"/>
      <c r="I34" s="3">
        <v>0.2</v>
      </c>
      <c r="J34" s="3"/>
      <c r="K34" s="3"/>
      <c r="L34" s="3"/>
      <c r="M34" s="3"/>
      <c r="N34" s="3"/>
      <c r="O34" s="3"/>
    </row>
    <row r="35" customHeight="1" spans="2:15">
      <c r="B35" s="4" t="s">
        <v>127</v>
      </c>
      <c r="C35" s="3"/>
      <c r="D35" s="3"/>
      <c r="E35" s="3"/>
      <c r="F35" s="3"/>
      <c r="G35" s="6"/>
      <c r="H35" s="3"/>
      <c r="I35" s="3"/>
      <c r="J35" s="3"/>
      <c r="K35" s="3"/>
      <c r="L35" s="3"/>
      <c r="M35" s="3"/>
      <c r="N35" s="3"/>
      <c r="O35" s="3"/>
    </row>
    <row r="36" customHeight="1" spans="2:15">
      <c r="B36" s="4" t="s">
        <v>219</v>
      </c>
      <c r="C36" s="3"/>
      <c r="D36" s="3"/>
      <c r="E36" s="3"/>
      <c r="F36" s="3"/>
      <c r="G36" s="6"/>
      <c r="H36" s="3"/>
      <c r="I36" s="3">
        <v>0.2</v>
      </c>
      <c r="J36" s="3"/>
      <c r="K36" s="3"/>
      <c r="L36" s="3"/>
      <c r="M36" s="3"/>
      <c r="N36" s="3"/>
      <c r="O36" s="3"/>
    </row>
    <row r="37" customHeight="1" spans="2:15">
      <c r="B37" s="4" t="s">
        <v>220</v>
      </c>
      <c r="C37" s="3"/>
      <c r="D37" s="3"/>
      <c r="E37" s="3"/>
      <c r="F37" s="3"/>
      <c r="G37" s="6"/>
      <c r="H37" s="3">
        <v>0.075</v>
      </c>
      <c r="I37" s="3"/>
      <c r="J37" s="3"/>
      <c r="K37" s="3"/>
      <c r="L37" s="3"/>
      <c r="M37" s="3"/>
      <c r="N37" s="3"/>
      <c r="O37" s="3"/>
    </row>
    <row r="38" customHeight="1" spans="2:15">
      <c r="B38" s="4" t="s">
        <v>155</v>
      </c>
      <c r="C38" s="3"/>
      <c r="D38" s="3"/>
      <c r="E38" s="3"/>
      <c r="F38" s="3"/>
      <c r="G38" s="6"/>
      <c r="H38" s="3"/>
      <c r="I38" s="3">
        <v>0.151</v>
      </c>
      <c r="J38" s="3"/>
      <c r="K38" s="3"/>
      <c r="L38" s="3"/>
      <c r="M38" s="3"/>
      <c r="N38" s="3"/>
      <c r="O38" s="3"/>
    </row>
    <row r="39" customHeight="1" spans="2:15">
      <c r="B39" s="4" t="s">
        <v>221</v>
      </c>
      <c r="C39" s="3"/>
      <c r="D39" s="3"/>
      <c r="E39" s="3"/>
      <c r="F39" s="3"/>
      <c r="G39" s="6"/>
      <c r="H39" s="3">
        <v>0.02</v>
      </c>
      <c r="I39" s="3"/>
      <c r="J39" s="3"/>
      <c r="K39" s="3"/>
      <c r="L39" s="3"/>
      <c r="M39" s="3"/>
      <c r="N39" s="3"/>
      <c r="O39" s="3"/>
    </row>
    <row r="40" customHeight="1" spans="2:15">
      <c r="B40" s="4" t="s">
        <v>149</v>
      </c>
      <c r="C40" s="3"/>
      <c r="D40" s="3"/>
      <c r="E40" s="3"/>
      <c r="F40" s="3"/>
      <c r="G40" s="6"/>
      <c r="H40" s="3"/>
      <c r="I40" s="3">
        <v>0.24</v>
      </c>
      <c r="J40" s="3"/>
      <c r="K40" s="3"/>
      <c r="L40" s="3"/>
      <c r="M40" s="3"/>
      <c r="N40" s="3"/>
      <c r="O40" s="3"/>
    </row>
    <row r="41" customHeight="1" spans="2:15">
      <c r="B41" s="4" t="s">
        <v>132</v>
      </c>
      <c r="C41" s="3"/>
      <c r="D41" s="3"/>
      <c r="E41" s="3"/>
      <c r="F41" s="3"/>
      <c r="G41" s="6"/>
      <c r="H41" s="3"/>
      <c r="I41" s="3">
        <v>0.15</v>
      </c>
      <c r="J41" s="3"/>
      <c r="K41" s="3"/>
      <c r="L41" s="3"/>
      <c r="M41" s="3"/>
      <c r="N41" s="3"/>
      <c r="O41" s="3"/>
    </row>
    <row r="42" customHeight="1" spans="2:15">
      <c r="B42" s="4" t="s">
        <v>108</v>
      </c>
      <c r="C42" s="3"/>
      <c r="D42" s="3"/>
      <c r="E42" s="3">
        <v>0.2</v>
      </c>
      <c r="F42" s="3"/>
      <c r="G42" s="6"/>
      <c r="H42" s="3"/>
      <c r="I42" s="3"/>
      <c r="J42" s="3"/>
      <c r="K42" s="3"/>
      <c r="L42" s="3"/>
      <c r="M42" s="3"/>
      <c r="N42" s="3"/>
      <c r="O42" s="3"/>
    </row>
    <row r="43" customHeight="1" spans="2:15">
      <c r="B43" s="4" t="s">
        <v>142</v>
      </c>
      <c r="C43" s="3"/>
      <c r="D43" s="3"/>
      <c r="E43" s="3"/>
      <c r="F43" s="3"/>
      <c r="G43" s="6"/>
      <c r="H43" s="3"/>
      <c r="I43" s="3">
        <v>0.15</v>
      </c>
      <c r="J43" s="3"/>
      <c r="K43" s="3"/>
      <c r="L43" s="3"/>
      <c r="M43" s="3"/>
      <c r="N43" s="3"/>
      <c r="O43" s="3"/>
    </row>
    <row r="44" customHeight="1" spans="2:15">
      <c r="B44" s="4" t="s">
        <v>222</v>
      </c>
      <c r="C44" s="3"/>
      <c r="D44" s="3"/>
      <c r="E44" s="3"/>
      <c r="F44" s="3"/>
      <c r="G44" s="6"/>
      <c r="H44" s="3"/>
      <c r="I44" s="3"/>
      <c r="J44" s="3"/>
      <c r="K44" s="3"/>
      <c r="L44" s="3"/>
      <c r="M44" s="3"/>
      <c r="N44" s="3"/>
      <c r="O44" s="3">
        <v>0.075</v>
      </c>
    </row>
    <row r="45" customHeight="1" spans="2:15">
      <c r="B45" s="4" t="s">
        <v>223</v>
      </c>
      <c r="C45" s="3"/>
      <c r="D45" s="3"/>
      <c r="E45" s="3"/>
      <c r="F45" s="3"/>
      <c r="G45" s="6"/>
      <c r="H45" s="3"/>
      <c r="I45" s="3"/>
      <c r="J45" s="3"/>
      <c r="K45" s="3">
        <v>0.1</v>
      </c>
      <c r="L45" s="3"/>
      <c r="M45" s="3"/>
      <c r="N45" s="3"/>
      <c r="O45" s="3"/>
    </row>
    <row r="46" customHeight="1" spans="2:15">
      <c r="B46" s="4" t="s">
        <v>208</v>
      </c>
      <c r="C46" s="3"/>
      <c r="D46" s="3"/>
      <c r="E46" s="3"/>
      <c r="F46" s="3"/>
      <c r="G46" s="6"/>
      <c r="H46" s="3"/>
      <c r="I46" s="3"/>
      <c r="J46" s="3"/>
      <c r="K46" s="3"/>
      <c r="L46" s="3"/>
      <c r="M46" s="3"/>
      <c r="N46" s="3"/>
      <c r="O46" s="3"/>
    </row>
    <row r="47" customHeight="1" spans="2:15">
      <c r="B47" s="4"/>
      <c r="C47" s="3"/>
      <c r="D47" s="3"/>
      <c r="E47" s="3"/>
      <c r="F47" s="3"/>
      <c r="G47" s="6"/>
      <c r="H47" s="3"/>
      <c r="I47" s="3"/>
      <c r="J47" s="3"/>
      <c r="K47" s="3"/>
      <c r="L47" s="3"/>
      <c r="M47" s="3"/>
      <c r="N47" s="3"/>
      <c r="O47" s="3"/>
    </row>
    <row r="48" customHeight="1" spans="1:1">
      <c r="A48" s="6" t="s">
        <v>224</v>
      </c>
    </row>
    <row r="49" customHeight="1" spans="2:15">
      <c r="B49" s="4" t="s">
        <v>225</v>
      </c>
      <c r="C49" s="3"/>
      <c r="D49" s="3"/>
      <c r="E49" s="3"/>
      <c r="F49" s="3"/>
      <c r="G49" s="6"/>
      <c r="H49" s="3"/>
      <c r="I49" s="3"/>
      <c r="J49" s="3"/>
      <c r="K49" s="3">
        <v>1</v>
      </c>
      <c r="L49" s="3"/>
      <c r="M49" s="3"/>
      <c r="N49" s="3"/>
      <c r="O49" s="3"/>
    </row>
    <row r="50" customHeight="1" spans="2:15">
      <c r="B50" s="4" t="s">
        <v>226</v>
      </c>
      <c r="C50" s="3"/>
      <c r="D50" s="3"/>
      <c r="E50" s="3"/>
      <c r="F50" s="3"/>
      <c r="G50" s="6"/>
      <c r="H50" s="3"/>
      <c r="I50" s="3"/>
      <c r="J50" s="3"/>
      <c r="K50" s="3">
        <v>0.6</v>
      </c>
      <c r="L50" s="3"/>
      <c r="M50" s="3"/>
      <c r="N50" s="3"/>
      <c r="O50" s="3"/>
    </row>
    <row r="51" customHeight="1" spans="2:15">
      <c r="B51" s="4" t="s">
        <v>227</v>
      </c>
      <c r="C51" s="3"/>
      <c r="D51" s="3">
        <v>0.25</v>
      </c>
      <c r="E51" s="3"/>
      <c r="F51" s="3"/>
      <c r="G51" s="6"/>
      <c r="H51" s="3"/>
      <c r="I51" s="3"/>
      <c r="J51" s="3"/>
      <c r="K51" s="3"/>
      <c r="L51" s="3"/>
      <c r="M51" s="3"/>
      <c r="N51" s="3"/>
      <c r="O51" s="3"/>
    </row>
    <row r="52" customHeight="1" spans="2:15">
      <c r="B52" s="4" t="s">
        <v>228</v>
      </c>
      <c r="C52" s="3"/>
      <c r="D52" s="3">
        <v>0.16</v>
      </c>
      <c r="E52" s="3"/>
      <c r="F52" s="3"/>
      <c r="G52" s="6"/>
      <c r="H52" s="3"/>
      <c r="I52" s="3"/>
      <c r="J52" s="3"/>
      <c r="K52" s="3"/>
      <c r="L52" s="3"/>
      <c r="M52" s="3"/>
      <c r="N52" s="3"/>
      <c r="O52" s="3"/>
    </row>
    <row r="53" customHeight="1" spans="2:15">
      <c r="B53" s="4" t="s">
        <v>229</v>
      </c>
      <c r="C53" s="3"/>
      <c r="D53" s="3">
        <v>0.16</v>
      </c>
      <c r="E53" s="3"/>
      <c r="F53" s="3"/>
      <c r="G53" s="6"/>
      <c r="H53" s="3"/>
      <c r="I53" s="3"/>
      <c r="J53" s="3">
        <v>0.14</v>
      </c>
      <c r="K53" s="3"/>
      <c r="L53" s="3"/>
      <c r="M53" s="3"/>
      <c r="N53" s="3"/>
      <c r="O53" s="3"/>
    </row>
    <row r="54" customHeight="1" spans="2:15">
      <c r="B54" s="4" t="s">
        <v>230</v>
      </c>
      <c r="C54" s="3"/>
      <c r="D54" s="3">
        <v>0.16</v>
      </c>
      <c r="E54" s="3"/>
      <c r="F54" s="3"/>
      <c r="G54" s="6"/>
      <c r="H54" s="3"/>
      <c r="I54" s="3"/>
      <c r="J54" s="3">
        <v>0.14</v>
      </c>
      <c r="K54" s="3">
        <v>0.54</v>
      </c>
      <c r="L54" s="3"/>
      <c r="M54" s="3"/>
      <c r="N54" s="3"/>
      <c r="O54" s="3"/>
    </row>
    <row r="55" customHeight="1" spans="2:15">
      <c r="B55" s="4" t="s">
        <v>231</v>
      </c>
      <c r="C55" s="3"/>
      <c r="D55" s="3"/>
      <c r="E55" s="3"/>
      <c r="F55" s="3"/>
      <c r="G55" s="6"/>
      <c r="H55" s="3"/>
      <c r="I55" s="3">
        <v>0.225</v>
      </c>
      <c r="J55" s="3"/>
      <c r="K55" s="3"/>
      <c r="L55" s="3"/>
      <c r="M55" s="3"/>
      <c r="N55" s="3"/>
      <c r="O55" s="3"/>
    </row>
    <row r="56" customHeight="1" spans="2:15">
      <c r="B56" s="4" t="s">
        <v>232</v>
      </c>
      <c r="C56" s="3"/>
      <c r="D56" s="3">
        <v>0.25</v>
      </c>
      <c r="E56" s="3"/>
      <c r="F56" s="3"/>
      <c r="G56" s="6"/>
      <c r="H56" s="3"/>
      <c r="I56" s="3"/>
      <c r="J56" s="3"/>
      <c r="K56" s="3"/>
      <c r="L56" s="3"/>
      <c r="M56" s="3"/>
      <c r="N56" s="3"/>
      <c r="O56" s="3"/>
    </row>
    <row r="57" customHeight="1" spans="2:15">
      <c r="B57" s="4" t="s">
        <v>233</v>
      </c>
      <c r="C57" s="3"/>
      <c r="D57" s="3">
        <v>0.25</v>
      </c>
      <c r="E57" s="3"/>
      <c r="F57" s="3"/>
      <c r="G57" s="6"/>
      <c r="H57" s="3"/>
      <c r="I57" s="3">
        <v>0.225</v>
      </c>
      <c r="J57" s="3"/>
      <c r="K57" s="3"/>
      <c r="L57" s="3"/>
      <c r="M57" s="3"/>
      <c r="N57" s="3"/>
      <c r="O57" s="3"/>
    </row>
    <row r="58" customHeight="1" spans="2:15">
      <c r="B58" s="4" t="s">
        <v>234</v>
      </c>
      <c r="C58" s="3"/>
      <c r="D58" s="3"/>
      <c r="E58" s="3"/>
      <c r="F58" s="3"/>
      <c r="G58" s="6"/>
      <c r="H58" s="3"/>
      <c r="I58" s="3"/>
      <c r="J58" s="3">
        <v>0.25</v>
      </c>
      <c r="K58" s="3">
        <f>16%*6</f>
        <v>0.96</v>
      </c>
      <c r="L58" s="3"/>
      <c r="M58" s="3"/>
      <c r="N58" s="3"/>
      <c r="O58" s="3"/>
    </row>
    <row r="59" customHeight="1" spans="2:15">
      <c r="B59" s="4" t="s">
        <v>235</v>
      </c>
      <c r="C59" s="3"/>
      <c r="D59" s="3"/>
      <c r="E59" s="3"/>
      <c r="F59" s="3"/>
      <c r="G59" s="6"/>
      <c r="H59" s="3"/>
      <c r="I59" s="3"/>
      <c r="J59" s="3"/>
      <c r="K59" s="3"/>
      <c r="L59" s="3"/>
      <c r="M59" s="3">
        <f>IF(配装!$C$12&gt;0,36%,0)</f>
        <v>0</v>
      </c>
      <c r="N59" s="3"/>
      <c r="O59" s="3"/>
    </row>
    <row r="60" customHeight="1" spans="2:15">
      <c r="B60" s="4" t="s">
        <v>236</v>
      </c>
      <c r="C60" s="3"/>
      <c r="D60" s="3">
        <v>0.3</v>
      </c>
      <c r="E60" s="3"/>
      <c r="F60" s="3"/>
      <c r="G60" s="6"/>
      <c r="H60" s="3"/>
      <c r="I60" s="3"/>
      <c r="J60" s="3"/>
      <c r="K60" s="3"/>
      <c r="L60" s="3"/>
      <c r="M60" s="3">
        <f>IF(配装!$C$12&gt;0,36%,0)</f>
        <v>0</v>
      </c>
      <c r="N60" s="3"/>
      <c r="O60" s="3"/>
    </row>
    <row r="61" customHeight="1" spans="2:15">
      <c r="B61" s="4" t="s">
        <v>237</v>
      </c>
      <c r="C61" s="3"/>
      <c r="D61" s="3">
        <v>0.3</v>
      </c>
      <c r="E61" s="3"/>
      <c r="F61" s="3"/>
      <c r="G61" s="6"/>
      <c r="H61" s="3"/>
      <c r="I61" s="3">
        <v>0.3</v>
      </c>
      <c r="J61" s="3"/>
      <c r="K61" s="3"/>
      <c r="L61" s="3"/>
      <c r="M61" s="3">
        <f>IF(配装!$C$12&gt;0,36%,0)</f>
        <v>0</v>
      </c>
      <c r="N61" s="3"/>
      <c r="O61" s="3"/>
    </row>
    <row r="62" customHeight="1" spans="2:15">
      <c r="B62" s="4" t="s">
        <v>238</v>
      </c>
      <c r="C62" s="3"/>
      <c r="D62" s="3"/>
      <c r="E62" s="3"/>
      <c r="F62" s="3"/>
      <c r="G62" s="6"/>
      <c r="H62" s="3"/>
      <c r="I62" s="3"/>
      <c r="J62" s="3"/>
      <c r="K62" s="3">
        <f>IF(配装!$C$4&gt;3,40%,0)</f>
        <v>0</v>
      </c>
      <c r="L62" s="3"/>
      <c r="M62" s="3">
        <v>0.12</v>
      </c>
      <c r="N62" s="3"/>
      <c r="O62" s="3"/>
    </row>
    <row r="63" customHeight="1" spans="2:15">
      <c r="B63" s="4" t="s">
        <v>239</v>
      </c>
      <c r="C63" s="3"/>
      <c r="D63" s="3">
        <f>IF(配装!$C$3&gt;3,12%,0)</f>
        <v>0</v>
      </c>
      <c r="E63" s="3"/>
      <c r="F63" s="3"/>
      <c r="G63" s="6"/>
      <c r="H63" s="3"/>
      <c r="I63" s="3"/>
      <c r="J63" s="3"/>
      <c r="K63" s="3">
        <f>角色!$DO$3*0.3</f>
        <v>0</v>
      </c>
      <c r="L63" s="3"/>
      <c r="M63" s="3"/>
      <c r="N63" s="3"/>
      <c r="O63" s="3"/>
    </row>
    <row r="64" customHeight="1" spans="2:15">
      <c r="B64" s="4" t="s">
        <v>240</v>
      </c>
      <c r="C64" s="3"/>
      <c r="D64" s="3">
        <f>IF(配装!$C$3&gt;3,12%,0)</f>
        <v>0</v>
      </c>
      <c r="E64" s="3"/>
      <c r="F64" s="3"/>
      <c r="G64" s="6"/>
      <c r="H64" s="3"/>
      <c r="I64" s="3"/>
      <c r="J64" s="3"/>
      <c r="K64" s="3"/>
      <c r="L64" s="3"/>
      <c r="M64" s="3"/>
      <c r="N64" s="3"/>
      <c r="O64" s="3"/>
    </row>
    <row r="65" customHeight="1" spans="2:15">
      <c r="B65" s="4" t="s">
        <v>184</v>
      </c>
      <c r="C65" s="3"/>
      <c r="D65" s="3"/>
      <c r="E65" s="3"/>
      <c r="F65" s="3">
        <f>IF(配装!$C$16&gt;0,40%,25%)</f>
        <v>0.25</v>
      </c>
      <c r="G65" s="6">
        <v>600</v>
      </c>
      <c r="H65" s="3"/>
      <c r="I65" s="3">
        <f>IF(配装!$C$16&gt;0,30%,0)</f>
        <v>0</v>
      </c>
      <c r="J65" s="3"/>
      <c r="K65" s="3"/>
      <c r="L65" s="3"/>
      <c r="M65" s="3"/>
      <c r="N65" s="3"/>
      <c r="O65" s="3"/>
    </row>
    <row r="66" customHeight="1" spans="2:15">
      <c r="B66" s="4" t="s">
        <v>241</v>
      </c>
      <c r="C66" s="3"/>
      <c r="D66" s="3"/>
      <c r="E66" s="3"/>
      <c r="F66" s="3"/>
      <c r="G66" s="6"/>
      <c r="H66" s="3"/>
      <c r="I66" s="3">
        <v>1</v>
      </c>
      <c r="J66" s="3">
        <v>1</v>
      </c>
      <c r="K66" s="3">
        <v>0.6</v>
      </c>
      <c r="L66" s="3"/>
      <c r="M66" s="3"/>
      <c r="N66" s="3"/>
      <c r="O66" s="3"/>
    </row>
    <row r="67" customHeight="1" spans="2:15">
      <c r="B67" s="4" t="s">
        <v>242</v>
      </c>
      <c r="C67" s="3"/>
      <c r="D67" s="3"/>
      <c r="E67" s="3"/>
      <c r="F67" s="3"/>
      <c r="G67" s="6"/>
      <c r="H67" s="3"/>
      <c r="I67" s="3"/>
      <c r="J67" s="3"/>
      <c r="K67" s="3"/>
      <c r="L67" s="3"/>
      <c r="M67" s="3"/>
      <c r="N67" s="3"/>
      <c r="O67" s="3">
        <v>0.15</v>
      </c>
    </row>
    <row r="68" customHeight="1" spans="2:15">
      <c r="B68" s="4" t="s">
        <v>243</v>
      </c>
      <c r="C68" s="3"/>
      <c r="D68" s="3"/>
      <c r="E68" s="3"/>
      <c r="F68" s="3"/>
      <c r="G68" s="6"/>
      <c r="H68" s="3"/>
      <c r="I68" s="3"/>
      <c r="J68" s="3">
        <v>0.2</v>
      </c>
      <c r="K68" s="3"/>
      <c r="L68" s="3"/>
      <c r="M68" s="3"/>
      <c r="N68" s="3"/>
      <c r="O68" s="3"/>
    </row>
    <row r="69" customHeight="1" spans="2:15">
      <c r="B69" s="4" t="s">
        <v>244</v>
      </c>
      <c r="C69" s="3"/>
      <c r="D69" s="3"/>
      <c r="E69" s="3"/>
      <c r="F69" s="3"/>
      <c r="G69" s="6"/>
      <c r="H69" s="3"/>
      <c r="I69" s="3"/>
      <c r="J69" s="3">
        <v>0.2</v>
      </c>
      <c r="K69" s="3"/>
      <c r="L69" s="3"/>
      <c r="M69" s="3"/>
      <c r="N69" s="3"/>
      <c r="O69" s="3">
        <v>0.15</v>
      </c>
    </row>
    <row r="70" customHeight="1" spans="2:15">
      <c r="B70" s="4" t="s">
        <v>245</v>
      </c>
      <c r="C70" s="3"/>
      <c r="D70" s="3"/>
      <c r="E70" s="3"/>
      <c r="F70" s="3"/>
      <c r="G70" s="6"/>
      <c r="H70" s="3"/>
      <c r="I70" s="3"/>
      <c r="J70" s="3">
        <v>0.2</v>
      </c>
      <c r="K70" s="3">
        <v>1</v>
      </c>
      <c r="L70" s="3"/>
      <c r="M70" s="3"/>
      <c r="N70" s="3"/>
      <c r="O70" s="3">
        <v>0.15</v>
      </c>
    </row>
    <row r="71" customHeight="1" spans="2:15">
      <c r="B71" s="4" t="s">
        <v>246</v>
      </c>
      <c r="C71" s="3"/>
      <c r="D71" s="3"/>
      <c r="E71" s="3"/>
      <c r="F71" s="3"/>
      <c r="G71" s="6"/>
      <c r="H71" s="3"/>
      <c r="I71" s="3">
        <f>35%+12%</f>
        <v>0.47</v>
      </c>
      <c r="J71" s="3"/>
      <c r="K71" s="3"/>
      <c r="L71" s="3"/>
      <c r="M71" s="3"/>
      <c r="N71" s="3"/>
      <c r="O71" s="3"/>
    </row>
    <row r="72" customHeight="1" spans="2:15">
      <c r="B72" s="4" t="s">
        <v>247</v>
      </c>
      <c r="C72" s="3"/>
      <c r="D72" s="3"/>
      <c r="E72" s="3"/>
      <c r="F72" s="3"/>
      <c r="G72" s="6"/>
      <c r="H72" s="3"/>
      <c r="I72" s="3">
        <v>0.24</v>
      </c>
      <c r="J72" s="3"/>
      <c r="K72" s="3"/>
      <c r="L72" s="3"/>
      <c r="M72" s="3"/>
      <c r="N72" s="3"/>
      <c r="O72" s="3"/>
    </row>
    <row r="73" customHeight="1" spans="2:15">
      <c r="B73" s="4" t="s">
        <v>248</v>
      </c>
      <c r="C73" s="3"/>
      <c r="D73" s="3"/>
      <c r="E73" s="3"/>
      <c r="F73" s="3"/>
      <c r="G73" s="6"/>
      <c r="H73" s="3"/>
      <c r="I73" s="3">
        <v>0.3</v>
      </c>
      <c r="J73" s="3"/>
      <c r="K73" s="3"/>
      <c r="L73" s="3"/>
      <c r="M73" s="3"/>
      <c r="N73" s="3"/>
      <c r="O73" s="3"/>
    </row>
    <row r="74" customHeight="1" spans="2:15">
      <c r="B74" s="4" t="s">
        <v>249</v>
      </c>
      <c r="C74" s="3"/>
      <c r="D74" s="3"/>
      <c r="E74" s="3"/>
      <c r="F74" s="3"/>
      <c r="G74" s="6"/>
      <c r="H74" s="3"/>
      <c r="I74" s="3"/>
      <c r="J74" s="3"/>
      <c r="K74" s="3"/>
      <c r="L74" s="3"/>
      <c r="M74" s="3"/>
      <c r="N74" s="3"/>
      <c r="O74" s="3">
        <v>0.1</v>
      </c>
    </row>
    <row r="75" customHeight="1" spans="2:15">
      <c r="B75" s="4" t="s">
        <v>208</v>
      </c>
      <c r="C75" s="3"/>
      <c r="D75" s="3"/>
      <c r="E75" s="3"/>
      <c r="F75" s="3"/>
      <c r="G75" s="6"/>
      <c r="H75" s="3"/>
      <c r="I75" s="3"/>
      <c r="J75" s="3"/>
      <c r="K75" s="3"/>
      <c r="L75" s="3"/>
      <c r="M75" s="3"/>
      <c r="N75" s="3"/>
      <c r="O7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J6" sqref="J6"/>
    </sheetView>
  </sheetViews>
  <sheetFormatPr defaultColWidth="9.90740740740741" defaultRowHeight="34" customHeight="1"/>
  <cols>
    <col min="1" max="16382" width="11.8888888888889" style="75" customWidth="1"/>
    <col min="16383" max="16384" width="11.8888888888889" style="75"/>
  </cols>
  <sheetData>
    <row r="1" customHeight="1" spans="1:15">
      <c r="A1" s="76" t="s">
        <v>250</v>
      </c>
      <c r="B1" s="76"/>
      <c r="C1" s="76"/>
      <c r="D1" s="76"/>
      <c r="E1" s="76"/>
      <c r="F1" s="76"/>
      <c r="G1" s="76"/>
      <c r="H1" s="76"/>
      <c r="I1" s="76"/>
      <c r="J1" s="75" t="s">
        <v>251</v>
      </c>
      <c r="O1" s="78" t="str">
        <f>RIGHT(LEFT(云配队!F3,13),6)</f>
        <v>V1.1.3</v>
      </c>
    </row>
    <row r="2" customHeight="1" spans="1:13">
      <c r="A2" s="77" t="s">
        <v>252</v>
      </c>
      <c r="B2" s="77"/>
      <c r="C2" s="77"/>
      <c r="D2" s="77"/>
      <c r="E2" s="77"/>
      <c r="F2" s="77"/>
      <c r="G2" s="77"/>
      <c r="H2" s="77"/>
      <c r="I2" s="77"/>
      <c r="J2" s="79" t="s">
        <v>253</v>
      </c>
      <c r="K2" s="80" t="str">
        <f>"《zzz云配队》"&amp;$O$1</f>
        <v>《zzz云配队》V1.1.3</v>
      </c>
      <c r="L2" s="80"/>
      <c r="M2" s="80"/>
    </row>
    <row r="3" customHeight="1" spans="1:14">
      <c r="A3" s="77"/>
      <c r="B3" s="77"/>
      <c r="C3" s="77"/>
      <c r="D3" s="77"/>
      <c r="E3" s="77"/>
      <c r="F3" s="77"/>
      <c r="G3" s="77"/>
      <c r="H3" s="77"/>
      <c r="I3" s="77"/>
      <c r="J3" s="79" t="s">
        <v>254</v>
      </c>
      <c r="K3" s="79" t="s">
        <v>255</v>
      </c>
      <c r="L3" s="80"/>
      <c r="M3" s="80"/>
      <c r="N3" s="80"/>
    </row>
    <row r="4" customHeight="1" spans="1:14">
      <c r="A4" s="77"/>
      <c r="B4" s="77"/>
      <c r="C4" s="77"/>
      <c r="D4" s="77"/>
      <c r="E4" s="77"/>
      <c r="F4" s="77"/>
      <c r="G4" s="77"/>
      <c r="H4" s="77"/>
      <c r="I4" s="77"/>
      <c r="J4" s="79" t="s">
        <v>256</v>
      </c>
      <c r="K4" s="81" t="s">
        <v>257</v>
      </c>
      <c r="L4" s="80"/>
      <c r="M4" s="80"/>
      <c r="N4" s="80"/>
    </row>
    <row r="5" customHeight="1" spans="1:14">
      <c r="A5" s="77"/>
      <c r="B5" s="77"/>
      <c r="C5" s="77"/>
      <c r="D5" s="77"/>
      <c r="E5" s="77"/>
      <c r="F5" s="77"/>
      <c r="G5" s="77"/>
      <c r="H5" s="77"/>
      <c r="I5" s="77"/>
      <c r="J5" s="80" t="s">
        <v>258</v>
      </c>
      <c r="K5" s="80"/>
      <c r="L5" s="80"/>
      <c r="M5" s="80"/>
      <c r="N5" s="80"/>
    </row>
    <row r="6" customHeight="1" spans="1:14">
      <c r="A6" s="77"/>
      <c r="B6" s="77"/>
      <c r="C6" s="77"/>
      <c r="D6" s="77"/>
      <c r="E6" s="77"/>
      <c r="F6" s="77"/>
      <c r="G6" s="77"/>
      <c r="H6" s="77"/>
      <c r="I6" s="77"/>
      <c r="J6" s="80"/>
      <c r="K6" s="80"/>
      <c r="L6" s="80"/>
      <c r="M6" s="79"/>
      <c r="N6" s="79"/>
    </row>
    <row r="7" customHeight="1" spans="1:14">
      <c r="A7" s="77"/>
      <c r="B7" s="77"/>
      <c r="C7" s="77"/>
      <c r="D7" s="77"/>
      <c r="E7" s="77"/>
      <c r="F7" s="77"/>
      <c r="G7" s="77"/>
      <c r="H7" s="77"/>
      <c r="I7" s="77"/>
      <c r="J7" s="79" t="s">
        <v>253</v>
      </c>
      <c r="K7" s="80" t="str">
        <f>"《zzz云配队》"&amp;$O$1</f>
        <v>《zzz云配队》V1.1.3</v>
      </c>
      <c r="L7" s="79"/>
      <c r="M7" s="79"/>
      <c r="N7" s="79"/>
    </row>
    <row r="8" customHeight="1" spans="1:14">
      <c r="A8" s="77"/>
      <c r="B8" s="77"/>
      <c r="C8" s="77"/>
      <c r="D8" s="77"/>
      <c r="E8" s="77"/>
      <c r="F8" s="77"/>
      <c r="G8" s="77"/>
      <c r="H8" s="77"/>
      <c r="I8" s="77"/>
      <c r="J8" s="79" t="s">
        <v>254</v>
      </c>
      <c r="K8" s="79" t="s">
        <v>255</v>
      </c>
      <c r="L8" s="80"/>
      <c r="M8" s="80"/>
      <c r="N8" s="80"/>
    </row>
    <row r="9" customHeight="1" spans="1:14">
      <c r="A9" s="77"/>
      <c r="B9" s="77"/>
      <c r="C9" s="77"/>
      <c r="D9" s="77"/>
      <c r="E9" s="77"/>
      <c r="F9" s="77"/>
      <c r="G9" s="77"/>
      <c r="H9" s="77"/>
      <c r="I9" s="77"/>
      <c r="J9" s="79" t="s">
        <v>259</v>
      </c>
      <c r="K9" s="81" t="s">
        <v>260</v>
      </c>
      <c r="L9" s="80"/>
      <c r="M9" s="80"/>
      <c r="N9" s="80"/>
    </row>
    <row r="10" customHeight="1" spans="1:14">
      <c r="A10" s="77"/>
      <c r="B10" s="77"/>
      <c r="C10" s="77"/>
      <c r="D10" s="77"/>
      <c r="E10" s="77"/>
      <c r="F10" s="77"/>
      <c r="G10" s="77"/>
      <c r="H10" s="77"/>
      <c r="I10" s="77"/>
      <c r="J10" s="80" t="s">
        <v>258</v>
      </c>
      <c r="K10" s="80"/>
      <c r="L10" s="80"/>
      <c r="M10" s="80"/>
      <c r="N10" s="80"/>
    </row>
    <row r="11" customHeight="1" spans="1:14">
      <c r="A11" s="77"/>
      <c r="B11" s="77"/>
      <c r="C11" s="77"/>
      <c r="D11" s="77"/>
      <c r="E11" s="77"/>
      <c r="F11" s="77"/>
      <c r="G11" s="77"/>
      <c r="H11" s="77"/>
      <c r="I11" s="77"/>
      <c r="J11" s="80" t="s">
        <v>261</v>
      </c>
      <c r="K11" s="80"/>
      <c r="L11" s="80"/>
      <c r="M11" s="80"/>
      <c r="N11" s="80"/>
    </row>
    <row r="12" customHeight="1" spans="1:14">
      <c r="A12" s="77"/>
      <c r="B12" s="77"/>
      <c r="C12" s="77"/>
      <c r="D12" s="77"/>
      <c r="E12" s="77"/>
      <c r="F12" s="77"/>
      <c r="G12" s="77"/>
      <c r="H12" s="77"/>
      <c r="I12" s="77"/>
      <c r="J12" s="79" t="s">
        <v>253</v>
      </c>
      <c r="K12" s="80" t="str">
        <f>"《zzz云配队》"&amp;$O$1</f>
        <v>《zzz云配队》V1.1.3</v>
      </c>
      <c r="L12" s="80"/>
      <c r="M12" s="80"/>
      <c r="N12" s="80"/>
    </row>
    <row r="13" customHeight="1" spans="1:14">
      <c r="A13" s="77"/>
      <c r="B13" s="77"/>
      <c r="C13" s="77"/>
      <c r="D13" s="77"/>
      <c r="E13" s="77"/>
      <c r="F13" s="77"/>
      <c r="G13" s="77"/>
      <c r="H13" s="77"/>
      <c r="I13" s="77"/>
      <c r="J13" s="79" t="s">
        <v>254</v>
      </c>
      <c r="K13" s="79" t="s">
        <v>262</v>
      </c>
      <c r="L13" s="80"/>
      <c r="M13" s="80"/>
      <c r="N13" s="80"/>
    </row>
    <row r="14" customHeight="1" spans="1:14">
      <c r="A14" s="77"/>
      <c r="B14" s="77"/>
      <c r="C14" s="77"/>
      <c r="D14" s="77"/>
      <c r="E14" s="77"/>
      <c r="F14" s="77"/>
      <c r="G14" s="77"/>
      <c r="H14" s="77"/>
      <c r="I14" s="77"/>
      <c r="J14" s="79" t="s">
        <v>258</v>
      </c>
      <c r="K14" s="82"/>
      <c r="L14" s="80"/>
      <c r="M14" s="80"/>
      <c r="N14" s="80"/>
    </row>
  </sheetData>
  <sheetProtection password="C7C9" sheet="1" selectLockedCells="1" objects="1"/>
  <mergeCells count="2">
    <mergeCell ref="A1:I1"/>
    <mergeCell ref="A2:I14"/>
  </mergeCells>
  <hyperlinks>
    <hyperlink ref="K4" r:id="rId1" display="https://github.com/AmicBeam/ZzzCloudTeam"/>
    <hyperlink ref="K9" r:id="rId2" display="https://space.bilibili.com/9412490" tooltip="https://space.bilibili.com/9412490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2" sqref="B12"/>
    </sheetView>
  </sheetViews>
  <sheetFormatPr defaultColWidth="9.90740740740741" defaultRowHeight="44" customHeight="1"/>
  <cols>
    <col min="1" max="13" width="13.7777777777778" style="45" customWidth="1"/>
    <col min="14" max="14" width="13.7777777777778" style="45" hidden="1" customWidth="1"/>
    <col min="15" max="15" width="13.7777777777778" style="45" customWidth="1"/>
    <col min="16" max="16" width="13.7777777777778" style="45" hidden="1" customWidth="1"/>
    <col min="17" max="248" width="13.7777777777778" style="45" customWidth="1"/>
    <col min="249" max="249" width="13.7777777777778" style="45"/>
    <col min="250" max="16384" width="9.90740740740741" style="45"/>
  </cols>
  <sheetData>
    <row r="1" customHeight="1" spans="1:17">
      <c r="A1" s="45" t="s">
        <v>263</v>
      </c>
      <c r="B1" s="45" t="s">
        <v>264</v>
      </c>
      <c r="C1" s="45" t="s">
        <v>75</v>
      </c>
      <c r="D1" s="45" t="s">
        <v>129</v>
      </c>
      <c r="E1" s="45" t="s">
        <v>265</v>
      </c>
      <c r="F1" s="45" t="s">
        <v>266</v>
      </c>
      <c r="G1" s="45" t="s">
        <v>267</v>
      </c>
      <c r="H1" s="45" t="s">
        <v>268</v>
      </c>
      <c r="I1" s="45" t="s">
        <v>269</v>
      </c>
      <c r="J1" s="73" t="s">
        <v>270</v>
      </c>
      <c r="K1" s="73" t="s">
        <v>271</v>
      </c>
      <c r="L1" s="73" t="s">
        <v>272</v>
      </c>
      <c r="M1" s="73" t="s">
        <v>273</v>
      </c>
      <c r="N1" s="45" t="s">
        <v>274</v>
      </c>
      <c r="O1" s="73" t="s">
        <v>275</v>
      </c>
      <c r="P1" s="45" t="s">
        <v>276</v>
      </c>
      <c r="Q1" s="73" t="s">
        <v>277</v>
      </c>
    </row>
    <row r="2" customHeight="1" spans="1:17">
      <c r="A2" s="45" t="s">
        <v>278</v>
      </c>
      <c r="B2" s="45" t="s">
        <v>279</v>
      </c>
      <c r="C2" s="45">
        <v>8621</v>
      </c>
      <c r="D2" s="45">
        <v>117</v>
      </c>
      <c r="E2" s="3">
        <v>0.5</v>
      </c>
      <c r="F2" s="45">
        <v>873</v>
      </c>
      <c r="G2" s="45">
        <f>483*1.27</f>
        <v>613.41</v>
      </c>
      <c r="H2" s="45">
        <v>273</v>
      </c>
      <c r="I2" s="3">
        <v>0.17</v>
      </c>
      <c r="J2" s="45">
        <v>26</v>
      </c>
      <c r="K2" s="45">
        <f>C2*(1+E2)*F2%*0.48/J2</f>
        <v>2084.15990769231</v>
      </c>
      <c r="L2" s="45">
        <f>D2*G2%/J2</f>
        <v>27.60345</v>
      </c>
      <c r="M2" s="45">
        <f>H2*(1+I2)/J2</f>
        <v>12.285</v>
      </c>
      <c r="N2" s="45">
        <v>1032</v>
      </c>
      <c r="O2" s="74">
        <f>C2*(1+E2)*N2%*0.48</f>
        <v>64057.4784</v>
      </c>
      <c r="P2" s="45">
        <v>295</v>
      </c>
      <c r="Q2" s="45">
        <f>P2*(1+I2)</f>
        <v>345.15</v>
      </c>
    </row>
    <row r="3" customHeight="1" spans="1:17">
      <c r="A3" s="45" t="s">
        <v>280</v>
      </c>
      <c r="B3" s="45" t="s">
        <v>279</v>
      </c>
      <c r="C3" s="45">
        <v>8621</v>
      </c>
      <c r="D3" s="45">
        <v>117</v>
      </c>
      <c r="E3" s="3">
        <v>0.5</v>
      </c>
      <c r="F3" s="45">
        <v>999</v>
      </c>
      <c r="G3" s="45">
        <v>319.5</v>
      </c>
      <c r="H3" s="45">
        <f>412*1.9</f>
        <v>782.8</v>
      </c>
      <c r="I3" s="3">
        <v>0.17</v>
      </c>
      <c r="J3" s="45">
        <v>26</v>
      </c>
      <c r="K3" s="45">
        <f>C3*(1+E3)*F3%*0.48/J3</f>
        <v>2384.96649230769</v>
      </c>
      <c r="L3" s="45">
        <f>D3*G3%/J3</f>
        <v>14.3775</v>
      </c>
      <c r="M3" s="45">
        <f>H3*(1+I3)/J3</f>
        <v>35.226</v>
      </c>
      <c r="N3" s="45">
        <v>1033</v>
      </c>
      <c r="O3" s="74">
        <f>C3*(1+E3)*N3%*0.48</f>
        <v>64119.5496</v>
      </c>
      <c r="P3" s="45">
        <v>295</v>
      </c>
      <c r="Q3" s="45">
        <f>P3*(1+I3)</f>
        <v>345.15</v>
      </c>
    </row>
    <row r="4" customHeight="1" spans="1:17">
      <c r="A4" s="45" t="s">
        <v>281</v>
      </c>
      <c r="B4" s="45" t="s">
        <v>279</v>
      </c>
      <c r="C4" s="45">
        <v>8380</v>
      </c>
      <c r="D4" s="45">
        <v>103</v>
      </c>
      <c r="E4" s="3">
        <v>0.5</v>
      </c>
      <c r="F4" s="45">
        <v>960</v>
      </c>
      <c r="G4" s="45">
        <v>351</v>
      </c>
      <c r="H4" s="45">
        <v>300</v>
      </c>
      <c r="I4" s="3">
        <v>0.23</v>
      </c>
      <c r="J4" s="45">
        <v>20</v>
      </c>
      <c r="K4" s="45">
        <f>C4*(1+E4)*F4%*0.48/J4</f>
        <v>2896.128</v>
      </c>
      <c r="L4" s="45">
        <f>D4*G4%/J4</f>
        <v>18.0765</v>
      </c>
      <c r="M4" s="45">
        <f>H4*(1+I4)/J4</f>
        <v>18.45</v>
      </c>
      <c r="N4" s="45">
        <v>1198.5</v>
      </c>
      <c r="O4" s="74">
        <f>C4*(1+E4)*N4%*0.48</f>
        <v>72312.696</v>
      </c>
      <c r="P4" s="45">
        <v>343</v>
      </c>
      <c r="Q4" s="45">
        <f>P4*(1+I4)</f>
        <v>421.89</v>
      </c>
    </row>
    <row r="5" customHeight="1" spans="1:17">
      <c r="A5" s="45" t="s">
        <v>282</v>
      </c>
      <c r="B5" s="45" t="s">
        <v>279</v>
      </c>
      <c r="C5" s="45">
        <v>8863</v>
      </c>
      <c r="D5" s="45">
        <v>103</v>
      </c>
      <c r="E5" s="3">
        <v>0.5</v>
      </c>
      <c r="F5" s="45">
        <f>1440*1.36</f>
        <v>1958.4</v>
      </c>
      <c r="G5" s="45">
        <v>526.5</v>
      </c>
      <c r="H5" s="45">
        <v>450</v>
      </c>
      <c r="I5" s="3">
        <v>0.1</v>
      </c>
      <c r="J5" s="45">
        <v>30</v>
      </c>
      <c r="K5" s="45">
        <f>C5*(1+E5)*F5%*0.48/J5</f>
        <v>4165.751808</v>
      </c>
      <c r="L5" s="45">
        <f t="shared" ref="L5:L15" si="0">D5*G5%/J5</f>
        <v>18.0765</v>
      </c>
      <c r="M5" s="45">
        <f t="shared" ref="M5:M15" si="1">H5*(1+I5)/J5</f>
        <v>16.5</v>
      </c>
      <c r="N5" s="45">
        <v>1129.5</v>
      </c>
      <c r="O5" s="74">
        <f>C5*(1+E5)*N5%*0.48</f>
        <v>72077.4612</v>
      </c>
      <c r="P5" s="45">
        <v>323</v>
      </c>
      <c r="Q5" s="45">
        <f t="shared" ref="Q5:Q15" si="2">P5*(1+I5)</f>
        <v>355.3</v>
      </c>
    </row>
    <row r="6" customHeight="1" spans="1:17">
      <c r="A6" s="45" t="s">
        <v>283</v>
      </c>
      <c r="B6" s="45" t="s">
        <v>279</v>
      </c>
      <c r="C6" s="45">
        <v>8863</v>
      </c>
      <c r="D6" s="45">
        <v>103</v>
      </c>
      <c r="E6" s="3">
        <v>0.5</v>
      </c>
      <c r="F6" s="45">
        <f>277*3.75</f>
        <v>1038.75</v>
      </c>
      <c r="G6" s="45">
        <f>101*2.875</f>
        <v>290.375</v>
      </c>
      <c r="H6" s="45">
        <f>130*2.875</f>
        <v>373.75</v>
      </c>
      <c r="I6" s="3">
        <v>0.1</v>
      </c>
      <c r="J6" s="45">
        <v>26</v>
      </c>
      <c r="K6" s="45">
        <f t="shared" ref="K6:K21" si="3">C6*(1+E6)*F6%*0.48/J6</f>
        <v>2549.47603846154</v>
      </c>
      <c r="L6" s="45">
        <f t="shared" si="0"/>
        <v>11.5033173076923</v>
      </c>
      <c r="M6" s="45">
        <f t="shared" si="1"/>
        <v>15.8125</v>
      </c>
      <c r="N6" s="45">
        <f>1251*1.35</f>
        <v>1688.85</v>
      </c>
      <c r="O6" s="74">
        <f t="shared" ref="O6:O21" si="4">C6*(1+E6)*N6%*0.48</f>
        <v>107771.59836</v>
      </c>
      <c r="P6" s="45">
        <v>358</v>
      </c>
      <c r="Q6" s="45">
        <f t="shared" si="2"/>
        <v>393.8</v>
      </c>
    </row>
    <row r="7" customHeight="1" spans="1:17">
      <c r="A7" s="45" t="s">
        <v>284</v>
      </c>
      <c r="B7" s="45" t="s">
        <v>279</v>
      </c>
      <c r="C7" s="45">
        <v>8863</v>
      </c>
      <c r="D7" s="45">
        <v>103</v>
      </c>
      <c r="E7" s="3">
        <v>0.5</v>
      </c>
      <c r="F7" s="45">
        <v>864</v>
      </c>
      <c r="G7" s="45">
        <v>316.5</v>
      </c>
      <c r="H7" s="45">
        <v>270</v>
      </c>
      <c r="I7" s="3">
        <v>0.1</v>
      </c>
      <c r="J7" s="45">
        <v>18</v>
      </c>
      <c r="K7" s="45">
        <f t="shared" si="3"/>
        <v>3063.0528</v>
      </c>
      <c r="L7" s="45">
        <f t="shared" si="0"/>
        <v>18.1108333333333</v>
      </c>
      <c r="M7" s="45">
        <f t="shared" si="1"/>
        <v>16.5</v>
      </c>
      <c r="N7" s="45">
        <f>997.5*1.4</f>
        <v>1396.5</v>
      </c>
      <c r="O7" s="74">
        <f t="shared" si="4"/>
        <v>89115.6924</v>
      </c>
      <c r="P7" s="45">
        <v>285</v>
      </c>
      <c r="Q7" s="45">
        <f t="shared" si="2"/>
        <v>313.5</v>
      </c>
    </row>
    <row r="8" customHeight="1" spans="1:17">
      <c r="A8" s="45" t="s">
        <v>285</v>
      </c>
      <c r="B8" s="45" t="s">
        <v>279</v>
      </c>
      <c r="C8" s="45">
        <v>8863</v>
      </c>
      <c r="D8" s="45">
        <v>103</v>
      </c>
      <c r="E8" s="3">
        <v>0.5</v>
      </c>
      <c r="F8" s="45">
        <v>1215</v>
      </c>
      <c r="G8" s="45">
        <v>0</v>
      </c>
      <c r="H8" s="45">
        <v>330</v>
      </c>
      <c r="I8" s="3">
        <v>0.1</v>
      </c>
      <c r="J8" s="45">
        <v>22</v>
      </c>
      <c r="K8" s="45">
        <f t="shared" si="3"/>
        <v>3524.25109090909</v>
      </c>
      <c r="L8" s="45">
        <f t="shared" si="0"/>
        <v>0</v>
      </c>
      <c r="M8" s="45">
        <f t="shared" si="1"/>
        <v>16.5</v>
      </c>
      <c r="N8" s="45">
        <f>1260*1.45</f>
        <v>1827</v>
      </c>
      <c r="O8" s="74">
        <f t="shared" si="4"/>
        <v>116587.4472</v>
      </c>
      <c r="P8" s="45">
        <v>360</v>
      </c>
      <c r="Q8" s="45">
        <f t="shared" si="2"/>
        <v>396</v>
      </c>
    </row>
    <row r="9" customHeight="1" spans="1:17">
      <c r="A9" s="45" t="s">
        <v>286</v>
      </c>
      <c r="B9" s="45" t="s">
        <v>279</v>
      </c>
      <c r="C9" s="45">
        <v>8057</v>
      </c>
      <c r="D9" s="45">
        <v>99</v>
      </c>
      <c r="E9" s="3">
        <v>0.5</v>
      </c>
      <c r="F9" s="45">
        <f>192+384</f>
        <v>576</v>
      </c>
      <c r="G9" s="45">
        <f>70+140</f>
        <v>210</v>
      </c>
      <c r="H9" s="45">
        <v>180</v>
      </c>
      <c r="I9" s="3">
        <v>0.32</v>
      </c>
      <c r="J9" s="45">
        <v>12</v>
      </c>
      <c r="K9" s="45">
        <f t="shared" si="3"/>
        <v>2784.4992</v>
      </c>
      <c r="L9" s="45">
        <f t="shared" si="0"/>
        <v>17.325</v>
      </c>
      <c r="M9" s="45">
        <f t="shared" si="1"/>
        <v>19.8</v>
      </c>
      <c r="N9" s="45">
        <f>691.5+192+384</f>
        <v>1267.5</v>
      </c>
      <c r="O9" s="74">
        <f t="shared" si="4"/>
        <v>73528.182</v>
      </c>
      <c r="P9" s="45">
        <f>190*2+180</f>
        <v>560</v>
      </c>
      <c r="Q9" s="45">
        <f t="shared" si="2"/>
        <v>739.2</v>
      </c>
    </row>
    <row r="10" customHeight="1" spans="1:17">
      <c r="A10" s="45" t="s">
        <v>287</v>
      </c>
      <c r="B10" s="45" t="s">
        <v>279</v>
      </c>
      <c r="C10" s="45">
        <v>8541</v>
      </c>
      <c r="D10" s="45">
        <v>99</v>
      </c>
      <c r="E10" s="3">
        <v>0.5</v>
      </c>
      <c r="F10" s="45">
        <v>864</v>
      </c>
      <c r="G10" s="45">
        <v>316.5</v>
      </c>
      <c r="H10" s="45">
        <v>270</v>
      </c>
      <c r="I10" s="3">
        <v>0.19</v>
      </c>
      <c r="J10" s="45">
        <v>18</v>
      </c>
      <c r="K10" s="45">
        <f t="shared" si="3"/>
        <v>2951.7696</v>
      </c>
      <c r="L10" s="45">
        <f t="shared" si="0"/>
        <v>17.4075</v>
      </c>
      <c r="M10" s="45">
        <f t="shared" si="1"/>
        <v>17.85</v>
      </c>
      <c r="N10" s="45">
        <v>814.5</v>
      </c>
      <c r="O10" s="74">
        <f t="shared" si="4"/>
        <v>50087.8404</v>
      </c>
      <c r="P10" s="45">
        <f>233*2</f>
        <v>466</v>
      </c>
      <c r="Q10" s="45">
        <f t="shared" si="2"/>
        <v>554.54</v>
      </c>
    </row>
    <row r="11" customHeight="1" spans="1:17">
      <c r="A11" s="45" t="s">
        <v>288</v>
      </c>
      <c r="B11" s="45" t="s">
        <v>279</v>
      </c>
      <c r="C11" s="45">
        <v>8057</v>
      </c>
      <c r="D11" s="45">
        <v>99</v>
      </c>
      <c r="E11" s="3">
        <v>0.5</v>
      </c>
      <c r="F11" s="45">
        <v>768</v>
      </c>
      <c r="G11" s="45">
        <v>280.5</v>
      </c>
      <c r="H11" s="45">
        <v>240</v>
      </c>
      <c r="I11" s="3">
        <v>0.32</v>
      </c>
      <c r="J11" s="45">
        <v>16</v>
      </c>
      <c r="K11" s="45">
        <f t="shared" si="3"/>
        <v>2784.4992</v>
      </c>
      <c r="L11" s="45">
        <f t="shared" si="0"/>
        <v>17.3559375</v>
      </c>
      <c r="M11" s="45">
        <f t="shared" si="1"/>
        <v>19.8</v>
      </c>
      <c r="N11" s="45">
        <v>1032</v>
      </c>
      <c r="O11" s="74">
        <f t="shared" si="4"/>
        <v>59866.7328</v>
      </c>
      <c r="P11" s="45">
        <f>295*2</f>
        <v>590</v>
      </c>
      <c r="Q11" s="45">
        <f t="shared" si="2"/>
        <v>778.8</v>
      </c>
    </row>
    <row r="12" customHeight="1" spans="1:17">
      <c r="A12" s="45" t="s">
        <v>289</v>
      </c>
      <c r="B12" s="45" t="s">
        <v>279</v>
      </c>
      <c r="C12" s="45">
        <v>8057</v>
      </c>
      <c r="D12" s="45">
        <v>99</v>
      </c>
      <c r="E12" s="3">
        <v>0.5</v>
      </c>
      <c r="F12" s="45">
        <v>1344</v>
      </c>
      <c r="G12" s="45">
        <v>492</v>
      </c>
      <c r="H12" s="45">
        <v>420</v>
      </c>
      <c r="I12" s="3">
        <v>0.32</v>
      </c>
      <c r="J12" s="45">
        <v>28</v>
      </c>
      <c r="K12" s="45">
        <f t="shared" si="3"/>
        <v>2784.4992</v>
      </c>
      <c r="L12" s="45">
        <f t="shared" si="0"/>
        <v>17.3957142857143</v>
      </c>
      <c r="M12" s="45">
        <f t="shared" si="1"/>
        <v>19.8</v>
      </c>
      <c r="N12" s="45">
        <v>979.5</v>
      </c>
      <c r="O12" s="74">
        <f t="shared" si="4"/>
        <v>56821.1868</v>
      </c>
      <c r="P12" s="45">
        <f>280*2</f>
        <v>560</v>
      </c>
      <c r="Q12" s="45">
        <f t="shared" si="2"/>
        <v>739.2</v>
      </c>
    </row>
    <row r="13" customHeight="1" spans="1:17">
      <c r="A13" s="45" t="s">
        <v>290</v>
      </c>
      <c r="B13" s="45" t="s">
        <v>279</v>
      </c>
      <c r="C13" s="45">
        <v>8057</v>
      </c>
      <c r="D13" s="45">
        <v>103</v>
      </c>
      <c r="E13" s="3">
        <v>0.5</v>
      </c>
      <c r="F13" s="45">
        <f>864*0.7+1728*0.15</f>
        <v>864</v>
      </c>
      <c r="G13" s="45">
        <f>316.5*0.7+631.5*0.15</f>
        <v>316.275</v>
      </c>
      <c r="H13" s="45">
        <f>270*0.7+333*0.15</f>
        <v>238.95</v>
      </c>
      <c r="I13" s="3">
        <v>0.23</v>
      </c>
      <c r="J13" s="45">
        <v>18</v>
      </c>
      <c r="K13" s="45">
        <f t="shared" si="3"/>
        <v>2784.4992</v>
      </c>
      <c r="L13" s="45">
        <f t="shared" si="0"/>
        <v>18.0979583333333</v>
      </c>
      <c r="M13" s="45">
        <f t="shared" si="1"/>
        <v>16.32825</v>
      </c>
      <c r="N13" s="45">
        <v>1164</v>
      </c>
      <c r="O13" s="74">
        <f t="shared" si="4"/>
        <v>67524.1056</v>
      </c>
      <c r="P13" s="45">
        <f>540*2</f>
        <v>1080</v>
      </c>
      <c r="Q13" s="45">
        <f t="shared" si="2"/>
        <v>1328.4</v>
      </c>
    </row>
    <row r="14" customHeight="1" spans="1:17">
      <c r="A14" s="45" t="s">
        <v>291</v>
      </c>
      <c r="B14" s="45" t="s">
        <v>292</v>
      </c>
      <c r="C14" s="45">
        <v>6570</v>
      </c>
      <c r="D14" s="45">
        <v>94</v>
      </c>
      <c r="E14" s="3">
        <v>0.5</v>
      </c>
      <c r="F14" s="45">
        <f>638.4*1.8</f>
        <v>1149.12</v>
      </c>
      <c r="G14" s="45">
        <v>533.9</v>
      </c>
      <c r="H14" s="45">
        <v>360</v>
      </c>
      <c r="I14" s="3">
        <v>0</v>
      </c>
      <c r="J14" s="45">
        <v>24</v>
      </c>
      <c r="K14" s="45">
        <f>C14*(1+E14)*F14%*0.48/J14</f>
        <v>2264.91552</v>
      </c>
      <c r="L14" s="45">
        <f>D14*G14%/J14</f>
        <v>20.9110833333333</v>
      </c>
      <c r="M14" s="45">
        <f>H14*(1+I14)/J14</f>
        <v>15</v>
      </c>
      <c r="O14" s="74">
        <f>C14*(1+E14)*N14%*0.48</f>
        <v>0</v>
      </c>
      <c r="Q14" s="45">
        <f>P14*(1+I14)</f>
        <v>0</v>
      </c>
    </row>
    <row r="15" customHeight="1" spans="1:17">
      <c r="A15" s="45" t="s">
        <v>293</v>
      </c>
      <c r="B15" s="45" t="s">
        <v>292</v>
      </c>
      <c r="C15" s="45">
        <v>5825</v>
      </c>
      <c r="D15" s="45">
        <v>100</v>
      </c>
      <c r="E15" s="3">
        <v>0.5</v>
      </c>
      <c r="F15" s="45">
        <v>0</v>
      </c>
      <c r="G15" s="45">
        <v>0</v>
      </c>
      <c r="H15" s="45">
        <v>0</v>
      </c>
      <c r="I15" s="3">
        <v>0</v>
      </c>
      <c r="J15" s="45">
        <v>24</v>
      </c>
      <c r="K15" s="45">
        <f>C15*(1+E15)*F15%*0.48/J15</f>
        <v>0</v>
      </c>
      <c r="L15" s="45">
        <f>D15*G15%/J15</f>
        <v>0</v>
      </c>
      <c r="M15" s="45">
        <f>H15*(1+I15)/J15</f>
        <v>0</v>
      </c>
      <c r="N15" s="45">
        <v>163.4</v>
      </c>
      <c r="O15" s="74">
        <f>C15*(1+E15)*N15%*0.48</f>
        <v>6852.996</v>
      </c>
      <c r="P15" s="45">
        <v>37</v>
      </c>
      <c r="Q15" s="45">
        <f>P15*(1+I15)</f>
        <v>37</v>
      </c>
    </row>
    <row r="16" customHeight="1" spans="1:17">
      <c r="A16" s="45" t="s">
        <v>294</v>
      </c>
      <c r="B16" s="45" t="s">
        <v>292</v>
      </c>
      <c r="C16" s="45">
        <v>6570</v>
      </c>
      <c r="D16" s="45">
        <v>94</v>
      </c>
      <c r="E16" s="3">
        <v>0.5</v>
      </c>
      <c r="F16" s="45">
        <v>760</v>
      </c>
      <c r="G16" s="45">
        <v>444.6</v>
      </c>
      <c r="H16" s="45">
        <v>300</v>
      </c>
      <c r="I16" s="3">
        <v>0</v>
      </c>
      <c r="J16" s="45">
        <v>20</v>
      </c>
      <c r="K16" s="45">
        <f>C16*(1+E16)*F16%*0.48/J16</f>
        <v>1797.552</v>
      </c>
      <c r="L16" s="45">
        <f>D16*G16%/J16</f>
        <v>20.8962</v>
      </c>
      <c r="M16" s="45">
        <f>H16*(1+I16)/J16</f>
        <v>15</v>
      </c>
      <c r="N16" s="45">
        <f>1297.7*1.4</f>
        <v>1816.78</v>
      </c>
      <c r="O16" s="74">
        <f>C16*(1+E16)*N16%*0.48</f>
        <v>85940.96112</v>
      </c>
      <c r="P16" s="45">
        <v>293</v>
      </c>
      <c r="Q16" s="45">
        <f>P16*(1+I16)</f>
        <v>293</v>
      </c>
    </row>
    <row r="17" customHeight="1" spans="1:17">
      <c r="A17" s="45" t="s">
        <v>295</v>
      </c>
      <c r="B17" s="45" t="s">
        <v>292</v>
      </c>
      <c r="C17" s="45">
        <v>6198</v>
      </c>
      <c r="D17" s="45">
        <v>94</v>
      </c>
      <c r="E17" s="3">
        <v>0.5</v>
      </c>
      <c r="F17" s="45">
        <f>8.4*140*1.27*0.6</f>
        <v>896.112</v>
      </c>
      <c r="G17" s="45">
        <f>4.9*140*1.27*0.6</f>
        <v>522.732</v>
      </c>
      <c r="H17" s="45">
        <f>330*1.4*1.27*0.6</f>
        <v>352.044</v>
      </c>
      <c r="I17" s="3">
        <v>0.12</v>
      </c>
      <c r="J17" s="45">
        <v>22</v>
      </c>
      <c r="K17" s="45">
        <f t="shared" ref="K17:K24" si="5">C17*(1+E17)*F17%*0.48/J17</f>
        <v>1817.70616669091</v>
      </c>
      <c r="L17" s="45">
        <f t="shared" ref="L17:L24" si="6">D17*G17%/J17</f>
        <v>22.3349127272727</v>
      </c>
      <c r="M17" s="45">
        <f t="shared" ref="M17:M24" si="7">H17*(1+I17)/J17</f>
        <v>17.92224</v>
      </c>
      <c r="O17" s="74">
        <f t="shared" ref="O17:O24" si="8">C17*(1+E17)*N17%*0.48</f>
        <v>0</v>
      </c>
      <c r="Q17" s="45">
        <f t="shared" ref="Q17:Q24" si="9">P17*(1+I17)</f>
        <v>0</v>
      </c>
    </row>
    <row r="18" customHeight="1" spans="1:17">
      <c r="A18" s="45" t="s">
        <v>296</v>
      </c>
      <c r="B18" s="45" t="s">
        <v>292</v>
      </c>
      <c r="C18" s="45">
        <v>6570</v>
      </c>
      <c r="D18" s="45">
        <v>94</v>
      </c>
      <c r="E18" s="3">
        <v>0.5</v>
      </c>
      <c r="F18" s="45">
        <f>912*1.6</f>
        <v>1459.2</v>
      </c>
      <c r="G18" s="45">
        <v>533.9</v>
      </c>
      <c r="H18" s="45">
        <v>360</v>
      </c>
      <c r="I18" s="3">
        <v>0</v>
      </c>
      <c r="J18" s="45">
        <v>24</v>
      </c>
      <c r="K18" s="45">
        <f t="shared" si="5"/>
        <v>2876.0832</v>
      </c>
      <c r="L18" s="45">
        <f t="shared" si="6"/>
        <v>20.9110833333333</v>
      </c>
      <c r="M18" s="45">
        <f t="shared" si="7"/>
        <v>15</v>
      </c>
      <c r="O18" s="74">
        <f t="shared" si="8"/>
        <v>0</v>
      </c>
      <c r="Q18" s="45">
        <f t="shared" si="9"/>
        <v>0</v>
      </c>
    </row>
    <row r="19" customHeight="1" spans="1:17">
      <c r="A19" s="45" t="s">
        <v>297</v>
      </c>
      <c r="B19" s="45" t="s">
        <v>292</v>
      </c>
      <c r="C19" s="45">
        <v>5826</v>
      </c>
      <c r="D19" s="45">
        <v>112</v>
      </c>
      <c r="E19" s="3">
        <v>0.5</v>
      </c>
      <c r="F19" s="45">
        <v>613.7</v>
      </c>
      <c r="G19" s="45">
        <f>359.1*1.18</f>
        <v>423.738</v>
      </c>
      <c r="H19" s="45">
        <v>242</v>
      </c>
      <c r="I19" s="3">
        <v>-0.12</v>
      </c>
      <c r="J19" s="45">
        <v>14</v>
      </c>
      <c r="K19" s="45">
        <f t="shared" si="5"/>
        <v>1838.78547428571</v>
      </c>
      <c r="L19" s="45">
        <f t="shared" si="6"/>
        <v>33.89904</v>
      </c>
      <c r="M19" s="45">
        <f t="shared" si="7"/>
        <v>15.2114285714286</v>
      </c>
      <c r="O19" s="74">
        <f t="shared" si="8"/>
        <v>0</v>
      </c>
      <c r="Q19" s="45">
        <f t="shared" si="9"/>
        <v>0</v>
      </c>
    </row>
    <row r="20" customHeight="1" spans="1:17">
      <c r="A20" s="45" t="s">
        <v>298</v>
      </c>
      <c r="B20" s="45" t="s">
        <v>292</v>
      </c>
      <c r="C20" s="45">
        <v>6570</v>
      </c>
      <c r="D20" s="45">
        <v>94</v>
      </c>
      <c r="E20" s="3">
        <v>0.5</v>
      </c>
      <c r="F20" s="45">
        <v>608</v>
      </c>
      <c r="G20" s="45">
        <v>355.3</v>
      </c>
      <c r="H20" s="45">
        <v>240</v>
      </c>
      <c r="I20" s="3">
        <v>0</v>
      </c>
      <c r="J20" s="45">
        <v>16</v>
      </c>
      <c r="K20" s="45">
        <f t="shared" si="5"/>
        <v>1797.552</v>
      </c>
      <c r="L20" s="45">
        <f t="shared" si="6"/>
        <v>20.873875</v>
      </c>
      <c r="M20" s="45">
        <f t="shared" si="7"/>
        <v>15</v>
      </c>
      <c r="N20" s="45">
        <f>1662.5*1.6</f>
        <v>2660</v>
      </c>
      <c r="O20" s="74">
        <f t="shared" si="8"/>
        <v>125828.64</v>
      </c>
      <c r="P20" s="45">
        <v>375</v>
      </c>
      <c r="Q20" s="45">
        <f t="shared" si="9"/>
        <v>375</v>
      </c>
    </row>
    <row r="21" customHeight="1" spans="1:17">
      <c r="A21" s="45" t="s">
        <v>299</v>
      </c>
      <c r="B21" s="45" t="s">
        <v>292</v>
      </c>
      <c r="C21" s="45">
        <v>6198</v>
      </c>
      <c r="D21" s="45">
        <v>90</v>
      </c>
      <c r="E21" s="3">
        <v>0.5</v>
      </c>
      <c r="F21" s="45">
        <v>877.8</v>
      </c>
      <c r="G21" s="45">
        <v>513</v>
      </c>
      <c r="H21" s="45">
        <v>346</v>
      </c>
      <c r="I21" s="3">
        <v>0.2</v>
      </c>
      <c r="J21" s="45">
        <v>20</v>
      </c>
      <c r="K21" s="45">
        <f t="shared" si="5"/>
        <v>1958.617584</v>
      </c>
      <c r="L21" s="45">
        <f t="shared" si="6"/>
        <v>23.085</v>
      </c>
      <c r="M21" s="45">
        <f t="shared" si="7"/>
        <v>20.76</v>
      </c>
      <c r="N21" s="45">
        <v>1818.3</v>
      </c>
      <c r="O21" s="74">
        <f t="shared" si="8"/>
        <v>81142.72848</v>
      </c>
      <c r="P21" s="45">
        <f>410*2.2</f>
        <v>902</v>
      </c>
      <c r="Q21" s="45">
        <f t="shared" si="9"/>
        <v>1082.4</v>
      </c>
    </row>
    <row r="22" customHeight="1" spans="1:17">
      <c r="A22" s="45" t="s">
        <v>300</v>
      </c>
      <c r="B22" s="45" t="s">
        <v>292</v>
      </c>
      <c r="C22" s="45">
        <v>6198</v>
      </c>
      <c r="D22" s="45">
        <v>90</v>
      </c>
      <c r="E22" s="3">
        <v>0.5</v>
      </c>
      <c r="F22" s="45">
        <v>532</v>
      </c>
      <c r="G22" s="45">
        <v>311.6</v>
      </c>
      <c r="H22" s="45">
        <v>210</v>
      </c>
      <c r="I22" s="3">
        <v>0.2</v>
      </c>
      <c r="J22" s="45">
        <v>14</v>
      </c>
      <c r="K22" s="45">
        <f t="shared" si="5"/>
        <v>1695.7728</v>
      </c>
      <c r="L22" s="45">
        <f t="shared" si="6"/>
        <v>20.0314285714286</v>
      </c>
      <c r="M22" s="45">
        <f t="shared" si="7"/>
        <v>18</v>
      </c>
      <c r="N22" s="45">
        <v>1318.6</v>
      </c>
      <c r="O22" s="74">
        <f t="shared" si="8"/>
        <v>58843.31616</v>
      </c>
      <c r="P22" s="45">
        <f>298*2.2</f>
        <v>655.6</v>
      </c>
      <c r="Q22" s="45">
        <f t="shared" si="9"/>
        <v>786.72</v>
      </c>
    </row>
    <row r="23" customHeight="1" spans="1:17">
      <c r="A23" s="45" t="s">
        <v>301</v>
      </c>
      <c r="B23" s="45" t="s">
        <v>292</v>
      </c>
      <c r="C23" s="45">
        <v>6198</v>
      </c>
      <c r="D23" s="45">
        <v>90</v>
      </c>
      <c r="E23" s="3">
        <v>0.5</v>
      </c>
      <c r="F23" s="45">
        <v>684</v>
      </c>
      <c r="G23" s="45">
        <v>400.9</v>
      </c>
      <c r="H23" s="45">
        <v>270</v>
      </c>
      <c r="I23" s="3">
        <v>0.2</v>
      </c>
      <c r="J23" s="45">
        <v>18</v>
      </c>
      <c r="K23" s="45">
        <f t="shared" si="5"/>
        <v>1695.7728</v>
      </c>
      <c r="L23" s="45">
        <f t="shared" si="6"/>
        <v>20.045</v>
      </c>
      <c r="M23" s="45">
        <f t="shared" si="7"/>
        <v>18</v>
      </c>
      <c r="N23" s="45">
        <v>1352.8</v>
      </c>
      <c r="O23" s="74">
        <f t="shared" si="8"/>
        <v>60369.51168</v>
      </c>
      <c r="P23" s="45">
        <f>305*2.2</f>
        <v>671</v>
      </c>
      <c r="Q23" s="45">
        <f t="shared" si="9"/>
        <v>805.2</v>
      </c>
    </row>
    <row r="24" customHeight="1" spans="1:17">
      <c r="A24" s="45" t="s">
        <v>302</v>
      </c>
      <c r="B24" s="45" t="s">
        <v>292</v>
      </c>
      <c r="C24" s="45">
        <v>6570</v>
      </c>
      <c r="D24" s="45">
        <v>90</v>
      </c>
      <c r="E24" s="3">
        <v>0.5</v>
      </c>
      <c r="F24" s="45">
        <f>126.7*3</f>
        <v>380.1</v>
      </c>
      <c r="G24" s="45">
        <f>74.1*3</f>
        <v>222.3</v>
      </c>
      <c r="H24" s="45">
        <v>150</v>
      </c>
      <c r="I24" s="3">
        <v>0.08</v>
      </c>
      <c r="J24" s="45">
        <v>30</v>
      </c>
      <c r="K24" s="45">
        <f t="shared" si="5"/>
        <v>599.34168</v>
      </c>
      <c r="L24" s="45">
        <f t="shared" si="6"/>
        <v>6.669</v>
      </c>
      <c r="M24" s="45">
        <f t="shared" si="7"/>
        <v>5.4</v>
      </c>
      <c r="N24" s="45">
        <f>621.3+70.3*2*18</f>
        <v>3152.1</v>
      </c>
      <c r="O24" s="74">
        <f t="shared" si="8"/>
        <v>149106.9384</v>
      </c>
      <c r="P24" s="45">
        <f>(140+32*18)*1.8</f>
        <v>1288.8</v>
      </c>
      <c r="Q24" s="45">
        <f t="shared" si="9"/>
        <v>1391.904</v>
      </c>
    </row>
  </sheetData>
  <sheetProtection formatCells="0" insertHyperlinks="0" autoFilter="0"/>
  <conditionalFormatting sqref="I5">
    <cfRule type="cellIs" dxfId="0" priority="3" operator="equal">
      <formula>0</formula>
    </cfRule>
  </conditionalFormatting>
  <conditionalFormatting sqref="E7">
    <cfRule type="cellIs" dxfId="0" priority="6" operator="equal">
      <formula>0</formula>
    </cfRule>
  </conditionalFormatting>
  <conditionalFormatting sqref="E8">
    <cfRule type="cellIs" dxfId="0" priority="7" operator="equal">
      <formula>0</formula>
    </cfRule>
  </conditionalFormatting>
  <conditionalFormatting sqref="E11">
    <cfRule type="cellIs" dxfId="0" priority="11" operator="equal">
      <formula>0</formula>
    </cfRule>
  </conditionalFormatting>
  <conditionalFormatting sqref="I11">
    <cfRule type="cellIs" dxfId="0" priority="10" operator="equal">
      <formula>0</formula>
    </cfRule>
  </conditionalFormatting>
  <conditionalFormatting sqref="E12">
    <cfRule type="cellIs" dxfId="0" priority="9" operator="equal">
      <formula>0</formula>
    </cfRule>
  </conditionalFormatting>
  <conditionalFormatting sqref="I12">
    <cfRule type="cellIs" dxfId="0" priority="8" operator="equal">
      <formula>0</formula>
    </cfRule>
  </conditionalFormatting>
  <conditionalFormatting sqref="E2:E5">
    <cfRule type="cellIs" dxfId="0" priority="4" operator="equal">
      <formula>0</formula>
    </cfRule>
  </conditionalFormatting>
  <conditionalFormatting sqref="I2:I4">
    <cfRule type="cellIs" dxfId="0" priority="1" operator="equal">
      <formula>0</formula>
    </cfRule>
  </conditionalFormatting>
  <conditionalFormatting sqref="I6:I8">
    <cfRule type="cellIs" dxfId="0" priority="22" operator="equal">
      <formula>0</formula>
    </cfRule>
  </conditionalFormatting>
  <conditionalFormatting sqref="E6 E9:E10 E13:E24">
    <cfRule type="cellIs" dxfId="0" priority="23" operator="equal">
      <formula>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"/>
  <sheetViews>
    <sheetView zoomScale="70" zoomScaleNormal="70" topLeftCell="C1" workbookViewId="0">
      <pane ySplit="1" topLeftCell="A6" activePane="bottomLeft" state="frozen"/>
      <selection/>
      <selection pane="bottomLeft" activeCell="K15" sqref="K15"/>
    </sheetView>
  </sheetViews>
  <sheetFormatPr defaultColWidth="9.90740740740741" defaultRowHeight="44" customHeight="1"/>
  <cols>
    <col min="1" max="5" width="13.7777777777778" style="1"/>
    <col min="6" max="17" width="13.7777777777778" style="1" customWidth="1"/>
    <col min="18" max="19" width="13.7777777777778" style="6" customWidth="1"/>
    <col min="20" max="25" width="13.7777777777778" style="3" customWidth="1"/>
    <col min="26" max="26" width="13.7777777777778" style="6" customWidth="1"/>
    <col min="27" max="28" width="13.7777777777778" style="3" customWidth="1"/>
    <col min="29" max="29" width="13.7777777777778" style="12" customWidth="1"/>
    <col min="30" max="38" width="13.7777777777778" style="3" customWidth="1"/>
  </cols>
  <sheetData>
    <row r="1" customHeight="1" spans="2:29">
      <c r="B1" s="1" t="s">
        <v>303</v>
      </c>
      <c r="C1" s="4"/>
      <c r="D1" s="4"/>
      <c r="F1" s="1" t="s">
        <v>304</v>
      </c>
      <c r="G1" s="1" t="s">
        <v>266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172</v>
      </c>
      <c r="R1" s="6" t="s">
        <v>313</v>
      </c>
      <c r="S1" s="6" t="s">
        <v>314</v>
      </c>
      <c r="T1" s="3" t="s">
        <v>33</v>
      </c>
      <c r="U1" s="3" t="s">
        <v>31</v>
      </c>
      <c r="W1" s="3" t="s">
        <v>315</v>
      </c>
      <c r="X1" s="3" t="s">
        <v>314</v>
      </c>
      <c r="Y1" s="3" t="s">
        <v>33</v>
      </c>
      <c r="Z1" s="6" t="s">
        <v>316</v>
      </c>
      <c r="AB1" s="3" t="s">
        <v>317</v>
      </c>
      <c r="AC1" s="3" t="s">
        <v>318</v>
      </c>
    </row>
    <row r="2" customHeight="1" spans="1:29">
      <c r="A2" s="1" t="s">
        <v>319</v>
      </c>
      <c r="B2" s="1" t="s">
        <v>173</v>
      </c>
      <c r="C2" s="1">
        <v>316</v>
      </c>
      <c r="E2" s="71"/>
      <c r="Q2" s="3"/>
      <c r="R2" s="6" t="s">
        <v>320</v>
      </c>
      <c r="S2" s="57">
        <v>7.13</v>
      </c>
      <c r="T2" s="3">
        <v>0.075</v>
      </c>
      <c r="U2" s="72">
        <v>0.0075</v>
      </c>
      <c r="W2" s="3" t="s">
        <v>29</v>
      </c>
      <c r="X2" s="3">
        <v>0</v>
      </c>
      <c r="Y2" s="3">
        <v>1.5</v>
      </c>
      <c r="Z2" s="6">
        <v>10</v>
      </c>
      <c r="AB2" s="3" t="s">
        <v>321</v>
      </c>
      <c r="AC2" s="12">
        <v>7.2</v>
      </c>
    </row>
    <row r="3" customHeight="1" spans="2:29">
      <c r="B3" s="1" t="s">
        <v>75</v>
      </c>
      <c r="C3" s="57">
        <v>0.3</v>
      </c>
      <c r="D3" s="1" t="s">
        <v>322</v>
      </c>
      <c r="F3" s="1" t="s">
        <v>323</v>
      </c>
      <c r="G3" s="1">
        <f>角色!AV1</f>
        <v>48</v>
      </c>
      <c r="H3" s="1">
        <f>角色!$AC$1</f>
        <v>29</v>
      </c>
      <c r="I3" s="1">
        <f>音擎!$V$1</f>
        <v>22</v>
      </c>
      <c r="J3" s="1">
        <f>驱动盘!$P$1</f>
        <v>16</v>
      </c>
      <c r="K3" s="1">
        <f>角色!$AP$1</f>
        <v>42</v>
      </c>
      <c r="L3" s="1">
        <f>音擎!$AH$1</f>
        <v>34</v>
      </c>
      <c r="M3" s="1">
        <f>驱动盘!$AB$1</f>
        <v>28</v>
      </c>
      <c r="N3" s="3">
        <f>1/5.95</f>
        <v>0.168067226890756</v>
      </c>
      <c r="P3" s="1">
        <f>角色!$W$1</f>
        <v>23</v>
      </c>
      <c r="Q3" s="3"/>
      <c r="R3" s="6" t="s">
        <v>324</v>
      </c>
      <c r="S3" s="72">
        <f>125%</f>
        <v>1.25</v>
      </c>
      <c r="T3" s="72">
        <f>125%</f>
        <v>1.25</v>
      </c>
      <c r="U3" s="72">
        <v>0.032</v>
      </c>
      <c r="AB3" s="3" t="s">
        <v>325</v>
      </c>
      <c r="AC3" s="12">
        <f>IF(配装!$C$31&gt;=1,6,0)</f>
        <v>6</v>
      </c>
    </row>
    <row r="4" customHeight="1" spans="2:29">
      <c r="B4" s="1" t="s">
        <v>326</v>
      </c>
      <c r="C4" s="57">
        <v>0.24</v>
      </c>
      <c r="D4" s="1">
        <v>4</v>
      </c>
      <c r="F4" s="1" t="s">
        <v>327</v>
      </c>
      <c r="G4" s="1">
        <f>角色!BA1</f>
        <v>53</v>
      </c>
      <c r="H4" s="1">
        <f t="shared" ref="H4:H9" si="0">H3+1</f>
        <v>30</v>
      </c>
      <c r="I4" s="1">
        <f t="shared" ref="I4:I9" si="1">I3+1</f>
        <v>23</v>
      </c>
      <c r="J4" s="1">
        <f t="shared" ref="J4:J9" si="2">J3+1</f>
        <v>17</v>
      </c>
      <c r="K4" s="1">
        <f>角色!$AQ$1</f>
        <v>43</v>
      </c>
      <c r="L4" s="1">
        <f t="shared" ref="L4:P4" si="3">L3</f>
        <v>34</v>
      </c>
      <c r="M4" s="1">
        <f t="shared" si="3"/>
        <v>28</v>
      </c>
      <c r="N4" s="3">
        <f t="shared" ref="N4:N14" si="4">1/5.95</f>
        <v>0.168067226890756</v>
      </c>
      <c r="P4" s="1">
        <f t="shared" si="3"/>
        <v>23</v>
      </c>
      <c r="Q4" s="3"/>
      <c r="R4" s="6" t="s">
        <v>328</v>
      </c>
      <c r="S4" s="57">
        <v>5</v>
      </c>
      <c r="T4" s="3">
        <v>0.075</v>
      </c>
      <c r="U4" s="72">
        <v>0.0108</v>
      </c>
      <c r="AB4" s="3" t="s">
        <v>329</v>
      </c>
      <c r="AC4" s="12">
        <f>IF(配装!$C$31&gt;=1,6,0)</f>
        <v>6</v>
      </c>
    </row>
    <row r="5" customHeight="1" spans="2:29">
      <c r="B5" s="1" t="s">
        <v>73</v>
      </c>
      <c r="C5" s="57">
        <v>0.48</v>
      </c>
      <c r="D5" s="1">
        <v>4</v>
      </c>
      <c r="F5" s="1" t="s">
        <v>330</v>
      </c>
      <c r="G5" s="1">
        <f>角色!BF1</f>
        <v>58</v>
      </c>
      <c r="H5" s="1">
        <f t="shared" si="0"/>
        <v>31</v>
      </c>
      <c r="I5" s="1">
        <f t="shared" si="1"/>
        <v>24</v>
      </c>
      <c r="J5" s="1">
        <f t="shared" si="2"/>
        <v>18</v>
      </c>
      <c r="K5" s="1">
        <f t="shared" ref="K5:M5" si="5">K3</f>
        <v>42</v>
      </c>
      <c r="L5" s="1">
        <f t="shared" si="5"/>
        <v>34</v>
      </c>
      <c r="M5" s="1">
        <f t="shared" si="5"/>
        <v>28</v>
      </c>
      <c r="N5" s="3">
        <f t="shared" si="4"/>
        <v>0.168067226890756</v>
      </c>
      <c r="P5" s="1">
        <f>角色!$X$1</f>
        <v>24</v>
      </c>
      <c r="Q5" s="3"/>
      <c r="R5" s="6" t="s">
        <v>331</v>
      </c>
      <c r="S5" s="57">
        <f>50%</f>
        <v>0.5</v>
      </c>
      <c r="T5" s="3">
        <v>1</v>
      </c>
      <c r="U5" s="72">
        <v>0.08</v>
      </c>
      <c r="AB5" s="3" t="s">
        <v>332</v>
      </c>
      <c r="AC5" s="12">
        <v>2</v>
      </c>
    </row>
    <row r="6" customHeight="1" spans="2:29">
      <c r="B6" s="1" t="s">
        <v>109</v>
      </c>
      <c r="C6" s="1">
        <v>92</v>
      </c>
      <c r="D6" s="1">
        <v>4</v>
      </c>
      <c r="F6" s="1" t="s">
        <v>333</v>
      </c>
      <c r="G6" s="1">
        <f>角色!BK1</f>
        <v>63</v>
      </c>
      <c r="H6" s="1">
        <f t="shared" si="0"/>
        <v>32</v>
      </c>
      <c r="I6" s="1">
        <f t="shared" si="1"/>
        <v>25</v>
      </c>
      <c r="J6" s="1">
        <f t="shared" si="2"/>
        <v>19</v>
      </c>
      <c r="K6" s="1">
        <f t="shared" ref="K6:M6" si="6">K3</f>
        <v>42</v>
      </c>
      <c r="L6" s="1">
        <f t="shared" si="6"/>
        <v>34</v>
      </c>
      <c r="M6" s="1">
        <f t="shared" si="6"/>
        <v>28</v>
      </c>
      <c r="N6" s="3">
        <f t="shared" si="4"/>
        <v>0.168067226890756</v>
      </c>
      <c r="P6" s="1">
        <f>角色!$Z$1</f>
        <v>26</v>
      </c>
      <c r="Q6" s="3"/>
      <c r="R6" s="6" t="s">
        <v>334</v>
      </c>
      <c r="S6" s="72">
        <f>72.5%</f>
        <v>0.725</v>
      </c>
      <c r="T6" s="3">
        <v>1.25</v>
      </c>
      <c r="U6" s="72">
        <v>0.0615</v>
      </c>
      <c r="AB6" s="3" t="s">
        <v>335</v>
      </c>
      <c r="AC6" s="12">
        <v>3</v>
      </c>
    </row>
    <row r="7" customHeight="1" spans="2:29">
      <c r="B7" s="1" t="s">
        <v>336</v>
      </c>
      <c r="C7" s="57">
        <v>0.3</v>
      </c>
      <c r="D7" s="1">
        <v>5</v>
      </c>
      <c r="F7" s="1" t="s">
        <v>337</v>
      </c>
      <c r="G7" s="1">
        <f>角色!BP1</f>
        <v>68</v>
      </c>
      <c r="H7" s="1">
        <f t="shared" si="0"/>
        <v>33</v>
      </c>
      <c r="I7" s="1">
        <f t="shared" si="1"/>
        <v>26</v>
      </c>
      <c r="J7" s="1">
        <f t="shared" si="2"/>
        <v>20</v>
      </c>
      <c r="K7" s="1">
        <f t="shared" ref="K7:M7" si="7">K3</f>
        <v>42</v>
      </c>
      <c r="L7" s="1">
        <f t="shared" si="7"/>
        <v>34</v>
      </c>
      <c r="M7" s="1">
        <f t="shared" si="7"/>
        <v>28</v>
      </c>
      <c r="N7" s="3">
        <f t="shared" si="4"/>
        <v>0.168067226890756</v>
      </c>
      <c r="O7" s="1">
        <v>20</v>
      </c>
      <c r="P7" s="1">
        <f t="shared" ref="P7:P10" si="8">P6</f>
        <v>26</v>
      </c>
      <c r="Q7" s="3"/>
      <c r="R7" s="6" t="s">
        <v>338</v>
      </c>
      <c r="S7" s="72">
        <v>0</v>
      </c>
      <c r="T7" s="3">
        <v>0</v>
      </c>
      <c r="AB7" s="3" t="s">
        <v>339</v>
      </c>
      <c r="AC7" s="12">
        <v>2</v>
      </c>
    </row>
    <row r="8" customHeight="1" spans="2:29">
      <c r="B8" s="1" t="s">
        <v>340</v>
      </c>
      <c r="C8" s="57">
        <v>0.24</v>
      </c>
      <c r="D8" s="1">
        <v>5</v>
      </c>
      <c r="F8" s="1" t="s">
        <v>341</v>
      </c>
      <c r="G8" s="1">
        <f>角色!BZ1</f>
        <v>78</v>
      </c>
      <c r="H8" s="1">
        <f t="shared" si="0"/>
        <v>34</v>
      </c>
      <c r="I8" s="1">
        <f t="shared" si="1"/>
        <v>27</v>
      </c>
      <c r="J8" s="1">
        <f t="shared" si="2"/>
        <v>21</v>
      </c>
      <c r="K8" s="1">
        <v>1</v>
      </c>
      <c r="L8" s="1">
        <f>音擎!$AJ$1</f>
        <v>36</v>
      </c>
      <c r="M8" s="1">
        <f>驱动盘!$AC$1</f>
        <v>29</v>
      </c>
      <c r="N8" s="3">
        <v>0</v>
      </c>
      <c r="P8" s="1">
        <f>P5</f>
        <v>24</v>
      </c>
      <c r="Q8" s="3"/>
      <c r="AB8" s="3" t="s">
        <v>342</v>
      </c>
      <c r="AC8" s="12">
        <v>2</v>
      </c>
    </row>
    <row r="9" customHeight="1" spans="2:29">
      <c r="B9" s="1" t="s">
        <v>269</v>
      </c>
      <c r="C9" s="57">
        <v>0.3</v>
      </c>
      <c r="D9" s="1">
        <v>6</v>
      </c>
      <c r="F9" s="1" t="s">
        <v>343</v>
      </c>
      <c r="G9" s="1">
        <f>角色!CE1</f>
        <v>83</v>
      </c>
      <c r="H9" s="1">
        <f t="shared" si="0"/>
        <v>35</v>
      </c>
      <c r="I9" s="1">
        <f t="shared" si="1"/>
        <v>28</v>
      </c>
      <c r="J9" s="1">
        <f t="shared" si="2"/>
        <v>22</v>
      </c>
      <c r="K9" s="1">
        <f>角色!$AR$1</f>
        <v>44</v>
      </c>
      <c r="L9" s="1">
        <f>音擎!$AI$1</f>
        <v>35</v>
      </c>
      <c r="M9" s="1">
        <f>驱动盘!$AC$1</f>
        <v>29</v>
      </c>
      <c r="N9" s="3">
        <v>0</v>
      </c>
      <c r="P9" s="1">
        <f t="shared" si="8"/>
        <v>24</v>
      </c>
      <c r="Q9" s="3"/>
      <c r="AB9" s="3" t="s">
        <v>344</v>
      </c>
      <c r="AC9" s="12">
        <f>IF(配装!$C$11&gt;=1,5,0)</f>
        <v>5</v>
      </c>
    </row>
    <row r="10" customHeight="1" spans="2:29">
      <c r="B10" s="1" t="s">
        <v>345</v>
      </c>
      <c r="C10" s="57">
        <v>0.18</v>
      </c>
      <c r="D10" s="1">
        <v>6</v>
      </c>
      <c r="F10" s="1" t="s">
        <v>346</v>
      </c>
      <c r="G10" s="1">
        <f>角色!CJ1</f>
        <v>88</v>
      </c>
      <c r="H10" s="1">
        <f t="shared" ref="H10:L10" si="9">H9</f>
        <v>35</v>
      </c>
      <c r="I10" s="1">
        <f t="shared" si="9"/>
        <v>28</v>
      </c>
      <c r="J10" s="1">
        <f t="shared" si="9"/>
        <v>22</v>
      </c>
      <c r="K10" s="1">
        <f t="shared" si="9"/>
        <v>44</v>
      </c>
      <c r="L10" s="1">
        <f t="shared" si="9"/>
        <v>35</v>
      </c>
      <c r="M10" s="1">
        <f>驱动盘!$AC$1</f>
        <v>29</v>
      </c>
      <c r="N10" s="3">
        <v>0</v>
      </c>
      <c r="P10" s="1">
        <f t="shared" si="8"/>
        <v>24</v>
      </c>
      <c r="Q10" s="3"/>
      <c r="S10" s="57"/>
      <c r="AB10" s="3" t="s">
        <v>347</v>
      </c>
      <c r="AC10" s="12">
        <f>IF(配装!$C$11&gt;=1,5,0)</f>
        <v>5</v>
      </c>
    </row>
    <row r="11" customHeight="1" spans="2:29">
      <c r="B11" s="1" t="s">
        <v>150</v>
      </c>
      <c r="C11" s="57">
        <v>0.6</v>
      </c>
      <c r="D11" s="1">
        <v>6</v>
      </c>
      <c r="F11" s="1" t="s">
        <v>348</v>
      </c>
      <c r="G11" s="1">
        <f>角色!BU1</f>
        <v>73</v>
      </c>
      <c r="H11" s="1">
        <f>H10+1</f>
        <v>36</v>
      </c>
      <c r="I11" s="1">
        <f>I10+1</f>
        <v>29</v>
      </c>
      <c r="J11" s="1">
        <f>J10+1</f>
        <v>23</v>
      </c>
      <c r="K11" s="1">
        <v>1</v>
      </c>
      <c r="L11" s="1">
        <f>L8</f>
        <v>36</v>
      </c>
      <c r="M11" s="1">
        <f>驱动盘!$AC$1</f>
        <v>29</v>
      </c>
      <c r="N11" s="3">
        <f t="shared" si="4"/>
        <v>0.168067226890756</v>
      </c>
      <c r="O11" s="1">
        <v>20</v>
      </c>
      <c r="P11" s="1">
        <f>P6</f>
        <v>26</v>
      </c>
      <c r="Q11" s="3"/>
      <c r="AB11" s="3" t="s">
        <v>349</v>
      </c>
      <c r="AC11" s="12">
        <f>IF(配装!$C$11&gt;=1,5,0)</f>
        <v>5</v>
      </c>
    </row>
    <row r="12" customHeight="1" spans="1:29">
      <c r="A12" s="1" t="s">
        <v>350</v>
      </c>
      <c r="B12" s="1" t="s">
        <v>173</v>
      </c>
      <c r="C12" s="1">
        <v>22</v>
      </c>
      <c r="F12" s="1" t="s">
        <v>351</v>
      </c>
      <c r="G12" s="1">
        <f>角色!CO1</f>
        <v>93</v>
      </c>
      <c r="H12" s="1">
        <f>H11</f>
        <v>36</v>
      </c>
      <c r="I12" s="1">
        <f>I11</f>
        <v>29</v>
      </c>
      <c r="J12" s="1">
        <f>J11</f>
        <v>23</v>
      </c>
      <c r="K12" s="1">
        <v>1</v>
      </c>
      <c r="L12" s="1">
        <f>L8</f>
        <v>36</v>
      </c>
      <c r="M12" s="1">
        <f>驱动盘!$AC$1</f>
        <v>29</v>
      </c>
      <c r="N12" s="3">
        <v>0</v>
      </c>
      <c r="O12" s="1">
        <v>215</v>
      </c>
      <c r="P12" s="1">
        <f t="shared" ref="P12:P15" si="10">P11</f>
        <v>26</v>
      </c>
      <c r="Q12" s="3"/>
      <c r="AB12" s="3" t="s">
        <v>352</v>
      </c>
      <c r="AC12" s="12">
        <f>IF(配装!$C$11&gt;=1,5,0)</f>
        <v>5</v>
      </c>
    </row>
    <row r="13" customHeight="1" spans="2:29">
      <c r="B13" s="1" t="s">
        <v>174</v>
      </c>
      <c r="C13" s="57">
        <v>0.03</v>
      </c>
      <c r="F13" s="1" t="s">
        <v>353</v>
      </c>
      <c r="G13" s="1">
        <f>角色!CT1</f>
        <v>98</v>
      </c>
      <c r="H13" s="1">
        <f>H12+1</f>
        <v>37</v>
      </c>
      <c r="I13" s="1">
        <f>I12+1</f>
        <v>30</v>
      </c>
      <c r="J13" s="1">
        <f>J12+1</f>
        <v>24</v>
      </c>
      <c r="K13" s="1">
        <f>K9</f>
        <v>44</v>
      </c>
      <c r="L13" s="1">
        <f>L9</f>
        <v>35</v>
      </c>
      <c r="M13" s="1">
        <f>驱动盘!$AC$1</f>
        <v>29</v>
      </c>
      <c r="N13" s="3">
        <v>0</v>
      </c>
      <c r="O13" s="1">
        <v>10</v>
      </c>
      <c r="P13" s="1">
        <f t="shared" si="10"/>
        <v>26</v>
      </c>
      <c r="Q13" s="3"/>
      <c r="AB13" s="3" t="s">
        <v>354</v>
      </c>
      <c r="AC13" s="12">
        <f>IF(配装!$C$11&gt;=1,5,0)</f>
        <v>5</v>
      </c>
    </row>
    <row r="14" customHeight="1" spans="2:17">
      <c r="B14" s="1" t="s">
        <v>326</v>
      </c>
      <c r="C14" s="3">
        <v>0.024</v>
      </c>
      <c r="F14" s="1" t="s">
        <v>355</v>
      </c>
      <c r="G14" s="1">
        <f>角色!CY1</f>
        <v>103</v>
      </c>
      <c r="H14" s="1">
        <f>H13+1</f>
        <v>38</v>
      </c>
      <c r="I14" s="1">
        <f>I13+1</f>
        <v>31</v>
      </c>
      <c r="J14" s="1">
        <f>J13+1</f>
        <v>25</v>
      </c>
      <c r="K14" s="1">
        <f>K9</f>
        <v>44</v>
      </c>
      <c r="L14" s="1">
        <f>L9</f>
        <v>35</v>
      </c>
      <c r="M14" s="1">
        <f>驱动盘!$AC$1</f>
        <v>29</v>
      </c>
      <c r="N14" s="3">
        <v>0</v>
      </c>
      <c r="P14" s="1">
        <f t="shared" si="10"/>
        <v>26</v>
      </c>
      <c r="Q14" s="3"/>
    </row>
    <row r="15" customHeight="1" spans="2:17">
      <c r="B15" s="1" t="s">
        <v>73</v>
      </c>
      <c r="C15" s="3">
        <v>0.048</v>
      </c>
      <c r="F15" s="1" t="s">
        <v>356</v>
      </c>
      <c r="G15" s="1">
        <f>角色!DD1</f>
        <v>108</v>
      </c>
      <c r="H15" s="1">
        <f>H14+1</f>
        <v>39</v>
      </c>
      <c r="I15" s="1">
        <f>I14+1</f>
        <v>32</v>
      </c>
      <c r="J15" s="1">
        <f>J14+1</f>
        <v>26</v>
      </c>
      <c r="K15" s="1">
        <f>角色!$AS$1</f>
        <v>45</v>
      </c>
      <c r="L15" s="1">
        <f>L4</f>
        <v>34</v>
      </c>
      <c r="M15" s="1">
        <f>M4</f>
        <v>28</v>
      </c>
      <c r="N15" s="3">
        <v>0</v>
      </c>
      <c r="P15" s="1">
        <f>P4</f>
        <v>23</v>
      </c>
      <c r="Q15" s="3"/>
    </row>
    <row r="16" customHeight="1" spans="2:17">
      <c r="B16" s="1" t="s">
        <v>357</v>
      </c>
      <c r="C16" s="1">
        <v>9</v>
      </c>
      <c r="F16" s="1" t="s">
        <v>358</v>
      </c>
      <c r="G16" s="1">
        <f>角色!DI1</f>
        <v>113</v>
      </c>
      <c r="H16" s="1">
        <f>H15+1</f>
        <v>40</v>
      </c>
      <c r="I16" s="1">
        <f>I15+1</f>
        <v>33</v>
      </c>
      <c r="J16" s="1">
        <f>J15+1</f>
        <v>27</v>
      </c>
      <c r="K16" s="1">
        <f>K10</f>
        <v>44</v>
      </c>
      <c r="L16" s="1">
        <f>L10</f>
        <v>35</v>
      </c>
      <c r="M16" s="1">
        <f>驱动盘!$AC$1</f>
        <v>29</v>
      </c>
      <c r="N16" s="3">
        <v>0</v>
      </c>
      <c r="P16" s="1">
        <f>角色!Y1</f>
        <v>25</v>
      </c>
      <c r="Q16" s="3"/>
    </row>
    <row r="17" customHeight="1" spans="2:14">
      <c r="B17" s="1" t="s">
        <v>109</v>
      </c>
      <c r="C17" s="1">
        <v>9</v>
      </c>
      <c r="F17" s="1" t="s">
        <v>102</v>
      </c>
      <c r="H17" s="1">
        <f>H16+1</f>
        <v>41</v>
      </c>
      <c r="I17" s="1">
        <f t="shared" ref="H17:J17" si="11">I16</f>
        <v>33</v>
      </c>
      <c r="J17" s="1">
        <f t="shared" si="11"/>
        <v>27</v>
      </c>
      <c r="N17" s="3"/>
    </row>
    <row r="18" customHeight="1" spans="3:4">
      <c r="C18" s="1" t="s">
        <v>359</v>
      </c>
      <c r="D18" s="1" t="s">
        <v>360</v>
      </c>
    </row>
    <row r="19" customHeight="1" spans="1:4">
      <c r="A19" s="1" t="s">
        <v>361</v>
      </c>
      <c r="B19" s="1" t="s">
        <v>362</v>
      </c>
      <c r="C19" s="1">
        <v>40</v>
      </c>
      <c r="D19" s="10">
        <v>594</v>
      </c>
    </row>
    <row r="20" customHeight="1" spans="2:4">
      <c r="B20" s="1" t="s">
        <v>363</v>
      </c>
      <c r="C20" s="1">
        <v>42</v>
      </c>
      <c r="D20" s="10">
        <v>625</v>
      </c>
    </row>
    <row r="21" customHeight="1" spans="2:4">
      <c r="B21" s="1" t="s">
        <v>364</v>
      </c>
      <c r="C21" s="1">
        <v>46</v>
      </c>
      <c r="D21" s="10">
        <v>684</v>
      </c>
    </row>
    <row r="22" customHeight="1" spans="2:4">
      <c r="B22" s="1" t="s">
        <v>365</v>
      </c>
      <c r="C22" s="1">
        <v>48</v>
      </c>
      <c r="D22" s="1">
        <v>713</v>
      </c>
    </row>
    <row r="23" customHeight="1" spans="2:4">
      <c r="B23" s="1" t="s">
        <v>366</v>
      </c>
      <c r="D23" s="1">
        <v>743</v>
      </c>
    </row>
    <row r="24" customHeight="1" spans="1:4">
      <c r="A24" s="1" t="s">
        <v>367</v>
      </c>
      <c r="B24" s="1" t="s">
        <v>368</v>
      </c>
      <c r="C24" s="1" t="s">
        <v>369</v>
      </c>
      <c r="D24" s="1" t="s">
        <v>370</v>
      </c>
    </row>
    <row r="25" customHeight="1" spans="2:4">
      <c r="B25" s="1" t="s">
        <v>371</v>
      </c>
      <c r="C25" s="1" t="s">
        <v>372</v>
      </c>
      <c r="D25" s="1" t="s">
        <v>373</v>
      </c>
    </row>
    <row r="26" customHeight="1" spans="2:3">
      <c r="B26" s="1" t="s">
        <v>340</v>
      </c>
      <c r="C26" s="1" t="s">
        <v>374</v>
      </c>
    </row>
    <row r="27" customHeight="1" spans="2:3">
      <c r="B27" s="72">
        <v>0.08</v>
      </c>
      <c r="C27" s="72">
        <f>((70*5+500)+(60*5+500))/((70*5+500)*MAX(1-B27,0)+(60*5+500))-1</f>
        <v>0.0429835651074588</v>
      </c>
    </row>
  </sheetData>
  <sheetProtection formatCells="0" insertHyperlinks="0" autoFilter="0"/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E27"/>
  <sheetViews>
    <sheetView zoomScale="55" zoomScaleNormal="55" topLeftCell="AD2" workbookViewId="0">
      <selection activeCell="AT17" sqref="AT17"/>
    </sheetView>
  </sheetViews>
  <sheetFormatPr defaultColWidth="9.90740740740741" defaultRowHeight="44" customHeight="1"/>
  <cols>
    <col min="1" max="180" width="13.7777777777778" style="1" customWidth="1"/>
    <col min="181" max="16384" width="13.7777777777778" style="1"/>
  </cols>
  <sheetData>
    <row r="2" customHeight="1" spans="3:161"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70"/>
      <c r="EK2" s="54"/>
      <c r="EL2" s="48"/>
      <c r="EM2" s="48"/>
      <c r="EN2" s="48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4"/>
      <c r="FE2" s="54"/>
    </row>
    <row r="3" customHeight="1" spans="1:161">
      <c r="A3" s="1" t="s">
        <v>3</v>
      </c>
      <c r="B3" s="1" t="s">
        <v>4</v>
      </c>
      <c r="C3" s="49" t="s">
        <v>14</v>
      </c>
      <c r="D3" s="1" t="s">
        <v>375</v>
      </c>
      <c r="E3" s="49" t="s">
        <v>15</v>
      </c>
      <c r="F3" s="49" t="s">
        <v>16</v>
      </c>
      <c r="G3" s="49" t="s">
        <v>52</v>
      </c>
      <c r="H3" s="49" t="s">
        <v>376</v>
      </c>
      <c r="I3" s="49" t="s">
        <v>377</v>
      </c>
      <c r="J3" s="49" t="s">
        <v>378</v>
      </c>
      <c r="K3" s="49" t="s">
        <v>58</v>
      </c>
      <c r="L3" s="49" t="s">
        <v>59</v>
      </c>
      <c r="M3" s="49" t="s">
        <v>60</v>
      </c>
      <c r="N3" s="49" t="s">
        <v>379</v>
      </c>
      <c r="O3" s="49" t="s">
        <v>380</v>
      </c>
      <c r="P3" s="49" t="s">
        <v>381</v>
      </c>
      <c r="Q3" s="49" t="s">
        <v>382</v>
      </c>
      <c r="R3" s="49" t="s">
        <v>383</v>
      </c>
      <c r="S3" s="49" t="s">
        <v>384</v>
      </c>
      <c r="T3" s="58" t="s">
        <v>385</v>
      </c>
      <c r="U3" s="58" t="s">
        <v>386</v>
      </c>
      <c r="V3" s="58" t="s">
        <v>387</v>
      </c>
      <c r="W3" s="58" t="s">
        <v>388</v>
      </c>
      <c r="X3" s="58" t="s">
        <v>389</v>
      </c>
      <c r="Y3" s="58" t="s">
        <v>390</v>
      </c>
      <c r="Z3" s="58" t="s">
        <v>391</v>
      </c>
      <c r="AA3" s="58" t="s">
        <v>392</v>
      </c>
      <c r="AB3" s="58" t="s">
        <v>393</v>
      </c>
      <c r="AC3" s="58" t="s">
        <v>394</v>
      </c>
      <c r="AD3" s="58" t="s">
        <v>395</v>
      </c>
      <c r="AE3" s="58" t="s">
        <v>396</v>
      </c>
      <c r="AF3" s="58" t="s">
        <v>269</v>
      </c>
      <c r="AG3" s="49" t="s">
        <v>397</v>
      </c>
      <c r="AH3" s="49" t="s">
        <v>10</v>
      </c>
      <c r="AI3" s="49" t="s">
        <v>11</v>
      </c>
      <c r="AJ3" s="49" t="s">
        <v>398</v>
      </c>
      <c r="AK3" s="49" t="s">
        <v>399</v>
      </c>
      <c r="AL3" s="49" t="s">
        <v>75</v>
      </c>
      <c r="AM3" s="49" t="s">
        <v>109</v>
      </c>
      <c r="AN3" s="49" t="s">
        <v>400</v>
      </c>
      <c r="AO3" s="49" t="s">
        <v>314</v>
      </c>
      <c r="AP3" s="49" t="s">
        <v>401</v>
      </c>
      <c r="AQ3" s="49" t="s">
        <v>402</v>
      </c>
      <c r="AR3" s="49" t="s">
        <v>403</v>
      </c>
      <c r="AS3" s="49" t="s">
        <v>404</v>
      </c>
      <c r="AT3" s="49" t="s">
        <v>405</v>
      </c>
      <c r="AU3" s="49" t="s">
        <v>33</v>
      </c>
      <c r="AV3" s="49" t="s">
        <v>27</v>
      </c>
      <c r="AW3" s="49" t="s">
        <v>406</v>
      </c>
      <c r="AX3" s="49" t="s">
        <v>407</v>
      </c>
      <c r="AY3" s="49" t="s">
        <v>408</v>
      </c>
      <c r="AZ3" s="49" t="s">
        <v>21</v>
      </c>
      <c r="BA3" s="1" t="s">
        <v>409</v>
      </c>
      <c r="BB3" s="1" t="s">
        <v>410</v>
      </c>
      <c r="BC3" s="1" t="s">
        <v>411</v>
      </c>
      <c r="BD3" s="1" t="s">
        <v>412</v>
      </c>
      <c r="BE3" s="4" t="s">
        <v>305</v>
      </c>
      <c r="BF3" s="4" t="s">
        <v>413</v>
      </c>
      <c r="BG3" s="1" t="s">
        <v>414</v>
      </c>
      <c r="BH3" s="1" t="s">
        <v>266</v>
      </c>
      <c r="BI3" s="1" t="s">
        <v>415</v>
      </c>
      <c r="BJ3" s="1" t="s">
        <v>172</v>
      </c>
      <c r="BK3" s="1" t="s">
        <v>416</v>
      </c>
      <c r="BL3" s="1" t="s">
        <v>267</v>
      </c>
      <c r="BM3" s="1" t="s">
        <v>417</v>
      </c>
      <c r="BN3" s="1" t="s">
        <v>418</v>
      </c>
      <c r="BO3" s="1" t="s">
        <v>419</v>
      </c>
      <c r="BP3" s="1" t="s">
        <v>75</v>
      </c>
      <c r="BQ3" s="1" t="s">
        <v>175</v>
      </c>
      <c r="BR3" s="1" t="s">
        <v>80</v>
      </c>
      <c r="BS3" s="1" t="s">
        <v>73</v>
      </c>
      <c r="BT3" s="1" t="s">
        <v>401</v>
      </c>
      <c r="BU3" s="1" t="s">
        <v>420</v>
      </c>
      <c r="BV3" s="49" t="s">
        <v>22</v>
      </c>
      <c r="BW3" s="1" t="s">
        <v>409</v>
      </c>
      <c r="BX3" s="1" t="s">
        <v>410</v>
      </c>
      <c r="BY3" s="1" t="s">
        <v>411</v>
      </c>
      <c r="BZ3" s="1" t="s">
        <v>412</v>
      </c>
      <c r="CA3" s="4" t="s">
        <v>305</v>
      </c>
      <c r="CB3" s="4" t="s">
        <v>413</v>
      </c>
      <c r="CC3" s="1" t="s">
        <v>414</v>
      </c>
      <c r="CD3" s="1" t="s">
        <v>266</v>
      </c>
      <c r="CE3" s="1" t="s">
        <v>415</v>
      </c>
      <c r="CF3" s="1" t="s">
        <v>172</v>
      </c>
      <c r="CG3" s="1" t="s">
        <v>416</v>
      </c>
      <c r="CH3" s="1" t="s">
        <v>267</v>
      </c>
      <c r="CI3" s="1" t="s">
        <v>417</v>
      </c>
      <c r="CJ3" s="1" t="s">
        <v>418</v>
      </c>
      <c r="CK3" s="1" t="s">
        <v>419</v>
      </c>
      <c r="CL3" s="1" t="s">
        <v>75</v>
      </c>
      <c r="CM3" s="1" t="s">
        <v>175</v>
      </c>
      <c r="CN3" s="1" t="s">
        <v>80</v>
      </c>
      <c r="CO3" s="1" t="s">
        <v>73</v>
      </c>
      <c r="CP3" s="1" t="s">
        <v>401</v>
      </c>
      <c r="CQ3" s="1" t="s">
        <v>420</v>
      </c>
      <c r="CR3" s="49" t="s">
        <v>23</v>
      </c>
      <c r="CS3" s="1" t="s">
        <v>409</v>
      </c>
      <c r="CT3" s="1" t="s">
        <v>410</v>
      </c>
      <c r="CU3" s="1" t="s">
        <v>411</v>
      </c>
      <c r="CV3" s="1" t="s">
        <v>412</v>
      </c>
      <c r="CW3" s="4" t="s">
        <v>305</v>
      </c>
      <c r="CX3" s="4" t="s">
        <v>413</v>
      </c>
      <c r="CY3" s="1" t="s">
        <v>414</v>
      </c>
      <c r="CZ3" s="1" t="s">
        <v>266</v>
      </c>
      <c r="DA3" s="1" t="s">
        <v>415</v>
      </c>
      <c r="DB3" s="1" t="s">
        <v>172</v>
      </c>
      <c r="DC3" s="1" t="s">
        <v>416</v>
      </c>
      <c r="DD3" s="1" t="s">
        <v>267</v>
      </c>
      <c r="DE3" s="1" t="s">
        <v>417</v>
      </c>
      <c r="DF3" s="1" t="s">
        <v>418</v>
      </c>
      <c r="DG3" s="1" t="s">
        <v>419</v>
      </c>
      <c r="DH3" s="1" t="s">
        <v>75</v>
      </c>
      <c r="DI3" s="1" t="s">
        <v>175</v>
      </c>
      <c r="DJ3" s="1" t="s">
        <v>80</v>
      </c>
      <c r="DK3" s="1" t="s">
        <v>73</v>
      </c>
      <c r="DL3" s="1" t="s">
        <v>401</v>
      </c>
      <c r="DM3" s="1" t="s">
        <v>420</v>
      </c>
      <c r="DN3" s="49" t="s">
        <v>24</v>
      </c>
      <c r="DO3" s="1" t="s">
        <v>409</v>
      </c>
      <c r="DP3" s="1" t="s">
        <v>410</v>
      </c>
      <c r="DQ3" s="1" t="s">
        <v>411</v>
      </c>
      <c r="DR3" s="1" t="s">
        <v>412</v>
      </c>
      <c r="DS3" s="4" t="s">
        <v>305</v>
      </c>
      <c r="DT3" s="4" t="s">
        <v>413</v>
      </c>
      <c r="DU3" s="1" t="s">
        <v>414</v>
      </c>
      <c r="DV3" s="1" t="s">
        <v>266</v>
      </c>
      <c r="DW3" s="1" t="s">
        <v>415</v>
      </c>
      <c r="DX3" s="1" t="s">
        <v>172</v>
      </c>
      <c r="DY3" s="1" t="s">
        <v>416</v>
      </c>
      <c r="DZ3" s="1" t="s">
        <v>267</v>
      </c>
      <c r="EA3" s="1" t="s">
        <v>417</v>
      </c>
      <c r="EB3" s="1" t="s">
        <v>418</v>
      </c>
      <c r="EC3" s="1" t="s">
        <v>419</v>
      </c>
      <c r="ED3" s="1" t="s">
        <v>75</v>
      </c>
      <c r="EE3" s="1" t="s">
        <v>175</v>
      </c>
      <c r="EF3" s="1" t="s">
        <v>80</v>
      </c>
      <c r="EG3" s="1" t="s">
        <v>73</v>
      </c>
      <c r="EH3" s="1" t="s">
        <v>401</v>
      </c>
      <c r="EI3" s="1" t="s">
        <v>420</v>
      </c>
      <c r="EJ3" s="49" t="s">
        <v>25</v>
      </c>
      <c r="EK3" s="1" t="s">
        <v>409</v>
      </c>
      <c r="EL3" s="1" t="s">
        <v>410</v>
      </c>
      <c r="EM3" s="1" t="s">
        <v>411</v>
      </c>
      <c r="EN3" s="1" t="s">
        <v>412</v>
      </c>
      <c r="EO3" s="4" t="s">
        <v>305</v>
      </c>
      <c r="EP3" s="4" t="s">
        <v>413</v>
      </c>
      <c r="EQ3" s="1" t="s">
        <v>414</v>
      </c>
      <c r="ER3" s="1" t="s">
        <v>266</v>
      </c>
      <c r="ES3" s="1" t="s">
        <v>415</v>
      </c>
      <c r="ET3" s="1" t="s">
        <v>172</v>
      </c>
      <c r="EU3" s="1" t="s">
        <v>416</v>
      </c>
      <c r="EV3" s="1" t="s">
        <v>267</v>
      </c>
      <c r="EW3" s="1" t="s">
        <v>417</v>
      </c>
      <c r="EX3" s="1" t="s">
        <v>418</v>
      </c>
      <c r="EY3" s="1" t="s">
        <v>419</v>
      </c>
      <c r="EZ3" s="1" t="s">
        <v>75</v>
      </c>
      <c r="FA3" s="1" t="s">
        <v>175</v>
      </c>
      <c r="FB3" s="1" t="s">
        <v>80</v>
      </c>
      <c r="FC3" s="1" t="s">
        <v>73</v>
      </c>
      <c r="FD3" s="1" t="s">
        <v>401</v>
      </c>
      <c r="FE3" s="1" t="s">
        <v>420</v>
      </c>
    </row>
    <row r="4" customHeight="1" spans="1:161">
      <c r="A4" s="1">
        <f>云配队!C4</f>
        <v>60</v>
      </c>
      <c r="B4" s="1">
        <f>云配队!D4</f>
        <v>70</v>
      </c>
      <c r="C4" s="50" t="str">
        <f>云配队!F6</f>
        <v>雅</v>
      </c>
      <c r="D4" s="1">
        <f>MATCH(C4,角色!$F$3:$F$40,0)</f>
        <v>10</v>
      </c>
      <c r="E4" s="51" t="str">
        <f>INDEX(角色!$A$3:$DN$40,$D4,角色!H$1)</f>
        <v>冰</v>
      </c>
      <c r="F4" s="51" t="str">
        <f>INDEX(角色!$A$3:$DN$40,$D4,角色!I$1)</f>
        <v>六科</v>
      </c>
      <c r="G4" s="51">
        <f>INDEX(角色!$A$3:$DN$40,$D4,角色!J$1)</f>
        <v>0</v>
      </c>
      <c r="H4" s="51" t="str">
        <f>VLOOKUP($C4,配装!$A$2:$S$34,配装!$D$1,FALSE)</f>
        <v>霰落星殿</v>
      </c>
      <c r="I4" s="51" t="str">
        <f>VLOOKUP($C4,配装!$A$2:$S$34,配装!G$1,FALSE)</f>
        <v>折枝剑歌</v>
      </c>
      <c r="J4" s="51" t="str">
        <f>VLOOKUP($C4,配装!$A$2:$S$34,配装!J$1,FALSE)</f>
        <v>河豚电音</v>
      </c>
      <c r="K4" s="51" t="str">
        <f>VLOOKUP($C4,配装!$A$2:$S$34,配装!K$1,FALSE)</f>
        <v>暴击</v>
      </c>
      <c r="L4" s="51" t="str">
        <f>VLOOKUP($C4,配装!$A$2:$S$34,配装!L$1,FALSE)</f>
        <v>穿透</v>
      </c>
      <c r="M4" s="51" t="str">
        <f>VLOOKUP($C4,配装!$A$2:$S$34,配装!M$1,FALSE)</f>
        <v>攻击</v>
      </c>
      <c r="N4" s="51">
        <f>VLOOKUP($C4,配装!$A$2:$S$34,配装!$H$1,FALSE)</f>
        <v>1</v>
      </c>
      <c r="O4" s="51">
        <f>MATCH(H4,音擎!$A$3:$A$49,0)</f>
        <v>14</v>
      </c>
      <c r="P4" s="51">
        <f>VLOOKUP($C4,配装!$A$2:$N$34,配装!$E$1,FALSE)</f>
        <v>1</v>
      </c>
      <c r="Q4" s="51">
        <f>INDEX(音擎!$A$3:$AK$54,O4,音擎!$C$1)</f>
        <v>743</v>
      </c>
      <c r="R4" s="51">
        <f>MATCH(I4,驱动盘!$A$3:$A$21,0)</f>
        <v>9</v>
      </c>
      <c r="S4" s="51">
        <f>MATCH(J4,驱动盘!$A$3:$A$21,0)</f>
        <v>2</v>
      </c>
      <c r="T4" s="51">
        <f>INDEX(音擎!$A$3:$AJ$49,$O4,音擎!D$1)+INDEX(驱动盘!$A$3:$AB$21,$R4,驱动盘!C$1)+INDEX(驱动盘!$A$3:$AB$21,$S4,驱动盘!C$1)+IF($K4="攻击",30%,0%)+IF($L4="攻击",30%,0%)+IF($M4="攻击",30%,0%)+VLOOKUP($C4,配装!$A$2:$S$34,配装!P$1,FALSE)*3%</f>
        <v>0.54</v>
      </c>
      <c r="U4" s="51">
        <f>VLOOKUP($C4,配装!$A$2:$S$34,配装!Q$1,FALSE)*22</f>
        <v>0</v>
      </c>
      <c r="V4" s="51">
        <f>INDEX(音擎!$A$3:$AJ$49,$O4,音擎!E$1)+INDEX(音擎!$A$3:$AJ$49,$O4,音擎!M$1)*$P4+INDEX(驱动盘!$A$3:$AB$21,$R4,驱动盘!D$1)+INDEX(驱动盘!$A$3:$AB$21,$S4,驱动盘!D$1)+INDEX(驱动盘!$A$3:$AB$21,$R4,驱动盘!M$1)*$N4+IF($K4="暴击",24%,0%)+VLOOKUP($C4,配装!$A$2:$S$34,配装!N$1,FALSE)*2.4%</f>
        <v>0.84</v>
      </c>
      <c r="W4" s="51">
        <f>INDEX(音擎!$A$3:$AJ$49,$O4,音擎!F$1)+INDEX(音擎!$A$3:$AJ$49,$O4,音擎!N$1)*$P4+INDEX(驱动盘!$A$3:$AB$21,$R4,驱动盘!E$1)+INDEX(驱动盘!$A$3:$AB$21,$S4,驱动盘!E$1)+INDEX(驱动盘!$A$3:$AB$21,$R4,驱动盘!N$1)*$N4+IF($K4="暴伤",48%,0%)+VLOOKUP($C4,配装!$A$2:$S$34,配装!O$1,FALSE)*4.8%</f>
        <v>1.44</v>
      </c>
      <c r="X4" s="51">
        <f>INDEX(音擎!$A$3:$AJ$49,$O4,音擎!G$1)+INDEX(音擎!$A$3:$AJ$49,$O4,音擎!O$1)*$P4+INDEX(驱动盘!$A$3:$AB$21,$R4,驱动盘!F$1)+INDEX(驱动盘!$A$3:$AB$21,$S4,驱动盘!F$1)+IF($L4="穿透",24%,0%)</f>
        <v>0.32</v>
      </c>
      <c r="Y4" s="51">
        <f>VLOOKUP($C4,配装!$A$2:$S$34,配装!S$1,FALSE)*9</f>
        <v>0</v>
      </c>
      <c r="Z4" s="51">
        <f>INDEX(音擎!$A$3:$AJ$49,$O4,音擎!H$1)+INDEX(音擎!$A$3:$AJ$49,$O4,音擎!P$1)*$P4+INDEX(驱动盘!$A$3:$AB$21,$R4,驱动盘!G$1)+INDEX(驱动盘!$A$3:$AB$21,$R4,驱动盘!O$1)+INDEX(驱动盘!$A$3:$AB$21,$S4,驱动盘!G$1)+IF($K4="精通",92%,0%)+VLOOKUP($C4,配装!$A$2:$S$34,配装!R$1,FALSE)*9%</f>
        <v>0.36</v>
      </c>
      <c r="AA4" s="51">
        <f>INDEX(音擎!$A$3:$AJ$49,$O4,音擎!Q$1)*$P4+IF($M4="掌控",30%,0%)</f>
        <v>0</v>
      </c>
      <c r="AB4" s="51">
        <f>INDEX(音擎!$A$3:$AJ$49,$O4,音擎!U$1)*$P4</f>
        <v>0</v>
      </c>
      <c r="AC4" s="51">
        <f>(1.2+INDEX(角色!$A$3:$DN$40,$D4,角色!$AA$1))*(1+INDEX(音擎!$A$3:$AJ$49,$O4,音擎!J$1)+INDEX(驱动盘!$A$3:$AB$21,$R4,驱动盘!I$1)+INDEX(驱动盘!$A$3:$AB$21,$S4,驱动盘!I$1)+IF($M4="回能",50%,0%))</f>
        <v>1.2</v>
      </c>
      <c r="AD4" s="51">
        <f>INDEX(音擎!$A$3:$AJ$49,$O4,音擎!S$1)</f>
        <v>0</v>
      </c>
      <c r="AE4" s="51">
        <f>INDEX(角色!$A$3:$DN$40,$D4,角色!$AB$1)+INDEX(音擎!$A$3:$AJ$49,$O4,音擎!T$1)*$P4</f>
        <v>0</v>
      </c>
      <c r="AF4" s="51">
        <f>INDEX(角色!$A$3:$DN$39,$D4,角色!$V$1)+INDEX(驱动盘!$A$3:$AB$21,$R4,驱动盘!J$1)+INDEX(驱动盘!$A$3:$AB$21,$S4,驱动盘!J$1)+AA4</f>
        <v>0.16</v>
      </c>
      <c r="AG4" s="51">
        <f>INDEX(角色!$A$3:$DN$40,$D4,角色!$O$1)*(1+INDEX(角色!$A$3:$DN$40,$D4,角色!$P$1)+INDEX(音擎!$A$3:$AJ$49,$O4,音擎!I$1)+INDEX(驱动盘!$A$3:$AB$21,$R4,驱动盘!H$1)+INDEX(驱动盘!$A$3:$AB$21,$S4,驱动盘!H$1)+IF($M4="冲击",18%,0%))</f>
        <v>86</v>
      </c>
      <c r="AH4" s="51">
        <f t="array" ref="AH4">INDEX(角色!$A$3:$DN$40,$D4,角色!$S$1)+$V4</f>
        <v>0.89</v>
      </c>
      <c r="AI4" s="51">
        <f t="array" ref="AI4">INDEX(角色!$A$3:$DN$40,$D4,角色!$T$1)+$W4</f>
        <v>1.94</v>
      </c>
      <c r="AJ4" s="51">
        <f>(INDEX(角色!$A$3:$DN$40,$D4,角色!$K$1)+$Q4)*(1+INDEX(角色!$A$3:$DN$40,$D4,角色!$L$1)+T4)+316+$U4</f>
        <v>2815.42</v>
      </c>
      <c r="AK4" s="51">
        <f>INDEX(角色!$A$3:$DN$40,$D4,角色!$N$1)+INDEX(音擎!$A$3:$AJ$49,$O4,音擎!L$1)*$P4*$AJ4+INDEX(角色!$A$3:$DN$40,$D4,角色!$M$1)*$AJ4+INDEX(驱动盘!$A$3:$AB$21,$R4,驱动盘!L$1)*$N4*$AJ4</f>
        <v>0</v>
      </c>
      <c r="AL4" s="51">
        <f t="shared" ref="AL4:AL6" si="0">AJ4*(1+$AN$17)+$AM$17+AK4</f>
        <v>2815.42</v>
      </c>
      <c r="AM4" s="59">
        <f>INDEX(角色!$A$3:$DN$40,$D4,角色!$R$1)+$Z4+$AO$17</f>
        <v>1.74</v>
      </c>
      <c r="AN4" s="51">
        <f>INDEX(角色!$A$3:$DN$40,$D4,数值!$H$17)+INDEX(音擎!$A$3:$AJ$49,$O4,音擎!$AG$1)*$P4+INDEX(驱动盘!$A$3:$AB$21,$R4,驱动盘!AA$1)*$N4+INDEX(驱动盘!$A$3:$AB$21,$R4,驱动盘!$B$1)+INDEX(驱动盘!$A$3:$AB$21,$S4,驱动盘!$B$1)+IF($L4="属伤",30%,0%)+$AP$17</f>
        <v>0.4</v>
      </c>
      <c r="AO4" s="51">
        <f>VLOOKUP(E4,数值!$R$2:$T$7,2,FALSE)+IFERROR(VLOOKUP(C4,数值!$W$1:$Z$3,2,FALSE),0)</f>
        <v>5</v>
      </c>
      <c r="AP4" s="51">
        <f>1/(MAX($B$8*MAX(1-INDEX(角色!$A$3:$DN$40,$D4,角色!$U$1)-$X4-$AQ$17,0)*MAX(1-$AR$17,0)-$Y4,0)/$A$8+1)</f>
        <v>0.550660792951542</v>
      </c>
      <c r="AQ4" s="51">
        <f>AL4*(1+AM4)*(1+AN4)*AP4*(58/59+$A$4/59)*(1+$AK$17)*(1+$AJ$17)*(1+$AL$17)</f>
        <v>11894.2192951542</v>
      </c>
      <c r="AR4" s="51">
        <f>AO4*AQ4</f>
        <v>59471.0964757709</v>
      </c>
      <c r="AS4" s="51">
        <f>AR4*角色!$DO$13*VLOOKUP(E4,数值!$R$1:$U$7,4,FALSE)/10</f>
        <v>37573.8387533921</v>
      </c>
      <c r="AT4" s="51">
        <f>AL4*(1+AM4)*(1+AN4+云配队!$R$10)*AP4*(58/59+$A$4/59)*(1+$AK$17)*(1+$AJ$17)*(1+$AL$17)</f>
        <v>11894.2192951542</v>
      </c>
      <c r="AU4" s="51">
        <f>450%+云配队!$R6*VLOOKUP(E4,数值!$R$2:$T$7,3,FALSE)*IFERROR(VLOOKUP(C4,数值!$W$1:$Z$3,4,FALSE),1)+云配队!$R$9+IFERROR(VLOOKUP(C4,数值!$W$1:$Z$3,3,FALSE),0)</f>
        <v>6</v>
      </c>
      <c r="AV4" s="51">
        <f>AT4*AU4</f>
        <v>71365.3157709251</v>
      </c>
      <c r="AW4" s="51">
        <f>BC4+BY4+CU4+DQ4+EM4</f>
        <v>0</v>
      </c>
      <c r="AX4" s="51">
        <f>(BD4+BZ4+CV4+DR4+EN4+AC4*$EJ$19)*(1+$AE4)</f>
        <v>0</v>
      </c>
      <c r="AY4" s="51">
        <f>INDEX(角色!$A$3:$DN$40,$D4,角色!AT$1)</f>
        <v>0.5</v>
      </c>
      <c r="AZ4" s="50">
        <f>云配队!M6</f>
        <v>0</v>
      </c>
      <c r="BA4" s="1">
        <f>IFERROR(VLOOKUP(AZ4,数值!$F$3:$H$16,2,FALSE),1)</f>
        <v>1</v>
      </c>
      <c r="BB4" s="1">
        <f>IFERROR(INDEX(角色!$A$3:$DN$39,$D4,BA4+4)+VLOOKUP(AZ4,数值!$F$2:$O$17,10,FALSE),0)</f>
        <v>0</v>
      </c>
      <c r="BC4" s="1">
        <f>BB4+BB5*$AY4+BB6*$AY4</f>
        <v>0</v>
      </c>
      <c r="BD4" s="1">
        <f>BB4*IFERROR(VLOOKUP(AZ4,数值!$F$3:$N$16,9,FALSE),0)+$AD4*BU$9+IFERROR(VLOOKUP($C4&amp;AZ4,数值!$AB$1:$AC$11,2,FALSE),0)</f>
        <v>0</v>
      </c>
      <c r="BE4" s="1">
        <f>IFERROR(INDEX(角色!$A$3:$DN$40,$D4,VLOOKUP(AZ4,数值!$F$3:$H$16,3,FALSE)),0)</f>
        <v>0</v>
      </c>
      <c r="BF4" s="1">
        <f>IFERROR(INDEX(音擎!$A$3:$AJ$49,$O4,VLOOKUP(AZ4,数值!$F$3:$L$16,4,FALSE))*$P4+INDEX(驱动盘!$A$3:$AB$21,$R4,VLOOKUP(AZ4,数值!$F$3:$L$16,5,FALSE))*$N4+INDEX(驱动盘!$A$3:$AB$21,$R4,驱动盘!$B$1)+INDEX(驱动盘!$A$3:$AB$21,$S4,驱动盘!$B$1)+IF($L4="属伤",30%,0%),0)</f>
        <v>0</v>
      </c>
      <c r="BG4" s="1">
        <f>IFERROR(INDEX(角色!$A$3:$DN$40,$D4,VLOOKUP(AZ4,数值!$F$3:$L$16,6,FALSE))+INDEX(音擎!$A$3:$AJ$49,$O4,VLOOKUP(AZ4,数值!$F$3:$L$16,7,FALSE))+INDEX(驱动盘!$A$3:$AC$21,$R4,VLOOKUP(AZ4,数值!$F$3:$M$16,8,FALSE))+BT$17,0)</f>
        <v>0</v>
      </c>
      <c r="BH4" s="1">
        <f>INDEX(角色!$A$3:$DN$39,$D4,BA4)*1.909*IF($G4&gt;=3,IF($G4&gt;=5,1.19,1.095),1)</f>
        <v>0</v>
      </c>
      <c r="BI4" s="1">
        <f>INDEX(角色!$A$3:$DN$39,$D4,BA4+3)</f>
        <v>0</v>
      </c>
      <c r="BJ4" s="1">
        <f>$AB4+INDEX(角色!$A$3:$DN$39,$D4,IFERROR(VLOOKUP(AZ4,数值!$F$3:$P$16,11,FALSE),1))+BK$17</f>
        <v>0</v>
      </c>
      <c r="BK4" s="1">
        <f>BI4*(1+$AF4)*(1+BJ4)*(1+BJ$17)</f>
        <v>0</v>
      </c>
      <c r="BL4" s="1">
        <f>INDEX(角色!$A$3:$DN$39,$D4,BA4+1)*1.4556</f>
        <v>0</v>
      </c>
      <c r="BM4" s="1">
        <f>$AG4*(1+INDEX(音擎!$A$3:$AJ$49,$O4,音擎!$R$1)*$P4+INDEX(角色!$A$3:$DN$40,$D4,角色!$Q$1)+BS$17)</f>
        <v>86</v>
      </c>
      <c r="BN4" s="1">
        <f>INDEX(角色!$A$3:$DN$39,$D4,BA4+2)</f>
        <v>0</v>
      </c>
      <c r="BO4" s="1">
        <f t="shared" ref="BO4:BO6" si="1">BM4*(1+BG4)*BL4%</f>
        <v>0</v>
      </c>
      <c r="BP4" s="1">
        <f t="shared" ref="BP4:BP6" si="2">$AJ4*(1+BM$17)+BL$17+$AK4</f>
        <v>2815.42</v>
      </c>
      <c r="BQ4" s="1">
        <f>BE4+BF4+BN$17</f>
        <v>0</v>
      </c>
      <c r="BR4" s="1">
        <f>MIN($AH4+BO$17,1)</f>
        <v>0.89</v>
      </c>
      <c r="BS4" s="4">
        <f t="shared" ref="BS4:BS6" si="3">$AI4+BP$17</f>
        <v>1.94</v>
      </c>
      <c r="BT4" s="1">
        <f>1/(MAX($B$8*MAX(1-INDEX(角色!$A$3:$DN$40,$D4,角色!$U$1)-$X4-BQ$17,0)*MAX(1-BR$17,0)-$Y4,0)/$A$8+1)</f>
        <v>0.550660792951542</v>
      </c>
      <c r="BU4" s="1">
        <f t="shared" ref="BU4:BU6" si="4">BP4*BH4%*(1+BQ4)*(1+BR4*BS4)*BT4*(1+BH$17)*(1+BI$17)</f>
        <v>0</v>
      </c>
      <c r="BV4" s="50">
        <f>云配队!N6</f>
        <v>0</v>
      </c>
      <c r="BW4" s="1">
        <f>IFERROR(VLOOKUP(BV4,数值!$F$3:$H$16,2,FALSE),1)</f>
        <v>1</v>
      </c>
      <c r="BX4" s="1">
        <f>IFERROR(INDEX(角色!$A$3:$DN$39,$D4,BW4+4)+VLOOKUP(BV4,数值!$F$2:$O$17,10,FALSE),0)</f>
        <v>0</v>
      </c>
      <c r="BY4" s="1">
        <f>BX4+BX5*$AY4+BX6*$AY4</f>
        <v>0</v>
      </c>
      <c r="BZ4" s="1">
        <f>BX4*IFERROR(VLOOKUP(BV4,数值!$F$3:$N$16,9,FALSE),0)+$AD4*CQ$9+IFERROR(VLOOKUP($C4&amp;BV4,数值!$AB$1:$AC$11,2,FALSE),0)</f>
        <v>0</v>
      </c>
      <c r="CA4" s="1">
        <f>IFERROR(INDEX(角色!$A$3:$DN$40,$D4,VLOOKUP(BV4,数值!$F$3:$H$16,3,FALSE)),0)</f>
        <v>0</v>
      </c>
      <c r="CB4" s="1">
        <f>IFERROR(INDEX(音擎!$A$3:$AJ$49,$O4,VLOOKUP(BV4,数值!$F$3:$L$16,4,FALSE))*$P4+INDEX(驱动盘!$A$3:$AB$21,$R4,VLOOKUP(BV4,数值!$F$3:$L$16,5,FALSE))*$N4+INDEX(驱动盘!$A$3:$AB$21,$R4,驱动盘!$B$1)+INDEX(驱动盘!$A$3:$AB$21,$S4,驱动盘!$B$1)+IF($L4="属伤",30%,0%),0)</f>
        <v>0</v>
      </c>
      <c r="CC4" s="1">
        <f>IFERROR(INDEX(角色!$A$3:$DN$40,$D4,VLOOKUP(BV4,数值!$F$3:$L$16,6,FALSE))+INDEX(音擎!$A$3:$AJ$49,$O4,VLOOKUP(BV4,数值!$F$3:$L$16,7,FALSE))+INDEX(驱动盘!$A$3:$AC$21,$R4,VLOOKUP(BV4,数值!$F$3:$M$16,8,FALSE))+CP$17,0)</f>
        <v>0</v>
      </c>
      <c r="CD4" s="1">
        <f>INDEX(角色!$A$3:$DN$39,$D4,BW4)*1.909*IF($G4&gt;=3,IF($G4&gt;=5,1.19,1.095),1)</f>
        <v>0</v>
      </c>
      <c r="CE4" s="1">
        <f>INDEX(角色!$A$3:$DN$39,$D4,BW4+3)</f>
        <v>0</v>
      </c>
      <c r="CF4" s="1">
        <f>$AB4+INDEX(角色!$A$3:$DN$39,$D4,IFERROR(VLOOKUP(BV4,数值!$F$3:$P$16,11,FALSE),1))+CG$17</f>
        <v>0</v>
      </c>
      <c r="CG4" s="1">
        <f t="shared" ref="CG4:CG6" si="5">CE4*(1+$AF4)*(1+CF4)*(1+CF$17)</f>
        <v>0</v>
      </c>
      <c r="CH4" s="1">
        <f>INDEX(角色!$A$3:$DN$39,$D4,BW4+1)*1.4556</f>
        <v>0</v>
      </c>
      <c r="CI4" s="1">
        <f>$AG4*(1+INDEX(音擎!$A$3:$AJ$49,$O4,音擎!$R$1)*$P4+INDEX(角色!$A$3:$DN$40,$D4,角色!$Q$1)+CO$17)</f>
        <v>86</v>
      </c>
      <c r="CJ4" s="1">
        <f>INDEX(角色!$A$3:$DN$39,$D4,BW4+2)</f>
        <v>0</v>
      </c>
      <c r="CK4" s="1">
        <f t="shared" ref="CK4:CK6" si="6">CI4*(1+CC4)*CH4%</f>
        <v>0</v>
      </c>
      <c r="CL4" s="1">
        <f t="shared" ref="CL4:CL6" si="7">$AJ4*(1+CI$17)+CH$17+$AK4</f>
        <v>2815.42</v>
      </c>
      <c r="CM4" s="1">
        <f t="shared" ref="CM4:CM6" si="8">CA4+CB4+CJ$17</f>
        <v>0</v>
      </c>
      <c r="CN4" s="1">
        <f t="shared" ref="CN4:CN6" si="9">MIN($AH4+CK$17,1)</f>
        <v>0.89</v>
      </c>
      <c r="CO4" s="4">
        <f t="shared" ref="CO4:CO6" si="10">$AI4+CL$17</f>
        <v>1.94</v>
      </c>
      <c r="CP4" s="1">
        <f>1/(MAX($B$8*MAX(1-INDEX(角色!$A$3:$DN$40,$D4,角色!$U$1)-$X4-CM$17,0)*MAX(1-CN$17,0)-$Y4,0)/$A$8+1)</f>
        <v>0.550660792951542</v>
      </c>
      <c r="CQ4" s="1">
        <f t="shared" ref="CQ4:CQ6" si="11">CL4*CD4%*(1+CM4)*(1+CN4*CO4)*CP4*(1+CD$17)*(1+CE$17)</f>
        <v>0</v>
      </c>
      <c r="CR4" s="50">
        <f>云配队!O6</f>
        <v>0</v>
      </c>
      <c r="CS4" s="1">
        <f>IFERROR(VLOOKUP(CR4,数值!$F$3:$H$16,2,FALSE),1)</f>
        <v>1</v>
      </c>
      <c r="CT4" s="1">
        <f>IFERROR(INDEX(角色!$A$3:$DN$39,$D4,CS4+4)+VLOOKUP(CR4,数值!$F$2:$O$17,10,FALSE),0)</f>
        <v>0</v>
      </c>
      <c r="CU4" s="1">
        <f>CT4+CT5*$AY4+CT6*$AY4</f>
        <v>0</v>
      </c>
      <c r="CV4" s="1">
        <f>CT4*IFERROR(VLOOKUP(CR4,数值!$F$3:$N$16,9,FALSE),0)+$AD4*DM$9+IFERROR(VLOOKUP($C4&amp;CR4,数值!$AB$1:$AC$11,2,FALSE),0)</f>
        <v>0</v>
      </c>
      <c r="CW4" s="1">
        <f>IFERROR(INDEX(角色!$A$3:$DN$40,$D4,VLOOKUP(CR4,数值!$F$3:$H$16,3,FALSE)),0)</f>
        <v>0</v>
      </c>
      <c r="CX4" s="1">
        <f>IFERROR(INDEX(音擎!$A$3:$AJ$49,$O4,VLOOKUP(CR4,数值!$F$3:$L$16,4,FALSE))*$P4+INDEX(驱动盘!$A$3:$AB$21,$R4,VLOOKUP(CR4,数值!$F$3:$L$16,5,FALSE))*$N4+INDEX(驱动盘!$A$3:$AB$21,$R4,驱动盘!$B$1)+INDEX(驱动盘!$A$3:$AB$21,$S4,驱动盘!$B$1)+IF($L4="属伤",30%,0%),0)</f>
        <v>0</v>
      </c>
      <c r="CY4" s="1">
        <f>IFERROR(INDEX(角色!$A$3:$DN$40,$D4,VLOOKUP(CR4,数值!$F$3:$L$16,6,FALSE))+INDEX(音擎!$A$3:$AJ$49,$O4,VLOOKUP(CR4,数值!$F$3:$L$16,7,FALSE))+INDEX(驱动盘!$A$3:$AC$21,$R4,VLOOKUP(CR4,数值!$F$3:$M$16,8,FALSE))+DL$17,0)</f>
        <v>0</v>
      </c>
      <c r="CZ4" s="1">
        <f>INDEX(角色!$A$3:$DN$39,$D4,CS4)*1.909*IF($G4&gt;=3,IF($G4&gt;=5,1.19,1.095),1)</f>
        <v>0</v>
      </c>
      <c r="DA4" s="1">
        <f>INDEX(角色!$A$3:$DN$39,$D4,CS4+3)</f>
        <v>0</v>
      </c>
      <c r="DB4" s="1">
        <f>$AB4+INDEX(角色!$A$3:$DN$39,$D4,IFERROR(VLOOKUP(CR4,数值!$F$3:$P$16,11,FALSE),1))+DC$17</f>
        <v>0</v>
      </c>
      <c r="DC4" s="1">
        <f t="shared" ref="DC4:DC6" si="12">DA4*(1+$AF4)*(1+DB4)*(1+DB$17)</f>
        <v>0</v>
      </c>
      <c r="DD4" s="1">
        <f>INDEX(角色!$A$3:$DN$39,$D4,CS4+1)*1.4556</f>
        <v>0</v>
      </c>
      <c r="DE4" s="1">
        <f>$AG4*(1+INDEX(音擎!$A$3:$AJ$49,$O4,音擎!$R$1)*$P4+INDEX(角色!$A$3:$DN$40,$D4,角色!$Q$1)+DK$17)</f>
        <v>86</v>
      </c>
      <c r="DF4" s="1">
        <f>INDEX(角色!$A$3:$DN$39,$D4,CS4+2)</f>
        <v>0</v>
      </c>
      <c r="DG4" s="1">
        <f t="shared" ref="DG4:DG6" si="13">DE4*(1+CY4)*DD4%</f>
        <v>0</v>
      </c>
      <c r="DH4" s="1">
        <f t="shared" ref="DH4:DH6" si="14">$AJ4*(1+DE$17)+DD$17+$AK4</f>
        <v>2815.42</v>
      </c>
      <c r="DI4" s="1">
        <f t="shared" ref="DI4:DI6" si="15">CW4+CX4+DF$17</f>
        <v>0</v>
      </c>
      <c r="DJ4" s="1">
        <f t="shared" ref="DJ4:DJ6" si="16">MIN($AH4+DG$17,1)</f>
        <v>0.89</v>
      </c>
      <c r="DK4" s="4">
        <f t="shared" ref="DK4:DK6" si="17">$AI4+DH$17</f>
        <v>1.94</v>
      </c>
      <c r="DL4" s="1">
        <f>1/(MAX($B$8*MAX(1-INDEX(角色!$A$3:$DN$40,$D4,角色!$U$1)-$X4-DI$17,0)*MAX(1-DJ$17,0)-$Y4,0)/$A$8+1)</f>
        <v>0.550660792951542</v>
      </c>
      <c r="DM4" s="1">
        <f t="shared" ref="DM4:DM6" si="18">DH4*CZ4%*(1+DI4)*(1+DJ4*DK4)*DL4*(1+CZ$17)*(1+DA$17)</f>
        <v>0</v>
      </c>
      <c r="DN4" s="50">
        <f>云配队!P6</f>
        <v>0</v>
      </c>
      <c r="DO4" s="1">
        <f>IFERROR(VLOOKUP(DN4,数值!$F$3:$H$16,2,FALSE),1)</f>
        <v>1</v>
      </c>
      <c r="DP4" s="1">
        <f>IFERROR(INDEX(角色!$A$3:$DN$39,$D4,DO4+4)+VLOOKUP(DN4,数值!$F$2:$O$17,10,FALSE),0)</f>
        <v>0</v>
      </c>
      <c r="DQ4" s="1">
        <f>DP4+DP5*$AY4+DP6*$AY4</f>
        <v>0</v>
      </c>
      <c r="DR4" s="1">
        <f>DP4*IFERROR(VLOOKUP(DN4,数值!$F$3:$N$16,9,FALSE),0)+$AD4*EI$9+IFERROR(VLOOKUP($C4&amp;DN4,数值!$AB$1:$AC$11,2,FALSE),0)</f>
        <v>0</v>
      </c>
      <c r="DS4" s="1">
        <f>IFERROR(INDEX(角色!$A$3:$DN$40,$D4,VLOOKUP(DN4,数值!$F$3:$H$16,3,FALSE)),0)</f>
        <v>0</v>
      </c>
      <c r="DT4" s="1">
        <f>IFERROR(INDEX(音擎!$A$3:$AJ$49,$O4,VLOOKUP(DN4,数值!$F$3:$L$16,4,FALSE))*$P4+INDEX(驱动盘!$A$3:$AB$21,$R4,VLOOKUP(DN4,数值!$F$3:$L$16,5,FALSE))*$N4+INDEX(驱动盘!$A$3:$AB$21,$R4,驱动盘!$B$1)+INDEX(驱动盘!$A$3:$AB$21,$S4,驱动盘!$B$1)+IF($L4="属伤",30%,0%),0)</f>
        <v>0</v>
      </c>
      <c r="DU4" s="1">
        <f>IFERROR(INDEX(角色!$A$3:$DN$40,$D4,VLOOKUP(DN4,数值!$F$3:$L$16,6,FALSE))+INDEX(音擎!$A$3:$AJ$49,$O4,VLOOKUP(DN4,数值!$F$3:$L$16,7,FALSE))+INDEX(驱动盘!$A$3:$AC$21,$R4,VLOOKUP(DN4,数值!$F$3:$M$16,8,FALSE))+EH$17,0)</f>
        <v>0</v>
      </c>
      <c r="DV4" s="1">
        <f>INDEX(角色!$A$3:$DN$39,$D4,DO4)*1.909*IF($G4&gt;=3,IF($G4&gt;=5,1.19,1.095),1)</f>
        <v>0</v>
      </c>
      <c r="DW4" s="1">
        <f>INDEX(角色!$A$3:$DN$39,$D4,DO4+3)</f>
        <v>0</v>
      </c>
      <c r="DX4" s="1">
        <f>$AB4+INDEX(角色!$A$3:$DN$39,$D4,IFERROR(VLOOKUP(DN4,数值!$F$3:$P$16,11,FALSE),1))+DY$17</f>
        <v>0</v>
      </c>
      <c r="DY4" s="1">
        <f t="shared" ref="DY4:DY6" si="19">DW4*(1+$AF4)*(1+DX4)*(1+DX$17)</f>
        <v>0</v>
      </c>
      <c r="DZ4" s="1">
        <f>INDEX(角色!$A$3:$DN$39,$D4,DO4+1)*1.4556</f>
        <v>0</v>
      </c>
      <c r="EA4" s="1">
        <f>$AG4*(1+INDEX(音擎!$A$3:$AJ$49,$O4,音擎!$R$1)*$P4+INDEX(角色!$A$3:$DN$40,$D4,角色!$Q$1)+EG$17)</f>
        <v>86</v>
      </c>
      <c r="EB4" s="1">
        <f>INDEX(角色!$A$3:$DN$39,$D4,DO4+2)</f>
        <v>0</v>
      </c>
      <c r="EC4" s="1">
        <f t="shared" ref="EC4:EC6" si="20">EA4*(1+DU4)*DZ4%</f>
        <v>0</v>
      </c>
      <c r="ED4" s="1">
        <f t="shared" ref="ED4:ED6" si="21">$AJ4*(1+EA$17)+DZ$17+$AK4</f>
        <v>2815.42</v>
      </c>
      <c r="EE4" s="1">
        <f t="shared" ref="EE4:EE6" si="22">DS4+DT4+EB$17</f>
        <v>0</v>
      </c>
      <c r="EF4" s="1">
        <f t="shared" ref="EF4:EF6" si="23">MIN($AH4+EC$17,1)</f>
        <v>0.89</v>
      </c>
      <c r="EG4" s="4">
        <f t="shared" ref="EG4:EG6" si="24">$AI4+ED$17</f>
        <v>1.94</v>
      </c>
      <c r="EH4" s="1">
        <f>1/(MAX($B$8*MAX(1-INDEX(角色!$A$3:$DN$40,$D4,角色!$U$1)-$X4-EE$17,0)*MAX(1-EF$17,0)-$Y4,0)/$A$8+1)</f>
        <v>0.550660792951542</v>
      </c>
      <c r="EI4" s="1">
        <f t="shared" ref="EI4:EI6" si="25">ED4*DV4%*(1+EE4)*(1+EF4*EG4)*EH4*(1+DV$17)*(1+DW$17)</f>
        <v>0</v>
      </c>
      <c r="EJ4" s="50">
        <f>云配队!Q6</f>
        <v>0</v>
      </c>
      <c r="EK4" s="1">
        <f>IFERROR(VLOOKUP(EJ4,数值!$F$3:$H$16,2,FALSE),1)</f>
        <v>1</v>
      </c>
      <c r="EL4" s="1">
        <f>IFERROR(INDEX(角色!$A$3:$DN$39,$D4,EK4+4)+VLOOKUP(EJ4,数值!$F$2:$O$17,10,FALSE),0)</f>
        <v>0</v>
      </c>
      <c r="EM4" s="1">
        <f>EL4+EL5*$AY4+EL6*$AY4</f>
        <v>0</v>
      </c>
      <c r="EN4" s="1">
        <f>EL4*IFERROR(VLOOKUP(EJ4,数值!$F$3:$N$16,9,FALSE),0)+$AD4*FE$9+IFERROR(VLOOKUP($C4&amp;EJ4,数值!$AB$1:$AC$11,2,FALSE),0)</f>
        <v>0</v>
      </c>
      <c r="EO4" s="1">
        <f>IFERROR(INDEX(角色!$A$3:$DN$40,$D4,VLOOKUP(EJ4,数值!$F$3:$H$16,3,FALSE)),0)</f>
        <v>0</v>
      </c>
      <c r="EP4" s="1">
        <f>IFERROR(INDEX(音擎!$A$3:$AJ$49,$O4,VLOOKUP(EJ4,数值!$F$3:$L$16,4,FALSE))*$P4+INDEX(驱动盘!$A$3:$AB$21,$R4,VLOOKUP(EJ4,数值!$F$3:$L$16,5,FALSE))*$N4+INDEX(驱动盘!$A$3:$AB$21,$R4,驱动盘!$B$1)+INDEX(驱动盘!$A$3:$AB$21,$S4,驱动盘!$B$1)+IF($L4="属伤",30%,0%),0)</f>
        <v>0</v>
      </c>
      <c r="EQ4" s="1">
        <f>IFERROR(INDEX(角色!$A$3:$DN$40,$D4,VLOOKUP(EJ4,数值!$F$3:$L$16,6,FALSE))+INDEX(音擎!$A$3:$AJ$49,$O4,VLOOKUP(EJ4,数值!$F$3:$L$16,7,FALSE))+INDEX(驱动盘!$A$3:$AC$21,$R4,VLOOKUP(EJ4,数值!$F$3:$M$16,8,FALSE))+FD$17,0)</f>
        <v>0</v>
      </c>
      <c r="ER4" s="1">
        <f>INDEX(角色!$A$3:$DN$39,$D4,EK4)*1.909*IF($G4&gt;=3,IF($G4&gt;=5,1.19,1.095),1)</f>
        <v>0</v>
      </c>
      <c r="ES4" s="1">
        <f>INDEX(角色!$A$3:$DN$39,$D4,EK4+3)</f>
        <v>0</v>
      </c>
      <c r="ET4" s="1">
        <f>$AB4+INDEX(角色!$A$3:$DN$39,$D4,IFERROR(VLOOKUP(EJ4,数值!$F$3:$P$16,11,FALSE),1))+EU$17</f>
        <v>0</v>
      </c>
      <c r="EU4" s="1">
        <f t="shared" ref="EU4:EU6" si="26">ES4*(1+$AF4)*(1+ET4)*(1+ET$17)</f>
        <v>0</v>
      </c>
      <c r="EV4" s="1">
        <f>INDEX(角色!$A$3:$DN$39,$D4,EK4+1)*1.4556</f>
        <v>0</v>
      </c>
      <c r="EW4" s="1">
        <f>$AG4*(1+INDEX(音擎!$A$3:$AJ$49,$O4,音擎!$R$1)*$P4+INDEX(角色!$A$3:$DN$40,$D4,角色!$Q$1)+FC$17)</f>
        <v>86</v>
      </c>
      <c r="EX4" s="1">
        <f>INDEX(角色!$A$3:$DN$39,$D4,EK4+2)</f>
        <v>0</v>
      </c>
      <c r="EY4" s="1">
        <f t="shared" ref="EY4:EY6" si="27">EW4*(1+EQ4)*EV4%</f>
        <v>0</v>
      </c>
      <c r="EZ4" s="1">
        <f t="shared" ref="EZ4:EZ6" si="28">$AJ4*(1+EW$17)+EV$17+$AK4</f>
        <v>2815.42</v>
      </c>
      <c r="FA4" s="1">
        <f t="shared" ref="FA4:FA6" si="29">EO4+EP4+EX$17</f>
        <v>0</v>
      </c>
      <c r="FB4" s="1">
        <f t="shared" ref="FB4:FB6" si="30">MIN($AH4+EY$17,1)</f>
        <v>0.89</v>
      </c>
      <c r="FC4" s="4">
        <f t="shared" ref="FC4:FC6" si="31">$AI4+EZ$17</f>
        <v>1.94</v>
      </c>
      <c r="FD4" s="1">
        <f>1/(MAX($B$8*MAX(1-INDEX(角色!$A$3:$DN$40,$D4,角色!$U$1)-$X4-FA$17,0)*MAX(1-FB$17,0)-$Y4,0)/$A$8+1)</f>
        <v>0.550660792951542</v>
      </c>
      <c r="FE4" s="1">
        <f>EZ4*ER4%*(1+FA4)*(1+FB4*FC4)*FD4*(1+ER$17)*(1+ES$17)</f>
        <v>0</v>
      </c>
    </row>
    <row r="5" customHeight="1" spans="2:161">
      <c r="B5" s="1" t="s">
        <v>5</v>
      </c>
      <c r="C5" s="50" t="str">
        <f>云配队!F7</f>
        <v>版机</v>
      </c>
      <c r="D5" s="1">
        <f>MATCH(C5,角色!$F$3:$F$40,0)</f>
        <v>17</v>
      </c>
      <c r="E5" s="51" t="str">
        <f>INDEX(角色!$A$3:$DN$40,$D5,角色!H$1)</f>
        <v>电</v>
      </c>
      <c r="F5" s="51" t="str">
        <f>INDEX(角色!$A$3:$DN$40,$D5,角色!I$1)</f>
        <v>防卫军</v>
      </c>
      <c r="G5" s="51">
        <f>INDEX(角色!$A$3:$DN$40,$D5,角色!J$1)</f>
        <v>0</v>
      </c>
      <c r="H5" s="51" t="str">
        <f>VLOOKUP($C5,配装!$A$2:$S$34,配装!$D$1,FALSE)</f>
        <v>索魂影眸</v>
      </c>
      <c r="I5" s="51" t="str">
        <f>VLOOKUP($C5,配装!$A$2:$S$34,配装!G$1,FALSE)</f>
        <v>如影相随</v>
      </c>
      <c r="J5" s="51" t="str">
        <f>VLOOKUP($C5,配装!$A$2:$S$34,配装!J$1,FALSE)</f>
        <v>震星迪斯科</v>
      </c>
      <c r="K5" s="51" t="str">
        <f>VLOOKUP($C5,配装!$A$2:$S$34,配装!K$1,FALSE)</f>
        <v>暴击</v>
      </c>
      <c r="L5" s="51" t="str">
        <f>VLOOKUP($C5,配装!$A$2:$S$34,配装!L$1,FALSE)</f>
        <v>属伤</v>
      </c>
      <c r="M5" s="51" t="str">
        <f>VLOOKUP($C5,配装!$A$2:$S$34,配装!M$1,FALSE)</f>
        <v>冲击</v>
      </c>
      <c r="N5" s="51">
        <f>VLOOKUP($C5,配装!$A$2:$S$34,配装!$H$1,FALSE)</f>
        <v>1</v>
      </c>
      <c r="O5" s="51">
        <f>MATCH(H5,音擎!$A$3:$A$49,0)</f>
        <v>26</v>
      </c>
      <c r="P5" s="51">
        <f>VLOOKUP($C5,配装!$A$2:$N$34,配装!$E$1,FALSE)</f>
        <v>1</v>
      </c>
      <c r="Q5" s="51">
        <f>INDEX(音擎!$A$3:$AK$54,O5,音擎!$C$1)</f>
        <v>713</v>
      </c>
      <c r="R5" s="51">
        <f>MATCH(I5,驱动盘!$A$3:$A$21,0)</f>
        <v>10</v>
      </c>
      <c r="S5" s="51">
        <f>MATCH(J5,驱动盘!$A$3:$A$21,0)</f>
        <v>13</v>
      </c>
      <c r="T5" s="51">
        <f>INDEX(音擎!$A$3:$AJ$49,$O5,音擎!D$1)+INDEX(驱动盘!$A$3:$AB$21,$R5,驱动盘!C$1)+INDEX(驱动盘!$A$3:$AB$21,$S5,驱动盘!C$1)+IF($K5="攻击",30%,0%)+IF($L5="攻击",30%,0%)+IF($M5="攻击",30%,0%)+VLOOKUP($C5,配装!$A$2:$S$34,配装!P$1,FALSE)*3%</f>
        <v>0.24</v>
      </c>
      <c r="U5" s="51">
        <f>VLOOKUP($C5,配装!$A$2:$S$34,配装!Q$1,FALSE)*22</f>
        <v>0</v>
      </c>
      <c r="V5" s="51">
        <f>INDEX(音擎!$A$3:$AJ$49,$O5,音擎!E$1)+INDEX(音擎!$A$3:$AJ$49,$O5,音擎!M$1)*$P5+INDEX(驱动盘!$A$3:$AB$21,$R5,驱动盘!D$1)+INDEX(驱动盘!$A$3:$AB$21,$S5,驱动盘!D$1)+INDEX(驱动盘!$A$3:$AB$21,$R5,驱动盘!M$1)*$N5+IF($K5="暴击",24%,0%)+VLOOKUP($C5,配装!$A$2:$S$34,配装!N$1,FALSE)*2.4%</f>
        <v>0.84</v>
      </c>
      <c r="W5" s="51">
        <f>INDEX(音擎!$A$3:$AJ$49,$O5,音擎!F$1)+INDEX(音擎!$A$3:$AJ$49,$O5,音擎!N$1)*$P5+INDEX(驱动盘!$A$3:$AB$21,$R5,驱动盘!E$1)+INDEX(驱动盘!$A$3:$AB$21,$S5,驱动盘!E$1)+INDEX(驱动盘!$A$3:$AB$21,$R5,驱动盘!N$1)*$N5+IF($K5="暴伤",48%,0%)+VLOOKUP($C5,配装!$A$2:$S$34,配装!O$1,FALSE)*4.8%</f>
        <v>0.48</v>
      </c>
      <c r="X5" s="51">
        <f>INDEX(音擎!$A$3:$AJ$49,$O5,音擎!G$1)+INDEX(音擎!$A$3:$AJ$49,$O5,音擎!O$1)*$P5+INDEX(驱动盘!$A$3:$AB$21,$R5,驱动盘!F$1)+INDEX(驱动盘!$A$3:$AB$21,$S5,驱动盘!F$1)+IF($L5="穿透",24%,0%)</f>
        <v>0</v>
      </c>
      <c r="Y5" s="51">
        <f>VLOOKUP($C5,配装!$A$2:$S$34,配装!S$1,FALSE)*9</f>
        <v>0</v>
      </c>
      <c r="Z5" s="51">
        <f>INDEX(音擎!$A$3:$AJ$49,$O5,音擎!H$1)+INDEX(音擎!$A$3:$AJ$49,$O5,音擎!P$1)*$P5+INDEX(驱动盘!$A$3:$AB$21,$R5,驱动盘!G$1)+INDEX(驱动盘!$A$3:$AB$21,$R5,驱动盘!O$1)+INDEX(驱动盘!$A$3:$AB$21,$S5,驱动盘!G$1)+IF($K5="精通",92%,0%)+VLOOKUP($C5,配装!$A$2:$S$34,配装!R$1,FALSE)*9%</f>
        <v>0</v>
      </c>
      <c r="AA5" s="51">
        <f>INDEX(音擎!$A$3:$AJ$49,$O5,音擎!Q$1)*$P5+IF($M5="掌控",30%,0%)</f>
        <v>0</v>
      </c>
      <c r="AB5" s="51">
        <f>INDEX(音擎!$A$3:$AJ$49,$O5,音擎!U$1)*$P5</f>
        <v>0</v>
      </c>
      <c r="AC5" s="51">
        <f>(1.2+INDEX(角色!$A$3:$DN$40,$D5,角色!$AA$1))*(1+INDEX(音擎!$A$3:$AJ$49,$O5,音擎!J$1)+INDEX(驱动盘!$A$3:$AB$21,$R5,驱动盘!I$1)+INDEX(驱动盘!$A$3:$AB$21,$S5,驱动盘!I$1)+IF($M5="回能",50%,0%))</f>
        <v>1.2</v>
      </c>
      <c r="AD5" s="51">
        <f>INDEX(音擎!$A$3:$AJ$49,$O5,音擎!S$1)</f>
        <v>0</v>
      </c>
      <c r="AE5" s="51">
        <f>INDEX(角色!$A$3:$DN$40,$D5,角色!$AB$1)+INDEX(音擎!$A$3:$AJ$49,$O5,音擎!T$1)*$P5</f>
        <v>0</v>
      </c>
      <c r="AF5" s="51">
        <f>INDEX(角色!$A$3:$DN$39,$D5,角色!$V$1)+INDEX(驱动盘!$A$3:$AB$21,$R5,驱动盘!J$1)+INDEX(驱动盘!$A$3:$AB$21,$S5,驱动盘!J$1)+AA5</f>
        <v>-0.04</v>
      </c>
      <c r="AG5" s="51">
        <f>INDEX(角色!$A$3:$DN$40,$D5,角色!$O$1)*(1+INDEX(角色!$A$3:$DN$40,$D5,角色!$P$1)+INDEX(音擎!$A$3:$AJ$49,$O5,音擎!I$1)+INDEX(驱动盘!$A$3:$AB$21,$R5,驱动盘!H$1)+INDEX(驱动盘!$A$3:$AB$21,$S5,驱动盘!H$1)+IF($M5="冲击",18%,0%))</f>
        <v>162.44</v>
      </c>
      <c r="AH5" s="51">
        <f t="array" ref="AH5">INDEX(角色!$A$3:$DN$40,$D5,角色!$S$1)+$V5</f>
        <v>0.89</v>
      </c>
      <c r="AI5" s="51">
        <f t="array" ref="AI5">INDEX(角色!$A$3:$DN$40,$D5,角色!$T$1)+$W5</f>
        <v>0.98</v>
      </c>
      <c r="AJ5" s="51">
        <f>(INDEX(角色!$A$3:$DN$40,$D5,角色!$K$1)+$Q5)*(1+INDEX(角色!$A$3:$DN$40,$D5,角色!$L$1)+T5)+316+$U5</f>
        <v>2130.12</v>
      </c>
      <c r="AK5" s="51">
        <f>INDEX(角色!$A$3:$DN$40,$D5,角色!$N$1)+INDEX(音擎!$A$3:$AJ$49,$O5,音擎!L$1)*$P5*$AJ5+INDEX(角色!$A$3:$DN$40,$D5,角色!$M$1)*$AJ5+INDEX(驱动盘!$A$3:$AB$21,$R5,驱动盘!L$1)*$N5*$AJ5</f>
        <v>255.6144</v>
      </c>
      <c r="AL5" s="51">
        <f t="shared" si="0"/>
        <v>2385.7344</v>
      </c>
      <c r="AM5" s="59">
        <f>INDEX(角色!$A$3:$DN$40,$D5,角色!$R$1)+$Z5+$AO$17</f>
        <v>-0.05</v>
      </c>
      <c r="AN5" s="51">
        <f>INDEX(角色!$A$3:$DN$40,$D5,数值!$H$17)+INDEX(音擎!$A$3:$AJ$49,$O5,音擎!$AG$1)*$P5+INDEX(驱动盘!$A$3:$AB$21,$R5,驱动盘!AA$1)*$N5+INDEX(驱动盘!$A$3:$AB$21,$R5,驱动盘!$B$1)+INDEX(驱动盘!$A$3:$AB$21,$S5,驱动盘!$B$1)+IF($L5="属伤",30%,0%)+$AP$17</f>
        <v>0.3</v>
      </c>
      <c r="AO5" s="51">
        <f>VLOOKUP(E5,数值!$R$2:$T$7,2,FALSE)+IFERROR(VLOOKUP(C5,数值!$W$1:$Z$3,2,FALSE),0)</f>
        <v>1.25</v>
      </c>
      <c r="AP5" s="51">
        <f>1/(MAX($B$8*MAX(1-INDEX(角色!$A$3:$DN$40,$D5,角色!$U$1)-$X5-$AQ$17,0)*MAX(1-$AR$17,0)-$Y5,0)/$A$8+1)</f>
        <v>0.454545454545455</v>
      </c>
      <c r="AQ5" s="51">
        <f>AL5*(1+AM5)*(1+AN5)*AP5*(58/59+$A$4/59)*(1+$AK$17)*(1+$AJ$17)*(1+$AL$17)</f>
        <v>2678.52907636364</v>
      </c>
      <c r="AR5" s="51">
        <f t="shared" ref="AR4:AR6" si="32">AO5*AQ5</f>
        <v>3348.16134545454</v>
      </c>
      <c r="AS5" s="51">
        <f>AR5*角色!$DO$13*VLOOKUP(E5,数值!$R$1:$U$7,4,FALSE)/10</f>
        <v>6267.75803869091</v>
      </c>
      <c r="AT5" s="51">
        <f>AL5*(1+AM5)*(1+AN5+云配队!$R$10)*AP5*(58/59+$A$4/59)*(1+$AK$17)*(1+$AJ$17)*(1+$AL$17)</f>
        <v>2678.52907636364</v>
      </c>
      <c r="AU5" s="51">
        <f>450%+云配队!$R7*VLOOKUP(E5,数值!$R$2:$T$7,3,FALSE)*IFERROR(VLOOKUP(C5,数值!$W$1:$Z$3,4,FALSE),1)+云配队!$R$9+IFERROR(VLOOKUP(C5,数值!$W$1:$Z$3,3,FALSE),0)</f>
        <v>4.5</v>
      </c>
      <c r="AV5" s="51">
        <f t="shared" ref="AV4:AV6" si="33">AT5*AU5</f>
        <v>12053.3808436364</v>
      </c>
      <c r="AW5" s="51">
        <f>BC5+BY5+CU5+DQ5+EM5</f>
        <v>0</v>
      </c>
      <c r="AX5" s="51">
        <f t="shared" ref="AX4:AX6" si="34">(BD5+BZ5+CV5+DR5+EN5+AC5*$EJ$19)*(1+$AE5)</f>
        <v>0</v>
      </c>
      <c r="AY5" s="51">
        <f>INDEX(角色!$A$3:$DN$40,$D5,角色!AT$1)</f>
        <v>0.5</v>
      </c>
      <c r="AZ5" s="50">
        <f>云配队!M7</f>
        <v>0</v>
      </c>
      <c r="BA5" s="1">
        <f>IFERROR(VLOOKUP(AZ5,数值!$F$3:$H$16,2,FALSE),1)</f>
        <v>1</v>
      </c>
      <c r="BB5" s="1">
        <f>IFERROR(INDEX(角色!$A$3:$DN$39,$D5,BA5+4)+VLOOKUP(AZ5,数值!$F$2:$O$17,10,FALSE),0)</f>
        <v>0</v>
      </c>
      <c r="BC5" s="1">
        <f>BB5+BB6*$AY5+BB4*$AY5</f>
        <v>0</v>
      </c>
      <c r="BD5" s="1">
        <f>BB5*IFERROR(VLOOKUP(AZ5,数值!$F$3:$N$16,9,FALSE),0)+$AD5*BU$9+IFERROR(VLOOKUP($C5&amp;AZ5,数值!$AB$1:$AC$11,2,FALSE),0)</f>
        <v>0</v>
      </c>
      <c r="BE5" s="1">
        <f>IFERROR(INDEX(角色!$A$3:$DN$40,$D5,VLOOKUP(AZ5,数值!$F$3:$H$16,3,FALSE)),0)</f>
        <v>0</v>
      </c>
      <c r="BF5" s="1">
        <f>IFERROR(INDEX(音擎!$A$3:$AJ$49,$O5,VLOOKUP(AZ5,数值!$F$3:$L$16,4,FALSE))*$P5+INDEX(驱动盘!$A$3:$AB$21,$R5,VLOOKUP(AZ5,数值!$F$3:$L$16,5,FALSE))*$N5+INDEX(驱动盘!$A$3:$AB$21,$R5,驱动盘!$B$1)+INDEX(驱动盘!$A$3:$AB$21,$S5,驱动盘!$B$1)+IF($L5="属伤",30%,0%),0)</f>
        <v>0</v>
      </c>
      <c r="BG5" s="1">
        <f>IFERROR(INDEX(角色!$A$3:$DN$40,$D5,VLOOKUP(AZ5,数值!$F$3:$L$16,6,FALSE))+INDEX(音擎!$A$3:$AJ$49,$O5,VLOOKUP(AZ5,数值!$F$3:$L$16,7,FALSE))+INDEX(驱动盘!$A$3:$AC$21,$R5,VLOOKUP(AZ5,数值!$F$3:$M$16,8,FALSE))+BT$17,0)</f>
        <v>0</v>
      </c>
      <c r="BH5" s="1">
        <f>INDEX(角色!$A$3:$DN$39,$D5,BA5)*1.909*IF($G5&gt;=3,IF($G5&gt;=5,1.19,1.095),1)</f>
        <v>0</v>
      </c>
      <c r="BI5" s="1">
        <f>INDEX(角色!$A$3:$DN$39,$D5,BA5+3)</f>
        <v>0</v>
      </c>
      <c r="BJ5" s="1">
        <f>$AB5+INDEX(角色!$A$3:$DN$39,$D5,IFERROR(VLOOKUP(AZ5,数值!$F$3:$P$16,11,FALSE),1))+BK$17</f>
        <v>0</v>
      </c>
      <c r="BK5" s="1">
        <f>BI5*(1+$AF5)*(1+BJ5)*(1+BJ$17)</f>
        <v>0</v>
      </c>
      <c r="BL5" s="1">
        <f>INDEX(角色!$A$3:$DN$39,$D5,BA5+1)*1.4556</f>
        <v>0</v>
      </c>
      <c r="BM5" s="1">
        <f>$AG5*(1+INDEX(音擎!$A$3:$AJ$49,$O5,音擎!$R$1)*$P5+INDEX(角色!$A$3:$DN$40,$D5,角色!$Q$1)+BS$17)</f>
        <v>194.928</v>
      </c>
      <c r="BN5" s="1">
        <f>INDEX(角色!$A$3:$DN$39,$D5,BA5+2)</f>
        <v>0</v>
      </c>
      <c r="BO5" s="1">
        <f t="shared" si="1"/>
        <v>0</v>
      </c>
      <c r="BP5" s="1">
        <f t="shared" si="2"/>
        <v>2385.7344</v>
      </c>
      <c r="BQ5" s="1">
        <f t="shared" ref="BQ4:BQ6" si="35">BE5+BF5+BN$17</f>
        <v>0</v>
      </c>
      <c r="BR5" s="1">
        <f t="shared" ref="BR4:BR6" si="36">MIN($AH5+BO$17,1)</f>
        <v>0.89</v>
      </c>
      <c r="BS5" s="4">
        <f t="shared" si="3"/>
        <v>0.98</v>
      </c>
      <c r="BT5" s="64">
        <f>1/(MAX($B$8*MAX(1-INDEX(角色!$A$3:$DN$40,$D5,角色!$U$1)-$X5-BQ$17,0)*MAX(1-BR$17,0)-$Y5,0)/$A$8+1)</f>
        <v>0.454545454545455</v>
      </c>
      <c r="BU5" s="1">
        <f t="shared" si="4"/>
        <v>0</v>
      </c>
      <c r="BV5" s="50">
        <f>云配队!N7</f>
        <v>0</v>
      </c>
      <c r="BW5" s="1">
        <f>IFERROR(VLOOKUP(BV5,数值!$F$3:$H$16,2,FALSE),1)</f>
        <v>1</v>
      </c>
      <c r="BX5" s="1">
        <f>IFERROR(INDEX(角色!$A$3:$DN$39,$D5,BW5+4)+VLOOKUP(BV5,数值!$F$2:$O$17,10,FALSE),0)</f>
        <v>0</v>
      </c>
      <c r="BY5" s="1">
        <f>BX5+BX6*$AY5+BX4*$AY5</f>
        <v>0</v>
      </c>
      <c r="BZ5" s="1">
        <f>BX5*IFERROR(VLOOKUP(BV5,数值!$F$3:$N$16,9,FALSE),0)+$AD5*CQ$9+IFERROR(VLOOKUP($C5&amp;BV5,数值!$AB$1:$AC$11,2,FALSE),0)</f>
        <v>0</v>
      </c>
      <c r="CA5" s="1">
        <f>IFERROR(INDEX(角色!$A$3:$DN$40,$D5,VLOOKUP(BV5,数值!$F$3:$H$16,3,FALSE)),0)</f>
        <v>0</v>
      </c>
      <c r="CB5" s="1">
        <f>IFERROR(INDEX(音擎!$A$3:$AJ$49,$O5,VLOOKUP(BV5,数值!$F$3:$L$16,4,FALSE))*$P5+INDEX(驱动盘!$A$3:$AB$21,$R5,VLOOKUP(BV5,数值!$F$3:$L$16,5,FALSE))*$N5+INDEX(驱动盘!$A$3:$AB$21,$R5,驱动盘!$B$1)+INDEX(驱动盘!$A$3:$AB$21,$S5,驱动盘!$B$1)+IF($L5="属伤",30%,0%),0)</f>
        <v>0</v>
      </c>
      <c r="CC5" s="1">
        <f>IFERROR(INDEX(角色!$A$3:$DN$40,$D5,VLOOKUP(BV5,数值!$F$3:$L$16,6,FALSE))+INDEX(音擎!$A$3:$AJ$49,$O5,VLOOKUP(BV5,数值!$F$3:$L$16,7,FALSE))+INDEX(驱动盘!$A$3:$AC$21,$R5,VLOOKUP(BV5,数值!$F$3:$M$16,8,FALSE))+CP$17,0)</f>
        <v>0</v>
      </c>
      <c r="CD5" s="1">
        <f>INDEX(角色!$A$3:$DN$39,$D5,BW5)*1.909*IF($G5&gt;=3,IF($G5&gt;=5,1.19,1.095),1)</f>
        <v>0</v>
      </c>
      <c r="CE5" s="1">
        <f>INDEX(角色!$A$3:$DN$39,$D5,BW5+3)</f>
        <v>0</v>
      </c>
      <c r="CF5" s="1">
        <f>$AB5+INDEX(角色!$A$3:$DN$39,$D5,IFERROR(VLOOKUP(BV5,数值!$F$3:$P$16,11,FALSE),1))+CG$17</f>
        <v>0</v>
      </c>
      <c r="CG5" s="1">
        <f t="shared" si="5"/>
        <v>0</v>
      </c>
      <c r="CH5" s="1">
        <f>INDEX(角色!$A$3:$DN$39,$D5,BW5+1)*1.4556</f>
        <v>0</v>
      </c>
      <c r="CI5" s="1">
        <f>$AG5*(1+INDEX(音擎!$A$3:$AJ$49,$O5,音擎!$R$1)*$P5+INDEX(角色!$A$3:$DN$40,$D5,角色!$Q$1)+CO$17)</f>
        <v>194.928</v>
      </c>
      <c r="CJ5" s="1">
        <f>INDEX(角色!$A$3:$DN$39,$D5,BW5+2)</f>
        <v>0</v>
      </c>
      <c r="CK5" s="1">
        <f t="shared" si="6"/>
        <v>0</v>
      </c>
      <c r="CL5" s="1">
        <f t="shared" si="7"/>
        <v>2385.7344</v>
      </c>
      <c r="CM5" s="1">
        <f t="shared" si="8"/>
        <v>0</v>
      </c>
      <c r="CN5" s="1">
        <f t="shared" si="9"/>
        <v>0.89</v>
      </c>
      <c r="CO5" s="4">
        <f t="shared" si="10"/>
        <v>0.98</v>
      </c>
      <c r="CP5" s="1">
        <f>1/(MAX($B$8*MAX(1-INDEX(角色!$A$3:$DN$40,$D5,角色!$U$1)-$X5-CM$17,0)*MAX(1-CN$17,0)-$Y5,0)/$A$8+1)</f>
        <v>0.454545454545455</v>
      </c>
      <c r="CQ5" s="1">
        <f t="shared" si="11"/>
        <v>0</v>
      </c>
      <c r="CR5" s="50">
        <f>云配队!O7</f>
        <v>0</v>
      </c>
      <c r="CS5" s="1">
        <f>IFERROR(VLOOKUP(CR5,数值!$F$3:$H$16,2,FALSE),1)</f>
        <v>1</v>
      </c>
      <c r="CT5" s="1">
        <f>IFERROR(INDEX(角色!$A$3:$DN$39,$D5,CS5+4)+VLOOKUP(CR5,数值!$F$2:$O$17,10,FALSE),0)</f>
        <v>0</v>
      </c>
      <c r="CU5" s="1">
        <f>CT5+CT6*$AY5+CT4*$AY5</f>
        <v>0</v>
      </c>
      <c r="CV5" s="1">
        <f>CT5*IFERROR(VLOOKUP(CR5,数值!$F$3:$N$16,9,FALSE),0)+$AD5*DM$9+IFERROR(VLOOKUP($C5&amp;CR5,数值!$AB$1:$AC$11,2,FALSE),0)</f>
        <v>0</v>
      </c>
      <c r="CW5" s="1">
        <f>IFERROR(INDEX(角色!$A$3:$DN$40,$D5,VLOOKUP(CR5,数值!$F$3:$H$16,3,FALSE)),0)</f>
        <v>0</v>
      </c>
      <c r="CX5" s="1">
        <f>IFERROR(INDEX(音擎!$A$3:$AJ$49,$O5,VLOOKUP(CR5,数值!$F$3:$L$16,4,FALSE))*$P5+INDEX(驱动盘!$A$3:$AB$21,$R5,VLOOKUP(CR5,数值!$F$3:$L$16,5,FALSE))*$N5+INDEX(驱动盘!$A$3:$AB$21,$R5,驱动盘!$B$1)+INDEX(驱动盘!$A$3:$AB$21,$S5,驱动盘!$B$1)+IF($L5="属伤",30%,0%),0)</f>
        <v>0</v>
      </c>
      <c r="CY5" s="1">
        <f>IFERROR(INDEX(角色!$A$3:$DN$40,$D5,VLOOKUP(CR5,数值!$F$3:$L$16,6,FALSE))+INDEX(音擎!$A$3:$AJ$49,$O5,VLOOKUP(CR5,数值!$F$3:$L$16,7,FALSE))+INDEX(驱动盘!$A$3:$AC$21,$R5,VLOOKUP(CR5,数值!$F$3:$M$16,8,FALSE))+DL$17,0)</f>
        <v>0</v>
      </c>
      <c r="CZ5" s="1">
        <f>INDEX(角色!$A$3:$DN$39,$D5,CS5)*1.909*IF($G5&gt;=3,IF($G5&gt;=5,1.19,1.095),1)</f>
        <v>0</v>
      </c>
      <c r="DA5" s="1">
        <f>INDEX(角色!$A$3:$DN$39,$D5,CS5+3)</f>
        <v>0</v>
      </c>
      <c r="DB5" s="1">
        <f>$AB5+INDEX(角色!$A$3:$DN$39,$D5,IFERROR(VLOOKUP(CR5,数值!$F$3:$P$16,11,FALSE),1))+DC$17</f>
        <v>0</v>
      </c>
      <c r="DC5" s="1">
        <f t="shared" si="12"/>
        <v>0</v>
      </c>
      <c r="DD5" s="1">
        <f>INDEX(角色!$A$3:$DN$39,$D5,CS5+1)*1.4556</f>
        <v>0</v>
      </c>
      <c r="DE5" s="1">
        <f>$AG5*(1+INDEX(音擎!$A$3:$AJ$49,$O5,音擎!$R$1)*$P5+INDEX(角色!$A$3:$DN$40,$D5,角色!$Q$1)+DK$17)</f>
        <v>194.928</v>
      </c>
      <c r="DF5" s="1">
        <f>INDEX(角色!$A$3:$DN$39,$D5,CS5+2)</f>
        <v>0</v>
      </c>
      <c r="DG5" s="1">
        <f t="shared" si="13"/>
        <v>0</v>
      </c>
      <c r="DH5" s="1">
        <f t="shared" si="14"/>
        <v>2385.7344</v>
      </c>
      <c r="DI5" s="1">
        <f t="shared" si="15"/>
        <v>0</v>
      </c>
      <c r="DJ5" s="1">
        <f t="shared" si="16"/>
        <v>0.89</v>
      </c>
      <c r="DK5" s="4">
        <f t="shared" si="17"/>
        <v>0.98</v>
      </c>
      <c r="DL5" s="1">
        <f>1/(MAX($B$8*MAX(1-INDEX(角色!$A$3:$DN$40,$D5,角色!$U$1)-$X5-DI$17,0)*MAX(1-DJ$17,0)-$Y5,0)/$A$8+1)</f>
        <v>0.454545454545455</v>
      </c>
      <c r="DM5" s="1">
        <f t="shared" si="18"/>
        <v>0</v>
      </c>
      <c r="DN5" s="50">
        <f>云配队!P7</f>
        <v>0</v>
      </c>
      <c r="DO5" s="1">
        <f>IFERROR(VLOOKUP(DN5,数值!$F$3:$H$16,2,FALSE),1)</f>
        <v>1</v>
      </c>
      <c r="DP5" s="1">
        <f>IFERROR(INDEX(角色!$A$3:$DN$39,$D5,DO5+4)+VLOOKUP(DN5,数值!$F$2:$O$17,10,FALSE),0)</f>
        <v>0</v>
      </c>
      <c r="DQ5" s="1">
        <f>DP5+DP6*$AY5+DP4*$AY5</f>
        <v>0</v>
      </c>
      <c r="DR5" s="1">
        <f>DP5*IFERROR(VLOOKUP(DN5,数值!$F$3:$N$16,9,FALSE),0)+$AD5*EI$9+IFERROR(VLOOKUP($C5&amp;DN5,数值!$AB$1:$AC$11,2,FALSE),0)</f>
        <v>0</v>
      </c>
      <c r="DS5" s="1">
        <f>IFERROR(INDEX(角色!$A$3:$DN$40,$D5,VLOOKUP(DN5,数值!$F$3:$H$16,3,FALSE)),0)</f>
        <v>0</v>
      </c>
      <c r="DT5" s="1">
        <f>IFERROR(INDEX(音擎!$A$3:$AJ$49,$O5,VLOOKUP(DN5,数值!$F$3:$L$16,4,FALSE))*$P5+INDEX(驱动盘!$A$3:$AB$21,$R5,VLOOKUP(DN5,数值!$F$3:$L$16,5,FALSE))*$N5+INDEX(驱动盘!$A$3:$AB$21,$R5,驱动盘!$B$1)+INDEX(驱动盘!$A$3:$AB$21,$S5,驱动盘!$B$1)+IF($L5="属伤",30%,0%),0)</f>
        <v>0</v>
      </c>
      <c r="DU5" s="1">
        <f>IFERROR(INDEX(角色!$A$3:$DN$40,$D5,VLOOKUP(DN5,数值!$F$3:$L$16,6,FALSE))+INDEX(音擎!$A$3:$AJ$49,$O5,VLOOKUP(DN5,数值!$F$3:$L$16,7,FALSE))+INDEX(驱动盘!$A$3:$AC$21,$R5,VLOOKUP(DN5,数值!$F$3:$M$16,8,FALSE))+EH$17,0)</f>
        <v>0</v>
      </c>
      <c r="DV5" s="1">
        <f>INDEX(角色!$A$3:$DN$39,$D5,DO5)*1.909*IF($G5&gt;=3,IF($G5&gt;=5,1.19,1.095),1)</f>
        <v>0</v>
      </c>
      <c r="DW5" s="1">
        <f>INDEX(角色!$A$3:$DN$39,$D5,DO5+3)</f>
        <v>0</v>
      </c>
      <c r="DX5" s="1">
        <f>$AB5+INDEX(角色!$A$3:$DN$39,$D5,IFERROR(VLOOKUP(DN5,数值!$F$3:$P$16,11,FALSE),1))+DY$17</f>
        <v>0</v>
      </c>
      <c r="DY5" s="1">
        <f t="shared" si="19"/>
        <v>0</v>
      </c>
      <c r="DZ5" s="1">
        <f>INDEX(角色!$A$3:$DN$39,$D5,DO5+1)*1.4556</f>
        <v>0</v>
      </c>
      <c r="EA5" s="1">
        <f>$AG5*(1+INDEX(音擎!$A$3:$AJ$49,$O5,音擎!$R$1)*$P5+INDEX(角色!$A$3:$DN$40,$D5,角色!$Q$1)+EG$17)</f>
        <v>194.928</v>
      </c>
      <c r="EB5" s="1">
        <f>INDEX(角色!$A$3:$DN$39,$D5,DO5+2)</f>
        <v>0</v>
      </c>
      <c r="EC5" s="1">
        <f t="shared" si="20"/>
        <v>0</v>
      </c>
      <c r="ED5" s="1">
        <f t="shared" si="21"/>
        <v>2385.7344</v>
      </c>
      <c r="EE5" s="1">
        <f t="shared" si="22"/>
        <v>0</v>
      </c>
      <c r="EF5" s="1">
        <f t="shared" si="23"/>
        <v>0.89</v>
      </c>
      <c r="EG5" s="4">
        <f t="shared" si="24"/>
        <v>0.98</v>
      </c>
      <c r="EH5" s="1">
        <f>1/(MAX($B$8*MAX(1-INDEX(角色!$A$3:$DN$40,$D5,角色!$U$1)-$X5-EE$17,0)*MAX(1-EF$17,0)-$Y5,0)/$A$8+1)</f>
        <v>0.454545454545455</v>
      </c>
      <c r="EI5" s="1">
        <f t="shared" si="25"/>
        <v>0</v>
      </c>
      <c r="EJ5" s="50">
        <f>云配队!Q7</f>
        <v>0</v>
      </c>
      <c r="EK5" s="1">
        <f>IFERROR(VLOOKUP(EJ5,数值!$F$3:$H$16,2,FALSE),1)</f>
        <v>1</v>
      </c>
      <c r="EL5" s="1">
        <f>IFERROR(INDEX(角色!$A$3:$DN$39,$D5,EK5+4)+VLOOKUP(EJ5,数值!$F$2:$O$17,10,FALSE),0)</f>
        <v>0</v>
      </c>
      <c r="EM5" s="1">
        <f>EL5+EL6*$AY5+EL4*$AY5</f>
        <v>0</v>
      </c>
      <c r="EN5" s="1">
        <f>EL5*IFERROR(VLOOKUP(EJ5,数值!$F$3:$N$16,9,FALSE),0)+$AD5*FE$9+IFERROR(VLOOKUP($C5&amp;EJ5,数值!$AB$1:$AC$11,2,FALSE),0)</f>
        <v>0</v>
      </c>
      <c r="EO5" s="1">
        <f>IFERROR(INDEX(角色!$A$3:$DN$40,$D5,VLOOKUP(EJ5,数值!$F$3:$H$16,3,FALSE)),0)</f>
        <v>0</v>
      </c>
      <c r="EP5" s="1">
        <f>IFERROR(INDEX(音擎!$A$3:$AJ$49,$O5,VLOOKUP(EJ5,数值!$F$3:$L$16,4,FALSE))*$P5+INDEX(驱动盘!$A$3:$AB$21,$R5,VLOOKUP(EJ5,数值!$F$3:$L$16,5,FALSE))*$N5+INDEX(驱动盘!$A$3:$AB$21,$R5,驱动盘!$B$1)+INDEX(驱动盘!$A$3:$AB$21,$S5,驱动盘!$B$1)+IF($L5="属伤",30%,0%),0)</f>
        <v>0</v>
      </c>
      <c r="EQ5" s="1">
        <f>IFERROR(INDEX(角色!$A$3:$DN$40,$D5,VLOOKUP(EJ5,数值!$F$3:$L$16,6,FALSE))+INDEX(音擎!$A$3:$AJ$49,$O5,VLOOKUP(EJ5,数值!$F$3:$L$16,7,FALSE))+INDEX(驱动盘!$A$3:$AC$21,$R5,VLOOKUP(EJ5,数值!$F$3:$M$16,8,FALSE))+FD$17,0)</f>
        <v>0</v>
      </c>
      <c r="ER5" s="1">
        <f>INDEX(角色!$A$3:$DN$39,$D5,EK5)*1.909*IF($G5&gt;=3,IF($G5&gt;=5,1.19,1.095),1)</f>
        <v>0</v>
      </c>
      <c r="ES5" s="1">
        <f>INDEX(角色!$A$3:$DN$39,$D5,EK5+3)</f>
        <v>0</v>
      </c>
      <c r="ET5" s="1">
        <f>$AB5+INDEX(角色!$A$3:$DN$39,$D5,IFERROR(VLOOKUP(EJ5,数值!$F$3:$P$16,11,FALSE),1))+EU$17</f>
        <v>0</v>
      </c>
      <c r="EU5" s="1">
        <f t="shared" si="26"/>
        <v>0</v>
      </c>
      <c r="EV5" s="1">
        <f>INDEX(角色!$A$3:$DN$39,$D5,EK5+1)*1.4556</f>
        <v>0</v>
      </c>
      <c r="EW5" s="1">
        <f>$AG5*(1+INDEX(音擎!$A$3:$AJ$49,$O5,音擎!$R$1)*$P5+INDEX(角色!$A$3:$DN$40,$D5,角色!$Q$1)+FC$17)</f>
        <v>194.928</v>
      </c>
      <c r="EX5" s="1">
        <f>INDEX(角色!$A$3:$DN$39,$D5,EK5+2)</f>
        <v>0</v>
      </c>
      <c r="EY5" s="1">
        <f t="shared" si="27"/>
        <v>0</v>
      </c>
      <c r="EZ5" s="1">
        <f t="shared" si="28"/>
        <v>2385.7344</v>
      </c>
      <c r="FA5" s="1">
        <f t="shared" si="29"/>
        <v>0</v>
      </c>
      <c r="FB5" s="1">
        <f t="shared" si="30"/>
        <v>0.89</v>
      </c>
      <c r="FC5" s="4">
        <f t="shared" si="31"/>
        <v>0.98</v>
      </c>
      <c r="FD5" s="1">
        <f>1/(MAX($B$8*MAX(1-INDEX(角色!$A$3:$DN$40,$D5,角色!$U$1)-$X5-FA$17,0)*MAX(1-FB$17,0)-$Y5,0)/$A$8+1)</f>
        <v>0.454545454545455</v>
      </c>
      <c r="FE5" s="1">
        <f>EZ5*ER5%*(1+FA5)*(1+FB5*FC5)*FD5*(1+ER$17)*(1+ES$17)</f>
        <v>0</v>
      </c>
    </row>
    <row r="6" customHeight="1" spans="2:161">
      <c r="B6" s="1" t="str">
        <f>云配队!E4</f>
        <v>首领</v>
      </c>
      <c r="C6" s="52" t="str">
        <f>云配队!F8</f>
        <v>薇薇安</v>
      </c>
      <c r="D6" s="1">
        <f>MATCH(C6,角色!$F$3:$F$40,0)</f>
        <v>11</v>
      </c>
      <c r="E6" s="51" t="str">
        <f>INDEX(角色!$A$3:$DN$40,$D6,角色!H$1)</f>
        <v>以太</v>
      </c>
      <c r="F6" s="51" t="str">
        <f>INDEX(角色!$A$3:$DN$40,$D6,角色!I$1)</f>
        <v>反舌鸟</v>
      </c>
      <c r="G6" s="51">
        <f>INDEX(角色!$A$3:$DN$40,$D6,角色!J$1)</f>
        <v>0</v>
      </c>
      <c r="H6" s="51" t="str">
        <f>VLOOKUP($C6,配装!$A$2:$S$34,配装!$D$1,FALSE)</f>
        <v>飞鸟星梦</v>
      </c>
      <c r="I6" s="51" t="str">
        <f>VLOOKUP($C6,配装!$A$2:$S$34,配装!G$1,FALSE)</f>
        <v>法厄同之歌</v>
      </c>
      <c r="J6" s="51" t="str">
        <f>VLOOKUP($C6,配装!$A$2:$S$34,配装!J$1,FALSE)</f>
        <v>自由蓝调</v>
      </c>
      <c r="K6" s="51" t="str">
        <f>VLOOKUP($C6,配装!$A$2:$S$34,配装!K$1,FALSE)</f>
        <v>精通</v>
      </c>
      <c r="L6" s="51" t="str">
        <f>VLOOKUP($C6,配装!$A$2:$S$34,配装!L$1,FALSE)</f>
        <v>属伤</v>
      </c>
      <c r="M6" s="51" t="str">
        <f>VLOOKUP($C6,配装!$A$2:$S$34,配装!M$1,FALSE)</f>
        <v>掌控</v>
      </c>
      <c r="N6" s="51">
        <f>VLOOKUP($C6,配装!$A$2:$S$34,配装!$H$1,FALSE)</f>
        <v>1</v>
      </c>
      <c r="O6" s="51">
        <f>MATCH(H6,音擎!$A$3:$A$49,0)</f>
        <v>15</v>
      </c>
      <c r="P6" s="51">
        <f>VLOOKUP($C6,配装!$A$2:$N$34,配装!$E$1,FALSE)</f>
        <v>1</v>
      </c>
      <c r="Q6" s="51">
        <f>INDEX(音擎!$A$3:$AK$54,O6,音擎!$C$1)</f>
        <v>713</v>
      </c>
      <c r="R6" s="51">
        <f>MATCH(I6,驱动盘!$A$3:$A$21,0)</f>
        <v>12</v>
      </c>
      <c r="S6" s="51">
        <f>MATCH(J6,驱动盘!$A$3:$A$21,0)</f>
        <v>15</v>
      </c>
      <c r="T6" s="51">
        <f>INDEX(音擎!$A$3:$AJ$49,$O6,音擎!D$1)+INDEX(驱动盘!$A$3:$AB$21,$R6,驱动盘!C$1)+INDEX(驱动盘!$A$3:$AB$21,$S6,驱动盘!C$1)+IF($K6="攻击",30%,0%)+IF($L6="攻击",30%,0%)+IF($M6="攻击",30%,0%)+VLOOKUP($C6,配装!$A$2:$S$34,配装!P$1,FALSE)*3%</f>
        <v>0.3</v>
      </c>
      <c r="U6" s="51">
        <f>VLOOKUP($C6,配装!$A$2:$S$34,配装!Q$1,FALSE)*22</f>
        <v>176</v>
      </c>
      <c r="V6" s="51">
        <f>INDEX(音擎!$A$3:$AJ$49,$O6,音擎!E$1)+INDEX(音擎!$A$3:$AJ$49,$O6,音擎!M$1)*$P6+INDEX(驱动盘!$A$3:$AB$21,$R6,驱动盘!D$1)+INDEX(驱动盘!$A$3:$AB$21,$S6,驱动盘!D$1)+INDEX(驱动盘!$A$3:$AB$21,$R6,驱动盘!M$1)*$N6+IF($K6="暴击",24%,0%)+VLOOKUP($C6,配装!$A$2:$S$34,配装!N$1,FALSE)*2.4%</f>
        <v>0</v>
      </c>
      <c r="W6" s="51">
        <f>INDEX(音擎!$A$3:$AJ$49,$O6,音擎!F$1)+INDEX(音擎!$A$3:$AJ$49,$O6,音擎!N$1)*$P6+INDEX(驱动盘!$A$3:$AB$21,$R6,驱动盘!E$1)+INDEX(驱动盘!$A$3:$AB$21,$S6,驱动盘!E$1)+INDEX(驱动盘!$A$3:$AB$21,$R6,驱动盘!N$1)*$N6+IF($K6="暴伤",48%,0%)+VLOOKUP($C6,配装!$A$2:$S$34,配装!O$1,FALSE)*4.8%</f>
        <v>0</v>
      </c>
      <c r="X6" s="51">
        <f>INDEX(音擎!$A$3:$AJ$49,$O6,音擎!G$1)+INDEX(音擎!$A$3:$AJ$49,$O6,音擎!O$1)*$P6+INDEX(驱动盘!$A$3:$AB$21,$R6,驱动盘!F$1)+INDEX(驱动盘!$A$3:$AB$21,$S6,驱动盘!F$1)+IF($L6="穿透",24%,0%)</f>
        <v>0</v>
      </c>
      <c r="Y6" s="51">
        <f>VLOOKUP($C6,配装!$A$2:$S$34,配装!S$1,FALSE)*9</f>
        <v>0</v>
      </c>
      <c r="Z6" s="51">
        <f>INDEX(音擎!$A$3:$AJ$49,$O6,音擎!H$1)+INDEX(音擎!$A$3:$AJ$49,$O6,音擎!P$1)*$P6+INDEX(驱动盘!$A$3:$AB$21,$R6,驱动盘!G$1)+INDEX(驱动盘!$A$3:$AB$21,$R6,驱动盘!O$1)+INDEX(驱动盘!$A$3:$AB$21,$S6,驱动盘!G$1)+IF($K6="精通",92%,0%)+VLOOKUP($C6,配装!$A$2:$S$34,配装!R$1,FALSE)*9%</f>
        <v>4.67</v>
      </c>
      <c r="AA6" s="51">
        <f>INDEX(音擎!$A$3:$AJ$49,$O6,音擎!Q$1)*$P6+IF($M6="掌控",30%,0%)</f>
        <v>0.3</v>
      </c>
      <c r="AB6" s="51">
        <f>INDEX(音擎!$A$3:$AJ$49,$O6,音擎!U$1)*$P6</f>
        <v>0.4</v>
      </c>
      <c r="AC6" s="51">
        <f>(1.2+INDEX(角色!$A$3:$DN$40,$D6,角色!$AA$1))*(1+INDEX(音擎!$A$3:$AJ$49,$O6,音擎!J$1)+INDEX(驱动盘!$A$3:$AB$21,$R6,驱动盘!I$1)+INDEX(驱动盘!$A$3:$AB$21,$S6,驱动盘!I$1)+IF($M6="回能",50%,0%))</f>
        <v>1.2</v>
      </c>
      <c r="AD6" s="51">
        <f>INDEX(音擎!$A$3:$AJ$49,$O6,音擎!S$1)</f>
        <v>0</v>
      </c>
      <c r="AE6" s="51">
        <f>INDEX(角色!$A$3:$DN$40,$D6,角色!$AB$1)+INDEX(音擎!$A$3:$AJ$49,$O6,音擎!T$1)*$P6</f>
        <v>0</v>
      </c>
      <c r="AF6" s="51">
        <f>INDEX(角色!$A$3:$DN$39,$D6,角色!$V$1)+INDEX(驱动盘!$A$3:$AB$21,$R6,驱动盘!J$1)+INDEX(驱动盘!$A$3:$AB$21,$S6,驱动盘!J$1)+AA6</f>
        <v>0.82</v>
      </c>
      <c r="AG6" s="51">
        <f>INDEX(角色!$A$3:$DN$40,$D6,角色!$O$1)*(1+INDEX(角色!$A$3:$DN$40,$D6,角色!$P$1)+INDEX(音擎!$A$3:$AJ$49,$O6,音擎!I$1)+INDEX(驱动盘!$A$3:$AB$21,$R6,驱动盘!H$1)+INDEX(驱动盘!$A$3:$AB$21,$S6,驱动盘!H$1)+IF($M6="冲击",18%,0%))</f>
        <v>86</v>
      </c>
      <c r="AH6" s="51">
        <f t="array" ref="AH6">INDEX(角色!$A$3:$DN$40,$D6,角色!$S$1)+$V6</f>
        <v>0.05</v>
      </c>
      <c r="AI6" s="51">
        <f t="array" ref="AI6">INDEX(角色!$A$3:$DN$40,$D6,角色!$T$1)+$W6</f>
        <v>0.5</v>
      </c>
      <c r="AJ6" s="51">
        <f>(INDEX(角色!$A$3:$DN$40,$D6,角色!$K$1)+$Q6)*(1+INDEX(角色!$A$3:$DN$40,$D6,角色!$L$1)+T6)+316+$U6</f>
        <v>2562.9</v>
      </c>
      <c r="AK6" s="51">
        <f>INDEX(角色!$A$3:$DN$40,$D6,角色!$N$1)+INDEX(音擎!$A$3:$AJ$49,$O6,音擎!L$1)*$P6*$AJ6+INDEX(角色!$A$3:$DN$40,$D6,角色!$M$1)*$AJ6+INDEX(驱动盘!$A$3:$AB$21,$R6,驱动盘!L$1)*$N6*$AJ6</f>
        <v>0</v>
      </c>
      <c r="AL6" s="51">
        <f t="shared" si="0"/>
        <v>2562.9</v>
      </c>
      <c r="AM6" s="59">
        <f>INDEX(角色!$A$3:$DN$40,$D6,角色!$R$1)+$Z6+$AO$17</f>
        <v>4.85</v>
      </c>
      <c r="AN6" s="51">
        <f>INDEX(角色!$A$3:$DN$40,$D6,数值!$H$17)+INDEX(音擎!$A$3:$AJ$49,$O6,音擎!$AG$1)*$P6+INDEX(驱动盘!$A$3:$AB$21,$R6,驱动盘!AA$1)*$N6+INDEX(驱动盘!$A$3:$AB$21,$R6,驱动盘!$B$1)+INDEX(驱动盘!$A$3:$AB$21,$S6,驱动盘!$B$1)+IF($L6="属伤",30%,0%)+$AP$17</f>
        <v>0.55</v>
      </c>
      <c r="AO6" s="51">
        <f>VLOOKUP(E6,数值!$R$2:$T$7,2,FALSE)+IFERROR(VLOOKUP(C6,数值!$W$1:$Z$3,2,FALSE),0)</f>
        <v>0.725</v>
      </c>
      <c r="AP6" s="51">
        <f>1/(MAX($B$8*MAX(1-INDEX(角色!$A$3:$DN$40,$D6,角色!$U$1)-$X6-$AQ$17,0)*MAX(1-$AR$17,0)-$Y6,0)/$A$8+1)</f>
        <v>0.454545454545455</v>
      </c>
      <c r="AQ6" s="51">
        <f>AL6*(1+AM6)*(1+AN6)*AP6*(58/59+$A$4/59)*(1+$AK$17)*(1+$AJ$17)*(1+$AL$17)</f>
        <v>21126.4506818182</v>
      </c>
      <c r="AR6" s="51">
        <f t="shared" si="32"/>
        <v>15316.6767443182</v>
      </c>
      <c r="AS6" s="51">
        <f>AR6*角色!$DO$13*VLOOKUP(E6,数值!$R$1:$U$7,4,FALSE)/10</f>
        <v>55105.5737568707</v>
      </c>
      <c r="AT6" s="51">
        <f>AL6*(1+AM6)*(1+AN6+云配队!$R$10)*AP6*(58/59+$A$4/59)*(1+$AK$17)*(1+$AJ$17)*(1+$AL$17)</f>
        <v>21126.4506818182</v>
      </c>
      <c r="AU6" s="51">
        <f>450%+云配队!$R8*VLOOKUP(E6,数值!$R$2:$T$7,3,FALSE)*IFERROR(VLOOKUP(C6,数值!$W$1:$Z$3,4,FALSE),1)+云配队!$R$9+IFERROR(VLOOKUP(C6,数值!$W$1:$Z$3,3,FALSE),0)</f>
        <v>4.5</v>
      </c>
      <c r="AV6" s="51">
        <f t="shared" si="33"/>
        <v>95069.0280681818</v>
      </c>
      <c r="AW6" s="51">
        <f>BC6+BY6+CU6+DQ6+EM6</f>
        <v>0</v>
      </c>
      <c r="AX6" s="51">
        <f t="shared" si="34"/>
        <v>0</v>
      </c>
      <c r="AY6" s="51">
        <f>INDEX(角色!$A$3:$DN$40,$D6,角色!AT$1)</f>
        <v>0.5</v>
      </c>
      <c r="AZ6" s="50">
        <f>云配队!M8</f>
        <v>0</v>
      </c>
      <c r="BA6" s="1">
        <f>IFERROR(VLOOKUP(AZ6,数值!$F$3:$H$16,2,FALSE),1)</f>
        <v>1</v>
      </c>
      <c r="BB6" s="1">
        <f>IFERROR(INDEX(角色!$A$3:$DN$39,$D6,BA6+4)+VLOOKUP(AZ6,数值!$F$2:$O$17,10,FALSE),0)</f>
        <v>0</v>
      </c>
      <c r="BC6" s="1">
        <f>BB6+BB4*$AY6+BB5*$AY6</f>
        <v>0</v>
      </c>
      <c r="BD6" s="1">
        <f>BB6*IFERROR(VLOOKUP(AZ6,数值!$F$3:$N$16,9,FALSE),0)+$AD6*BU$9+IFERROR(VLOOKUP($C6&amp;AZ6,数值!$AB$1:$AC$11,2,FALSE),0)</f>
        <v>0</v>
      </c>
      <c r="BE6" s="1">
        <f>IFERROR(INDEX(角色!$A$3:$DN$40,$D6,VLOOKUP(AZ6,数值!$F$3:$H$16,3,FALSE)),0)</f>
        <v>0</v>
      </c>
      <c r="BF6" s="1">
        <f>IFERROR(INDEX(音擎!$A$3:$AJ$49,$O6,VLOOKUP(AZ6,数值!$F$3:$L$16,4,FALSE))*$P6+INDEX(驱动盘!$A$3:$AB$21,$R6,VLOOKUP(AZ6,数值!$F$3:$L$16,5,FALSE))*$N6+INDEX(驱动盘!$A$3:$AB$21,$R6,驱动盘!$B$1)+INDEX(驱动盘!$A$3:$AB$21,$S6,驱动盘!$B$1)+IF($L6="属伤",30%,0%),0)</f>
        <v>0</v>
      </c>
      <c r="BG6" s="1">
        <f>IFERROR(INDEX(角色!$A$3:$DN$40,$D6,VLOOKUP(AZ6,数值!$F$3:$L$16,6,FALSE))+INDEX(音擎!$A$3:$AJ$49,$O6,VLOOKUP(AZ6,数值!$F$3:$L$16,7,FALSE))+INDEX(驱动盘!$A$3:$AC$21,$R6,VLOOKUP(AZ6,数值!$F$3:$M$16,8,FALSE))+BT$17,0)</f>
        <v>0</v>
      </c>
      <c r="BH6" s="1">
        <f>INDEX(角色!$A$3:$DN$39,$D6,BA6)*1.909*IF($G6&gt;=3,IF($G6&gt;=5,1.19,1.095),1)</f>
        <v>0</v>
      </c>
      <c r="BI6" s="1">
        <f>INDEX(角色!$A$3:$DN$39,$D6,BA6+3)</f>
        <v>0</v>
      </c>
      <c r="BJ6" s="1">
        <f>$AB6+INDEX(角色!$A$3:$DN$39,$D6,IFERROR(VLOOKUP(AZ6,数值!$F$3:$P$16,11,FALSE),1))+BK$17</f>
        <v>0.4</v>
      </c>
      <c r="BK6" s="1">
        <f>BI6*(1+$AF6)*(1+BJ6)*(1+BJ$17)</f>
        <v>0</v>
      </c>
      <c r="BL6" s="1">
        <f>INDEX(角色!$A$3:$DN$39,$D6,BA6+1)*1.4556</f>
        <v>0</v>
      </c>
      <c r="BM6" s="1">
        <f>$AG6*(1+INDEX(音擎!$A$3:$AJ$49,$O6,音擎!$R$1)*$P6+INDEX(角色!$A$3:$DN$40,$D6,角色!$Q$1)+BS$17)</f>
        <v>86</v>
      </c>
      <c r="BN6" s="1">
        <f>INDEX(角色!$A$3:$DN$39,$D6,BA6+2)</f>
        <v>0</v>
      </c>
      <c r="BO6" s="1">
        <f t="shared" si="1"/>
        <v>0</v>
      </c>
      <c r="BP6" s="1">
        <f t="shared" si="2"/>
        <v>2562.9</v>
      </c>
      <c r="BQ6" s="1">
        <f t="shared" si="35"/>
        <v>0</v>
      </c>
      <c r="BR6" s="1">
        <f t="shared" si="36"/>
        <v>0.05</v>
      </c>
      <c r="BS6" s="4">
        <f t="shared" si="3"/>
        <v>0.5</v>
      </c>
      <c r="BT6" s="1">
        <f>1/(MAX($B$8*MAX(1-INDEX(角色!$A$3:$DN$40,$D6,角色!$U$1)-$X6-BQ$17,0)*MAX(1-BR$17,0)-$Y6,0)/$A$8+1)</f>
        <v>0.454545454545455</v>
      </c>
      <c r="BU6" s="1">
        <f t="shared" si="4"/>
        <v>0</v>
      </c>
      <c r="BV6" s="50">
        <f>云配队!N8</f>
        <v>0</v>
      </c>
      <c r="BW6" s="1">
        <f>IFERROR(VLOOKUP(BV6,数值!$F$3:$H$16,2,FALSE),1)</f>
        <v>1</v>
      </c>
      <c r="BX6" s="1">
        <f>IFERROR(INDEX(角色!$A$3:$DN$39,$D6,BW6+4)+VLOOKUP(BV6,数值!$F$2:$O$17,10,FALSE),0)</f>
        <v>0</v>
      </c>
      <c r="BY6" s="1">
        <f>BX6+BX4*$AY6+BX5*$AY6</f>
        <v>0</v>
      </c>
      <c r="BZ6" s="1">
        <f>BX6*IFERROR(VLOOKUP(BV6,数值!$F$3:$N$16,9,FALSE),0)+$AD6*CQ$9+IFERROR(VLOOKUP($C6&amp;BV6,数值!$AB$1:$AC$11,2,FALSE),0)</f>
        <v>0</v>
      </c>
      <c r="CA6" s="1">
        <f>IFERROR(INDEX(角色!$A$3:$DN$40,$D6,VLOOKUP(BV6,数值!$F$3:$H$16,3,FALSE)),0)</f>
        <v>0</v>
      </c>
      <c r="CB6" s="1">
        <f>IFERROR(INDEX(音擎!$A$3:$AJ$49,$O6,VLOOKUP(BV6,数值!$F$3:$L$16,4,FALSE))*$P6+INDEX(驱动盘!$A$3:$AB$21,$R6,VLOOKUP(BV6,数值!$F$3:$L$16,5,FALSE))*$N6+INDEX(驱动盘!$A$3:$AB$21,$R6,驱动盘!$B$1)+INDEX(驱动盘!$A$3:$AB$21,$S6,驱动盘!$B$1)+IF($L6="属伤",30%,0%),0)</f>
        <v>0</v>
      </c>
      <c r="CC6" s="1">
        <f>IFERROR(INDEX(角色!$A$3:$DN$40,$D6,VLOOKUP(BV6,数值!$F$3:$L$16,6,FALSE))+INDEX(音擎!$A$3:$AJ$49,$O6,VLOOKUP(BV6,数值!$F$3:$L$16,7,FALSE))+INDEX(驱动盘!$A$3:$AC$21,$R6,VLOOKUP(BV6,数值!$F$3:$M$16,8,FALSE))+CP$17,0)</f>
        <v>0</v>
      </c>
      <c r="CD6" s="1">
        <f>INDEX(角色!$A$3:$DN$39,$D6,BW6)*1.909*IF($G6&gt;=3,IF($G6&gt;=5,1.19,1.095),1)</f>
        <v>0</v>
      </c>
      <c r="CE6" s="1">
        <f>INDEX(角色!$A$3:$DN$39,$D6,BW6+3)</f>
        <v>0</v>
      </c>
      <c r="CF6" s="1">
        <f>$AB6+INDEX(角色!$A$3:$DN$39,$D6,IFERROR(VLOOKUP(BV6,数值!$F$3:$P$16,11,FALSE),1))+CG$17</f>
        <v>0.4</v>
      </c>
      <c r="CG6" s="1">
        <f t="shared" si="5"/>
        <v>0</v>
      </c>
      <c r="CH6" s="1">
        <f>INDEX(角色!$A$3:$DN$39,$D6,BW6+1)*1.4556</f>
        <v>0</v>
      </c>
      <c r="CI6" s="1">
        <f>$AG6*(1+INDEX(音擎!$A$3:$AJ$49,$O6,音擎!$R$1)*$P6+INDEX(角色!$A$3:$DN$40,$D6,角色!$Q$1)+CO$17)</f>
        <v>86</v>
      </c>
      <c r="CJ6" s="1">
        <f>INDEX(角色!$A$3:$DN$39,$D6,BW6+2)</f>
        <v>0</v>
      </c>
      <c r="CK6" s="1">
        <f t="shared" si="6"/>
        <v>0</v>
      </c>
      <c r="CL6" s="1">
        <f t="shared" si="7"/>
        <v>2562.9</v>
      </c>
      <c r="CM6" s="1">
        <f t="shared" si="8"/>
        <v>0</v>
      </c>
      <c r="CN6" s="1">
        <f t="shared" si="9"/>
        <v>0.05</v>
      </c>
      <c r="CO6" s="4">
        <f t="shared" si="10"/>
        <v>0.5</v>
      </c>
      <c r="CP6" s="1">
        <f>1/(MAX($B$8*MAX(1-INDEX(角色!$A$3:$DN$40,$D6,角色!$U$1)-$X6-CM$17,0)*MAX(1-CN$17,0)-$Y6,0)/$A$8+1)</f>
        <v>0.454545454545455</v>
      </c>
      <c r="CQ6" s="1">
        <f t="shared" si="11"/>
        <v>0</v>
      </c>
      <c r="CR6" s="50">
        <f>云配队!O8</f>
        <v>0</v>
      </c>
      <c r="CS6" s="1">
        <f>IFERROR(VLOOKUP(CR6,数值!$F$3:$H$16,2,FALSE),1)</f>
        <v>1</v>
      </c>
      <c r="CT6" s="1">
        <f>IFERROR(INDEX(角色!$A$3:$DN$39,$D6,CS6+4)+VLOOKUP(CR6,数值!$F$2:$O$17,10,FALSE),0)</f>
        <v>0</v>
      </c>
      <c r="CU6" s="1">
        <f>CT6+CT4*$AY6+CT5*$AY6</f>
        <v>0</v>
      </c>
      <c r="CV6" s="1">
        <f>CT6*IFERROR(VLOOKUP(CR6,数值!$F$3:$N$16,9,FALSE),0)+$AD6*DM$9+IFERROR(VLOOKUP($C6&amp;CR6,数值!$AB$1:$AC$11,2,FALSE),0)</f>
        <v>0</v>
      </c>
      <c r="CW6" s="1">
        <f>IFERROR(INDEX(角色!$A$3:$DN$40,$D6,VLOOKUP(CR6,数值!$F$3:$H$16,3,FALSE)),0)</f>
        <v>0</v>
      </c>
      <c r="CX6" s="1">
        <f>IFERROR(INDEX(音擎!$A$3:$AJ$49,$O6,VLOOKUP(CR6,数值!$F$3:$L$16,4,FALSE))*$P6+INDEX(驱动盘!$A$3:$AB$21,$R6,VLOOKUP(CR6,数值!$F$3:$L$16,5,FALSE))*$N6+INDEX(驱动盘!$A$3:$AB$21,$R6,驱动盘!$B$1)+INDEX(驱动盘!$A$3:$AB$21,$S6,驱动盘!$B$1)+IF($L6="属伤",30%,0%),0)</f>
        <v>0</v>
      </c>
      <c r="CY6" s="1">
        <f>IFERROR(INDEX(角色!$A$3:$DN$40,$D6,VLOOKUP(CR6,数值!$F$3:$L$16,6,FALSE))+INDEX(音擎!$A$3:$AJ$49,$O6,VLOOKUP(CR6,数值!$F$3:$L$16,7,FALSE))+INDEX(驱动盘!$A$3:$AC$21,$R6,VLOOKUP(CR6,数值!$F$3:$M$16,8,FALSE))+DL$17,0)</f>
        <v>0</v>
      </c>
      <c r="CZ6" s="1">
        <f>INDEX(角色!$A$3:$DN$39,$D6,CS6)*1.909*IF($G6&gt;=3,IF($G6&gt;=5,1.19,1.095),1)</f>
        <v>0</v>
      </c>
      <c r="DA6" s="1">
        <f>INDEX(角色!$A$3:$DN$39,$D6,CS6+3)</f>
        <v>0</v>
      </c>
      <c r="DB6" s="1">
        <f>$AB6+INDEX(角色!$A$3:$DN$39,$D6,IFERROR(VLOOKUP(CR6,数值!$F$3:$P$16,11,FALSE),1))+DC$17</f>
        <v>0.4</v>
      </c>
      <c r="DC6" s="1">
        <f t="shared" si="12"/>
        <v>0</v>
      </c>
      <c r="DD6" s="1">
        <f>INDEX(角色!$A$3:$DN$39,$D6,CS6+1)*1.4556</f>
        <v>0</v>
      </c>
      <c r="DE6" s="1">
        <f>$AG6*(1+INDEX(音擎!$A$3:$AJ$49,$O6,音擎!$R$1)*$P6+INDEX(角色!$A$3:$DN$40,$D6,角色!$Q$1)+DK$17)</f>
        <v>86</v>
      </c>
      <c r="DF6" s="1">
        <f>INDEX(角色!$A$3:$DN$39,$D6,CS6+2)</f>
        <v>0</v>
      </c>
      <c r="DG6" s="1">
        <f t="shared" si="13"/>
        <v>0</v>
      </c>
      <c r="DH6" s="1">
        <f t="shared" si="14"/>
        <v>2562.9</v>
      </c>
      <c r="DI6" s="1">
        <f t="shared" si="15"/>
        <v>0</v>
      </c>
      <c r="DJ6" s="1">
        <f t="shared" si="16"/>
        <v>0.05</v>
      </c>
      <c r="DK6" s="4">
        <f t="shared" si="17"/>
        <v>0.5</v>
      </c>
      <c r="DL6" s="1">
        <f>1/(MAX($B$8*MAX(1-INDEX(角色!$A$3:$DN$40,$D6,角色!$U$1)-$X6-DI$17,0)*MAX(1-DJ$17,0)-$Y6,0)/$A$8+1)</f>
        <v>0.454545454545455</v>
      </c>
      <c r="DM6" s="1">
        <f t="shared" si="18"/>
        <v>0</v>
      </c>
      <c r="DN6" s="50">
        <f>云配队!P8</f>
        <v>0</v>
      </c>
      <c r="DO6" s="1">
        <f>IFERROR(VLOOKUP(DN6,数值!$F$3:$H$16,2,FALSE),1)</f>
        <v>1</v>
      </c>
      <c r="DP6" s="1">
        <f>IFERROR(INDEX(角色!$A$3:$DN$39,$D6,DO6+4)+VLOOKUP(DN6,数值!$F$2:$O$17,10,FALSE),0)</f>
        <v>0</v>
      </c>
      <c r="DQ6" s="1">
        <f>DP6+DP4*$AY6+DP5*$AY6</f>
        <v>0</v>
      </c>
      <c r="DR6" s="1">
        <f>DP6*IFERROR(VLOOKUP(DN6,数值!$F$3:$N$16,9,FALSE),0)+$AD6*EI$9+IFERROR(VLOOKUP($C6&amp;DN6,数值!$AB$1:$AC$11,2,FALSE),0)</f>
        <v>0</v>
      </c>
      <c r="DS6" s="1">
        <f>IFERROR(INDEX(角色!$A$3:$DN$40,$D6,VLOOKUP(DN6,数值!$F$3:$H$16,3,FALSE)),0)</f>
        <v>0</v>
      </c>
      <c r="DT6" s="1">
        <f>IFERROR(INDEX(音擎!$A$3:$AJ$49,$O6,VLOOKUP(DN6,数值!$F$3:$L$16,4,FALSE))*$P6+INDEX(驱动盘!$A$3:$AB$21,$R6,VLOOKUP(DN6,数值!$F$3:$L$16,5,FALSE))*$N6+INDEX(驱动盘!$A$3:$AB$21,$R6,驱动盘!$B$1)+INDEX(驱动盘!$A$3:$AB$21,$S6,驱动盘!$B$1)+IF($L6="属伤",30%,0%),0)</f>
        <v>0</v>
      </c>
      <c r="DU6" s="1">
        <f>IFERROR(INDEX(角色!$A$3:$DN$40,$D6,VLOOKUP(DN6,数值!$F$3:$L$16,6,FALSE))+INDEX(音擎!$A$3:$AJ$49,$O6,VLOOKUP(DN6,数值!$F$3:$L$16,7,FALSE))+INDEX(驱动盘!$A$3:$AC$21,$R6,VLOOKUP(DN6,数值!$F$3:$M$16,8,FALSE))+EH$17,0)</f>
        <v>0</v>
      </c>
      <c r="DV6" s="1">
        <f>INDEX(角色!$A$3:$DN$39,$D6,DO6)*1.909*IF($G6&gt;=3,IF($G6&gt;=5,1.19,1.095),1)</f>
        <v>0</v>
      </c>
      <c r="DW6" s="1">
        <f>INDEX(角色!$A$3:$DN$39,$D6,DO6+3)</f>
        <v>0</v>
      </c>
      <c r="DX6" s="1">
        <f>$AB6+INDEX(角色!$A$3:$DN$39,$D6,IFERROR(VLOOKUP(DN6,数值!$F$3:$P$16,11,FALSE),1))+DY$17</f>
        <v>0.4</v>
      </c>
      <c r="DY6" s="1">
        <f t="shared" si="19"/>
        <v>0</v>
      </c>
      <c r="DZ6" s="1">
        <f>INDEX(角色!$A$3:$DN$39,$D6,DO6+1)*1.4556</f>
        <v>0</v>
      </c>
      <c r="EA6" s="1">
        <f>$AG6*(1+INDEX(音擎!$A$3:$AJ$49,$O6,音擎!$R$1)*$P6+INDEX(角色!$A$3:$DN$40,$D6,角色!$Q$1)+EG$17)</f>
        <v>86</v>
      </c>
      <c r="EB6" s="1">
        <f>INDEX(角色!$A$3:$DN$39,$D6,DO6+2)</f>
        <v>0</v>
      </c>
      <c r="EC6" s="1">
        <f t="shared" si="20"/>
        <v>0</v>
      </c>
      <c r="ED6" s="1">
        <f t="shared" si="21"/>
        <v>2562.9</v>
      </c>
      <c r="EE6" s="1">
        <f t="shared" si="22"/>
        <v>0</v>
      </c>
      <c r="EF6" s="1">
        <f t="shared" si="23"/>
        <v>0.05</v>
      </c>
      <c r="EG6" s="4">
        <f t="shared" si="24"/>
        <v>0.5</v>
      </c>
      <c r="EH6" s="1">
        <f>1/(MAX($B$8*MAX(1-INDEX(角色!$A$3:$DN$40,$D6,角色!$U$1)-$X6-EE$17,0)*MAX(1-EF$17,0)-$Y6,0)/$A$8+1)</f>
        <v>0.454545454545455</v>
      </c>
      <c r="EI6" s="1">
        <f t="shared" si="25"/>
        <v>0</v>
      </c>
      <c r="EJ6" s="50">
        <f>云配队!Q8</f>
        <v>0</v>
      </c>
      <c r="EK6" s="1">
        <f>IFERROR(VLOOKUP(EJ6,数值!$F$3:$H$16,2,FALSE),1)</f>
        <v>1</v>
      </c>
      <c r="EL6" s="1">
        <f>IFERROR(INDEX(角色!$A$3:$DN$39,$D6,EK6+4)+VLOOKUP(EJ6,数值!$F$2:$O$17,10,FALSE),0)</f>
        <v>0</v>
      </c>
      <c r="EM6" s="1">
        <f>EL6+EL4*$AY6+EL5*$AY6</f>
        <v>0</v>
      </c>
      <c r="EN6" s="1">
        <f>EL6*IFERROR(VLOOKUP(EJ6,数值!$F$3:$N$16,9,FALSE),0)+$AD6*FE$9+IFERROR(VLOOKUP($C6&amp;EJ6,数值!$AB$1:$AC$11,2,FALSE),0)</f>
        <v>0</v>
      </c>
      <c r="EO6" s="1">
        <f>IFERROR(INDEX(角色!$A$3:$DN$40,$D6,VLOOKUP(EJ6,数值!$F$3:$H$16,3,FALSE)),0)</f>
        <v>0</v>
      </c>
      <c r="EP6" s="1">
        <f>IFERROR(INDEX(音擎!$A$3:$AJ$49,$O6,VLOOKUP(EJ6,数值!$F$3:$L$16,4,FALSE))*$P6+INDEX(驱动盘!$A$3:$AB$21,$R6,VLOOKUP(EJ6,数值!$F$3:$L$16,5,FALSE))*$N6+INDEX(驱动盘!$A$3:$AB$21,$R6,驱动盘!$B$1)+INDEX(驱动盘!$A$3:$AB$21,$S6,驱动盘!$B$1)+IF($L6="属伤",30%,0%),0)</f>
        <v>0</v>
      </c>
      <c r="EQ6" s="1">
        <f>IFERROR(INDEX(角色!$A$3:$DN$40,$D6,VLOOKUP(EJ6,数值!$F$3:$L$16,6,FALSE))+INDEX(音擎!$A$3:$AJ$49,$O6,VLOOKUP(EJ6,数值!$F$3:$L$16,7,FALSE))+INDEX(驱动盘!$A$3:$AC$21,$R6,VLOOKUP(EJ6,数值!$F$3:$M$16,8,FALSE))+FD$17,0)</f>
        <v>0</v>
      </c>
      <c r="ER6" s="1">
        <f>INDEX(角色!$A$3:$DN$39,$D6,EK6)*1.909*IF($G6&gt;=3,IF($G6&gt;=5,1.19,1.095),1)</f>
        <v>0</v>
      </c>
      <c r="ES6" s="1">
        <f>INDEX(角色!$A$3:$DN$39,$D6,EK6+3)</f>
        <v>0</v>
      </c>
      <c r="ET6" s="1">
        <f>$AB6+INDEX(角色!$A$3:$DN$39,$D6,IFERROR(VLOOKUP(EJ6,数值!$F$3:$P$16,11,FALSE),1))+EU$17</f>
        <v>0.4</v>
      </c>
      <c r="EU6" s="1">
        <f t="shared" si="26"/>
        <v>0</v>
      </c>
      <c r="EV6" s="1">
        <f>INDEX(角色!$A$3:$DN$39,$D6,EK6+1)*1.4556</f>
        <v>0</v>
      </c>
      <c r="EW6" s="1">
        <f>$AG6*(1+INDEX(音擎!$A$3:$AJ$49,$O6,音擎!$R$1)*$P6+INDEX(角色!$A$3:$DN$40,$D6,角色!$Q$1)+FC$17)</f>
        <v>86</v>
      </c>
      <c r="EX6" s="1">
        <f>INDEX(角色!$A$3:$DN$39,$D6,EK6+2)</f>
        <v>0</v>
      </c>
      <c r="EY6" s="1">
        <f t="shared" si="27"/>
        <v>0</v>
      </c>
      <c r="EZ6" s="1">
        <f t="shared" si="28"/>
        <v>2562.9</v>
      </c>
      <c r="FA6" s="1">
        <f t="shared" si="29"/>
        <v>0</v>
      </c>
      <c r="FB6" s="1">
        <f t="shared" si="30"/>
        <v>0.05</v>
      </c>
      <c r="FC6" s="4">
        <f t="shared" si="31"/>
        <v>0.5</v>
      </c>
      <c r="FD6" s="1">
        <f>1/(MAX($B$8*MAX(1-INDEX(角色!$A$3:$DN$40,$D6,角色!$U$1)-$X6-FA$17,0)*MAX(1-FB$17,0)-$Y6,0)/$A$8+1)</f>
        <v>0.454545454545455</v>
      </c>
      <c r="FE6" s="1">
        <f>EZ6*ER6%*(1+FA6)*(1+FB6*FC6)*FD6*(1+ER$17)*(1+ES$17)</f>
        <v>0</v>
      </c>
    </row>
    <row r="7" customHeight="1" spans="1:161">
      <c r="A7" s="1" t="s">
        <v>421</v>
      </c>
      <c r="B7" s="1" t="s">
        <v>422</v>
      </c>
      <c r="C7" s="53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1">
        <v>2</v>
      </c>
      <c r="AK7" s="51">
        <v>3</v>
      </c>
      <c r="AL7" s="51">
        <v>4</v>
      </c>
      <c r="AM7" s="51">
        <v>5</v>
      </c>
      <c r="AN7" s="51">
        <v>6</v>
      </c>
      <c r="AO7" s="51">
        <v>7</v>
      </c>
      <c r="AP7" s="51">
        <v>8</v>
      </c>
      <c r="AQ7" s="51">
        <v>9</v>
      </c>
      <c r="AR7" s="51">
        <v>10</v>
      </c>
      <c r="AS7" s="60"/>
      <c r="AT7" s="54"/>
      <c r="AU7" s="54"/>
      <c r="AV7" s="54"/>
      <c r="AW7" s="54"/>
      <c r="AX7" s="54"/>
      <c r="AY7" s="54"/>
      <c r="AZ7" s="54"/>
      <c r="BG7" s="1" t="s">
        <v>423</v>
      </c>
      <c r="BH7" s="1">
        <v>2</v>
      </c>
      <c r="BI7" s="1">
        <v>3</v>
      </c>
      <c r="BJ7" s="1">
        <v>4</v>
      </c>
      <c r="BK7" s="1">
        <v>5</v>
      </c>
      <c r="BL7" s="1">
        <v>6</v>
      </c>
      <c r="BM7" s="1">
        <v>7</v>
      </c>
      <c r="BN7" s="1">
        <v>8</v>
      </c>
      <c r="BO7" s="1">
        <v>9</v>
      </c>
      <c r="BP7" s="1">
        <v>10</v>
      </c>
      <c r="BQ7" s="1">
        <v>11</v>
      </c>
      <c r="BR7" s="1">
        <v>12</v>
      </c>
      <c r="BS7" s="1">
        <v>13</v>
      </c>
      <c r="BT7" s="1">
        <v>14</v>
      </c>
      <c r="BU7" s="1" t="s">
        <v>424</v>
      </c>
      <c r="BV7" s="54"/>
      <c r="CC7" s="1" t="s">
        <v>423</v>
      </c>
      <c r="CD7" s="1">
        <v>2</v>
      </c>
      <c r="CE7" s="1">
        <v>3</v>
      </c>
      <c r="CF7" s="1">
        <v>4</v>
      </c>
      <c r="CG7" s="1">
        <v>5</v>
      </c>
      <c r="CH7" s="1">
        <v>6</v>
      </c>
      <c r="CI7" s="1">
        <v>7</v>
      </c>
      <c r="CJ7" s="1">
        <v>8</v>
      </c>
      <c r="CK7" s="1">
        <v>9</v>
      </c>
      <c r="CL7" s="1">
        <v>10</v>
      </c>
      <c r="CM7" s="1">
        <v>11</v>
      </c>
      <c r="CN7" s="1">
        <v>12</v>
      </c>
      <c r="CO7" s="1">
        <v>13</v>
      </c>
      <c r="CP7" s="1">
        <v>14</v>
      </c>
      <c r="CQ7" s="1" t="s">
        <v>424</v>
      </c>
      <c r="CR7" s="54"/>
      <c r="CY7" s="1" t="s">
        <v>423</v>
      </c>
      <c r="CZ7" s="1">
        <v>2</v>
      </c>
      <c r="DA7" s="1">
        <v>3</v>
      </c>
      <c r="DB7" s="1">
        <v>4</v>
      </c>
      <c r="DC7" s="1">
        <v>5</v>
      </c>
      <c r="DD7" s="1">
        <v>6</v>
      </c>
      <c r="DE7" s="1">
        <v>7</v>
      </c>
      <c r="DF7" s="1">
        <v>8</v>
      </c>
      <c r="DG7" s="1">
        <v>9</v>
      </c>
      <c r="DH7" s="1">
        <v>10</v>
      </c>
      <c r="DI7" s="1">
        <v>11</v>
      </c>
      <c r="DJ7" s="1">
        <v>12</v>
      </c>
      <c r="DK7" s="1">
        <v>13</v>
      </c>
      <c r="DL7" s="1">
        <v>14</v>
      </c>
      <c r="DM7" s="1" t="s">
        <v>424</v>
      </c>
      <c r="DN7" s="50"/>
      <c r="DU7" s="1" t="s">
        <v>423</v>
      </c>
      <c r="DV7" s="1">
        <v>2</v>
      </c>
      <c r="DW7" s="1">
        <v>3</v>
      </c>
      <c r="DX7" s="1">
        <v>4</v>
      </c>
      <c r="DY7" s="1">
        <v>5</v>
      </c>
      <c r="DZ7" s="1">
        <v>6</v>
      </c>
      <c r="EA7" s="1">
        <v>7</v>
      </c>
      <c r="EB7" s="1">
        <v>8</v>
      </c>
      <c r="EC7" s="1">
        <v>9</v>
      </c>
      <c r="ED7" s="1">
        <v>10</v>
      </c>
      <c r="EE7" s="1">
        <v>11</v>
      </c>
      <c r="EF7" s="1">
        <v>12</v>
      </c>
      <c r="EG7" s="1">
        <v>13</v>
      </c>
      <c r="EH7" s="1">
        <v>14</v>
      </c>
      <c r="EI7" s="1" t="s">
        <v>424</v>
      </c>
      <c r="EJ7" s="50"/>
      <c r="EQ7" s="1" t="s">
        <v>423</v>
      </c>
      <c r="ER7" s="1">
        <v>2</v>
      </c>
      <c r="ES7" s="1">
        <v>3</v>
      </c>
      <c r="ET7" s="1">
        <v>4</v>
      </c>
      <c r="EU7" s="1">
        <v>5</v>
      </c>
      <c r="EV7" s="1">
        <v>6</v>
      </c>
      <c r="EW7" s="1">
        <v>7</v>
      </c>
      <c r="EX7" s="1">
        <v>8</v>
      </c>
      <c r="EY7" s="1">
        <v>9</v>
      </c>
      <c r="EZ7" s="1">
        <v>10</v>
      </c>
      <c r="FA7" s="1">
        <v>11</v>
      </c>
      <c r="FB7" s="1">
        <v>12</v>
      </c>
      <c r="FC7" s="1">
        <v>13</v>
      </c>
      <c r="FD7" s="1">
        <v>14</v>
      </c>
      <c r="FE7" s="1" t="s">
        <v>424</v>
      </c>
    </row>
    <row r="8" customHeight="1" spans="1:160">
      <c r="A8" s="1">
        <f>ROUND(0.1551*MIN(A4,60)^2+3.141*MIN(A4,60)+47.2039,0)</f>
        <v>794</v>
      </c>
      <c r="B8" s="1">
        <f>ROUND(0.1551*MIN(B4,60)^2+3.141*MIN(B4,60)+47.2039,0)/50*_xlfn.SWITCH(B6,"普通",40,"精英",50,"首领",60)</f>
        <v>952.8</v>
      </c>
      <c r="C8" s="55" t="s">
        <v>425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0">
        <f>云配队!L14</f>
        <v>0</v>
      </c>
      <c r="AJ8" s="51">
        <f>IFERROR(VLOOKUP($AI8,增益!$Q$2:$Z$19,AJ$7,FALSE),0)</f>
        <v>0</v>
      </c>
      <c r="AK8" s="51">
        <f>IFERROR(VLOOKUP($AI8,增益!$Q$2:$Z$19,AK$7,FALSE),0)</f>
        <v>0</v>
      </c>
      <c r="AL8" s="51">
        <f>IFERROR(VLOOKUP($AI8,增益!$Q$2:$Z$19,AL$7,FALSE),0)</f>
        <v>0</v>
      </c>
      <c r="AM8" s="51">
        <f>IFERROR(VLOOKUP($AI8,增益!$Q$2:$Z$19,AM$7,FALSE),0)</f>
        <v>0</v>
      </c>
      <c r="AN8" s="51">
        <f>IFERROR(VLOOKUP($AI8,增益!$Q$2:$Z$19,AN$7,FALSE),0)</f>
        <v>0</v>
      </c>
      <c r="AO8" s="51">
        <f>IFERROR(VLOOKUP($AI8,增益!$Q$2:$Z$19,AO$7,FALSE),0)</f>
        <v>0</v>
      </c>
      <c r="AP8" s="51">
        <f>IFERROR(VLOOKUP($AI8,增益!$Q$2:$Z$19,AP$7,FALSE),0)</f>
        <v>0</v>
      </c>
      <c r="AQ8" s="51">
        <f>IFERROR(VLOOKUP($AI8,增益!$Q$2:$Z$19,AQ$7,FALSE),0)</f>
        <v>0</v>
      </c>
      <c r="AR8" s="51">
        <f>IFERROR(VLOOKUP($AI8,增益!$Q$2:$Z$19,AR$7,FALSE),0)</f>
        <v>0</v>
      </c>
      <c r="AS8" s="60"/>
      <c r="AT8" s="54"/>
      <c r="AU8" s="54"/>
      <c r="AV8" s="54"/>
      <c r="AW8" s="54"/>
      <c r="AX8" s="54"/>
      <c r="AY8" s="54"/>
      <c r="AZ8" s="61">
        <f>云配队!M14</f>
        <v>0</v>
      </c>
      <c r="BG8" s="4">
        <f>IFERROR(MATCH(AZ8,增益!$B$2:$B$74,0),1)</f>
        <v>1</v>
      </c>
      <c r="BH8" s="4">
        <f>INDEX(增益!$B$2:$O$74,BG8,BH$7)</f>
        <v>0</v>
      </c>
      <c r="BI8" s="4">
        <f>INDEX(增益!$B$2:$O$74,BG8,BI$7)</f>
        <v>0</v>
      </c>
      <c r="BJ8" s="4">
        <f>INDEX(增益!$B$2:$O$74,BG8,BJ$7)</f>
        <v>0</v>
      </c>
      <c r="BK8" s="4">
        <f>INDEX(增益!$B$2:$O$74,BG8,BK$7)</f>
        <v>0</v>
      </c>
      <c r="BL8" s="4">
        <f>INDEX(增益!$B$2:$O$74,BG8,BL$7)</f>
        <v>0</v>
      </c>
      <c r="BM8" s="4">
        <f>INDEX(增益!$B$2:$O$74,BG8,BM$7)</f>
        <v>0</v>
      </c>
      <c r="BN8" s="4">
        <f>INDEX(增益!$B$2:$O$74,BG8,BN$7)</f>
        <v>0</v>
      </c>
      <c r="BO8" s="4">
        <f>INDEX(增益!$B$2:$O$74,BG8,BO$7)</f>
        <v>0</v>
      </c>
      <c r="BP8" s="4">
        <f>INDEX(增益!$B$2:$O$74,BG8,BP$7)</f>
        <v>0</v>
      </c>
      <c r="BQ8" s="4">
        <f>INDEX(增益!$B$2:$O$74,BG8,BQ$7)</f>
        <v>0</v>
      </c>
      <c r="BR8" s="4">
        <f>INDEX(增益!$B$2:$O$74,BG8,BR$7)</f>
        <v>0</v>
      </c>
      <c r="BS8" s="4">
        <f>INDEX(增益!$B$2:$O$74,BG8,BS$7)</f>
        <v>0</v>
      </c>
      <c r="BT8" s="4">
        <f>INDEX(增益!$B$2:$O$74,BG8,BT$7)</f>
        <v>0</v>
      </c>
      <c r="BV8" s="50">
        <f>云配队!N14</f>
        <v>0</v>
      </c>
      <c r="CC8" s="4">
        <f>IFERROR(MATCH(BV8,增益!$B$2:$B$74,0),1)</f>
        <v>1</v>
      </c>
      <c r="CD8" s="4">
        <f>INDEX(增益!$B$2:$O$74,CC8,CD$7)</f>
        <v>0</v>
      </c>
      <c r="CE8" s="4">
        <f>INDEX(增益!$B$2:$O$74,CC8,CE$7)</f>
        <v>0</v>
      </c>
      <c r="CF8" s="4">
        <f>INDEX(增益!$B$2:$O$74,CC8,CF$7)</f>
        <v>0</v>
      </c>
      <c r="CG8" s="4">
        <f>INDEX(增益!$B$2:$O$74,CC8,CG$7)</f>
        <v>0</v>
      </c>
      <c r="CH8" s="4">
        <f>INDEX(增益!$B$2:$O$74,CC8,CH$7)</f>
        <v>0</v>
      </c>
      <c r="CI8" s="4">
        <f>INDEX(增益!$B$2:$O$74,CC8,CI$7)</f>
        <v>0</v>
      </c>
      <c r="CJ8" s="4">
        <f>INDEX(增益!$B$2:$O$74,CC8,CJ$7)</f>
        <v>0</v>
      </c>
      <c r="CK8" s="4">
        <f>INDEX(增益!$B$2:$O$74,CC8,CK$7)</f>
        <v>0</v>
      </c>
      <c r="CL8" s="4">
        <f>INDEX(增益!$B$2:$O$74,CC8,CL$7)</f>
        <v>0</v>
      </c>
      <c r="CM8" s="4">
        <f>INDEX(增益!$B$2:$O$74,CC8,CM$7)</f>
        <v>0</v>
      </c>
      <c r="CN8" s="4">
        <f>INDEX(增益!$B$2:$O$74,CC8,CN$7)</f>
        <v>0</v>
      </c>
      <c r="CO8" s="4">
        <f>INDEX(增益!$B$2:$O$74,CC8,CO$7)</f>
        <v>0</v>
      </c>
      <c r="CP8" s="4">
        <f>INDEX(增益!$B$2:$O$74,CC8,CP$7)</f>
        <v>0</v>
      </c>
      <c r="CR8" s="50">
        <f>云配队!O14</f>
        <v>0</v>
      </c>
      <c r="CY8" s="4">
        <f>IFERROR(MATCH(CR8,增益!$B$2:$B$74,0),1)</f>
        <v>1</v>
      </c>
      <c r="CZ8" s="4">
        <f>INDEX(增益!$B$2:$O$74,CY8,CZ$7)</f>
        <v>0</v>
      </c>
      <c r="DA8" s="4">
        <f>INDEX(增益!$B$2:$O$74,CY8,DA$7)</f>
        <v>0</v>
      </c>
      <c r="DB8" s="4">
        <f>INDEX(增益!$B$2:$O$74,CY8,DB$7)</f>
        <v>0</v>
      </c>
      <c r="DC8" s="4">
        <f>INDEX(增益!$B$2:$O$74,CY8,DC$7)</f>
        <v>0</v>
      </c>
      <c r="DD8" s="4">
        <f>INDEX(增益!$B$2:$O$74,CY8,DD$7)</f>
        <v>0</v>
      </c>
      <c r="DE8" s="4">
        <f>INDEX(增益!$B$2:$O$74,CY8,DE$7)</f>
        <v>0</v>
      </c>
      <c r="DF8" s="4">
        <f>INDEX(增益!$B$2:$O$74,CY8,DF$7)</f>
        <v>0</v>
      </c>
      <c r="DG8" s="4">
        <f>INDEX(增益!$B$2:$O$74,CY8,DG$7)</f>
        <v>0</v>
      </c>
      <c r="DH8" s="4">
        <f>INDEX(增益!$B$2:$O$74,CY8,DH$7)</f>
        <v>0</v>
      </c>
      <c r="DI8" s="4">
        <f>INDEX(增益!$B$2:$O$74,CY8,DI$7)</f>
        <v>0</v>
      </c>
      <c r="DJ8" s="4">
        <f>INDEX(增益!$B$2:$O$74,CY8,DJ$7)</f>
        <v>0</v>
      </c>
      <c r="DK8" s="4">
        <f>INDEX(增益!$B$2:$O$74,CY8,DK$7)</f>
        <v>0</v>
      </c>
      <c r="DL8" s="4">
        <f>INDEX(增益!$B$2:$O$74,CY8,DL$7)</f>
        <v>0</v>
      </c>
      <c r="DN8" s="50">
        <f>云配队!P14</f>
        <v>0</v>
      </c>
      <c r="DU8" s="4">
        <f>IFERROR(MATCH(DN8,增益!$B$2:$B$74,0),1)</f>
        <v>1</v>
      </c>
      <c r="DV8" s="4">
        <f>INDEX(增益!$B$2:$O$74,DU8,DV$7)</f>
        <v>0</v>
      </c>
      <c r="DW8" s="4">
        <f>INDEX(增益!$B$2:$O$74,DU8,DW$7)</f>
        <v>0</v>
      </c>
      <c r="DX8" s="4">
        <f>INDEX(增益!$B$2:$O$74,DU8,DX$7)</f>
        <v>0</v>
      </c>
      <c r="DY8" s="4">
        <f>INDEX(增益!$B$2:$O$74,DU8,DY$7)</f>
        <v>0</v>
      </c>
      <c r="DZ8" s="4">
        <f>INDEX(增益!$B$2:$O$74,DU8,DZ$7)</f>
        <v>0</v>
      </c>
      <c r="EA8" s="4">
        <f>INDEX(增益!$B$2:$O$74,DU8,EA$7)</f>
        <v>0</v>
      </c>
      <c r="EB8" s="4">
        <f>INDEX(增益!$B$2:$O$74,DU8,EB$7)</f>
        <v>0</v>
      </c>
      <c r="EC8" s="4">
        <f>INDEX(增益!$B$2:$O$74,DU8,EC$7)</f>
        <v>0</v>
      </c>
      <c r="ED8" s="4">
        <f>INDEX(增益!$B$2:$O$74,DU8,ED$7)</f>
        <v>0</v>
      </c>
      <c r="EE8" s="4">
        <f>INDEX(增益!$B$2:$O$74,DU8,EE$7)</f>
        <v>0</v>
      </c>
      <c r="EF8" s="4">
        <f>INDEX(增益!$B$2:$O$74,DU8,EF$7)</f>
        <v>0</v>
      </c>
      <c r="EG8" s="4">
        <f>INDEX(增益!$B$2:$O$74,DU8,EG$7)</f>
        <v>0</v>
      </c>
      <c r="EH8" s="4">
        <f>INDEX(增益!$B$2:$O$74,DU8,EH$7)</f>
        <v>0</v>
      </c>
      <c r="EJ8" s="50">
        <f>云配队!Q14</f>
        <v>0</v>
      </c>
      <c r="EQ8" s="4">
        <f>IFERROR(MATCH(EJ8,增益!$B$2:$B$74,0),1)</f>
        <v>1</v>
      </c>
      <c r="ER8" s="4">
        <f>INDEX(增益!$B$2:$O$74,EQ8,ER$7)</f>
        <v>0</v>
      </c>
      <c r="ES8" s="4">
        <f>INDEX(增益!$B$2:$O$74,EQ8,ES$7)</f>
        <v>0</v>
      </c>
      <c r="ET8" s="4">
        <f>INDEX(增益!$B$2:$O$74,EQ8,ET$7)</f>
        <v>0</v>
      </c>
      <c r="EU8" s="4">
        <f>INDEX(增益!$B$2:$O$74,EQ8,EU$7)</f>
        <v>0</v>
      </c>
      <c r="EV8" s="4">
        <f>INDEX(增益!$B$2:$O$74,EQ8,EV$7)</f>
        <v>0</v>
      </c>
      <c r="EW8" s="4">
        <f>INDEX(增益!$B$2:$O$74,EQ8,EW$7)</f>
        <v>0</v>
      </c>
      <c r="EX8" s="4">
        <f>INDEX(增益!$B$2:$O$74,EQ8,EX$7)</f>
        <v>0</v>
      </c>
      <c r="EY8" s="4">
        <f>INDEX(增益!$B$2:$O$74,EQ8,EY$7)</f>
        <v>0</v>
      </c>
      <c r="EZ8" s="4">
        <f>INDEX(增益!$B$2:$O$74,EQ8,EZ$7)</f>
        <v>0</v>
      </c>
      <c r="FA8" s="4">
        <f>INDEX(增益!$B$2:$O$74,EQ8,FA$7)</f>
        <v>0</v>
      </c>
      <c r="FB8" s="4">
        <f>INDEX(增益!$B$2:$O$74,EQ8,FB$7)</f>
        <v>0</v>
      </c>
      <c r="FC8" s="4">
        <f>INDEX(增益!$B$2:$O$74,EQ8,FC$7)</f>
        <v>0</v>
      </c>
      <c r="FD8" s="4">
        <f>INDEX(增益!$B$2:$O$74,EQ8,FD$7)</f>
        <v>0</v>
      </c>
    </row>
    <row r="9" customHeight="1" spans="3:161">
      <c r="C9" s="55" t="s">
        <v>42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0">
        <f>云配队!L15</f>
        <v>0</v>
      </c>
      <c r="AJ9" s="51">
        <f>IFERROR(VLOOKUP($AI9,增益!$Q$2:$Z$19,AJ$7,FALSE),0)</f>
        <v>0</v>
      </c>
      <c r="AK9" s="51">
        <f>IFERROR(VLOOKUP($AI9,增益!$Q$2:$Z$19,AK$7,FALSE),0)</f>
        <v>0</v>
      </c>
      <c r="AL9" s="51">
        <f>IFERROR(VLOOKUP($AI9,增益!$Q$2:$Z$19,AL$7,FALSE),0)</f>
        <v>0</v>
      </c>
      <c r="AM9" s="51">
        <f>IFERROR(VLOOKUP($AI9,增益!$Q$2:$Z$19,AM$7,FALSE),0)</f>
        <v>0</v>
      </c>
      <c r="AN9" s="51">
        <f>IFERROR(VLOOKUP($AI9,增益!$Q$2:$Z$19,AN$7,FALSE),0)</f>
        <v>0</v>
      </c>
      <c r="AO9" s="51">
        <f>IFERROR(VLOOKUP($AI9,增益!$Q$2:$Z$19,AO$7,FALSE),0)</f>
        <v>0</v>
      </c>
      <c r="AP9" s="51">
        <f>IFERROR(VLOOKUP($AI9,增益!$Q$2:$Z$19,AP$7,FALSE),0)</f>
        <v>0</v>
      </c>
      <c r="AQ9" s="51">
        <f>IFERROR(VLOOKUP($AI9,增益!$Q$2:$Z$19,AQ$7,FALSE),0)</f>
        <v>0</v>
      </c>
      <c r="AR9" s="51">
        <f>IFERROR(VLOOKUP($AI9,增益!$Q$2:$Z$19,AR$7,FALSE),0)</f>
        <v>0</v>
      </c>
      <c r="AS9" s="60"/>
      <c r="AT9" s="54"/>
      <c r="AU9" s="54"/>
      <c r="AV9" s="54"/>
      <c r="AW9" s="54"/>
      <c r="AX9" s="54"/>
      <c r="AY9" s="54"/>
      <c r="AZ9" s="61">
        <f>云配队!M15</f>
        <v>0</v>
      </c>
      <c r="BA9" s="4"/>
      <c r="BB9" s="4"/>
      <c r="BC9" s="4"/>
      <c r="BD9" s="4"/>
      <c r="BG9" s="4">
        <f>IFERROR(MATCH(AZ9,增益!$B$2:$B$74,0),1)</f>
        <v>1</v>
      </c>
      <c r="BH9" s="4">
        <f>INDEX(增益!$B$2:$O$74,BG9,BH$7)</f>
        <v>0</v>
      </c>
      <c r="BI9" s="4">
        <f>INDEX(增益!$B$2:$O$74,BG9,BI$7)</f>
        <v>0</v>
      </c>
      <c r="BJ9" s="4">
        <f>INDEX(增益!$B$2:$O$74,BG9,BJ$7)</f>
        <v>0</v>
      </c>
      <c r="BK9" s="4">
        <f>INDEX(增益!$B$2:$O$74,BG9,BK$7)</f>
        <v>0</v>
      </c>
      <c r="BL9" s="4">
        <f>INDEX(增益!$B$2:$O$74,BG9,BL$7)</f>
        <v>0</v>
      </c>
      <c r="BM9" s="4">
        <f>INDEX(增益!$B$2:$O$74,BG9,BM$7)</f>
        <v>0</v>
      </c>
      <c r="BN9" s="4">
        <f>INDEX(增益!$B$2:$O$74,BG9,BN$7)</f>
        <v>0</v>
      </c>
      <c r="BO9" s="4">
        <f>INDEX(增益!$B$2:$O$74,BG9,BO$7)</f>
        <v>0</v>
      </c>
      <c r="BP9" s="4">
        <f>INDEX(增益!$B$2:$O$74,BG9,BP$7)</f>
        <v>0</v>
      </c>
      <c r="BQ9" s="4">
        <f>INDEX(增益!$B$2:$O$74,BG9,BQ$7)</f>
        <v>0</v>
      </c>
      <c r="BR9" s="4">
        <f>INDEX(增益!$B$2:$O$74,BG9,BR$7)</f>
        <v>0</v>
      </c>
      <c r="BS9" s="4">
        <f>INDEX(增益!$B$2:$O$74,BG9,BS$7)</f>
        <v>0</v>
      </c>
      <c r="BT9" s="4">
        <f>INDEX(增益!$B$2:$O$74,BG9,BT$7)</f>
        <v>0</v>
      </c>
      <c r="BU9" s="4">
        <f>BN4+BN5+BN6</f>
        <v>0</v>
      </c>
      <c r="BV9" s="50">
        <f>云配队!N15</f>
        <v>0</v>
      </c>
      <c r="BW9" s="4"/>
      <c r="BX9" s="4"/>
      <c r="BY9" s="4"/>
      <c r="BZ9" s="4"/>
      <c r="CC9" s="4">
        <f>IFERROR(MATCH(BV9,增益!$B$2:$B$74,0),1)</f>
        <v>1</v>
      </c>
      <c r="CD9" s="4">
        <f>INDEX(增益!$B$2:$O$74,CC9,CD$7)</f>
        <v>0</v>
      </c>
      <c r="CE9" s="4">
        <f>INDEX(增益!$B$2:$O$74,CC9,CE$7)</f>
        <v>0</v>
      </c>
      <c r="CF9" s="4">
        <f>INDEX(增益!$B$2:$O$74,CC9,CF$7)</f>
        <v>0</v>
      </c>
      <c r="CG9" s="4">
        <f>INDEX(增益!$B$2:$O$74,CC9,CG$7)</f>
        <v>0</v>
      </c>
      <c r="CH9" s="4">
        <f>INDEX(增益!$B$2:$O$74,CC9,CH$7)</f>
        <v>0</v>
      </c>
      <c r="CI9" s="4">
        <f>INDEX(增益!$B$2:$O$74,CC9,CI$7)</f>
        <v>0</v>
      </c>
      <c r="CJ9" s="4">
        <f>INDEX(增益!$B$2:$O$74,CC9,CJ$7)</f>
        <v>0</v>
      </c>
      <c r="CK9" s="4">
        <f>INDEX(增益!$B$2:$O$74,CC9,CK$7)</f>
        <v>0</v>
      </c>
      <c r="CL9" s="4">
        <f>INDEX(增益!$B$2:$O$74,CC9,CL$7)</f>
        <v>0</v>
      </c>
      <c r="CM9" s="4">
        <f>INDEX(增益!$B$2:$O$74,CC9,CM$7)</f>
        <v>0</v>
      </c>
      <c r="CN9" s="4">
        <f>INDEX(增益!$B$2:$O$74,CC9,CN$7)</f>
        <v>0</v>
      </c>
      <c r="CO9" s="4">
        <f>INDEX(增益!$B$2:$O$74,CC9,CO$7)</f>
        <v>0</v>
      </c>
      <c r="CP9" s="4">
        <f>INDEX(增益!$B$2:$O$74,CC9,CP$7)</f>
        <v>0</v>
      </c>
      <c r="CQ9" s="4">
        <f>CJ4+CJ5+CJ6</f>
        <v>0</v>
      </c>
      <c r="CR9" s="50">
        <f>云配队!O15</f>
        <v>0</v>
      </c>
      <c r="CS9" s="4"/>
      <c r="CT9" s="4"/>
      <c r="CU9" s="4"/>
      <c r="CV9" s="4"/>
      <c r="CY9" s="4">
        <f>IFERROR(MATCH(CR9,增益!$B$2:$B$74,0),1)</f>
        <v>1</v>
      </c>
      <c r="CZ9" s="4">
        <f>INDEX(增益!$B$2:$O$74,CY9,CZ$7)</f>
        <v>0</v>
      </c>
      <c r="DA9" s="4">
        <f>INDEX(增益!$B$2:$O$74,CY9,DA$7)</f>
        <v>0</v>
      </c>
      <c r="DB9" s="4">
        <f>INDEX(增益!$B$2:$O$74,CY9,DB$7)</f>
        <v>0</v>
      </c>
      <c r="DC9" s="4">
        <f>INDEX(增益!$B$2:$O$74,CY9,DC$7)</f>
        <v>0</v>
      </c>
      <c r="DD9" s="4">
        <f>INDEX(增益!$B$2:$O$74,CY9,DD$7)</f>
        <v>0</v>
      </c>
      <c r="DE9" s="4">
        <f>INDEX(增益!$B$2:$O$74,CY9,DE$7)</f>
        <v>0</v>
      </c>
      <c r="DF9" s="4">
        <f>INDEX(增益!$B$2:$O$74,CY9,DF$7)</f>
        <v>0</v>
      </c>
      <c r="DG9" s="4">
        <f>INDEX(增益!$B$2:$O$74,CY9,DG$7)</f>
        <v>0</v>
      </c>
      <c r="DH9" s="4">
        <f>INDEX(增益!$B$2:$O$74,CY9,DH$7)</f>
        <v>0</v>
      </c>
      <c r="DI9" s="4">
        <f>INDEX(增益!$B$2:$O$74,CY9,DI$7)</f>
        <v>0</v>
      </c>
      <c r="DJ9" s="4">
        <f>INDEX(增益!$B$2:$O$74,CY9,DJ$7)</f>
        <v>0</v>
      </c>
      <c r="DK9" s="4">
        <f>INDEX(增益!$B$2:$O$74,CY9,DK$7)</f>
        <v>0</v>
      </c>
      <c r="DL9" s="4">
        <f>INDEX(增益!$B$2:$O$74,CY9,DL$7)</f>
        <v>0</v>
      </c>
      <c r="DM9" s="4">
        <f>DF4+DF5+DF6</f>
        <v>0</v>
      </c>
      <c r="DN9" s="50">
        <f>云配队!P15</f>
        <v>0</v>
      </c>
      <c r="DO9" s="4"/>
      <c r="DP9" s="4"/>
      <c r="DQ9" s="4"/>
      <c r="DR9" s="4"/>
      <c r="DU9" s="4">
        <f>IFERROR(MATCH(DN9,增益!$B$2:$B$74,0),1)</f>
        <v>1</v>
      </c>
      <c r="DV9" s="4">
        <f>INDEX(增益!$B$2:$O$74,DU9,DV$7)</f>
        <v>0</v>
      </c>
      <c r="DW9" s="4">
        <f>INDEX(增益!$B$2:$O$74,DU9,DW$7)</f>
        <v>0</v>
      </c>
      <c r="DX9" s="4">
        <f>INDEX(增益!$B$2:$O$74,DU9,DX$7)</f>
        <v>0</v>
      </c>
      <c r="DY9" s="4">
        <f>INDEX(增益!$B$2:$O$74,DU9,DY$7)</f>
        <v>0</v>
      </c>
      <c r="DZ9" s="4">
        <f>INDEX(增益!$B$2:$O$74,DU9,DZ$7)</f>
        <v>0</v>
      </c>
      <c r="EA9" s="4">
        <f>INDEX(增益!$B$2:$O$74,DU9,EA$7)</f>
        <v>0</v>
      </c>
      <c r="EB9" s="4">
        <f>INDEX(增益!$B$2:$O$74,DU9,EB$7)</f>
        <v>0</v>
      </c>
      <c r="EC9" s="4">
        <f>INDEX(增益!$B$2:$O$74,DU9,EC$7)</f>
        <v>0</v>
      </c>
      <c r="ED9" s="4">
        <f>INDEX(增益!$B$2:$O$74,DU9,ED$7)</f>
        <v>0</v>
      </c>
      <c r="EE9" s="4">
        <f>INDEX(增益!$B$2:$O$74,DU9,EE$7)</f>
        <v>0</v>
      </c>
      <c r="EF9" s="4">
        <f>INDEX(增益!$B$2:$O$74,DU9,EF$7)</f>
        <v>0</v>
      </c>
      <c r="EG9" s="4">
        <f>INDEX(增益!$B$2:$O$74,DU9,EG$7)</f>
        <v>0</v>
      </c>
      <c r="EH9" s="4">
        <f>INDEX(增益!$B$2:$O$74,DU9,EH$7)</f>
        <v>0</v>
      </c>
      <c r="EI9" s="4">
        <f>EB4+EB5+EB6</f>
        <v>0</v>
      </c>
      <c r="EJ9" s="50">
        <f>云配队!Q15</f>
        <v>0</v>
      </c>
      <c r="EK9" s="4"/>
      <c r="EL9" s="4"/>
      <c r="EM9" s="4"/>
      <c r="EN9" s="4"/>
      <c r="EQ9" s="4">
        <f>IFERROR(MATCH(EJ9,增益!$B$2:$B$74,0),1)</f>
        <v>1</v>
      </c>
      <c r="ER9" s="4">
        <f>INDEX(增益!$B$2:$O$74,EQ9,ER$7)</f>
        <v>0</v>
      </c>
      <c r="ES9" s="4">
        <f>INDEX(增益!$B$2:$O$74,EQ9,ES$7)</f>
        <v>0</v>
      </c>
      <c r="ET9" s="4">
        <f>INDEX(增益!$B$2:$O$74,EQ9,ET$7)</f>
        <v>0</v>
      </c>
      <c r="EU9" s="4">
        <f>INDEX(增益!$B$2:$O$74,EQ9,EU$7)</f>
        <v>0</v>
      </c>
      <c r="EV9" s="4">
        <f>INDEX(增益!$B$2:$O$74,EQ9,EV$7)</f>
        <v>0</v>
      </c>
      <c r="EW9" s="4">
        <f>INDEX(增益!$B$2:$O$74,EQ9,EW$7)</f>
        <v>0</v>
      </c>
      <c r="EX9" s="4">
        <f>INDEX(增益!$B$2:$O$74,EQ9,EX$7)</f>
        <v>0</v>
      </c>
      <c r="EY9" s="4">
        <f>INDEX(增益!$B$2:$O$74,EQ9,EY$7)</f>
        <v>0</v>
      </c>
      <c r="EZ9" s="4">
        <f>INDEX(增益!$B$2:$O$74,EQ9,EZ$7)</f>
        <v>0</v>
      </c>
      <c r="FA9" s="4">
        <f>INDEX(增益!$B$2:$O$74,EQ9,FA$7)</f>
        <v>0</v>
      </c>
      <c r="FB9" s="4">
        <f>INDEX(增益!$B$2:$O$74,EQ9,FB$7)</f>
        <v>0</v>
      </c>
      <c r="FC9" s="4">
        <f>INDEX(增益!$B$2:$O$74,EQ9,FC$7)</f>
        <v>0</v>
      </c>
      <c r="FD9" s="4">
        <f>INDEX(增益!$B$2:$O$74,EQ9,FD$7)</f>
        <v>0</v>
      </c>
      <c r="FE9" s="4">
        <f>EX4+EX5+EX6</f>
        <v>0</v>
      </c>
    </row>
    <row r="10" customHeight="1" spans="3:160">
      <c r="C10" s="55" t="s">
        <v>43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0">
        <f>云配队!L16</f>
        <v>0</v>
      </c>
      <c r="AJ10" s="51">
        <f>IFERROR(VLOOKUP($AI10,增益!$Q$2:$Z$19,AJ$7,FALSE),0)</f>
        <v>0</v>
      </c>
      <c r="AK10" s="51">
        <f>IFERROR(VLOOKUP($AI10,增益!$Q$2:$Z$19,AK$7,FALSE),0)</f>
        <v>0</v>
      </c>
      <c r="AL10" s="51">
        <f>IFERROR(VLOOKUP($AI10,增益!$Q$2:$Z$19,AL$7,FALSE),0)</f>
        <v>0</v>
      </c>
      <c r="AM10" s="51">
        <f>IFERROR(VLOOKUP($AI10,增益!$Q$2:$Z$19,AM$7,FALSE),0)</f>
        <v>0</v>
      </c>
      <c r="AN10" s="51">
        <f>IFERROR(VLOOKUP($AI10,增益!$Q$2:$Z$19,AN$7,FALSE),0)</f>
        <v>0</v>
      </c>
      <c r="AO10" s="51">
        <f>IFERROR(VLOOKUP($AI10,增益!$Q$2:$Z$19,AO$7,FALSE),0)</f>
        <v>0</v>
      </c>
      <c r="AP10" s="51">
        <f>IFERROR(VLOOKUP($AI10,增益!$Q$2:$Z$19,AP$7,FALSE),0)</f>
        <v>0</v>
      </c>
      <c r="AQ10" s="51">
        <f>IFERROR(VLOOKUP($AI10,增益!$Q$2:$Z$19,AQ$7,FALSE),0)</f>
        <v>0</v>
      </c>
      <c r="AR10" s="51">
        <f>IFERROR(VLOOKUP($AI10,增益!$Q$2:$Z$19,AR$7,FALSE),0)</f>
        <v>0</v>
      </c>
      <c r="AS10" s="60"/>
      <c r="AT10" s="54"/>
      <c r="AU10" s="54"/>
      <c r="AV10" s="54"/>
      <c r="AW10" s="54"/>
      <c r="AX10" s="54"/>
      <c r="AY10" s="54"/>
      <c r="AZ10" s="61">
        <f>云配队!M16</f>
        <v>0</v>
      </c>
      <c r="BG10" s="4">
        <f>IFERROR(MATCH(AZ10,增益!$B$2:$B$74,0),1)</f>
        <v>1</v>
      </c>
      <c r="BH10" s="4">
        <f>INDEX(增益!$B$2:$O$74,BG10,BH$7)</f>
        <v>0</v>
      </c>
      <c r="BI10" s="4">
        <f>INDEX(增益!$B$2:$O$74,BG10,BI$7)</f>
        <v>0</v>
      </c>
      <c r="BJ10" s="4">
        <f>INDEX(增益!$B$2:$O$74,BG10,BJ$7)</f>
        <v>0</v>
      </c>
      <c r="BK10" s="4">
        <f>INDEX(增益!$B$2:$O$74,BG10,BK$7)</f>
        <v>0</v>
      </c>
      <c r="BL10" s="4">
        <f>INDEX(增益!$B$2:$O$74,BG10,BL$7)</f>
        <v>0</v>
      </c>
      <c r="BM10" s="4">
        <f>INDEX(增益!$B$2:$O$74,BG10,BM$7)</f>
        <v>0</v>
      </c>
      <c r="BN10" s="4">
        <f>INDEX(增益!$B$2:$O$74,BG10,BN$7)</f>
        <v>0</v>
      </c>
      <c r="BO10" s="4">
        <f>INDEX(增益!$B$2:$O$74,BG10,BO$7)</f>
        <v>0</v>
      </c>
      <c r="BP10" s="4">
        <f>INDEX(增益!$B$2:$O$74,BG10,BP$7)</f>
        <v>0</v>
      </c>
      <c r="BQ10" s="4">
        <f>INDEX(增益!$B$2:$O$74,BG10,BQ$7)</f>
        <v>0</v>
      </c>
      <c r="BR10" s="4">
        <f>INDEX(增益!$B$2:$O$74,BG10,BR$7)</f>
        <v>0</v>
      </c>
      <c r="BS10" s="4">
        <f>INDEX(增益!$B$2:$O$74,BG10,BS$7)</f>
        <v>0</v>
      </c>
      <c r="BT10" s="4">
        <f>INDEX(增益!$B$2:$O$74,BG10,BT$7)</f>
        <v>0</v>
      </c>
      <c r="BV10" s="50">
        <f>云配队!N16</f>
        <v>0</v>
      </c>
      <c r="CC10" s="4">
        <f>IFERROR(MATCH(BV10,增益!$B$2:$B$74,0),1)</f>
        <v>1</v>
      </c>
      <c r="CD10" s="4">
        <f>INDEX(增益!$B$2:$O$74,CC10,CD$7)</f>
        <v>0</v>
      </c>
      <c r="CE10" s="4">
        <f>INDEX(增益!$B$2:$O$74,CC10,CE$7)</f>
        <v>0</v>
      </c>
      <c r="CF10" s="4">
        <f>INDEX(增益!$B$2:$O$74,CC10,CF$7)</f>
        <v>0</v>
      </c>
      <c r="CG10" s="4">
        <f>INDEX(增益!$B$2:$O$74,CC10,CG$7)</f>
        <v>0</v>
      </c>
      <c r="CH10" s="4">
        <f>INDEX(增益!$B$2:$O$74,CC10,CH$7)</f>
        <v>0</v>
      </c>
      <c r="CI10" s="4">
        <f>INDEX(增益!$B$2:$O$74,CC10,CI$7)</f>
        <v>0</v>
      </c>
      <c r="CJ10" s="4">
        <f>INDEX(增益!$B$2:$O$74,CC10,CJ$7)</f>
        <v>0</v>
      </c>
      <c r="CK10" s="4">
        <f>INDEX(增益!$B$2:$O$74,CC10,CK$7)</f>
        <v>0</v>
      </c>
      <c r="CL10" s="4">
        <f>INDEX(增益!$B$2:$O$74,CC10,CL$7)</f>
        <v>0</v>
      </c>
      <c r="CM10" s="4">
        <f>INDEX(增益!$B$2:$O$74,CC10,CM$7)</f>
        <v>0</v>
      </c>
      <c r="CN10" s="4">
        <f>INDEX(增益!$B$2:$O$74,CC10,CN$7)</f>
        <v>0</v>
      </c>
      <c r="CO10" s="4">
        <f>INDEX(增益!$B$2:$O$74,CC10,CO$7)</f>
        <v>0</v>
      </c>
      <c r="CP10" s="4">
        <f>INDEX(增益!$B$2:$O$74,CC10,CP$7)</f>
        <v>0</v>
      </c>
      <c r="CR10" s="50">
        <f>云配队!O16</f>
        <v>0</v>
      </c>
      <c r="CY10" s="4">
        <f>IFERROR(MATCH(CR10,增益!$B$2:$B$74,0),1)</f>
        <v>1</v>
      </c>
      <c r="CZ10" s="4">
        <f>INDEX(增益!$B$2:$O$74,CY10,CZ$7)</f>
        <v>0</v>
      </c>
      <c r="DA10" s="4">
        <f>INDEX(增益!$B$2:$O$74,CY10,DA$7)</f>
        <v>0</v>
      </c>
      <c r="DB10" s="4">
        <f>INDEX(增益!$B$2:$O$74,CY10,DB$7)</f>
        <v>0</v>
      </c>
      <c r="DC10" s="4">
        <f>INDEX(增益!$B$2:$O$74,CY10,DC$7)</f>
        <v>0</v>
      </c>
      <c r="DD10" s="4">
        <f>INDEX(增益!$B$2:$O$74,CY10,DD$7)</f>
        <v>0</v>
      </c>
      <c r="DE10" s="4">
        <f>INDEX(增益!$B$2:$O$74,CY10,DE$7)</f>
        <v>0</v>
      </c>
      <c r="DF10" s="4">
        <f>INDEX(增益!$B$2:$O$74,CY10,DF$7)</f>
        <v>0</v>
      </c>
      <c r="DG10" s="4">
        <f>INDEX(增益!$B$2:$O$74,CY10,DG$7)</f>
        <v>0</v>
      </c>
      <c r="DH10" s="4">
        <f>INDEX(增益!$B$2:$O$74,CY10,DH$7)</f>
        <v>0</v>
      </c>
      <c r="DI10" s="4">
        <f>INDEX(增益!$B$2:$O$74,CY10,DI$7)</f>
        <v>0</v>
      </c>
      <c r="DJ10" s="4">
        <f>INDEX(增益!$B$2:$O$74,CY10,DJ$7)</f>
        <v>0</v>
      </c>
      <c r="DK10" s="4">
        <f>INDEX(增益!$B$2:$O$74,CY10,DK$7)</f>
        <v>0</v>
      </c>
      <c r="DL10" s="4">
        <f>INDEX(增益!$B$2:$O$74,CY10,DL$7)</f>
        <v>0</v>
      </c>
      <c r="DN10" s="50">
        <f>云配队!P16</f>
        <v>0</v>
      </c>
      <c r="DU10" s="4">
        <f>IFERROR(MATCH(DN10,增益!$B$2:$B$74,0),1)</f>
        <v>1</v>
      </c>
      <c r="DV10" s="4">
        <f>INDEX(增益!$B$2:$O$74,DU10,DV$7)</f>
        <v>0</v>
      </c>
      <c r="DW10" s="4">
        <f>INDEX(增益!$B$2:$O$74,DU10,DW$7)</f>
        <v>0</v>
      </c>
      <c r="DX10" s="4">
        <f>INDEX(增益!$B$2:$O$74,DU10,DX$7)</f>
        <v>0</v>
      </c>
      <c r="DY10" s="4">
        <f>INDEX(增益!$B$2:$O$74,DU10,DY$7)</f>
        <v>0</v>
      </c>
      <c r="DZ10" s="4">
        <f>INDEX(增益!$B$2:$O$74,DU10,DZ$7)</f>
        <v>0</v>
      </c>
      <c r="EA10" s="4">
        <f>INDEX(增益!$B$2:$O$74,DU10,EA$7)</f>
        <v>0</v>
      </c>
      <c r="EB10" s="4">
        <f>INDEX(增益!$B$2:$O$74,DU10,EB$7)</f>
        <v>0</v>
      </c>
      <c r="EC10" s="4">
        <f>INDEX(增益!$B$2:$O$74,DU10,EC$7)</f>
        <v>0</v>
      </c>
      <c r="ED10" s="4">
        <f>INDEX(增益!$B$2:$O$74,DU10,ED$7)</f>
        <v>0</v>
      </c>
      <c r="EE10" s="4">
        <f>INDEX(增益!$B$2:$O$74,DU10,EE$7)</f>
        <v>0</v>
      </c>
      <c r="EF10" s="4">
        <f>INDEX(增益!$B$2:$O$74,DU10,EF$7)</f>
        <v>0</v>
      </c>
      <c r="EG10" s="4">
        <f>INDEX(增益!$B$2:$O$74,DU10,EG$7)</f>
        <v>0</v>
      </c>
      <c r="EH10" s="4">
        <f>INDEX(增益!$B$2:$O$74,DU10,EH$7)</f>
        <v>0</v>
      </c>
      <c r="EJ10" s="50">
        <f>云配队!Q16</f>
        <v>0</v>
      </c>
      <c r="EQ10" s="4">
        <f>IFERROR(MATCH(EJ10,增益!$B$2:$B$74,0),1)</f>
        <v>1</v>
      </c>
      <c r="ER10" s="4">
        <f>INDEX(增益!$B$2:$O$74,EQ10,ER$7)</f>
        <v>0</v>
      </c>
      <c r="ES10" s="4">
        <f>INDEX(增益!$B$2:$O$74,EQ10,ES$7)</f>
        <v>0</v>
      </c>
      <c r="ET10" s="4">
        <f>INDEX(增益!$B$2:$O$74,EQ10,ET$7)</f>
        <v>0</v>
      </c>
      <c r="EU10" s="4">
        <f>INDEX(增益!$B$2:$O$74,EQ10,EU$7)</f>
        <v>0</v>
      </c>
      <c r="EV10" s="4">
        <f>INDEX(增益!$B$2:$O$74,EQ10,EV$7)</f>
        <v>0</v>
      </c>
      <c r="EW10" s="4">
        <f>INDEX(增益!$B$2:$O$74,EQ10,EW$7)</f>
        <v>0</v>
      </c>
      <c r="EX10" s="4">
        <f>INDEX(增益!$B$2:$O$74,EQ10,EX$7)</f>
        <v>0</v>
      </c>
      <c r="EY10" s="4">
        <f>INDEX(增益!$B$2:$O$74,EQ10,EY$7)</f>
        <v>0</v>
      </c>
      <c r="EZ10" s="4">
        <f>INDEX(增益!$B$2:$O$74,EQ10,EZ$7)</f>
        <v>0</v>
      </c>
      <c r="FA10" s="4">
        <f>INDEX(增益!$B$2:$O$74,EQ10,FA$7)</f>
        <v>0</v>
      </c>
      <c r="FB10" s="4">
        <f>INDEX(增益!$B$2:$O$74,EQ10,FB$7)</f>
        <v>0</v>
      </c>
      <c r="FC10" s="4">
        <f>INDEX(增益!$B$2:$O$74,EQ10,FC$7)</f>
        <v>0</v>
      </c>
      <c r="FD10" s="4">
        <f>INDEX(增益!$B$2:$O$74,EQ10,FD$7)</f>
        <v>0</v>
      </c>
    </row>
    <row r="11" customHeight="1" spans="3:160">
      <c r="C11" s="55" t="s">
        <v>44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0">
        <f>云配队!L17</f>
        <v>0</v>
      </c>
      <c r="AJ11" s="51">
        <f>IFERROR(VLOOKUP($AI11,增益!$Q$2:$Z$19,AJ$7,FALSE),0)</f>
        <v>0</v>
      </c>
      <c r="AK11" s="51">
        <f>IFERROR(VLOOKUP($AI11,增益!$Q$2:$Z$19,AK$7,FALSE),0)</f>
        <v>0</v>
      </c>
      <c r="AL11" s="51">
        <f>IFERROR(VLOOKUP($AI11,增益!$Q$2:$Z$19,AL$7,FALSE),0)</f>
        <v>0</v>
      </c>
      <c r="AM11" s="51">
        <f>IFERROR(VLOOKUP($AI11,增益!$Q$2:$Z$19,AM$7,FALSE),0)</f>
        <v>0</v>
      </c>
      <c r="AN11" s="51">
        <f>IFERROR(VLOOKUP($AI11,增益!$Q$2:$Z$19,AN$7,FALSE),0)</f>
        <v>0</v>
      </c>
      <c r="AO11" s="51">
        <f>IFERROR(VLOOKUP($AI11,增益!$Q$2:$Z$19,AO$7,FALSE),0)</f>
        <v>0</v>
      </c>
      <c r="AP11" s="51">
        <f>IFERROR(VLOOKUP($AI11,增益!$Q$2:$Z$19,AP$7,FALSE),0)</f>
        <v>0</v>
      </c>
      <c r="AQ11" s="51">
        <f>IFERROR(VLOOKUP($AI11,增益!$Q$2:$Z$19,AQ$7,FALSE),0)</f>
        <v>0</v>
      </c>
      <c r="AR11" s="51">
        <f>IFERROR(VLOOKUP($AI11,增益!$Q$2:$Z$19,AR$7,FALSE),0)</f>
        <v>0</v>
      </c>
      <c r="AS11" s="60"/>
      <c r="AT11" s="54"/>
      <c r="AU11" s="54"/>
      <c r="AV11" s="54"/>
      <c r="AW11" s="54"/>
      <c r="AX11" s="54"/>
      <c r="AY11" s="54"/>
      <c r="AZ11" s="61">
        <f>云配队!M17</f>
        <v>0</v>
      </c>
      <c r="BG11" s="4">
        <f>IFERROR(MATCH(AZ11,增益!$B$2:$B$74,0),1)</f>
        <v>1</v>
      </c>
      <c r="BH11" s="4">
        <f>INDEX(增益!$B$2:$O$74,BG11,BH$7)</f>
        <v>0</v>
      </c>
      <c r="BI11" s="4">
        <f>INDEX(增益!$B$2:$O$74,BG11,BI$7)</f>
        <v>0</v>
      </c>
      <c r="BJ11" s="4">
        <f>INDEX(增益!$B$2:$O$74,BG11,BJ$7)</f>
        <v>0</v>
      </c>
      <c r="BK11" s="4">
        <f>INDEX(增益!$B$2:$O$74,BG11,BK$7)</f>
        <v>0</v>
      </c>
      <c r="BL11" s="4">
        <f>INDEX(增益!$B$2:$O$74,BG11,BL$7)</f>
        <v>0</v>
      </c>
      <c r="BM11" s="4">
        <f>INDEX(增益!$B$2:$O$74,BG11,BM$7)</f>
        <v>0</v>
      </c>
      <c r="BN11" s="4">
        <f>INDEX(增益!$B$2:$O$74,BG11,BN$7)</f>
        <v>0</v>
      </c>
      <c r="BO11" s="4">
        <f>INDEX(增益!$B$2:$O$74,BG11,BO$7)</f>
        <v>0</v>
      </c>
      <c r="BP11" s="4">
        <f>INDEX(增益!$B$2:$O$74,BG11,BP$7)</f>
        <v>0</v>
      </c>
      <c r="BQ11" s="4">
        <f>INDEX(增益!$B$2:$O$74,BG11,BQ$7)</f>
        <v>0</v>
      </c>
      <c r="BR11" s="4">
        <f>INDEX(增益!$B$2:$O$74,BG11,BR$7)</f>
        <v>0</v>
      </c>
      <c r="BS11" s="4">
        <f>INDEX(增益!$B$2:$O$74,BG11,BS$7)</f>
        <v>0</v>
      </c>
      <c r="BT11" s="4">
        <f>INDEX(增益!$B$2:$O$74,BG11,BT$7)</f>
        <v>0</v>
      </c>
      <c r="BV11" s="50">
        <f>云配队!N17</f>
        <v>0</v>
      </c>
      <c r="CC11" s="4">
        <f>IFERROR(MATCH(BV11,增益!$B$2:$B$74,0),1)</f>
        <v>1</v>
      </c>
      <c r="CD11" s="4">
        <f>INDEX(增益!$B$2:$O$74,CC11,CD$7)</f>
        <v>0</v>
      </c>
      <c r="CE11" s="4">
        <f>INDEX(增益!$B$2:$O$74,CC11,CE$7)</f>
        <v>0</v>
      </c>
      <c r="CF11" s="4">
        <f>INDEX(增益!$B$2:$O$74,CC11,CF$7)</f>
        <v>0</v>
      </c>
      <c r="CG11" s="4">
        <f>INDEX(增益!$B$2:$O$74,CC11,CG$7)</f>
        <v>0</v>
      </c>
      <c r="CH11" s="4">
        <f>INDEX(增益!$B$2:$O$74,CC11,CH$7)</f>
        <v>0</v>
      </c>
      <c r="CI11" s="4">
        <f>INDEX(增益!$B$2:$O$74,CC11,CI$7)</f>
        <v>0</v>
      </c>
      <c r="CJ11" s="4">
        <f>INDEX(增益!$B$2:$O$74,CC11,CJ$7)</f>
        <v>0</v>
      </c>
      <c r="CK11" s="4">
        <f>INDEX(增益!$B$2:$O$74,CC11,CK$7)</f>
        <v>0</v>
      </c>
      <c r="CL11" s="4">
        <f>INDEX(增益!$B$2:$O$74,CC11,CL$7)</f>
        <v>0</v>
      </c>
      <c r="CM11" s="4">
        <f>INDEX(增益!$B$2:$O$74,CC11,CM$7)</f>
        <v>0</v>
      </c>
      <c r="CN11" s="4">
        <f>INDEX(增益!$B$2:$O$74,CC11,CN$7)</f>
        <v>0</v>
      </c>
      <c r="CO11" s="4">
        <f>INDEX(增益!$B$2:$O$74,CC11,CO$7)</f>
        <v>0</v>
      </c>
      <c r="CP11" s="4">
        <f>INDEX(增益!$B$2:$O$74,CC11,CP$7)</f>
        <v>0</v>
      </c>
      <c r="CR11" s="50">
        <f>云配队!O17</f>
        <v>0</v>
      </c>
      <c r="CY11" s="4">
        <f>IFERROR(MATCH(CR11,增益!$B$2:$B$74,0),1)</f>
        <v>1</v>
      </c>
      <c r="CZ11" s="4">
        <f>INDEX(增益!$B$2:$O$74,CY11,CZ$7)</f>
        <v>0</v>
      </c>
      <c r="DA11" s="4">
        <f>INDEX(增益!$B$2:$O$74,CY11,DA$7)</f>
        <v>0</v>
      </c>
      <c r="DB11" s="4">
        <f>INDEX(增益!$B$2:$O$74,CY11,DB$7)</f>
        <v>0</v>
      </c>
      <c r="DC11" s="4">
        <f>INDEX(增益!$B$2:$O$74,CY11,DC$7)</f>
        <v>0</v>
      </c>
      <c r="DD11" s="4">
        <f>INDEX(增益!$B$2:$O$74,CY11,DD$7)</f>
        <v>0</v>
      </c>
      <c r="DE11" s="4">
        <f>INDEX(增益!$B$2:$O$74,CY11,DE$7)</f>
        <v>0</v>
      </c>
      <c r="DF11" s="4">
        <f>INDEX(增益!$B$2:$O$74,CY11,DF$7)</f>
        <v>0</v>
      </c>
      <c r="DG11" s="4">
        <f>INDEX(增益!$B$2:$O$74,CY11,DG$7)</f>
        <v>0</v>
      </c>
      <c r="DH11" s="4">
        <f>INDEX(增益!$B$2:$O$74,CY11,DH$7)</f>
        <v>0</v>
      </c>
      <c r="DI11" s="4">
        <f>INDEX(增益!$B$2:$O$74,CY11,DI$7)</f>
        <v>0</v>
      </c>
      <c r="DJ11" s="4">
        <f>INDEX(增益!$B$2:$O$74,CY11,DJ$7)</f>
        <v>0</v>
      </c>
      <c r="DK11" s="4">
        <f>INDEX(增益!$B$2:$O$74,CY11,DK$7)</f>
        <v>0</v>
      </c>
      <c r="DL11" s="4">
        <f>INDEX(增益!$B$2:$O$74,CY11,DL$7)</f>
        <v>0</v>
      </c>
      <c r="DN11" s="50">
        <f>云配队!P17</f>
        <v>0</v>
      </c>
      <c r="DU11" s="4">
        <f>IFERROR(MATCH(DN11,增益!$B$2:$B$74,0),1)</f>
        <v>1</v>
      </c>
      <c r="DV11" s="4">
        <f>INDEX(增益!$B$2:$O$74,DU11,DV$7)</f>
        <v>0</v>
      </c>
      <c r="DW11" s="4">
        <f>INDEX(增益!$B$2:$O$74,DU11,DW$7)</f>
        <v>0</v>
      </c>
      <c r="DX11" s="4">
        <f>INDEX(增益!$B$2:$O$74,DU11,DX$7)</f>
        <v>0</v>
      </c>
      <c r="DY11" s="4">
        <f>INDEX(增益!$B$2:$O$74,DU11,DY$7)</f>
        <v>0</v>
      </c>
      <c r="DZ11" s="4">
        <f>INDEX(增益!$B$2:$O$74,DU11,DZ$7)</f>
        <v>0</v>
      </c>
      <c r="EA11" s="4">
        <f>INDEX(增益!$B$2:$O$74,DU11,EA$7)</f>
        <v>0</v>
      </c>
      <c r="EB11" s="4">
        <f>INDEX(增益!$B$2:$O$74,DU11,EB$7)</f>
        <v>0</v>
      </c>
      <c r="EC11" s="4">
        <f>INDEX(增益!$B$2:$O$74,DU11,EC$7)</f>
        <v>0</v>
      </c>
      <c r="ED11" s="4">
        <f>INDEX(增益!$B$2:$O$74,DU11,ED$7)</f>
        <v>0</v>
      </c>
      <c r="EE11" s="4">
        <f>INDEX(增益!$B$2:$O$74,DU11,EE$7)</f>
        <v>0</v>
      </c>
      <c r="EF11" s="4">
        <f>INDEX(增益!$B$2:$O$74,DU11,EF$7)</f>
        <v>0</v>
      </c>
      <c r="EG11" s="4">
        <f>INDEX(增益!$B$2:$O$74,DU11,EG$7)</f>
        <v>0</v>
      </c>
      <c r="EH11" s="4">
        <f>INDEX(增益!$B$2:$O$74,DU11,EH$7)</f>
        <v>0</v>
      </c>
      <c r="EJ11" s="50">
        <f>云配队!Q17</f>
        <v>0</v>
      </c>
      <c r="EQ11" s="4">
        <f>IFERROR(MATCH(EJ11,增益!$B$2:$B$74,0),1)</f>
        <v>1</v>
      </c>
      <c r="ER11" s="4">
        <f>INDEX(增益!$B$2:$O$74,EQ11,ER$7)</f>
        <v>0</v>
      </c>
      <c r="ES11" s="4">
        <f>INDEX(增益!$B$2:$O$74,EQ11,ES$7)</f>
        <v>0</v>
      </c>
      <c r="ET11" s="4">
        <f>INDEX(增益!$B$2:$O$74,EQ11,ET$7)</f>
        <v>0</v>
      </c>
      <c r="EU11" s="4">
        <f>INDEX(增益!$B$2:$O$74,EQ11,EU$7)</f>
        <v>0</v>
      </c>
      <c r="EV11" s="4">
        <f>INDEX(增益!$B$2:$O$74,EQ11,EV$7)</f>
        <v>0</v>
      </c>
      <c r="EW11" s="4">
        <f>INDEX(增益!$B$2:$O$74,EQ11,EW$7)</f>
        <v>0</v>
      </c>
      <c r="EX11" s="4">
        <f>INDEX(增益!$B$2:$O$74,EQ11,EX$7)</f>
        <v>0</v>
      </c>
      <c r="EY11" s="4">
        <f>INDEX(增益!$B$2:$O$74,EQ11,EY$7)</f>
        <v>0</v>
      </c>
      <c r="EZ11" s="4">
        <f>INDEX(增益!$B$2:$O$74,EQ11,EZ$7)</f>
        <v>0</v>
      </c>
      <c r="FA11" s="4">
        <f>INDEX(增益!$B$2:$O$74,EQ11,FA$7)</f>
        <v>0</v>
      </c>
      <c r="FB11" s="4">
        <f>INDEX(增益!$B$2:$O$74,EQ11,FB$7)</f>
        <v>0</v>
      </c>
      <c r="FC11" s="4">
        <f>INDEX(增益!$B$2:$O$74,EQ11,FC$7)</f>
        <v>0</v>
      </c>
      <c r="FD11" s="4">
        <f>INDEX(增益!$B$2:$O$74,EQ11,FD$7)</f>
        <v>0</v>
      </c>
    </row>
    <row r="12" customHeight="1" spans="3:160">
      <c r="C12" s="55" t="s">
        <v>45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0">
        <f>云配队!L18</f>
        <v>0</v>
      </c>
      <c r="AJ12" s="51">
        <f>IFERROR(VLOOKUP($AI12,增益!$Q$2:$Z$19,AJ$7,FALSE),0)</f>
        <v>0</v>
      </c>
      <c r="AK12" s="51">
        <f>IFERROR(VLOOKUP($AI12,增益!$Q$2:$Z$19,AK$7,FALSE),0)</f>
        <v>0</v>
      </c>
      <c r="AL12" s="51">
        <f>IFERROR(VLOOKUP($AI12,增益!$Q$2:$Z$19,AL$7,FALSE),0)</f>
        <v>0</v>
      </c>
      <c r="AM12" s="51">
        <f>IFERROR(VLOOKUP($AI12,增益!$Q$2:$Z$19,AM$7,FALSE),0)</f>
        <v>0</v>
      </c>
      <c r="AN12" s="51">
        <f>IFERROR(VLOOKUP($AI12,增益!$Q$2:$Z$19,AN$7,FALSE),0)</f>
        <v>0</v>
      </c>
      <c r="AO12" s="51">
        <f>IFERROR(VLOOKUP($AI12,增益!$Q$2:$Z$19,AO$7,FALSE),0)</f>
        <v>0</v>
      </c>
      <c r="AP12" s="51">
        <f>IFERROR(VLOOKUP($AI12,增益!$Q$2:$Z$19,AP$7,FALSE),0)</f>
        <v>0</v>
      </c>
      <c r="AQ12" s="51">
        <f>IFERROR(VLOOKUP($AI12,增益!$Q$2:$Z$19,AQ$7,FALSE),0)</f>
        <v>0</v>
      </c>
      <c r="AR12" s="51">
        <f>IFERROR(VLOOKUP($AI12,增益!$Q$2:$Z$19,AR$7,FALSE),0)</f>
        <v>0</v>
      </c>
      <c r="AS12" s="60"/>
      <c r="AT12" s="54"/>
      <c r="AU12" s="54"/>
      <c r="AV12" s="54"/>
      <c r="AW12" s="54"/>
      <c r="AX12" s="54"/>
      <c r="AY12" s="54"/>
      <c r="AZ12" s="61">
        <f>云配队!M18</f>
        <v>0</v>
      </c>
      <c r="BG12" s="4">
        <f>IFERROR(MATCH(AZ12,增益!$B$2:$B$74,0),1)</f>
        <v>1</v>
      </c>
      <c r="BH12" s="4">
        <f>INDEX(增益!$B$2:$O$74,BG12,BH$7)</f>
        <v>0</v>
      </c>
      <c r="BI12" s="4">
        <f>INDEX(增益!$B$2:$O$74,BG12,BI$7)</f>
        <v>0</v>
      </c>
      <c r="BJ12" s="4">
        <f>INDEX(增益!$B$2:$O$74,BG12,BJ$7)</f>
        <v>0</v>
      </c>
      <c r="BK12" s="4">
        <f>INDEX(增益!$B$2:$O$74,BG12,BK$7)</f>
        <v>0</v>
      </c>
      <c r="BL12" s="4">
        <f>INDEX(增益!$B$2:$O$74,BG12,BL$7)</f>
        <v>0</v>
      </c>
      <c r="BM12" s="4">
        <f>INDEX(增益!$B$2:$O$74,BG12,BM$7)</f>
        <v>0</v>
      </c>
      <c r="BN12" s="4">
        <f>INDEX(增益!$B$2:$O$74,BG12,BN$7)</f>
        <v>0</v>
      </c>
      <c r="BO12" s="4">
        <f>INDEX(增益!$B$2:$O$74,BG12,BO$7)</f>
        <v>0</v>
      </c>
      <c r="BP12" s="4">
        <f>INDEX(增益!$B$2:$O$74,BG12,BP$7)</f>
        <v>0</v>
      </c>
      <c r="BQ12" s="4">
        <f>INDEX(增益!$B$2:$O$74,BG12,BQ$7)</f>
        <v>0</v>
      </c>
      <c r="BR12" s="4">
        <f>INDEX(增益!$B$2:$O$74,BG12,BR$7)</f>
        <v>0</v>
      </c>
      <c r="BS12" s="4">
        <f>INDEX(增益!$B$2:$O$74,BG12,BS$7)</f>
        <v>0</v>
      </c>
      <c r="BT12" s="4">
        <f>INDEX(增益!$B$2:$O$74,BG12,BT$7)</f>
        <v>0</v>
      </c>
      <c r="BV12" s="50">
        <f>云配队!N18</f>
        <v>0</v>
      </c>
      <c r="CC12" s="4">
        <f>IFERROR(MATCH(BV12,增益!$B$2:$B$74,0),1)</f>
        <v>1</v>
      </c>
      <c r="CD12" s="4">
        <f>INDEX(增益!$B$2:$O$74,CC12,CD$7)</f>
        <v>0</v>
      </c>
      <c r="CE12" s="4">
        <f>INDEX(增益!$B$2:$O$74,CC12,CE$7)</f>
        <v>0</v>
      </c>
      <c r="CF12" s="4">
        <f>INDEX(增益!$B$2:$O$74,CC12,CF$7)</f>
        <v>0</v>
      </c>
      <c r="CG12" s="4">
        <f>INDEX(增益!$B$2:$O$74,CC12,CG$7)</f>
        <v>0</v>
      </c>
      <c r="CH12" s="4">
        <f>INDEX(增益!$B$2:$O$74,CC12,CH$7)</f>
        <v>0</v>
      </c>
      <c r="CI12" s="4">
        <f>INDEX(增益!$B$2:$O$74,CC12,CI$7)</f>
        <v>0</v>
      </c>
      <c r="CJ12" s="4">
        <f>INDEX(增益!$B$2:$O$74,CC12,CJ$7)</f>
        <v>0</v>
      </c>
      <c r="CK12" s="4">
        <f>INDEX(增益!$B$2:$O$74,CC12,CK$7)</f>
        <v>0</v>
      </c>
      <c r="CL12" s="4">
        <f>INDEX(增益!$B$2:$O$74,CC12,CL$7)</f>
        <v>0</v>
      </c>
      <c r="CM12" s="4">
        <f>INDEX(增益!$B$2:$O$74,CC12,CM$7)</f>
        <v>0</v>
      </c>
      <c r="CN12" s="4">
        <f>INDEX(增益!$B$2:$O$74,CC12,CN$7)</f>
        <v>0</v>
      </c>
      <c r="CO12" s="4">
        <f>INDEX(增益!$B$2:$O$74,CC12,CO$7)</f>
        <v>0</v>
      </c>
      <c r="CP12" s="4">
        <f>INDEX(增益!$B$2:$O$74,CC12,CP$7)</f>
        <v>0</v>
      </c>
      <c r="CR12" s="50">
        <f>云配队!O18</f>
        <v>0</v>
      </c>
      <c r="CY12" s="4">
        <f>IFERROR(MATCH(CR12,增益!$B$2:$B$74,0),1)</f>
        <v>1</v>
      </c>
      <c r="CZ12" s="4">
        <f>INDEX(增益!$B$2:$O$74,CY12,CZ$7)</f>
        <v>0</v>
      </c>
      <c r="DA12" s="4">
        <f>INDEX(增益!$B$2:$O$74,CY12,DA$7)</f>
        <v>0</v>
      </c>
      <c r="DB12" s="4">
        <f>INDEX(增益!$B$2:$O$74,CY12,DB$7)</f>
        <v>0</v>
      </c>
      <c r="DC12" s="4">
        <f>INDEX(增益!$B$2:$O$74,CY12,DC$7)</f>
        <v>0</v>
      </c>
      <c r="DD12" s="4">
        <f>INDEX(增益!$B$2:$O$74,CY12,DD$7)</f>
        <v>0</v>
      </c>
      <c r="DE12" s="4">
        <f>INDEX(增益!$B$2:$O$74,CY12,DE$7)</f>
        <v>0</v>
      </c>
      <c r="DF12" s="4">
        <f>INDEX(增益!$B$2:$O$74,CY12,DF$7)</f>
        <v>0</v>
      </c>
      <c r="DG12" s="4">
        <f>INDEX(增益!$B$2:$O$74,CY12,DG$7)</f>
        <v>0</v>
      </c>
      <c r="DH12" s="4">
        <f>INDEX(增益!$B$2:$O$74,CY12,DH$7)</f>
        <v>0</v>
      </c>
      <c r="DI12" s="4">
        <f>INDEX(增益!$B$2:$O$74,CY12,DI$7)</f>
        <v>0</v>
      </c>
      <c r="DJ12" s="4">
        <f>INDEX(增益!$B$2:$O$74,CY12,DJ$7)</f>
        <v>0</v>
      </c>
      <c r="DK12" s="4">
        <f>INDEX(增益!$B$2:$O$74,CY12,DK$7)</f>
        <v>0</v>
      </c>
      <c r="DL12" s="4">
        <f>INDEX(增益!$B$2:$O$74,CY12,DL$7)</f>
        <v>0</v>
      </c>
      <c r="DN12" s="50">
        <f>云配队!P18</f>
        <v>0</v>
      </c>
      <c r="DU12" s="4">
        <f>IFERROR(MATCH(DN12,增益!$B$2:$B$74,0),1)</f>
        <v>1</v>
      </c>
      <c r="DV12" s="4">
        <f>INDEX(增益!$B$2:$O$74,DU12,DV$7)</f>
        <v>0</v>
      </c>
      <c r="DW12" s="4">
        <f>INDEX(增益!$B$2:$O$74,DU12,DW$7)</f>
        <v>0</v>
      </c>
      <c r="DX12" s="4">
        <f>INDEX(增益!$B$2:$O$74,DU12,DX$7)</f>
        <v>0</v>
      </c>
      <c r="DY12" s="4">
        <f>INDEX(增益!$B$2:$O$74,DU12,DY$7)</f>
        <v>0</v>
      </c>
      <c r="DZ12" s="4">
        <f>INDEX(增益!$B$2:$O$74,DU12,DZ$7)</f>
        <v>0</v>
      </c>
      <c r="EA12" s="4">
        <f>INDEX(增益!$B$2:$O$74,DU12,EA$7)</f>
        <v>0</v>
      </c>
      <c r="EB12" s="4">
        <f>INDEX(增益!$B$2:$O$74,DU12,EB$7)</f>
        <v>0</v>
      </c>
      <c r="EC12" s="4">
        <f>INDEX(增益!$B$2:$O$74,DU12,EC$7)</f>
        <v>0</v>
      </c>
      <c r="ED12" s="4">
        <f>INDEX(增益!$B$2:$O$74,DU12,ED$7)</f>
        <v>0</v>
      </c>
      <c r="EE12" s="4">
        <f>INDEX(增益!$B$2:$O$74,DU12,EE$7)</f>
        <v>0</v>
      </c>
      <c r="EF12" s="4">
        <f>INDEX(增益!$B$2:$O$74,DU12,EF$7)</f>
        <v>0</v>
      </c>
      <c r="EG12" s="4">
        <f>INDEX(增益!$B$2:$O$74,DU12,EG$7)</f>
        <v>0</v>
      </c>
      <c r="EH12" s="4">
        <f>INDEX(增益!$B$2:$O$74,DU12,EH$7)</f>
        <v>0</v>
      </c>
      <c r="EJ12" s="50">
        <f>云配队!Q18</f>
        <v>0</v>
      </c>
      <c r="EQ12" s="4">
        <f>IFERROR(MATCH(EJ12,增益!$B$2:$B$74,0),1)</f>
        <v>1</v>
      </c>
      <c r="ER12" s="4">
        <f>INDEX(增益!$B$2:$O$74,EQ12,ER$7)</f>
        <v>0</v>
      </c>
      <c r="ES12" s="4">
        <f>INDEX(增益!$B$2:$O$74,EQ12,ES$7)</f>
        <v>0</v>
      </c>
      <c r="ET12" s="4">
        <f>INDEX(增益!$B$2:$O$74,EQ12,ET$7)</f>
        <v>0</v>
      </c>
      <c r="EU12" s="4">
        <f>INDEX(增益!$B$2:$O$74,EQ12,EU$7)</f>
        <v>0</v>
      </c>
      <c r="EV12" s="4">
        <f>INDEX(增益!$B$2:$O$74,EQ12,EV$7)</f>
        <v>0</v>
      </c>
      <c r="EW12" s="4">
        <f>INDEX(增益!$B$2:$O$74,EQ12,EW$7)</f>
        <v>0</v>
      </c>
      <c r="EX12" s="4">
        <f>INDEX(增益!$B$2:$O$74,EQ12,EX$7)</f>
        <v>0</v>
      </c>
      <c r="EY12" s="4">
        <f>INDEX(增益!$B$2:$O$74,EQ12,EY$7)</f>
        <v>0</v>
      </c>
      <c r="EZ12" s="4">
        <f>INDEX(增益!$B$2:$O$74,EQ12,EZ$7)</f>
        <v>0</v>
      </c>
      <c r="FA12" s="4">
        <f>INDEX(增益!$B$2:$O$74,EQ12,FA$7)</f>
        <v>0</v>
      </c>
      <c r="FB12" s="4">
        <f>INDEX(增益!$B$2:$O$74,EQ12,FB$7)</f>
        <v>0</v>
      </c>
      <c r="FC12" s="4">
        <f>INDEX(增益!$B$2:$O$74,EQ12,FC$7)</f>
        <v>0</v>
      </c>
      <c r="FD12" s="4">
        <f>INDEX(增益!$B$2:$O$74,EQ12,FD$7)</f>
        <v>0</v>
      </c>
    </row>
    <row r="13" customHeight="1" spans="3:160">
      <c r="C13" s="55" t="s">
        <v>46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0">
        <f>云配队!L19</f>
        <v>0</v>
      </c>
      <c r="AJ13" s="51">
        <f>IFERROR(VLOOKUP($AI13,增益!$Q$2:$Z$19,AJ$7,FALSE),0)</f>
        <v>0</v>
      </c>
      <c r="AK13" s="51">
        <f>IFERROR(VLOOKUP($AI13,增益!$Q$2:$Z$19,AK$7,FALSE),0)</f>
        <v>0</v>
      </c>
      <c r="AL13" s="51">
        <f>IFERROR(VLOOKUP($AI13,增益!$Q$2:$Z$19,AL$7,FALSE),0)</f>
        <v>0</v>
      </c>
      <c r="AM13" s="51">
        <f>IFERROR(VLOOKUP($AI13,增益!$Q$2:$Z$19,AM$7,FALSE),0)</f>
        <v>0</v>
      </c>
      <c r="AN13" s="51">
        <f>IFERROR(VLOOKUP($AI13,增益!$Q$2:$Z$19,AN$7,FALSE),0)</f>
        <v>0</v>
      </c>
      <c r="AO13" s="51">
        <f>IFERROR(VLOOKUP($AI13,增益!$Q$2:$Z$19,AO$7,FALSE),0)</f>
        <v>0</v>
      </c>
      <c r="AP13" s="51">
        <f>IFERROR(VLOOKUP($AI13,增益!$Q$2:$Z$19,AP$7,FALSE),0)</f>
        <v>0</v>
      </c>
      <c r="AQ13" s="51">
        <f>IFERROR(VLOOKUP($AI13,增益!$Q$2:$Z$19,AQ$7,FALSE),0)</f>
        <v>0</v>
      </c>
      <c r="AR13" s="51">
        <f>IFERROR(VLOOKUP($AI13,增益!$Q$2:$Z$19,AR$7,FALSE),0)</f>
        <v>0</v>
      </c>
      <c r="AS13" s="60"/>
      <c r="AT13" s="54"/>
      <c r="AU13" s="54"/>
      <c r="AV13" s="54"/>
      <c r="AW13" s="54"/>
      <c r="AX13" s="54"/>
      <c r="AY13" s="54"/>
      <c r="AZ13" s="61">
        <f>云配队!M19</f>
        <v>0</v>
      </c>
      <c r="BG13" s="4">
        <f>IFERROR(MATCH(AZ13,增益!$B$2:$B$74,0),1)</f>
        <v>1</v>
      </c>
      <c r="BH13" s="4">
        <f>INDEX(增益!$B$2:$O$74,BG13,BH$7)</f>
        <v>0</v>
      </c>
      <c r="BI13" s="4">
        <f>INDEX(增益!$B$2:$O$74,BG13,BI$7)</f>
        <v>0</v>
      </c>
      <c r="BJ13" s="4">
        <f>INDEX(增益!$B$2:$O$74,BG13,BJ$7)</f>
        <v>0</v>
      </c>
      <c r="BK13" s="4">
        <f>INDEX(增益!$B$2:$O$74,BG13,BK$7)</f>
        <v>0</v>
      </c>
      <c r="BL13" s="4">
        <f>INDEX(增益!$B$2:$O$74,BG13,BL$7)</f>
        <v>0</v>
      </c>
      <c r="BM13" s="4">
        <f>INDEX(增益!$B$2:$O$74,BG13,BM$7)</f>
        <v>0</v>
      </c>
      <c r="BN13" s="4">
        <f>INDEX(增益!$B$2:$O$74,BG13,BN$7)</f>
        <v>0</v>
      </c>
      <c r="BO13" s="4">
        <f>INDEX(增益!$B$2:$O$74,BG13,BO$7)</f>
        <v>0</v>
      </c>
      <c r="BP13" s="4">
        <f>INDEX(增益!$B$2:$O$74,BG13,BP$7)</f>
        <v>0</v>
      </c>
      <c r="BQ13" s="4">
        <f>INDEX(增益!$B$2:$O$74,BG13,BQ$7)</f>
        <v>0</v>
      </c>
      <c r="BR13" s="4">
        <f>INDEX(增益!$B$2:$O$74,BG13,BR$7)</f>
        <v>0</v>
      </c>
      <c r="BS13" s="4">
        <f>INDEX(增益!$B$2:$O$74,BG13,BS$7)</f>
        <v>0</v>
      </c>
      <c r="BT13" s="4">
        <f>INDEX(增益!$B$2:$O$74,BG13,BT$7)</f>
        <v>0</v>
      </c>
      <c r="BV13" s="50">
        <f>云配队!N19</f>
        <v>0</v>
      </c>
      <c r="CC13" s="4">
        <f>IFERROR(MATCH(BV13,增益!$B$2:$B$74,0),1)</f>
        <v>1</v>
      </c>
      <c r="CD13" s="4">
        <f>INDEX(增益!$B$2:$O$74,CC13,CD$7)</f>
        <v>0</v>
      </c>
      <c r="CE13" s="4">
        <f>INDEX(增益!$B$2:$O$74,CC13,CE$7)</f>
        <v>0</v>
      </c>
      <c r="CF13" s="4">
        <f>INDEX(增益!$B$2:$O$74,CC13,CF$7)</f>
        <v>0</v>
      </c>
      <c r="CG13" s="4">
        <f>INDEX(增益!$B$2:$O$74,CC13,CG$7)</f>
        <v>0</v>
      </c>
      <c r="CH13" s="4">
        <f>INDEX(增益!$B$2:$O$74,CC13,CH$7)</f>
        <v>0</v>
      </c>
      <c r="CI13" s="4">
        <f>INDEX(增益!$B$2:$O$74,CC13,CI$7)</f>
        <v>0</v>
      </c>
      <c r="CJ13" s="4">
        <f>INDEX(增益!$B$2:$O$74,CC13,CJ$7)</f>
        <v>0</v>
      </c>
      <c r="CK13" s="4">
        <f>INDEX(增益!$B$2:$O$74,CC13,CK$7)</f>
        <v>0</v>
      </c>
      <c r="CL13" s="4">
        <f>INDEX(增益!$B$2:$O$74,CC13,CL$7)</f>
        <v>0</v>
      </c>
      <c r="CM13" s="4">
        <f>INDEX(增益!$B$2:$O$74,CC13,CM$7)</f>
        <v>0</v>
      </c>
      <c r="CN13" s="4">
        <f>INDEX(增益!$B$2:$O$74,CC13,CN$7)</f>
        <v>0</v>
      </c>
      <c r="CO13" s="4">
        <f>INDEX(增益!$B$2:$O$74,CC13,CO$7)</f>
        <v>0</v>
      </c>
      <c r="CP13" s="4">
        <f>INDEX(增益!$B$2:$O$74,CC13,CP$7)</f>
        <v>0</v>
      </c>
      <c r="CR13" s="50">
        <f>云配队!O19</f>
        <v>0</v>
      </c>
      <c r="CY13" s="4">
        <f>IFERROR(MATCH(CR13,增益!$B$2:$B$74,0),1)</f>
        <v>1</v>
      </c>
      <c r="CZ13" s="4">
        <f>INDEX(增益!$B$2:$O$74,CY13,CZ$7)</f>
        <v>0</v>
      </c>
      <c r="DA13" s="4">
        <f>INDEX(增益!$B$2:$O$74,CY13,DA$7)</f>
        <v>0</v>
      </c>
      <c r="DB13" s="4">
        <f>INDEX(增益!$B$2:$O$74,CY13,DB$7)</f>
        <v>0</v>
      </c>
      <c r="DC13" s="4">
        <f>INDEX(增益!$B$2:$O$74,CY13,DC$7)</f>
        <v>0</v>
      </c>
      <c r="DD13" s="4">
        <f>INDEX(增益!$B$2:$O$74,CY13,DD$7)</f>
        <v>0</v>
      </c>
      <c r="DE13" s="4">
        <f>INDEX(增益!$B$2:$O$74,CY13,DE$7)</f>
        <v>0</v>
      </c>
      <c r="DF13" s="4">
        <f>INDEX(增益!$B$2:$O$74,CY13,DF$7)</f>
        <v>0</v>
      </c>
      <c r="DG13" s="4">
        <f>INDEX(增益!$B$2:$O$74,CY13,DG$7)</f>
        <v>0</v>
      </c>
      <c r="DH13" s="4">
        <f>INDEX(增益!$B$2:$O$74,CY13,DH$7)</f>
        <v>0</v>
      </c>
      <c r="DI13" s="4">
        <f>INDEX(增益!$B$2:$O$74,CY13,DI$7)</f>
        <v>0</v>
      </c>
      <c r="DJ13" s="4">
        <f>INDEX(增益!$B$2:$O$74,CY13,DJ$7)</f>
        <v>0</v>
      </c>
      <c r="DK13" s="4">
        <f>INDEX(增益!$B$2:$O$74,CY13,DK$7)</f>
        <v>0</v>
      </c>
      <c r="DL13" s="4">
        <f>INDEX(增益!$B$2:$O$74,CY13,DL$7)</f>
        <v>0</v>
      </c>
      <c r="DN13" s="50">
        <f>云配队!P19</f>
        <v>0</v>
      </c>
      <c r="DU13" s="4">
        <f>IFERROR(MATCH(DN13,增益!$B$2:$B$74,0),1)</f>
        <v>1</v>
      </c>
      <c r="DV13" s="4">
        <f>INDEX(增益!$B$2:$O$74,DU13,DV$7)</f>
        <v>0</v>
      </c>
      <c r="DW13" s="4">
        <f>INDEX(增益!$B$2:$O$74,DU13,DW$7)</f>
        <v>0</v>
      </c>
      <c r="DX13" s="4">
        <f>INDEX(增益!$B$2:$O$74,DU13,DX$7)</f>
        <v>0</v>
      </c>
      <c r="DY13" s="4">
        <f>INDEX(增益!$B$2:$O$74,DU13,DY$7)</f>
        <v>0</v>
      </c>
      <c r="DZ13" s="4">
        <f>INDEX(增益!$B$2:$O$74,DU13,DZ$7)</f>
        <v>0</v>
      </c>
      <c r="EA13" s="4">
        <f>INDEX(增益!$B$2:$O$74,DU13,EA$7)</f>
        <v>0</v>
      </c>
      <c r="EB13" s="4">
        <f>INDEX(增益!$B$2:$O$74,DU13,EB$7)</f>
        <v>0</v>
      </c>
      <c r="EC13" s="4">
        <f>INDEX(增益!$B$2:$O$74,DU13,EC$7)</f>
        <v>0</v>
      </c>
      <c r="ED13" s="4">
        <f>INDEX(增益!$B$2:$O$74,DU13,ED$7)</f>
        <v>0</v>
      </c>
      <c r="EE13" s="4">
        <f>INDEX(增益!$B$2:$O$74,DU13,EE$7)</f>
        <v>0</v>
      </c>
      <c r="EF13" s="4">
        <f>INDEX(增益!$B$2:$O$74,DU13,EF$7)</f>
        <v>0</v>
      </c>
      <c r="EG13" s="4">
        <f>INDEX(增益!$B$2:$O$74,DU13,EG$7)</f>
        <v>0</v>
      </c>
      <c r="EH13" s="4">
        <f>INDEX(增益!$B$2:$O$74,DU13,EH$7)</f>
        <v>0</v>
      </c>
      <c r="EJ13" s="50">
        <f>云配队!Q19</f>
        <v>0</v>
      </c>
      <c r="EQ13" s="4">
        <f>IFERROR(MATCH(EJ13,增益!$B$2:$B$74,0),1)</f>
        <v>1</v>
      </c>
      <c r="ER13" s="4">
        <f>INDEX(增益!$B$2:$O$74,EQ13,ER$7)</f>
        <v>0</v>
      </c>
      <c r="ES13" s="4">
        <f>INDEX(增益!$B$2:$O$74,EQ13,ES$7)</f>
        <v>0</v>
      </c>
      <c r="ET13" s="4">
        <f>INDEX(增益!$B$2:$O$74,EQ13,ET$7)</f>
        <v>0</v>
      </c>
      <c r="EU13" s="4">
        <f>INDEX(增益!$B$2:$O$74,EQ13,EU$7)</f>
        <v>0</v>
      </c>
      <c r="EV13" s="4">
        <f>INDEX(增益!$B$2:$O$74,EQ13,EV$7)</f>
        <v>0</v>
      </c>
      <c r="EW13" s="4">
        <f>INDEX(增益!$B$2:$O$74,EQ13,EW$7)</f>
        <v>0</v>
      </c>
      <c r="EX13" s="4">
        <f>INDEX(增益!$B$2:$O$74,EQ13,EX$7)</f>
        <v>0</v>
      </c>
      <c r="EY13" s="4">
        <f>INDEX(增益!$B$2:$O$74,EQ13,EY$7)</f>
        <v>0</v>
      </c>
      <c r="EZ13" s="4">
        <f>INDEX(增益!$B$2:$O$74,EQ13,EZ$7)</f>
        <v>0</v>
      </c>
      <c r="FA13" s="4">
        <f>INDEX(增益!$B$2:$O$74,EQ13,FA$7)</f>
        <v>0</v>
      </c>
      <c r="FB13" s="4">
        <f>INDEX(增益!$B$2:$O$74,EQ13,FB$7)</f>
        <v>0</v>
      </c>
      <c r="FC13" s="4">
        <f>INDEX(增益!$B$2:$O$74,EQ13,FC$7)</f>
        <v>0</v>
      </c>
      <c r="FD13" s="4">
        <f>INDEX(增益!$B$2:$O$74,EQ13,FD$7)</f>
        <v>0</v>
      </c>
    </row>
    <row r="14" customHeight="1" spans="3:160">
      <c r="C14" s="55" t="s">
        <v>47</v>
      </c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0">
        <f>云配队!L19</f>
        <v>0</v>
      </c>
      <c r="AJ14" s="51">
        <f>IFERROR(VLOOKUP($AI14,增益!$Q$2:$Z$19,AJ$7,FALSE),0)</f>
        <v>0</v>
      </c>
      <c r="AK14" s="51">
        <f>IFERROR(VLOOKUP($AI14,增益!$Q$2:$Z$19,AK$7,FALSE),0)</f>
        <v>0</v>
      </c>
      <c r="AL14" s="51">
        <f>IFERROR(VLOOKUP($AI14,增益!$Q$2:$Z$19,AL$7,FALSE),0)</f>
        <v>0</v>
      </c>
      <c r="AM14" s="51">
        <f>IFERROR(VLOOKUP($AI14,增益!$Q$2:$Z$19,AM$7,FALSE),0)</f>
        <v>0</v>
      </c>
      <c r="AN14" s="51">
        <f>IFERROR(VLOOKUP($AI14,增益!$Q$2:$Z$19,AN$7,FALSE),0)</f>
        <v>0</v>
      </c>
      <c r="AO14" s="51">
        <f>IFERROR(VLOOKUP($AI14,增益!$Q$2:$Z$19,AO$7,FALSE),0)</f>
        <v>0</v>
      </c>
      <c r="AP14" s="51">
        <f>IFERROR(VLOOKUP($AI14,增益!$Q$2:$Z$19,AP$7,FALSE),0)</f>
        <v>0</v>
      </c>
      <c r="AQ14" s="51">
        <f>IFERROR(VLOOKUP($AI14,增益!$Q$2:$Z$19,AQ$7,FALSE),0)</f>
        <v>0</v>
      </c>
      <c r="AR14" s="51">
        <f>IFERROR(VLOOKUP($AI14,增益!$Q$2:$Z$19,AR$7,FALSE),0)</f>
        <v>0</v>
      </c>
      <c r="AS14" s="60"/>
      <c r="AT14" s="54"/>
      <c r="AU14" s="54"/>
      <c r="AV14" s="54"/>
      <c r="AW14" s="54"/>
      <c r="AX14" s="54"/>
      <c r="AY14" s="54"/>
      <c r="AZ14" s="61">
        <f>云配队!M20</f>
        <v>0</v>
      </c>
      <c r="BG14" s="4">
        <f>IFERROR(MATCH(AZ14,增益!$B$2:$B$74,0),1)</f>
        <v>1</v>
      </c>
      <c r="BH14" s="4">
        <f>INDEX(增益!$B$2:$O$74,BG14,BH$7)</f>
        <v>0</v>
      </c>
      <c r="BI14" s="4">
        <f>INDEX(增益!$B$2:$O$74,BG14,BI$7)</f>
        <v>0</v>
      </c>
      <c r="BJ14" s="4">
        <f>INDEX(增益!$B$2:$O$74,BG14,BJ$7)</f>
        <v>0</v>
      </c>
      <c r="BK14" s="4">
        <f>INDEX(增益!$B$2:$O$74,BG14,BK$7)</f>
        <v>0</v>
      </c>
      <c r="BL14" s="4">
        <f>INDEX(增益!$B$2:$O$74,BG14,BL$7)</f>
        <v>0</v>
      </c>
      <c r="BM14" s="4">
        <f>INDEX(增益!$B$2:$O$74,BG14,BM$7)</f>
        <v>0</v>
      </c>
      <c r="BN14" s="4">
        <f>INDEX(增益!$B$2:$O$74,BG14,BN$7)</f>
        <v>0</v>
      </c>
      <c r="BO14" s="4">
        <f>INDEX(增益!$B$2:$O$74,BG14,BO$7)</f>
        <v>0</v>
      </c>
      <c r="BP14" s="4">
        <f>INDEX(增益!$B$2:$O$74,BG14,BP$7)</f>
        <v>0</v>
      </c>
      <c r="BQ14" s="4">
        <f>INDEX(增益!$B$2:$O$74,BG14,BQ$7)</f>
        <v>0</v>
      </c>
      <c r="BR14" s="4">
        <f>INDEX(增益!$B$2:$O$74,BG14,BR$7)</f>
        <v>0</v>
      </c>
      <c r="BS14" s="4">
        <f>INDEX(增益!$B$2:$O$74,BG14,BS$7)</f>
        <v>0</v>
      </c>
      <c r="BT14" s="4">
        <f>INDEX(增益!$B$2:$O$74,BG14,BT$7)</f>
        <v>0</v>
      </c>
      <c r="BV14" s="50">
        <f>云配队!N20</f>
        <v>0</v>
      </c>
      <c r="CC14" s="4">
        <f>IFERROR(MATCH(BV14,增益!$B$2:$B$74,0),1)</f>
        <v>1</v>
      </c>
      <c r="CD14" s="4">
        <f>INDEX(增益!$B$2:$O$74,CC14,CD$7)</f>
        <v>0</v>
      </c>
      <c r="CE14" s="4">
        <f>INDEX(增益!$B$2:$O$74,CC14,CE$7)</f>
        <v>0</v>
      </c>
      <c r="CF14" s="4">
        <f>INDEX(增益!$B$2:$O$74,CC14,CF$7)</f>
        <v>0</v>
      </c>
      <c r="CG14" s="4">
        <f>INDEX(增益!$B$2:$O$74,CC14,CG$7)</f>
        <v>0</v>
      </c>
      <c r="CH14" s="4">
        <f>INDEX(增益!$B$2:$O$74,CC14,CH$7)</f>
        <v>0</v>
      </c>
      <c r="CI14" s="4">
        <f>INDEX(增益!$B$2:$O$74,CC14,CI$7)</f>
        <v>0</v>
      </c>
      <c r="CJ14" s="4">
        <f>INDEX(增益!$B$2:$O$74,CC14,CJ$7)</f>
        <v>0</v>
      </c>
      <c r="CK14" s="4">
        <f>INDEX(增益!$B$2:$O$74,CC14,CK$7)</f>
        <v>0</v>
      </c>
      <c r="CL14" s="4">
        <f>INDEX(增益!$B$2:$O$74,CC14,CL$7)</f>
        <v>0</v>
      </c>
      <c r="CM14" s="4">
        <f>INDEX(增益!$B$2:$O$74,CC14,CM$7)</f>
        <v>0</v>
      </c>
      <c r="CN14" s="4">
        <f>INDEX(增益!$B$2:$O$74,CC14,CN$7)</f>
        <v>0</v>
      </c>
      <c r="CO14" s="4">
        <f>INDEX(增益!$B$2:$O$74,CC14,CO$7)</f>
        <v>0</v>
      </c>
      <c r="CP14" s="4">
        <f>INDEX(增益!$B$2:$O$74,CC14,CP$7)</f>
        <v>0</v>
      </c>
      <c r="CR14" s="50">
        <f>云配队!O20</f>
        <v>0</v>
      </c>
      <c r="CY14" s="4">
        <f>IFERROR(MATCH(CR14,增益!$B$2:$B$74,0),1)</f>
        <v>1</v>
      </c>
      <c r="CZ14" s="4">
        <f>INDEX(增益!$B$2:$O$74,CY14,CZ$7)</f>
        <v>0</v>
      </c>
      <c r="DA14" s="4">
        <f>INDEX(增益!$B$2:$O$74,CY14,DA$7)</f>
        <v>0</v>
      </c>
      <c r="DB14" s="4">
        <f>INDEX(增益!$B$2:$O$74,CY14,DB$7)</f>
        <v>0</v>
      </c>
      <c r="DC14" s="4">
        <f>INDEX(增益!$B$2:$O$74,CY14,DC$7)</f>
        <v>0</v>
      </c>
      <c r="DD14" s="4">
        <f>INDEX(增益!$B$2:$O$74,CY14,DD$7)</f>
        <v>0</v>
      </c>
      <c r="DE14" s="4">
        <f>INDEX(增益!$B$2:$O$74,CY14,DE$7)</f>
        <v>0</v>
      </c>
      <c r="DF14" s="4">
        <f>INDEX(增益!$B$2:$O$74,CY14,DF$7)</f>
        <v>0</v>
      </c>
      <c r="DG14" s="4">
        <f>INDEX(增益!$B$2:$O$74,CY14,DG$7)</f>
        <v>0</v>
      </c>
      <c r="DH14" s="4">
        <f>INDEX(增益!$B$2:$O$74,CY14,DH$7)</f>
        <v>0</v>
      </c>
      <c r="DI14" s="4">
        <f>INDEX(增益!$B$2:$O$74,CY14,DI$7)</f>
        <v>0</v>
      </c>
      <c r="DJ14" s="4">
        <f>INDEX(增益!$B$2:$O$74,CY14,DJ$7)</f>
        <v>0</v>
      </c>
      <c r="DK14" s="4">
        <f>INDEX(增益!$B$2:$O$74,CY14,DK$7)</f>
        <v>0</v>
      </c>
      <c r="DL14" s="4">
        <f>INDEX(增益!$B$2:$O$74,CY14,DL$7)</f>
        <v>0</v>
      </c>
      <c r="DN14" s="50">
        <f>云配队!P20</f>
        <v>0</v>
      </c>
      <c r="DU14" s="4">
        <f>IFERROR(MATCH(DN14,增益!$B$2:$B$74,0),1)</f>
        <v>1</v>
      </c>
      <c r="DV14" s="4">
        <f>INDEX(增益!$B$2:$O$74,DU14,DV$7)</f>
        <v>0</v>
      </c>
      <c r="DW14" s="4">
        <f>INDEX(增益!$B$2:$O$74,DU14,DW$7)</f>
        <v>0</v>
      </c>
      <c r="DX14" s="4">
        <f>INDEX(增益!$B$2:$O$74,DU14,DX$7)</f>
        <v>0</v>
      </c>
      <c r="DY14" s="4">
        <f>INDEX(增益!$B$2:$O$74,DU14,DY$7)</f>
        <v>0</v>
      </c>
      <c r="DZ14" s="4">
        <f>INDEX(增益!$B$2:$O$74,DU14,DZ$7)</f>
        <v>0</v>
      </c>
      <c r="EA14" s="4">
        <f>INDEX(增益!$B$2:$O$74,DU14,EA$7)</f>
        <v>0</v>
      </c>
      <c r="EB14" s="4">
        <f>INDEX(增益!$B$2:$O$74,DU14,EB$7)</f>
        <v>0</v>
      </c>
      <c r="EC14" s="4">
        <f>INDEX(增益!$B$2:$O$74,DU14,EC$7)</f>
        <v>0</v>
      </c>
      <c r="ED14" s="4">
        <f>INDEX(增益!$B$2:$O$74,DU14,ED$7)</f>
        <v>0</v>
      </c>
      <c r="EE14" s="4">
        <f>INDEX(增益!$B$2:$O$74,DU14,EE$7)</f>
        <v>0</v>
      </c>
      <c r="EF14" s="4">
        <f>INDEX(增益!$B$2:$O$74,DU14,EF$7)</f>
        <v>0</v>
      </c>
      <c r="EG14" s="4">
        <f>INDEX(增益!$B$2:$O$74,DU14,EG$7)</f>
        <v>0</v>
      </c>
      <c r="EH14" s="4">
        <f>INDEX(增益!$B$2:$O$74,DU14,EH$7)</f>
        <v>0</v>
      </c>
      <c r="EJ14" s="50">
        <f>云配队!Q20</f>
        <v>0</v>
      </c>
      <c r="EQ14" s="4">
        <f>IFERROR(MATCH(EJ14,增益!$B$2:$B$74,0),1)</f>
        <v>1</v>
      </c>
      <c r="ER14" s="4">
        <f>INDEX(增益!$B$2:$O$74,EQ14,ER$7)</f>
        <v>0</v>
      </c>
      <c r="ES14" s="4">
        <f>INDEX(增益!$B$2:$O$74,EQ14,ES$7)</f>
        <v>0</v>
      </c>
      <c r="ET14" s="4">
        <f>INDEX(增益!$B$2:$O$74,EQ14,ET$7)</f>
        <v>0</v>
      </c>
      <c r="EU14" s="4">
        <f>INDEX(增益!$B$2:$O$74,EQ14,EU$7)</f>
        <v>0</v>
      </c>
      <c r="EV14" s="4">
        <f>INDEX(增益!$B$2:$O$74,EQ14,EV$7)</f>
        <v>0</v>
      </c>
      <c r="EW14" s="4">
        <f>INDEX(增益!$B$2:$O$74,EQ14,EW$7)</f>
        <v>0</v>
      </c>
      <c r="EX14" s="4">
        <f>INDEX(增益!$B$2:$O$74,EQ14,EX$7)</f>
        <v>0</v>
      </c>
      <c r="EY14" s="4">
        <f>INDEX(增益!$B$2:$O$74,EQ14,EY$7)</f>
        <v>0</v>
      </c>
      <c r="EZ14" s="4">
        <f>INDEX(增益!$B$2:$O$74,EQ14,EZ$7)</f>
        <v>0</v>
      </c>
      <c r="FA14" s="4">
        <f>INDEX(增益!$B$2:$O$74,EQ14,FA$7)</f>
        <v>0</v>
      </c>
      <c r="FB14" s="4">
        <f>INDEX(增益!$B$2:$O$74,EQ14,FB$7)</f>
        <v>0</v>
      </c>
      <c r="FC14" s="4">
        <f>INDEX(增益!$B$2:$O$74,EQ14,FC$7)</f>
        <v>0</v>
      </c>
      <c r="FD14" s="4">
        <f>INDEX(增益!$B$2:$O$74,EQ14,FD$7)</f>
        <v>0</v>
      </c>
    </row>
    <row r="15" customHeight="1" spans="3:160">
      <c r="C15" s="55" t="s">
        <v>48</v>
      </c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0">
        <f>云配队!L19</f>
        <v>0</v>
      </c>
      <c r="AJ15" s="51">
        <f>IFERROR(VLOOKUP($AI15,增益!$Q$2:$Z$19,AJ$7,FALSE),0)</f>
        <v>0</v>
      </c>
      <c r="AK15" s="51">
        <f>IFERROR(VLOOKUP($AI15,增益!$Q$2:$Z$19,AK$7,FALSE),0)</f>
        <v>0</v>
      </c>
      <c r="AL15" s="51">
        <f>IFERROR(VLOOKUP($AI15,增益!$Q$2:$Z$19,AL$7,FALSE),0)</f>
        <v>0</v>
      </c>
      <c r="AM15" s="51">
        <f>IFERROR(VLOOKUP($AI15,增益!$Q$2:$Z$19,AM$7,FALSE),0)</f>
        <v>0</v>
      </c>
      <c r="AN15" s="51">
        <f>IFERROR(VLOOKUP($AI15,增益!$Q$2:$Z$19,AN$7,FALSE),0)</f>
        <v>0</v>
      </c>
      <c r="AO15" s="51">
        <f>IFERROR(VLOOKUP($AI15,增益!$Q$2:$Z$19,AO$7,FALSE),0)</f>
        <v>0</v>
      </c>
      <c r="AP15" s="51">
        <f>IFERROR(VLOOKUP($AI15,增益!$Q$2:$Z$19,AP$7,FALSE),0)</f>
        <v>0</v>
      </c>
      <c r="AQ15" s="51">
        <f>IFERROR(VLOOKUP($AI15,增益!$Q$2:$Z$19,AQ$7,FALSE),0)</f>
        <v>0</v>
      </c>
      <c r="AR15" s="51">
        <f>IFERROR(VLOOKUP($AI15,增益!$Q$2:$Z$19,AR$7,FALSE),0)</f>
        <v>0</v>
      </c>
      <c r="AS15" s="60"/>
      <c r="AT15" s="54"/>
      <c r="AU15" s="54"/>
      <c r="AV15" s="54"/>
      <c r="AW15" s="54"/>
      <c r="AX15" s="54"/>
      <c r="AY15" s="54"/>
      <c r="AZ15" s="61">
        <f>云配队!M21</f>
        <v>0</v>
      </c>
      <c r="BG15" s="4">
        <f>IFERROR(MATCH(AZ15,增益!$B$2:$B$74,0),1)</f>
        <v>1</v>
      </c>
      <c r="BH15" s="4">
        <f>INDEX(增益!$B$2:$O$74,BG15,BH$7)</f>
        <v>0</v>
      </c>
      <c r="BI15" s="4">
        <f>INDEX(增益!$B$2:$O$74,BG15,BI$7)</f>
        <v>0</v>
      </c>
      <c r="BJ15" s="4">
        <f>INDEX(增益!$B$2:$O$74,BG15,BJ$7)</f>
        <v>0</v>
      </c>
      <c r="BK15" s="4">
        <f>INDEX(增益!$B$2:$O$74,BG15,BK$7)</f>
        <v>0</v>
      </c>
      <c r="BL15" s="4">
        <f>INDEX(增益!$B$2:$O$74,BG15,BL$7)</f>
        <v>0</v>
      </c>
      <c r="BM15" s="4">
        <f>INDEX(增益!$B$2:$O$74,BG15,BM$7)</f>
        <v>0</v>
      </c>
      <c r="BN15" s="4">
        <f>INDEX(增益!$B$2:$O$74,BG15,BN$7)</f>
        <v>0</v>
      </c>
      <c r="BO15" s="4">
        <f>INDEX(增益!$B$2:$O$74,BG15,BO$7)</f>
        <v>0</v>
      </c>
      <c r="BP15" s="4">
        <f>INDEX(增益!$B$2:$O$74,BG15,BP$7)</f>
        <v>0</v>
      </c>
      <c r="BQ15" s="4">
        <f>INDEX(增益!$B$2:$O$74,BG15,BQ$7)</f>
        <v>0</v>
      </c>
      <c r="BR15" s="4">
        <f>INDEX(增益!$B$2:$O$74,BG15,BR$7)</f>
        <v>0</v>
      </c>
      <c r="BS15" s="4">
        <f>INDEX(增益!$B$2:$O$74,BG15,BS$7)</f>
        <v>0</v>
      </c>
      <c r="BT15" s="4">
        <f>INDEX(增益!$B$2:$O$74,BG15,BT$7)</f>
        <v>0</v>
      </c>
      <c r="BV15" s="50">
        <f>云配队!N21</f>
        <v>0</v>
      </c>
      <c r="CC15" s="4">
        <f>IFERROR(MATCH(BV15,增益!$B$2:$B$74,0),1)</f>
        <v>1</v>
      </c>
      <c r="CD15" s="4">
        <f>INDEX(增益!$B$2:$O$74,CC15,CD$7)</f>
        <v>0</v>
      </c>
      <c r="CE15" s="4">
        <f>INDEX(增益!$B$2:$O$74,CC15,CE$7)</f>
        <v>0</v>
      </c>
      <c r="CF15" s="4">
        <f>INDEX(增益!$B$2:$O$74,CC15,CF$7)</f>
        <v>0</v>
      </c>
      <c r="CG15" s="4">
        <f>INDEX(增益!$B$2:$O$74,CC15,CG$7)</f>
        <v>0</v>
      </c>
      <c r="CH15" s="4">
        <f>INDEX(增益!$B$2:$O$74,CC15,CH$7)</f>
        <v>0</v>
      </c>
      <c r="CI15" s="4">
        <f>INDEX(增益!$B$2:$O$74,CC15,CI$7)</f>
        <v>0</v>
      </c>
      <c r="CJ15" s="4">
        <f>INDEX(增益!$B$2:$O$74,CC15,CJ$7)</f>
        <v>0</v>
      </c>
      <c r="CK15" s="4">
        <f>INDEX(增益!$B$2:$O$74,CC15,CK$7)</f>
        <v>0</v>
      </c>
      <c r="CL15" s="4">
        <f>INDEX(增益!$B$2:$O$74,CC15,CL$7)</f>
        <v>0</v>
      </c>
      <c r="CM15" s="4">
        <f>INDEX(增益!$B$2:$O$74,CC15,CM$7)</f>
        <v>0</v>
      </c>
      <c r="CN15" s="4">
        <f>INDEX(增益!$B$2:$O$74,CC15,CN$7)</f>
        <v>0</v>
      </c>
      <c r="CO15" s="4">
        <f>INDEX(增益!$B$2:$O$74,CC15,CO$7)</f>
        <v>0</v>
      </c>
      <c r="CP15" s="4">
        <f>INDEX(增益!$B$2:$O$74,CC15,CP$7)</f>
        <v>0</v>
      </c>
      <c r="CR15" s="50">
        <f>云配队!O21</f>
        <v>0</v>
      </c>
      <c r="CY15" s="4">
        <f>IFERROR(MATCH(CR15,增益!$B$2:$B$74,0),1)</f>
        <v>1</v>
      </c>
      <c r="CZ15" s="4">
        <f>INDEX(增益!$B$2:$O$74,CY15,CZ$7)</f>
        <v>0</v>
      </c>
      <c r="DA15" s="4">
        <f>INDEX(增益!$B$2:$O$74,CY15,DA$7)</f>
        <v>0</v>
      </c>
      <c r="DB15" s="4">
        <f>INDEX(增益!$B$2:$O$74,CY15,DB$7)</f>
        <v>0</v>
      </c>
      <c r="DC15" s="4">
        <f>INDEX(增益!$B$2:$O$74,CY15,DC$7)</f>
        <v>0</v>
      </c>
      <c r="DD15" s="4">
        <f>INDEX(增益!$B$2:$O$74,CY15,DD$7)</f>
        <v>0</v>
      </c>
      <c r="DE15" s="4">
        <f>INDEX(增益!$B$2:$O$74,CY15,DE$7)</f>
        <v>0</v>
      </c>
      <c r="DF15" s="4">
        <f>INDEX(增益!$B$2:$O$74,CY15,DF$7)</f>
        <v>0</v>
      </c>
      <c r="DG15" s="4">
        <f>INDEX(增益!$B$2:$O$74,CY15,DG$7)</f>
        <v>0</v>
      </c>
      <c r="DH15" s="4">
        <f>INDEX(增益!$B$2:$O$74,CY15,DH$7)</f>
        <v>0</v>
      </c>
      <c r="DI15" s="4">
        <f>INDEX(增益!$B$2:$O$74,CY15,DI$7)</f>
        <v>0</v>
      </c>
      <c r="DJ15" s="4">
        <f>INDEX(增益!$B$2:$O$74,CY15,DJ$7)</f>
        <v>0</v>
      </c>
      <c r="DK15" s="4">
        <f>INDEX(增益!$B$2:$O$74,CY15,DK$7)</f>
        <v>0</v>
      </c>
      <c r="DL15" s="4">
        <f>INDEX(增益!$B$2:$O$74,CY15,DL$7)</f>
        <v>0</v>
      </c>
      <c r="DN15" s="50">
        <f>云配队!P21</f>
        <v>0</v>
      </c>
      <c r="DU15" s="4">
        <f>IFERROR(MATCH(DN15,增益!$B$2:$B$74,0),1)</f>
        <v>1</v>
      </c>
      <c r="DV15" s="4">
        <f>INDEX(增益!$B$2:$O$74,DU15,DV$7)</f>
        <v>0</v>
      </c>
      <c r="DW15" s="4">
        <f>INDEX(增益!$B$2:$O$74,DU15,DW$7)</f>
        <v>0</v>
      </c>
      <c r="DX15" s="4">
        <f>INDEX(增益!$B$2:$O$74,DU15,DX$7)</f>
        <v>0</v>
      </c>
      <c r="DY15" s="4">
        <f>INDEX(增益!$B$2:$O$74,DU15,DY$7)</f>
        <v>0</v>
      </c>
      <c r="DZ15" s="4">
        <f>INDEX(增益!$B$2:$O$74,DU15,DZ$7)</f>
        <v>0</v>
      </c>
      <c r="EA15" s="4">
        <f>INDEX(增益!$B$2:$O$74,DU15,EA$7)</f>
        <v>0</v>
      </c>
      <c r="EB15" s="4">
        <f>INDEX(增益!$B$2:$O$74,DU15,EB$7)</f>
        <v>0</v>
      </c>
      <c r="EC15" s="4">
        <f>INDEX(增益!$B$2:$O$74,DU15,EC$7)</f>
        <v>0</v>
      </c>
      <c r="ED15" s="4">
        <f>INDEX(增益!$B$2:$O$74,DU15,ED$7)</f>
        <v>0</v>
      </c>
      <c r="EE15" s="4">
        <f>INDEX(增益!$B$2:$O$74,DU15,EE$7)</f>
        <v>0</v>
      </c>
      <c r="EF15" s="4">
        <f>INDEX(增益!$B$2:$O$74,DU15,EF$7)</f>
        <v>0</v>
      </c>
      <c r="EG15" s="4">
        <f>INDEX(增益!$B$2:$O$74,DU15,EG$7)</f>
        <v>0</v>
      </c>
      <c r="EH15" s="4">
        <f>INDEX(增益!$B$2:$O$74,DU15,EH$7)</f>
        <v>0</v>
      </c>
      <c r="EJ15" s="50">
        <f>云配队!Q21</f>
        <v>0</v>
      </c>
      <c r="EQ15" s="4">
        <f>IFERROR(MATCH(EJ15,增益!$B$2:$B$74,0),1)</f>
        <v>1</v>
      </c>
      <c r="ER15" s="4">
        <f>INDEX(增益!$B$2:$O$74,EQ15,ER$7)</f>
        <v>0</v>
      </c>
      <c r="ES15" s="4">
        <f>INDEX(增益!$B$2:$O$74,EQ15,ES$7)</f>
        <v>0</v>
      </c>
      <c r="ET15" s="4">
        <f>INDEX(增益!$B$2:$O$74,EQ15,ET$7)</f>
        <v>0</v>
      </c>
      <c r="EU15" s="4">
        <f>INDEX(增益!$B$2:$O$74,EQ15,EU$7)</f>
        <v>0</v>
      </c>
      <c r="EV15" s="4">
        <f>INDEX(增益!$B$2:$O$74,EQ15,EV$7)</f>
        <v>0</v>
      </c>
      <c r="EW15" s="4">
        <f>INDEX(增益!$B$2:$O$74,EQ15,EW$7)</f>
        <v>0</v>
      </c>
      <c r="EX15" s="4">
        <f>INDEX(增益!$B$2:$O$74,EQ15,EX$7)</f>
        <v>0</v>
      </c>
      <c r="EY15" s="4">
        <f>INDEX(增益!$B$2:$O$74,EQ15,EY$7)</f>
        <v>0</v>
      </c>
      <c r="EZ15" s="4">
        <f>INDEX(增益!$B$2:$O$74,EQ15,EZ$7)</f>
        <v>0</v>
      </c>
      <c r="FA15" s="4">
        <f>INDEX(增益!$B$2:$O$74,EQ15,FA$7)</f>
        <v>0</v>
      </c>
      <c r="FB15" s="4">
        <f>INDEX(增益!$B$2:$O$74,EQ15,FB$7)</f>
        <v>0</v>
      </c>
      <c r="FC15" s="4">
        <f>INDEX(增益!$B$2:$O$74,EQ15,FC$7)</f>
        <v>0</v>
      </c>
      <c r="FD15" s="4">
        <f>INDEX(增益!$B$2:$O$74,EQ15,FD$7)</f>
        <v>0</v>
      </c>
    </row>
    <row r="16" customHeight="1" spans="3:160">
      <c r="C16" s="55" t="s">
        <v>49</v>
      </c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0">
        <f>云配队!L22</f>
        <v>0</v>
      </c>
      <c r="AJ16" s="51">
        <f>IFERROR(VLOOKUP($AI16,增益!$Q$2:$Z$19,AJ$7,FALSE),0)</f>
        <v>0</v>
      </c>
      <c r="AK16" s="51">
        <f>IFERROR(VLOOKUP($AI16,增益!$Q$2:$Z$19,AK$7,FALSE),0)</f>
        <v>0</v>
      </c>
      <c r="AL16" s="51">
        <f>IFERROR(VLOOKUP($AI16,增益!$Q$2:$Z$19,AL$7,FALSE),0)</f>
        <v>0</v>
      </c>
      <c r="AM16" s="51">
        <f>IFERROR(VLOOKUP($AI16,增益!$Q$2:$Z$19,AM$7,FALSE),0)</f>
        <v>0</v>
      </c>
      <c r="AN16" s="51">
        <f>IFERROR(VLOOKUP($AI16,增益!$Q$2:$Z$19,AN$7,FALSE),0)</f>
        <v>0</v>
      </c>
      <c r="AO16" s="51">
        <f>IFERROR(VLOOKUP($AI16,增益!$Q$2:$Z$19,AO$7,FALSE),0)</f>
        <v>0</v>
      </c>
      <c r="AP16" s="51">
        <f>IFERROR(VLOOKUP($AI16,增益!$Q$2:$Z$19,AP$7,FALSE),0)</f>
        <v>0</v>
      </c>
      <c r="AQ16" s="51">
        <f>IFERROR(VLOOKUP($AI16,增益!$Q$2:$Z$19,AQ$7,FALSE),0)</f>
        <v>0</v>
      </c>
      <c r="AR16" s="51">
        <f>IFERROR(VLOOKUP($AI16,增益!$Q$2:$Z$19,AR$7,FALSE),0)</f>
        <v>0</v>
      </c>
      <c r="AS16" s="60"/>
      <c r="AT16" s="54"/>
      <c r="AU16" s="54"/>
      <c r="AV16" s="54"/>
      <c r="AW16" s="54"/>
      <c r="AX16" s="54"/>
      <c r="AY16" s="54"/>
      <c r="AZ16" s="61">
        <f>云配队!M22</f>
        <v>0</v>
      </c>
      <c r="BG16" s="4">
        <f>IFERROR(MATCH(AZ16,增益!$B$2:$B$74,0),1)</f>
        <v>1</v>
      </c>
      <c r="BH16" s="4">
        <f>INDEX(增益!$B$2:$O$74,BG16,BH$7)</f>
        <v>0</v>
      </c>
      <c r="BI16" s="4">
        <f>INDEX(增益!$B$2:$O$74,BG16,BI$7)</f>
        <v>0</v>
      </c>
      <c r="BJ16" s="4">
        <f>INDEX(增益!$B$2:$O$74,BG16,BJ$7)</f>
        <v>0</v>
      </c>
      <c r="BK16" s="4">
        <f>INDEX(增益!$B$2:$O$74,BG16,BK$7)</f>
        <v>0</v>
      </c>
      <c r="BL16" s="4">
        <f>INDEX(增益!$B$2:$O$74,BG16,BL$7)</f>
        <v>0</v>
      </c>
      <c r="BM16" s="4">
        <f>INDEX(增益!$B$2:$O$74,BG16,BM$7)</f>
        <v>0</v>
      </c>
      <c r="BN16" s="4">
        <f>INDEX(增益!$B$2:$O$74,BG16,BN$7)</f>
        <v>0</v>
      </c>
      <c r="BO16" s="4">
        <f>INDEX(增益!$B$2:$O$74,BG16,BO$7)</f>
        <v>0</v>
      </c>
      <c r="BP16" s="4">
        <f>INDEX(增益!$B$2:$O$74,BG16,BP$7)</f>
        <v>0</v>
      </c>
      <c r="BQ16" s="4">
        <f>INDEX(增益!$B$2:$O$74,BG16,BQ$7)</f>
        <v>0</v>
      </c>
      <c r="BR16" s="4">
        <f>INDEX(增益!$B$2:$O$74,BG16,BR$7)</f>
        <v>0</v>
      </c>
      <c r="BS16" s="4">
        <f>INDEX(增益!$B$2:$O$74,BG16,BS$7)</f>
        <v>0</v>
      </c>
      <c r="BT16" s="4">
        <f>INDEX(增益!$B$2:$O$74,BG16,BT$7)</f>
        <v>0</v>
      </c>
      <c r="BV16" s="50">
        <f>云配队!N22</f>
        <v>0</v>
      </c>
      <c r="CC16" s="4">
        <f>IFERROR(MATCH(BV16,增益!$B$2:$B$74,0),1)</f>
        <v>1</v>
      </c>
      <c r="CD16" s="4">
        <f>INDEX(增益!$B$2:$O$74,CC16,CD$7)</f>
        <v>0</v>
      </c>
      <c r="CE16" s="4">
        <f>INDEX(增益!$B$2:$O$74,CC16,CE$7)</f>
        <v>0</v>
      </c>
      <c r="CF16" s="4">
        <f>INDEX(增益!$B$2:$O$74,CC16,CF$7)</f>
        <v>0</v>
      </c>
      <c r="CG16" s="4">
        <f>INDEX(增益!$B$2:$O$74,CC16,CG$7)</f>
        <v>0</v>
      </c>
      <c r="CH16" s="4">
        <f>INDEX(增益!$B$2:$O$74,CC16,CH$7)</f>
        <v>0</v>
      </c>
      <c r="CI16" s="4">
        <f>INDEX(增益!$B$2:$O$74,CC16,CI$7)</f>
        <v>0</v>
      </c>
      <c r="CJ16" s="4">
        <f>INDEX(增益!$B$2:$O$74,CC16,CJ$7)</f>
        <v>0</v>
      </c>
      <c r="CK16" s="4">
        <f>INDEX(增益!$B$2:$O$74,CC16,CK$7)</f>
        <v>0</v>
      </c>
      <c r="CL16" s="4">
        <f>INDEX(增益!$B$2:$O$74,CC16,CL$7)</f>
        <v>0</v>
      </c>
      <c r="CM16" s="4">
        <f>INDEX(增益!$B$2:$O$74,CC16,CM$7)</f>
        <v>0</v>
      </c>
      <c r="CN16" s="4">
        <f>INDEX(增益!$B$2:$O$74,CC16,CN$7)</f>
        <v>0</v>
      </c>
      <c r="CO16" s="4">
        <f>INDEX(增益!$B$2:$O$74,CC16,CO$7)</f>
        <v>0</v>
      </c>
      <c r="CP16" s="4">
        <f>INDEX(增益!$B$2:$O$74,CC16,CP$7)</f>
        <v>0</v>
      </c>
      <c r="CR16" s="50">
        <f>云配队!O22</f>
        <v>0</v>
      </c>
      <c r="CY16" s="4">
        <f>IFERROR(MATCH(CR16,增益!$B$2:$B$74,0),1)</f>
        <v>1</v>
      </c>
      <c r="CZ16" s="4">
        <f>INDEX(增益!$B$2:$O$74,CY16,CZ$7)</f>
        <v>0</v>
      </c>
      <c r="DA16" s="4">
        <f>INDEX(增益!$B$2:$O$74,CY16,DA$7)</f>
        <v>0</v>
      </c>
      <c r="DB16" s="4">
        <f>INDEX(增益!$B$2:$O$74,CY16,DB$7)</f>
        <v>0</v>
      </c>
      <c r="DC16" s="4">
        <f>INDEX(增益!$B$2:$O$74,CY16,DC$7)</f>
        <v>0</v>
      </c>
      <c r="DD16" s="4">
        <f>INDEX(增益!$B$2:$O$74,CY16,DD$7)</f>
        <v>0</v>
      </c>
      <c r="DE16" s="4">
        <f>INDEX(增益!$B$2:$O$74,CY16,DE$7)</f>
        <v>0</v>
      </c>
      <c r="DF16" s="4">
        <f>INDEX(增益!$B$2:$O$74,CY16,DF$7)</f>
        <v>0</v>
      </c>
      <c r="DG16" s="4">
        <f>INDEX(增益!$B$2:$O$74,CY16,DG$7)</f>
        <v>0</v>
      </c>
      <c r="DH16" s="4">
        <f>INDEX(增益!$B$2:$O$74,CY16,DH$7)</f>
        <v>0</v>
      </c>
      <c r="DI16" s="4">
        <f>INDEX(增益!$B$2:$O$74,CY16,DI$7)</f>
        <v>0</v>
      </c>
      <c r="DJ16" s="4">
        <f>INDEX(增益!$B$2:$O$74,CY16,DJ$7)</f>
        <v>0</v>
      </c>
      <c r="DK16" s="4">
        <f>INDEX(增益!$B$2:$O$74,CY16,DK$7)</f>
        <v>0</v>
      </c>
      <c r="DL16" s="4">
        <f>INDEX(增益!$B$2:$O$74,CY16,DL$7)</f>
        <v>0</v>
      </c>
      <c r="DN16" s="50">
        <f>云配队!P22</f>
        <v>0</v>
      </c>
      <c r="DU16" s="4">
        <f>IFERROR(MATCH(DN16,增益!$B$2:$B$74,0),1)</f>
        <v>1</v>
      </c>
      <c r="DV16" s="4">
        <f>INDEX(增益!$B$2:$O$74,DU16,DV$7)</f>
        <v>0</v>
      </c>
      <c r="DW16" s="4">
        <f>INDEX(增益!$B$2:$O$74,DU16,DW$7)</f>
        <v>0</v>
      </c>
      <c r="DX16" s="4">
        <f>INDEX(增益!$B$2:$O$74,DU16,DX$7)</f>
        <v>0</v>
      </c>
      <c r="DY16" s="4">
        <f>INDEX(增益!$B$2:$O$74,DU16,DY$7)</f>
        <v>0</v>
      </c>
      <c r="DZ16" s="4">
        <f>INDEX(增益!$B$2:$O$74,DU16,DZ$7)</f>
        <v>0</v>
      </c>
      <c r="EA16" s="4">
        <f>INDEX(增益!$B$2:$O$74,DU16,EA$7)</f>
        <v>0</v>
      </c>
      <c r="EB16" s="4">
        <f>INDEX(增益!$B$2:$O$74,DU16,EB$7)</f>
        <v>0</v>
      </c>
      <c r="EC16" s="4">
        <f>INDEX(增益!$B$2:$O$74,DU16,EC$7)</f>
        <v>0</v>
      </c>
      <c r="ED16" s="4">
        <f>INDEX(增益!$B$2:$O$74,DU16,ED$7)</f>
        <v>0</v>
      </c>
      <c r="EE16" s="4">
        <f>INDEX(增益!$B$2:$O$74,DU16,EE$7)</f>
        <v>0</v>
      </c>
      <c r="EF16" s="4">
        <f>INDEX(增益!$B$2:$O$74,DU16,EF$7)</f>
        <v>0</v>
      </c>
      <c r="EG16" s="4">
        <f>INDEX(增益!$B$2:$O$74,DU16,EG$7)</f>
        <v>0</v>
      </c>
      <c r="EH16" s="4">
        <f>INDEX(增益!$B$2:$O$74,DU16,EH$7)</f>
        <v>0</v>
      </c>
      <c r="EJ16" s="50">
        <f>云配队!Q22</f>
        <v>0</v>
      </c>
      <c r="EQ16" s="4">
        <f>IFERROR(MATCH(EJ16,增益!$B$2:$B$74,0),1)</f>
        <v>1</v>
      </c>
      <c r="ER16" s="4">
        <f>INDEX(增益!$B$2:$O$74,EQ16,ER$7)</f>
        <v>0</v>
      </c>
      <c r="ES16" s="4">
        <f>INDEX(增益!$B$2:$O$74,EQ16,ES$7)</f>
        <v>0</v>
      </c>
      <c r="ET16" s="4">
        <f>INDEX(增益!$B$2:$O$74,EQ16,ET$7)</f>
        <v>0</v>
      </c>
      <c r="EU16" s="4">
        <f>INDEX(增益!$B$2:$O$74,EQ16,EU$7)</f>
        <v>0</v>
      </c>
      <c r="EV16" s="4">
        <f>INDEX(增益!$B$2:$O$74,EQ16,EV$7)</f>
        <v>0</v>
      </c>
      <c r="EW16" s="4">
        <f>INDEX(增益!$B$2:$O$74,EQ16,EW$7)</f>
        <v>0</v>
      </c>
      <c r="EX16" s="4">
        <f>INDEX(增益!$B$2:$O$74,EQ16,EX$7)</f>
        <v>0</v>
      </c>
      <c r="EY16" s="4">
        <f>INDEX(增益!$B$2:$O$74,EQ16,EY$7)</f>
        <v>0</v>
      </c>
      <c r="EZ16" s="4">
        <f>INDEX(增益!$B$2:$O$74,EQ16,EZ$7)</f>
        <v>0</v>
      </c>
      <c r="FA16" s="4">
        <f>INDEX(增益!$B$2:$O$74,EQ16,FA$7)</f>
        <v>0</v>
      </c>
      <c r="FB16" s="4">
        <f>INDEX(增益!$B$2:$O$74,EQ16,FB$7)</f>
        <v>0</v>
      </c>
      <c r="FC16" s="4">
        <f>INDEX(增益!$B$2:$O$74,EQ16,FC$7)</f>
        <v>0</v>
      </c>
      <c r="FD16" s="4">
        <f>INDEX(增益!$B$2:$O$74,EQ16,FD$7)</f>
        <v>0</v>
      </c>
    </row>
    <row r="17" customHeight="1" spans="36:160">
      <c r="AJ17" s="1">
        <f>SUM(AJ8:AJ16)</f>
        <v>0</v>
      </c>
      <c r="AK17" s="1">
        <f t="shared" ref="AK17:AR17" si="37">SUM(AK8:AK16)</f>
        <v>0</v>
      </c>
      <c r="AL17" s="1">
        <f t="shared" si="37"/>
        <v>0</v>
      </c>
      <c r="AM17" s="1">
        <f t="shared" si="37"/>
        <v>0</v>
      </c>
      <c r="AN17" s="1">
        <f t="shared" si="37"/>
        <v>0</v>
      </c>
      <c r="AO17" s="1">
        <f t="shared" si="37"/>
        <v>0</v>
      </c>
      <c r="AP17" s="1">
        <f t="shared" si="37"/>
        <v>0</v>
      </c>
      <c r="AQ17" s="1">
        <f t="shared" si="37"/>
        <v>0</v>
      </c>
      <c r="AR17" s="1">
        <f t="shared" si="37"/>
        <v>0</v>
      </c>
      <c r="BH17" s="1">
        <f>SUM(BH8:BH16)</f>
        <v>0</v>
      </c>
      <c r="BI17" s="1">
        <f t="shared" ref="BI17:BT17" si="38">SUM(BI8:BI16)</f>
        <v>0</v>
      </c>
      <c r="BJ17" s="1">
        <f t="shared" si="38"/>
        <v>0</v>
      </c>
      <c r="BK17" s="1">
        <f t="shared" si="38"/>
        <v>0</v>
      </c>
      <c r="BL17" s="1">
        <f t="shared" si="38"/>
        <v>0</v>
      </c>
      <c r="BM17" s="1">
        <f t="shared" si="38"/>
        <v>0</v>
      </c>
      <c r="BN17" s="1">
        <f t="shared" si="38"/>
        <v>0</v>
      </c>
      <c r="BO17" s="1">
        <f t="shared" si="38"/>
        <v>0</v>
      </c>
      <c r="BP17" s="1">
        <f t="shared" si="38"/>
        <v>0</v>
      </c>
      <c r="BQ17" s="1">
        <f t="shared" si="38"/>
        <v>0</v>
      </c>
      <c r="BR17" s="1">
        <f t="shared" si="38"/>
        <v>0</v>
      </c>
      <c r="BS17" s="1">
        <f t="shared" si="38"/>
        <v>0</v>
      </c>
      <c r="BT17" s="1">
        <f t="shared" si="38"/>
        <v>0</v>
      </c>
      <c r="CD17" s="1">
        <f t="shared" ref="CD17:CP17" si="39">SUM(CD8:CD16)</f>
        <v>0</v>
      </c>
      <c r="CE17" s="1">
        <f t="shared" si="39"/>
        <v>0</v>
      </c>
      <c r="CF17" s="1">
        <f t="shared" si="39"/>
        <v>0</v>
      </c>
      <c r="CG17" s="1">
        <f t="shared" si="39"/>
        <v>0</v>
      </c>
      <c r="CH17" s="1">
        <f t="shared" si="39"/>
        <v>0</v>
      </c>
      <c r="CI17" s="1">
        <f t="shared" si="39"/>
        <v>0</v>
      </c>
      <c r="CJ17" s="1">
        <f t="shared" si="39"/>
        <v>0</v>
      </c>
      <c r="CK17" s="1">
        <f t="shared" si="39"/>
        <v>0</v>
      </c>
      <c r="CL17" s="1">
        <f t="shared" si="39"/>
        <v>0</v>
      </c>
      <c r="CM17" s="1">
        <f t="shared" si="39"/>
        <v>0</v>
      </c>
      <c r="CN17" s="1">
        <f t="shared" si="39"/>
        <v>0</v>
      </c>
      <c r="CO17" s="1">
        <f t="shared" si="39"/>
        <v>0</v>
      </c>
      <c r="CP17" s="1">
        <f t="shared" si="39"/>
        <v>0</v>
      </c>
      <c r="CZ17" s="1">
        <f t="shared" ref="CZ17:DL17" si="40">SUM(CZ8:CZ16)</f>
        <v>0</v>
      </c>
      <c r="DA17" s="1">
        <f t="shared" si="40"/>
        <v>0</v>
      </c>
      <c r="DB17" s="1">
        <f t="shared" si="40"/>
        <v>0</v>
      </c>
      <c r="DC17" s="1">
        <f t="shared" si="40"/>
        <v>0</v>
      </c>
      <c r="DD17" s="1">
        <f t="shared" si="40"/>
        <v>0</v>
      </c>
      <c r="DE17" s="1">
        <f t="shared" si="40"/>
        <v>0</v>
      </c>
      <c r="DF17" s="1">
        <f t="shared" si="40"/>
        <v>0</v>
      </c>
      <c r="DG17" s="1">
        <f t="shared" si="40"/>
        <v>0</v>
      </c>
      <c r="DH17" s="1">
        <f t="shared" si="40"/>
        <v>0</v>
      </c>
      <c r="DI17" s="1">
        <f t="shared" si="40"/>
        <v>0</v>
      </c>
      <c r="DJ17" s="1">
        <f t="shared" si="40"/>
        <v>0</v>
      </c>
      <c r="DK17" s="1">
        <f t="shared" si="40"/>
        <v>0</v>
      </c>
      <c r="DL17" s="1">
        <f t="shared" si="40"/>
        <v>0</v>
      </c>
      <c r="DV17" s="1">
        <f t="shared" ref="DV17:EH17" si="41">SUM(DV8:DV16)</f>
        <v>0</v>
      </c>
      <c r="DW17" s="1">
        <f t="shared" si="41"/>
        <v>0</v>
      </c>
      <c r="DX17" s="1">
        <f t="shared" si="41"/>
        <v>0</v>
      </c>
      <c r="DY17" s="1">
        <f t="shared" si="41"/>
        <v>0</v>
      </c>
      <c r="DZ17" s="1">
        <f t="shared" si="41"/>
        <v>0</v>
      </c>
      <c r="EA17" s="1">
        <f t="shared" si="41"/>
        <v>0</v>
      </c>
      <c r="EB17" s="1">
        <f t="shared" si="41"/>
        <v>0</v>
      </c>
      <c r="EC17" s="1">
        <f t="shared" si="41"/>
        <v>0</v>
      </c>
      <c r="ED17" s="1">
        <f t="shared" si="41"/>
        <v>0</v>
      </c>
      <c r="EE17" s="1">
        <f t="shared" si="41"/>
        <v>0</v>
      </c>
      <c r="EF17" s="1">
        <f t="shared" si="41"/>
        <v>0</v>
      </c>
      <c r="EG17" s="1">
        <f t="shared" si="41"/>
        <v>0</v>
      </c>
      <c r="EH17" s="1">
        <f t="shared" si="41"/>
        <v>0</v>
      </c>
      <c r="ER17" s="1">
        <f t="shared" ref="ER17:FD17" si="42">SUM(ER8:ER16)</f>
        <v>0</v>
      </c>
      <c r="ES17" s="1">
        <f t="shared" si="42"/>
        <v>0</v>
      </c>
      <c r="ET17" s="1">
        <f t="shared" si="42"/>
        <v>0</v>
      </c>
      <c r="EU17" s="1">
        <f t="shared" si="42"/>
        <v>0</v>
      </c>
      <c r="EV17" s="1">
        <f t="shared" si="42"/>
        <v>0</v>
      </c>
      <c r="EW17" s="1">
        <f t="shared" si="42"/>
        <v>0</v>
      </c>
      <c r="EX17" s="1">
        <f t="shared" si="42"/>
        <v>0</v>
      </c>
      <c r="EY17" s="1">
        <f t="shared" si="42"/>
        <v>0</v>
      </c>
      <c r="EZ17" s="1">
        <f t="shared" si="42"/>
        <v>0</v>
      </c>
      <c r="FA17" s="1">
        <f t="shared" si="42"/>
        <v>0</v>
      </c>
      <c r="FB17" s="1">
        <f t="shared" si="42"/>
        <v>0</v>
      </c>
      <c r="FC17" s="1">
        <f t="shared" si="42"/>
        <v>0</v>
      </c>
      <c r="FD17" s="1">
        <f t="shared" si="42"/>
        <v>0</v>
      </c>
    </row>
    <row r="18" customHeight="1" spans="66:158">
      <c r="BN18" s="65">
        <f>(IF($E$4="冰",BK4)+IF($E$5="冰",BK5)+IF($E$6="冰",BK6))</f>
        <v>0</v>
      </c>
      <c r="BO18" s="66">
        <f>(IF($E$4="火",BK4)+IF($E$5="火",BK5)+IF($E$6="火",BK6))</f>
        <v>0</v>
      </c>
      <c r="BP18" s="67">
        <f>(IF($E$4="电",BK4)+IF($E$5="电",BK5)+IF($E$6="电",BK6))</f>
        <v>0</v>
      </c>
      <c r="BQ18" s="68">
        <f>(IF($E$4="以太",BK4)+IF($E$5="以太",BK5)+IF($E$6="以太",BK6))</f>
        <v>0</v>
      </c>
      <c r="BR18" s="69">
        <f>(IF($E$4="物理",BK4)+IF($E$5="物理",BK5)+IF($E$6="物理",BK6))/1.2</f>
        <v>0</v>
      </c>
      <c r="CJ18" s="65">
        <f>(IF($E$4="冰",CG4)+IF($E$5="冰",CG5)+IF($E$6="冰",CG6))</f>
        <v>0</v>
      </c>
      <c r="CK18" s="66">
        <f>(IF($E$4="火",CG4)+IF($E$5="火",CG5)+IF($E$6="火",CG6))</f>
        <v>0</v>
      </c>
      <c r="CL18" s="67">
        <f>(IF($E$4="电",CG4)+IF($E$5="电",CG5)+IF($E$6="电",CG6))</f>
        <v>0</v>
      </c>
      <c r="CM18" s="68">
        <f>(IF($E$4="以太",CG4)+IF($E$5="以太",CG5)+IF($E$6="以太",CG6))</f>
        <v>0</v>
      </c>
      <c r="CN18" s="69">
        <f>(IF($E$4="物理",CG4)+IF($E$5="物理",CG5)+IF($E$6="物理",CG6))/1.2</f>
        <v>0</v>
      </c>
      <c r="DF18" s="65">
        <f>(IF($E$4="冰",DC4)+IF($E$5="冰",DC5)+IF($E$6="冰",DC6))</f>
        <v>0</v>
      </c>
      <c r="DG18" s="66">
        <f>(IF($E$4="火",DC4)+IF($E$5="火",DC5)+IF($E$6="火",DC6))</f>
        <v>0</v>
      </c>
      <c r="DH18" s="67">
        <f>(IF($E$4="电",DC4)+IF($E$5="电",DC5)+IF($E$6="电",DC6))</f>
        <v>0</v>
      </c>
      <c r="DI18" s="68">
        <f>(IF($E$4="以太",DC4)+IF($E$5="以太",DC5)+IF($E$6="以太",DC6))</f>
        <v>0</v>
      </c>
      <c r="DJ18" s="69">
        <f>(IF($E$4="物理",DC4)+IF($E$5="物理",DC5)+IF($E$6="物理",DC6))/1.2</f>
        <v>0</v>
      </c>
      <c r="EB18" s="65">
        <f>(IF($E$4="冰",DY4)+IF($E$5="冰",DY5)+IF($E$6="冰",DY6))</f>
        <v>0</v>
      </c>
      <c r="EC18" s="66">
        <f>(IF($E$4="火",DY4)+IF($E$5="火",DY5)+IF($E$6="火",DY6))</f>
        <v>0</v>
      </c>
      <c r="ED18" s="67">
        <f>(IF($E$4="电",DY4)+IF($E$5="电",DY5)+IF($E$6="电",DY6))</f>
        <v>0</v>
      </c>
      <c r="EE18" s="68">
        <f>(IF($E$4="以太",DY4)+IF($E$5="以太",DY5)+IF($E$6="以太",DY6))</f>
        <v>0</v>
      </c>
      <c r="EF18" s="69">
        <f>(IF($E$4="物理",DY4)+IF($E$5="物理",DY5)+IF($E$6="物理",DY6))/1.2</f>
        <v>0</v>
      </c>
      <c r="EX18" s="65">
        <f>(IF($E$4="冰",EU4)+IF($E$5="冰",EU5)+IF($E$6="冰",EU6))</f>
        <v>0</v>
      </c>
      <c r="EY18" s="66">
        <f>(IF($E$4="火",EU4)+IF($E$5="火",EU5)+IF($E$6="火",EU6))</f>
        <v>0</v>
      </c>
      <c r="EZ18" s="67">
        <f>(IF($E$4="电",EU4)+IF($E$5="电",EU5)+IF($E$6="电",EU6))</f>
        <v>0</v>
      </c>
      <c r="FA18" s="68">
        <f>(IF($E$4="以太",EU4)+IF($E$5="以太",EU5)+IF($E$6="以太",EU6))</f>
        <v>0</v>
      </c>
      <c r="FB18" s="69">
        <f>(IF($E$4="物理",EU4)+IF($E$5="物理",EU5)+IF($E$6="物理",EU6))/1.2</f>
        <v>0</v>
      </c>
    </row>
    <row r="19" customHeight="1" spans="3:140">
      <c r="C19" s="55" t="s">
        <v>32</v>
      </c>
      <c r="D19" s="54"/>
      <c r="E19" s="54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62"/>
      <c r="AZ19" s="63">
        <f>BN4+BN5+BN6</f>
        <v>0</v>
      </c>
      <c r="BV19" s="63">
        <f>AZ19+CJ4+CJ5+CJ6</f>
        <v>0</v>
      </c>
      <c r="CR19" s="63">
        <f>BV19+DF4+DF5+DF6</f>
        <v>0</v>
      </c>
      <c r="DN19" s="63">
        <f>CR19+EB4+EB5+EB6</f>
        <v>0</v>
      </c>
      <c r="EJ19" s="63">
        <f>DN19+EX4+EX5+EX6</f>
        <v>0</v>
      </c>
    </row>
    <row r="20" customHeight="1" spans="3:140">
      <c r="C20" s="55" t="s">
        <v>34</v>
      </c>
      <c r="D20" s="54"/>
      <c r="E20" s="54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62"/>
      <c r="AZ20" s="63">
        <f>BU4+BU5+BU6</f>
        <v>0</v>
      </c>
      <c r="BV20" s="63">
        <f>AZ20+CQ4+CQ5+CQ6</f>
        <v>0</v>
      </c>
      <c r="CR20" s="63">
        <f>BV20+DM4+DM5+DM6</f>
        <v>0</v>
      </c>
      <c r="DN20" s="63">
        <f>CR20+EI4+EI5+EI6</f>
        <v>0</v>
      </c>
      <c r="EJ20" s="63">
        <f>DN20+FE4+FE5+FE6</f>
        <v>0</v>
      </c>
    </row>
    <row r="21" customHeight="1" spans="3:140">
      <c r="C21" s="55" t="s">
        <v>36</v>
      </c>
      <c r="D21" s="54"/>
      <c r="E21" s="54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62"/>
      <c r="AZ21" s="63">
        <f>IF(AZ19&lt;&gt;0,AZ20/AZ19,0)</f>
        <v>0</v>
      </c>
      <c r="BV21" s="63">
        <f>IF(BV19&lt;&gt;0,BV20/BV19,0)</f>
        <v>0</v>
      </c>
      <c r="CR21" s="63">
        <f>IF(CR19&lt;&gt;0,CR20/CR19,0)</f>
        <v>0</v>
      </c>
      <c r="DN21" s="63">
        <f>IF(DN19&lt;&gt;0,DN20/DN19,0)</f>
        <v>0</v>
      </c>
      <c r="EJ21" s="63">
        <f>IF(EJ19&lt;&gt;0,EJ20/EJ19,0)</f>
        <v>0</v>
      </c>
    </row>
    <row r="22" customHeight="1" spans="3:140">
      <c r="C22" s="55" t="s">
        <v>37</v>
      </c>
      <c r="D22" s="54"/>
      <c r="E22" s="54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62"/>
      <c r="AZ22" s="63">
        <f>BO4+BO5+BO6</f>
        <v>0</v>
      </c>
      <c r="BV22" s="63">
        <f>AZ22+CK4+CK5+CK6</f>
        <v>0</v>
      </c>
      <c r="CR22" s="63">
        <f>BV22+DG4+DG5+DG6</f>
        <v>0</v>
      </c>
      <c r="DN22" s="63">
        <f>CR22+EC4+EC5+EC6</f>
        <v>0</v>
      </c>
      <c r="EJ22" s="63">
        <f>DN22+EY4+EY5+EY6</f>
        <v>0</v>
      </c>
    </row>
    <row r="25" customHeight="1" spans="3:3">
      <c r="C25" s="57"/>
    </row>
    <row r="26" customHeight="1" spans="4:4">
      <c r="D26" s="57"/>
    </row>
    <row r="27" customHeight="1" spans="3:4">
      <c r="C27" s="57"/>
      <c r="D27" s="57"/>
    </row>
  </sheetData>
  <sheetProtection algorithmName="SHA-512" hashValue="lxALMq/Ici9MX/0DWen4JRilbkSs2PDonwi2Gp3LhFmaHOA63UW8CJ1r8LlQQiWa2I18fu++25AA6AZ3tNoq/A==" saltValue="yr+vV1qsBZyiL7t3kw70DA==" spinCount="100000" sheet="1" selectLockedCells="1" formatCells="0" insertHyperlinks="0" autoFilter="0" objects="1"/>
  <protectedRanges>
    <protectedRange sqref="B5:B6" name="区域1"/>
  </protectedRanges>
  <mergeCells count="13">
    <mergeCell ref="C8:Q8"/>
    <mergeCell ref="C9:Q9"/>
    <mergeCell ref="C10:Q10"/>
    <mergeCell ref="C11:Q11"/>
    <mergeCell ref="C12:Q12"/>
    <mergeCell ref="C13:Q13"/>
    <mergeCell ref="C14:Q14"/>
    <mergeCell ref="C15:Q15"/>
    <mergeCell ref="C16:Q16"/>
    <mergeCell ref="C19:AR19"/>
    <mergeCell ref="C20:AR20"/>
    <mergeCell ref="C21:AR21"/>
    <mergeCell ref="C22:AR22"/>
  </mergeCells>
  <conditionalFormatting sqref="AZ19:AZ22">
    <cfRule type="cellIs" dxfId="0" priority="43" operator="equal">
      <formula>0</formula>
    </cfRule>
  </conditionalFormatting>
  <conditionalFormatting sqref="BV19:BV22">
    <cfRule type="cellIs" dxfId="0" priority="35" operator="equal">
      <formula>0</formula>
    </cfRule>
  </conditionalFormatting>
  <conditionalFormatting sqref="CR19:CR22">
    <cfRule type="cellIs" dxfId="0" priority="27" operator="equal">
      <formula>0</formula>
    </cfRule>
  </conditionalFormatting>
  <conditionalFormatting sqref="DN19:DN22">
    <cfRule type="cellIs" dxfId="0" priority="19" operator="equal">
      <formula>0</formula>
    </cfRule>
  </conditionalFormatting>
  <conditionalFormatting sqref="EJ19:EJ22">
    <cfRule type="cellIs" dxfId="0" priority="11" operator="equal">
      <formula>0</formula>
    </cfRule>
  </conditionalFormatting>
  <dataValidations count="1">
    <dataValidation type="list" allowBlank="1" showInputMessage="1" showErrorMessage="1" sqref="B6">
      <formula1>"普通,精英,首领"</formula1>
    </dataValidation>
  </dataValidation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P39"/>
  <sheetViews>
    <sheetView zoomScale="85" zoomScaleNormal="85" topLeftCell="F2" workbookViewId="0">
      <pane xSplit="1" ySplit="1" topLeftCell="G16" activePane="bottomRight" state="frozen"/>
      <selection/>
      <selection pane="topRight"/>
      <selection pane="bottomLeft"/>
      <selection pane="bottomRight" activeCell="AR19" sqref="AR19"/>
    </sheetView>
  </sheetViews>
  <sheetFormatPr defaultColWidth="9.90740740740741" defaultRowHeight="44" customHeight="1"/>
  <cols>
    <col min="1" max="5" width="13.7777777777778" style="1" hidden="1" customWidth="1"/>
    <col min="6" max="11" width="13.7777777777778" style="1" customWidth="1"/>
    <col min="12" max="12" width="13.7777777777778" style="1" hidden="1" customWidth="1"/>
    <col min="13" max="15" width="13.7777777777778" style="1" customWidth="1"/>
    <col min="16" max="16" width="13.7777777777778" style="1" hidden="1" customWidth="1"/>
    <col min="17" max="45" width="13.7777777777778" style="1" customWidth="1"/>
    <col min="46" max="46" width="13.7777777777778" style="6" customWidth="1"/>
    <col min="47" max="62" width="13.7777777777778" style="1" customWidth="1"/>
    <col min="63" max="67" width="13.7777777777778" style="7" customWidth="1"/>
    <col min="68" max="72" width="13.7777777777778" style="8" customWidth="1"/>
    <col min="73" max="107" width="13.7777777777778" style="1" customWidth="1"/>
    <col min="108" max="112" width="13.7777777777778" style="9" customWidth="1"/>
    <col min="113" max="117" width="13.7777777777778" style="10" customWidth="1"/>
    <col min="118" max="118" width="36.7314814814815" style="11" customWidth="1"/>
    <col min="119" max="120" width="13.7777777777778" style="1" customWidth="1"/>
  </cols>
  <sheetData>
    <row r="1" customHeight="1" spans="6:118">
      <c r="F1" s="1">
        <f>COLUMN()</f>
        <v>6</v>
      </c>
      <c r="G1" s="1">
        <f>COLUMN()</f>
        <v>7</v>
      </c>
      <c r="H1" s="1">
        <f>COLUMN()</f>
        <v>8</v>
      </c>
      <c r="I1" s="1">
        <f>COLUMN()</f>
        <v>9</v>
      </c>
      <c r="J1" s="1">
        <f>COLUMN()</f>
        <v>10</v>
      </c>
      <c r="K1" s="1">
        <f t="shared" ref="K1:Q1" si="0">COLUMN()</f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ref="R1:AR1" si="1">COLUMN()</f>
        <v>18</v>
      </c>
      <c r="S1" s="1">
        <f t="shared" si="1"/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si="1"/>
        <v>25</v>
      </c>
      <c r="Z1" s="1">
        <f t="shared" si="1"/>
        <v>26</v>
      </c>
      <c r="AA1" s="1">
        <f t="shared" si="1"/>
        <v>27</v>
      </c>
      <c r="AB1" s="1">
        <f t="shared" si="1"/>
        <v>28</v>
      </c>
      <c r="AC1" s="1">
        <f t="shared" si="1"/>
        <v>29</v>
      </c>
      <c r="AD1" s="1">
        <f t="shared" si="1"/>
        <v>30</v>
      </c>
      <c r="AE1" s="1">
        <f t="shared" si="1"/>
        <v>31</v>
      </c>
      <c r="AF1" s="1">
        <f t="shared" si="1"/>
        <v>32</v>
      </c>
      <c r="AG1" s="1">
        <f t="shared" si="1"/>
        <v>33</v>
      </c>
      <c r="AH1" s="1">
        <f t="shared" si="1"/>
        <v>34</v>
      </c>
      <c r="AI1" s="1">
        <f t="shared" si="1"/>
        <v>35</v>
      </c>
      <c r="AJ1" s="1">
        <f t="shared" si="1"/>
        <v>36</v>
      </c>
      <c r="AK1" s="1">
        <f t="shared" si="1"/>
        <v>37</v>
      </c>
      <c r="AL1" s="1">
        <f t="shared" si="1"/>
        <v>38</v>
      </c>
      <c r="AM1" s="1">
        <f t="shared" si="1"/>
        <v>39</v>
      </c>
      <c r="AN1" s="1">
        <f t="shared" si="1"/>
        <v>40</v>
      </c>
      <c r="AO1" s="1">
        <f t="shared" si="1"/>
        <v>41</v>
      </c>
      <c r="AP1" s="1">
        <f t="shared" si="1"/>
        <v>42</v>
      </c>
      <c r="AQ1" s="1">
        <f t="shared" si="1"/>
        <v>43</v>
      </c>
      <c r="AR1" s="1">
        <f t="shared" si="1"/>
        <v>44</v>
      </c>
      <c r="AS1" s="1">
        <f>COLUMN()</f>
        <v>45</v>
      </c>
      <c r="AT1" s="1">
        <f>COLUMN()</f>
        <v>46</v>
      </c>
      <c r="AU1" s="1">
        <f t="shared" ref="AU1:DF1" si="2">COLUMN()</f>
        <v>47</v>
      </c>
      <c r="AV1" s="1">
        <f t="shared" si="2"/>
        <v>48</v>
      </c>
      <c r="AW1" s="1">
        <f t="shared" si="2"/>
        <v>49</v>
      </c>
      <c r="AX1" s="1">
        <f t="shared" si="2"/>
        <v>50</v>
      </c>
      <c r="AY1" s="1">
        <f t="shared" si="2"/>
        <v>51</v>
      </c>
      <c r="AZ1" s="1">
        <f t="shared" si="2"/>
        <v>52</v>
      </c>
      <c r="BA1" s="1">
        <f t="shared" si="2"/>
        <v>53</v>
      </c>
      <c r="BB1" s="1">
        <f t="shared" si="2"/>
        <v>54</v>
      </c>
      <c r="BC1" s="1">
        <f t="shared" si="2"/>
        <v>55</v>
      </c>
      <c r="BD1" s="1">
        <f t="shared" si="2"/>
        <v>56</v>
      </c>
      <c r="BE1" s="1">
        <f t="shared" si="2"/>
        <v>57</v>
      </c>
      <c r="BF1" s="1">
        <f t="shared" si="2"/>
        <v>58</v>
      </c>
      <c r="BG1" s="1">
        <f t="shared" si="2"/>
        <v>59</v>
      </c>
      <c r="BH1" s="1">
        <f t="shared" si="2"/>
        <v>60</v>
      </c>
      <c r="BI1" s="1">
        <f t="shared" si="2"/>
        <v>61</v>
      </c>
      <c r="BJ1" s="1">
        <f t="shared" si="2"/>
        <v>62</v>
      </c>
      <c r="BK1" s="1">
        <f t="shared" si="2"/>
        <v>63</v>
      </c>
      <c r="BL1" s="1">
        <f t="shared" si="2"/>
        <v>64</v>
      </c>
      <c r="BM1" s="1">
        <f t="shared" si="2"/>
        <v>65</v>
      </c>
      <c r="BN1" s="1">
        <f t="shared" si="2"/>
        <v>66</v>
      </c>
      <c r="BO1" s="1">
        <f t="shared" si="2"/>
        <v>67</v>
      </c>
      <c r="BP1" s="1">
        <f t="shared" si="2"/>
        <v>68</v>
      </c>
      <c r="BQ1" s="1">
        <f t="shared" si="2"/>
        <v>69</v>
      </c>
      <c r="BR1" s="1">
        <f t="shared" si="2"/>
        <v>70</v>
      </c>
      <c r="BS1" s="1">
        <f t="shared" si="2"/>
        <v>71</v>
      </c>
      <c r="BT1" s="1">
        <f t="shared" si="2"/>
        <v>72</v>
      </c>
      <c r="BU1" s="1">
        <f t="shared" si="2"/>
        <v>73</v>
      </c>
      <c r="BV1" s="1">
        <f t="shared" si="2"/>
        <v>74</v>
      </c>
      <c r="BW1" s="1">
        <f t="shared" si="2"/>
        <v>75</v>
      </c>
      <c r="BX1" s="1">
        <f t="shared" si="2"/>
        <v>76</v>
      </c>
      <c r="BY1" s="1">
        <f t="shared" si="2"/>
        <v>77</v>
      </c>
      <c r="BZ1" s="1">
        <f t="shared" si="2"/>
        <v>78</v>
      </c>
      <c r="CA1" s="1">
        <f t="shared" si="2"/>
        <v>79</v>
      </c>
      <c r="CB1" s="1">
        <f t="shared" si="2"/>
        <v>80</v>
      </c>
      <c r="CC1" s="1">
        <f t="shared" si="2"/>
        <v>81</v>
      </c>
      <c r="CD1" s="1">
        <f t="shared" si="2"/>
        <v>82</v>
      </c>
      <c r="CE1" s="1">
        <f t="shared" si="2"/>
        <v>83</v>
      </c>
      <c r="CF1" s="1">
        <f t="shared" si="2"/>
        <v>84</v>
      </c>
      <c r="CG1" s="1">
        <f t="shared" si="2"/>
        <v>85</v>
      </c>
      <c r="CH1" s="1">
        <f t="shared" si="2"/>
        <v>86</v>
      </c>
      <c r="CI1" s="1">
        <f t="shared" si="2"/>
        <v>87</v>
      </c>
      <c r="CJ1" s="1">
        <f t="shared" si="2"/>
        <v>88</v>
      </c>
      <c r="CK1" s="1">
        <f t="shared" si="2"/>
        <v>89</v>
      </c>
      <c r="CL1" s="1">
        <f t="shared" si="2"/>
        <v>90</v>
      </c>
      <c r="CM1" s="1">
        <f t="shared" si="2"/>
        <v>91</v>
      </c>
      <c r="CN1" s="1">
        <f t="shared" si="2"/>
        <v>92</v>
      </c>
      <c r="CO1" s="1">
        <f t="shared" si="2"/>
        <v>93</v>
      </c>
      <c r="CP1" s="1">
        <f t="shared" si="2"/>
        <v>94</v>
      </c>
      <c r="CQ1" s="1">
        <f t="shared" si="2"/>
        <v>95</v>
      </c>
      <c r="CR1" s="1">
        <f t="shared" si="2"/>
        <v>96</v>
      </c>
      <c r="CS1" s="1">
        <f t="shared" si="2"/>
        <v>97</v>
      </c>
      <c r="CT1" s="1">
        <f t="shared" si="2"/>
        <v>98</v>
      </c>
      <c r="CU1" s="1">
        <f t="shared" si="2"/>
        <v>99</v>
      </c>
      <c r="CV1" s="1">
        <f t="shared" si="2"/>
        <v>100</v>
      </c>
      <c r="CW1" s="1">
        <f t="shared" si="2"/>
        <v>101</v>
      </c>
      <c r="CX1" s="1">
        <f t="shared" si="2"/>
        <v>102</v>
      </c>
      <c r="CY1" s="1">
        <f t="shared" si="2"/>
        <v>103</v>
      </c>
      <c r="CZ1" s="1">
        <f t="shared" si="2"/>
        <v>104</v>
      </c>
      <c r="DA1" s="1">
        <f t="shared" si="2"/>
        <v>105</v>
      </c>
      <c r="DB1" s="1">
        <f t="shared" si="2"/>
        <v>106</v>
      </c>
      <c r="DC1" s="1">
        <f t="shared" si="2"/>
        <v>107</v>
      </c>
      <c r="DD1" s="10">
        <f t="shared" si="2"/>
        <v>108</v>
      </c>
      <c r="DE1" s="10">
        <f t="shared" si="2"/>
        <v>109</v>
      </c>
      <c r="DF1" s="10">
        <f t="shared" si="2"/>
        <v>110</v>
      </c>
      <c r="DG1" s="10">
        <f>COLUMN()</f>
        <v>111</v>
      </c>
      <c r="DH1" s="10">
        <f>COLUMN()</f>
        <v>112</v>
      </c>
      <c r="DI1" s="10">
        <f t="shared" ref="DI1:DL1" si="3">COLUMN()</f>
        <v>113</v>
      </c>
      <c r="DJ1" s="10">
        <f t="shared" si="3"/>
        <v>114</v>
      </c>
      <c r="DK1" s="10">
        <f t="shared" si="3"/>
        <v>115</v>
      </c>
      <c r="DL1" s="10">
        <f t="shared" si="3"/>
        <v>116</v>
      </c>
      <c r="DM1" s="10">
        <f t="shared" ref="DL1:DN1" si="4">COLUMN()</f>
        <v>117</v>
      </c>
      <c r="DN1" s="11">
        <f t="shared" si="4"/>
        <v>118</v>
      </c>
    </row>
    <row r="2" customHeight="1" spans="6:119">
      <c r="F2" s="1" t="s">
        <v>50</v>
      </c>
      <c r="G2" s="1" t="s">
        <v>426</v>
      </c>
      <c r="H2" s="1" t="s">
        <v>15</v>
      </c>
      <c r="I2" s="1" t="s">
        <v>16</v>
      </c>
      <c r="J2" s="1" t="s">
        <v>52</v>
      </c>
      <c r="K2" s="1" t="s">
        <v>427</v>
      </c>
      <c r="L2" s="1" t="s">
        <v>174</v>
      </c>
      <c r="M2" s="1" t="s">
        <v>428</v>
      </c>
      <c r="N2" s="1" t="s">
        <v>429</v>
      </c>
      <c r="O2" s="1" t="s">
        <v>345</v>
      </c>
      <c r="P2" s="1" t="s">
        <v>430</v>
      </c>
      <c r="Q2" s="1" t="s">
        <v>417</v>
      </c>
      <c r="R2" s="1" t="s">
        <v>109</v>
      </c>
      <c r="S2" s="1" t="s">
        <v>80</v>
      </c>
      <c r="T2" s="1" t="s">
        <v>73</v>
      </c>
      <c r="U2" s="1" t="s">
        <v>340</v>
      </c>
      <c r="V2" s="1" t="s">
        <v>269</v>
      </c>
      <c r="W2" s="4" t="s">
        <v>431</v>
      </c>
      <c r="X2" s="4" t="s">
        <v>432</v>
      </c>
      <c r="Y2" s="4" t="s">
        <v>433</v>
      </c>
      <c r="Z2" s="4" t="s">
        <v>434</v>
      </c>
      <c r="AA2" s="1" t="s">
        <v>435</v>
      </c>
      <c r="AB2" s="1" t="s">
        <v>311</v>
      </c>
      <c r="AC2" s="1" t="s">
        <v>436</v>
      </c>
      <c r="AD2" s="1" t="s">
        <v>437</v>
      </c>
      <c r="AE2" s="1" t="s">
        <v>438</v>
      </c>
      <c r="AF2" s="4" t="s">
        <v>439</v>
      </c>
      <c r="AG2" s="1" t="s">
        <v>440</v>
      </c>
      <c r="AH2" s="1" t="s">
        <v>441</v>
      </c>
      <c r="AI2" s="1" t="s">
        <v>442</v>
      </c>
      <c r="AJ2" s="4" t="s">
        <v>443</v>
      </c>
      <c r="AK2" s="4" t="s">
        <v>444</v>
      </c>
      <c r="AL2" s="4" t="s">
        <v>445</v>
      </c>
      <c r="AM2" s="4" t="s">
        <v>446</v>
      </c>
      <c r="AN2" s="4" t="s">
        <v>447</v>
      </c>
      <c r="AO2" s="4" t="s">
        <v>400</v>
      </c>
      <c r="AP2" s="1" t="s">
        <v>448</v>
      </c>
      <c r="AQ2" s="1" t="s">
        <v>449</v>
      </c>
      <c r="AR2" s="1" t="s">
        <v>450</v>
      </c>
      <c r="AS2" s="1" t="s">
        <v>451</v>
      </c>
      <c r="AT2" s="6" t="s">
        <v>408</v>
      </c>
      <c r="AU2" s="13" t="s">
        <v>452</v>
      </c>
      <c r="AV2" s="14" t="s">
        <v>453</v>
      </c>
      <c r="AW2" s="14" t="s">
        <v>448</v>
      </c>
      <c r="AX2" s="14" t="s">
        <v>454</v>
      </c>
      <c r="AY2" s="14" t="s">
        <v>455</v>
      </c>
      <c r="AZ2" s="14" t="s">
        <v>456</v>
      </c>
      <c r="BA2" s="20" t="s">
        <v>457</v>
      </c>
      <c r="BB2" s="20" t="s">
        <v>449</v>
      </c>
      <c r="BC2" s="20" t="s">
        <v>458</v>
      </c>
      <c r="BD2" s="20" t="s">
        <v>459</v>
      </c>
      <c r="BE2" s="20" t="s">
        <v>460</v>
      </c>
      <c r="BF2" s="23" t="s">
        <v>461</v>
      </c>
      <c r="BG2" s="23" t="s">
        <v>462</v>
      </c>
      <c r="BH2" s="23" t="s">
        <v>463</v>
      </c>
      <c r="BI2" s="23" t="s">
        <v>464</v>
      </c>
      <c r="BJ2" s="23" t="s">
        <v>465</v>
      </c>
      <c r="BK2" s="7" t="s">
        <v>466</v>
      </c>
      <c r="BL2" s="7" t="s">
        <v>467</v>
      </c>
      <c r="BM2" s="7" t="s">
        <v>468</v>
      </c>
      <c r="BN2" s="7" t="s">
        <v>469</v>
      </c>
      <c r="BO2" s="7" t="s">
        <v>470</v>
      </c>
      <c r="BP2" s="8" t="s">
        <v>471</v>
      </c>
      <c r="BQ2" s="8" t="s">
        <v>472</v>
      </c>
      <c r="BR2" s="8" t="s">
        <v>473</v>
      </c>
      <c r="BS2" s="8" t="s">
        <v>474</v>
      </c>
      <c r="BT2" s="8" t="s">
        <v>475</v>
      </c>
      <c r="BU2" s="29" t="s">
        <v>476</v>
      </c>
      <c r="BV2" s="29" t="s">
        <v>477</v>
      </c>
      <c r="BW2" s="29" t="s">
        <v>478</v>
      </c>
      <c r="BX2" s="29" t="s">
        <v>479</v>
      </c>
      <c r="BY2" s="29" t="s">
        <v>480</v>
      </c>
      <c r="BZ2" s="30" t="s">
        <v>481</v>
      </c>
      <c r="CA2" s="30" t="s">
        <v>482</v>
      </c>
      <c r="CB2" s="30" t="s">
        <v>483</v>
      </c>
      <c r="CC2" s="30" t="s">
        <v>484</v>
      </c>
      <c r="CD2" s="30" t="s">
        <v>485</v>
      </c>
      <c r="CE2" s="13" t="s">
        <v>486</v>
      </c>
      <c r="CF2" s="13" t="s">
        <v>487</v>
      </c>
      <c r="CG2" s="13" t="s">
        <v>488</v>
      </c>
      <c r="CH2" s="13" t="s">
        <v>489</v>
      </c>
      <c r="CI2" s="13" t="s">
        <v>490</v>
      </c>
      <c r="CJ2" s="33" t="s">
        <v>491</v>
      </c>
      <c r="CK2" s="33" t="s">
        <v>492</v>
      </c>
      <c r="CL2" s="33" t="s">
        <v>493</v>
      </c>
      <c r="CM2" s="33" t="s">
        <v>494</v>
      </c>
      <c r="CN2" s="33" t="s">
        <v>495</v>
      </c>
      <c r="CO2" s="36" t="s">
        <v>496</v>
      </c>
      <c r="CP2" s="36" t="s">
        <v>497</v>
      </c>
      <c r="CQ2" s="36" t="s">
        <v>498</v>
      </c>
      <c r="CR2" s="36" t="s">
        <v>499</v>
      </c>
      <c r="CS2" s="36" t="s">
        <v>500</v>
      </c>
      <c r="CT2" s="39" t="s">
        <v>274</v>
      </c>
      <c r="CU2" s="39" t="s">
        <v>501</v>
      </c>
      <c r="CV2" s="39" t="s">
        <v>502</v>
      </c>
      <c r="CW2" s="39" t="s">
        <v>276</v>
      </c>
      <c r="CX2" s="39" t="s">
        <v>503</v>
      </c>
      <c r="CY2" s="40" t="s">
        <v>504</v>
      </c>
      <c r="CZ2" s="40" t="s">
        <v>505</v>
      </c>
      <c r="DA2" s="40" t="s">
        <v>506</v>
      </c>
      <c r="DB2" s="40" t="s">
        <v>507</v>
      </c>
      <c r="DC2" s="40" t="s">
        <v>508</v>
      </c>
      <c r="DD2" s="9" t="s">
        <v>509</v>
      </c>
      <c r="DE2" s="9" t="s">
        <v>451</v>
      </c>
      <c r="DF2" s="9" t="s">
        <v>510</v>
      </c>
      <c r="DG2" s="9" t="s">
        <v>511</v>
      </c>
      <c r="DH2" s="9" t="s">
        <v>512</v>
      </c>
      <c r="DI2" s="10" t="s">
        <v>513</v>
      </c>
      <c r="DJ2" s="10" t="s">
        <v>514</v>
      </c>
      <c r="DK2" s="10" t="s">
        <v>515</v>
      </c>
      <c r="DL2" s="10" t="s">
        <v>516</v>
      </c>
      <c r="DM2" s="10" t="s">
        <v>517</v>
      </c>
      <c r="DN2" s="1" t="s">
        <v>518</v>
      </c>
      <c r="DO2" s="1" t="s">
        <v>519</v>
      </c>
    </row>
    <row r="3" customFormat="1" customHeight="1" spans="1:120">
      <c r="A3" s="1"/>
      <c r="B3" s="1"/>
      <c r="C3" s="1"/>
      <c r="D3" s="1"/>
      <c r="E3" s="1"/>
      <c r="F3" s="1" t="s">
        <v>68</v>
      </c>
      <c r="G3" s="1" t="s">
        <v>69</v>
      </c>
      <c r="H3" s="1" t="s">
        <v>324</v>
      </c>
      <c r="I3" s="1" t="s">
        <v>520</v>
      </c>
      <c r="J3" s="6">
        <f>配装!C3</f>
        <v>0</v>
      </c>
      <c r="K3" s="12">
        <v>929</v>
      </c>
      <c r="L3" s="3"/>
      <c r="M3" s="3"/>
      <c r="N3" s="12"/>
      <c r="O3" s="12">
        <v>93</v>
      </c>
      <c r="P3" s="3"/>
      <c r="Q3" s="3"/>
      <c r="R3" s="3">
        <v>-0.07</v>
      </c>
      <c r="S3" s="3">
        <f>5%+14.4%+10%+IF(J3&gt;=2,12%,0)</f>
        <v>0.294</v>
      </c>
      <c r="T3" s="3">
        <v>0.5</v>
      </c>
      <c r="U3" s="3"/>
      <c r="V3" s="3">
        <v>-0.06</v>
      </c>
      <c r="W3" s="3"/>
      <c r="X3" s="3"/>
      <c r="Y3" s="3"/>
      <c r="Z3" s="3"/>
      <c r="AA3" s="3"/>
      <c r="AB3" s="3"/>
      <c r="AC3" s="3">
        <v>0.25</v>
      </c>
      <c r="AD3" s="3">
        <v>0.25</v>
      </c>
      <c r="AE3" s="3">
        <v>0.25</v>
      </c>
      <c r="AF3" s="3">
        <v>0.25</v>
      </c>
      <c r="AG3" s="3">
        <v>0.25</v>
      </c>
      <c r="AH3" s="3">
        <v>0.25</v>
      </c>
      <c r="AI3" s="3">
        <v>0.25</v>
      </c>
      <c r="AJ3" s="3">
        <v>0.25</v>
      </c>
      <c r="AK3" s="3">
        <v>0.25</v>
      </c>
      <c r="AL3" s="3">
        <v>0.25</v>
      </c>
      <c r="AM3" s="3">
        <v>0.25</v>
      </c>
      <c r="AN3" s="3">
        <v>0.25</v>
      </c>
      <c r="AO3" s="3">
        <f>AD3</f>
        <v>0.25</v>
      </c>
      <c r="AP3" s="3"/>
      <c r="AQ3" s="3"/>
      <c r="AR3" s="3"/>
      <c r="AS3" s="3"/>
      <c r="AT3" s="15">
        <v>0.5</v>
      </c>
      <c r="AU3" s="16">
        <v>60</v>
      </c>
      <c r="AV3" s="17">
        <f>32.7+62.2+80.1+154.5+148.5</f>
        <v>478</v>
      </c>
      <c r="AW3" s="17">
        <f>27.9+54.5+71.9+137.7+130.9</f>
        <v>422.9</v>
      </c>
      <c r="AX3" s="17">
        <v>4</v>
      </c>
      <c r="AY3" s="17">
        <f>25.32+49.54+65.27+125.16+118.95</f>
        <v>384.24</v>
      </c>
      <c r="AZ3" s="17">
        <f>6.985+13.64+17.9575+34.43+32.725</f>
        <v>105.7375</v>
      </c>
      <c r="BA3" s="21"/>
      <c r="BB3" s="21"/>
      <c r="BC3" s="21"/>
      <c r="BD3" s="21"/>
      <c r="BE3" s="21"/>
      <c r="BF3" s="24"/>
      <c r="BG3" s="24"/>
      <c r="BH3" s="24"/>
      <c r="BI3" s="24"/>
      <c r="BJ3" s="24"/>
      <c r="BK3" s="25"/>
      <c r="BL3" s="25"/>
      <c r="BM3" s="25"/>
      <c r="BN3" s="25"/>
      <c r="BO3" s="25"/>
      <c r="BP3" s="27">
        <v>250.6</v>
      </c>
      <c r="BQ3" s="27">
        <v>218.2</v>
      </c>
      <c r="BR3" s="27">
        <v>1.4</v>
      </c>
      <c r="BS3" s="27">
        <v>98.3</v>
      </c>
      <c r="BT3" s="27">
        <v>27.06</v>
      </c>
      <c r="BU3" s="31">
        <v>108.2</v>
      </c>
      <c r="BV3" s="31">
        <v>108.2</v>
      </c>
      <c r="BW3" s="31">
        <v>1</v>
      </c>
      <c r="BX3" s="31">
        <v>98.3</v>
      </c>
      <c r="BY3" s="31">
        <v>27.06</v>
      </c>
      <c r="BZ3" s="32">
        <f>43*3</f>
        <v>129</v>
      </c>
      <c r="CA3" s="32">
        <f>33.1*3</f>
        <v>99.3</v>
      </c>
      <c r="CB3" s="32">
        <v>1.25</v>
      </c>
      <c r="CC3" s="32">
        <f>30.03*3</f>
        <v>90.09</v>
      </c>
      <c r="CD3" s="32">
        <f>8.2775*3</f>
        <v>24.8325</v>
      </c>
      <c r="CE3" s="22">
        <v>379.6</v>
      </c>
      <c r="CF3" s="22">
        <v>458.6</v>
      </c>
      <c r="CG3" s="22">
        <v>1.1</v>
      </c>
      <c r="CH3" s="22">
        <v>464.96</v>
      </c>
      <c r="CI3" s="22">
        <v>167.5575</v>
      </c>
      <c r="CJ3" s="34"/>
      <c r="CK3" s="34"/>
      <c r="CL3" s="34"/>
      <c r="CM3" s="34"/>
      <c r="CN3" s="34"/>
      <c r="CO3" s="37">
        <v>407.1</v>
      </c>
      <c r="CP3" s="37">
        <f>271.3+356.2</f>
        <v>627.5</v>
      </c>
      <c r="CQ3" s="37">
        <v>2.4</v>
      </c>
      <c r="CR3" s="38">
        <v>346.92</v>
      </c>
      <c r="CS3" s="37">
        <v>114.51</v>
      </c>
      <c r="CT3" s="41">
        <v>563.8</v>
      </c>
      <c r="CU3" s="41">
        <v>0</v>
      </c>
      <c r="CV3" s="41">
        <v>1.9</v>
      </c>
      <c r="CW3" s="41">
        <v>379.5</v>
      </c>
      <c r="CX3" s="41">
        <v>232.4025</v>
      </c>
      <c r="CY3" s="42">
        <v>1734.9</v>
      </c>
      <c r="CZ3" s="42">
        <v>276.9</v>
      </c>
      <c r="DA3" s="42">
        <v>2.4</v>
      </c>
      <c r="DB3" s="42">
        <v>251.66</v>
      </c>
      <c r="DC3" s="42"/>
      <c r="DD3" s="44">
        <f>167.2*3+188.1</f>
        <v>689.7</v>
      </c>
      <c r="DE3" s="44">
        <v>0</v>
      </c>
      <c r="DF3" s="44">
        <v>0</v>
      </c>
      <c r="DG3" s="44">
        <v>0</v>
      </c>
      <c r="DH3" s="44">
        <v>0</v>
      </c>
      <c r="DI3" s="45"/>
      <c r="DJ3" s="45"/>
      <c r="DK3" s="45"/>
      <c r="DL3" s="45"/>
      <c r="DM3" s="45"/>
      <c r="DN3" s="46" t="s">
        <v>521</v>
      </c>
      <c r="DO3" s="1">
        <f>IFERROR(INDEX(云配队!$C$6:$C$8,MATCH("零号安比",云配队!$F$6:$F$8,0)),0)</f>
        <v>0</v>
      </c>
      <c r="DP3" s="1"/>
    </row>
    <row r="4" customHeight="1" spans="6:118">
      <c r="F4" s="1" t="s">
        <v>77</v>
      </c>
      <c r="G4" s="1" t="s">
        <v>69</v>
      </c>
      <c r="H4" s="1" t="s">
        <v>331</v>
      </c>
      <c r="I4" s="1" t="s">
        <v>522</v>
      </c>
      <c r="J4" s="6">
        <f>配装!C4</f>
        <v>0</v>
      </c>
      <c r="K4" s="12">
        <v>929</v>
      </c>
      <c r="L4" s="3"/>
      <c r="M4" s="3">
        <f>IF(J4&gt;=2,15%,0)</f>
        <v>0</v>
      </c>
      <c r="N4" s="12"/>
      <c r="O4" s="12">
        <v>93</v>
      </c>
      <c r="P4" s="3"/>
      <c r="R4" s="3">
        <v>-0.1</v>
      </c>
      <c r="S4" s="3">
        <f>5%+14.4%+24%</f>
        <v>0.434</v>
      </c>
      <c r="T4" s="3">
        <v>0.5</v>
      </c>
      <c r="U4" s="3"/>
      <c r="V4" s="3">
        <v>-0.08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>
        <v>0.3</v>
      </c>
      <c r="AL4" s="3">
        <v>0.3</v>
      </c>
      <c r="AM4" s="3"/>
      <c r="AN4" s="3"/>
      <c r="AO4" s="3">
        <f>AD4</f>
        <v>0</v>
      </c>
      <c r="AP4" s="3"/>
      <c r="AQ4" s="3"/>
      <c r="AR4" s="3"/>
      <c r="AS4" s="3"/>
      <c r="AT4" s="15">
        <v>0.5</v>
      </c>
      <c r="AU4" s="16">
        <f>40+7*6</f>
        <v>82</v>
      </c>
      <c r="AV4" s="17">
        <f>51.2+62.1+78.2+186.7+223.4</f>
        <v>601.6</v>
      </c>
      <c r="AW4" s="17">
        <f>25.6+53.8+62.1+153+168.3</f>
        <v>462.8</v>
      </c>
      <c r="AX4" s="17"/>
      <c r="AY4" s="17">
        <f>139.03+152.91</f>
        <v>291.94</v>
      </c>
      <c r="AZ4" s="17">
        <f>6.4075+13.4475+15.5375+38.2525+42.075</f>
        <v>115.72</v>
      </c>
      <c r="BA4" s="21"/>
      <c r="BB4" s="21"/>
      <c r="BC4" s="21"/>
      <c r="BD4" s="21"/>
      <c r="BE4" s="21"/>
      <c r="BF4" s="24">
        <v>226.4</v>
      </c>
      <c r="BG4" s="24">
        <v>121.1</v>
      </c>
      <c r="BH4" s="24"/>
      <c r="BI4" s="24">
        <v>110.03</v>
      </c>
      <c r="BJ4" s="24">
        <v>30.2775</v>
      </c>
      <c r="BK4" s="25"/>
      <c r="BL4" s="25"/>
      <c r="BM4" s="25"/>
      <c r="BN4" s="25"/>
      <c r="BO4" s="25"/>
      <c r="BP4" s="27"/>
      <c r="BQ4" s="27"/>
      <c r="BR4" s="27"/>
      <c r="BS4" s="27"/>
      <c r="BT4" s="27"/>
      <c r="BU4" s="31">
        <v>77.1</v>
      </c>
      <c r="BV4" s="31">
        <v>77.1</v>
      </c>
      <c r="BW4" s="31"/>
      <c r="BX4" s="31">
        <v>70.03</v>
      </c>
      <c r="BY4" s="31">
        <v>19.2775</v>
      </c>
      <c r="BZ4" s="32">
        <f>40.4+34</f>
        <v>74.4</v>
      </c>
      <c r="CA4" s="32">
        <f>40.4+34</f>
        <v>74.4</v>
      </c>
      <c r="CB4" s="32">
        <v>0</v>
      </c>
      <c r="CC4" s="32">
        <f>36.64+30.84</f>
        <v>67.48</v>
      </c>
      <c r="CD4" s="32">
        <f>20.1575+16.9675</f>
        <v>37.125</v>
      </c>
      <c r="CE4" s="22">
        <f>541.2+59.6</f>
        <v>600.8</v>
      </c>
      <c r="CF4" s="22">
        <f>437.1+59.6</f>
        <v>496.7</v>
      </c>
      <c r="CG4" s="22"/>
      <c r="CH4" s="22">
        <f>444.62+56.2</f>
        <v>500.82</v>
      </c>
      <c r="CI4" s="22">
        <f>161.3425+17.1875</f>
        <v>178.53</v>
      </c>
      <c r="CJ4" s="34"/>
      <c r="CK4" s="34"/>
      <c r="CL4" s="34"/>
      <c r="CM4" s="34"/>
      <c r="CN4" s="34"/>
      <c r="CO4" s="37">
        <v>291.6</v>
      </c>
      <c r="CP4" s="37">
        <f>271.3+249</f>
        <v>520.3</v>
      </c>
      <c r="CQ4" s="37"/>
      <c r="CR4" s="38">
        <v>245.67</v>
      </c>
      <c r="CS4" s="37">
        <v>83.5725</v>
      </c>
      <c r="CT4" s="41">
        <f>829.3*1.25</f>
        <v>1036.625</v>
      </c>
      <c r="CU4" s="41">
        <v>0</v>
      </c>
      <c r="CV4" s="41"/>
      <c r="CW4" s="41">
        <v>290.17</v>
      </c>
      <c r="CX4" s="41">
        <v>169.4275</v>
      </c>
      <c r="CY4" s="42">
        <f>1988.5*1.25</f>
        <v>2485.625</v>
      </c>
      <c r="CZ4" s="42">
        <v>260.4</v>
      </c>
      <c r="DA4" s="42"/>
      <c r="DB4" s="42">
        <v>236.7</v>
      </c>
      <c r="DC4" s="42"/>
      <c r="DD4" s="44"/>
      <c r="DE4" s="44"/>
      <c r="DF4" s="44"/>
      <c r="DG4" s="44"/>
      <c r="DH4" s="44"/>
      <c r="DI4" s="45"/>
      <c r="DJ4" s="45"/>
      <c r="DK4" s="45"/>
      <c r="DL4" s="45"/>
      <c r="DM4" s="45"/>
      <c r="DN4" s="46" t="s">
        <v>523</v>
      </c>
    </row>
    <row r="5" customFormat="1" customHeight="1" spans="1:120">
      <c r="A5" s="1"/>
      <c r="B5" s="1"/>
      <c r="C5" s="1"/>
      <c r="D5" s="1"/>
      <c r="E5" s="1"/>
      <c r="F5" s="1" t="s">
        <v>82</v>
      </c>
      <c r="G5" s="1" t="s">
        <v>69</v>
      </c>
      <c r="H5" s="1" t="s">
        <v>324</v>
      </c>
      <c r="I5" s="1" t="s">
        <v>524</v>
      </c>
      <c r="J5" s="6">
        <f>配装!C6</f>
        <v>0</v>
      </c>
      <c r="K5" s="12">
        <f>841+75</f>
        <v>916</v>
      </c>
      <c r="L5" s="3"/>
      <c r="M5" s="3"/>
      <c r="N5" s="12"/>
      <c r="O5" s="12">
        <v>90</v>
      </c>
      <c r="P5" s="3"/>
      <c r="Q5" s="3"/>
      <c r="R5" s="3">
        <v>-0.05</v>
      </c>
      <c r="S5" s="3">
        <f>5%+14.4%</f>
        <v>0.194</v>
      </c>
      <c r="T5" s="3">
        <v>0.5</v>
      </c>
      <c r="U5" s="3"/>
      <c r="V5" s="3">
        <v>-0.2</v>
      </c>
      <c r="W5" s="3"/>
      <c r="X5" s="3"/>
      <c r="Y5" s="3"/>
      <c r="Z5" s="3"/>
      <c r="AA5" s="3"/>
      <c r="AB5" s="3"/>
      <c r="AC5" s="3">
        <v>0.4</v>
      </c>
      <c r="AD5" s="3">
        <v>0.4</v>
      </c>
      <c r="AE5" s="3">
        <v>0.4</v>
      </c>
      <c r="AF5" s="3">
        <v>0.4</v>
      </c>
      <c r="AG5" s="3">
        <v>0.4</v>
      </c>
      <c r="AH5" s="3">
        <v>0.4</v>
      </c>
      <c r="AI5" s="3">
        <v>0.4</v>
      </c>
      <c r="AJ5" s="3">
        <v>0.4</v>
      </c>
      <c r="AK5" s="3">
        <v>0.4</v>
      </c>
      <c r="AL5" s="3">
        <v>0.4</v>
      </c>
      <c r="AM5" s="3"/>
      <c r="AN5" s="3"/>
      <c r="AO5" s="3">
        <f>AD5</f>
        <v>0.4</v>
      </c>
      <c r="AP5" s="3"/>
      <c r="AQ5" s="3"/>
      <c r="AR5" s="3"/>
      <c r="AS5" s="3"/>
      <c r="AT5" s="15">
        <v>0.525</v>
      </c>
      <c r="AU5" s="16">
        <v>60</v>
      </c>
      <c r="AV5" s="17">
        <f>90.1+132.9+105.4+15.9*6</f>
        <v>423.8</v>
      </c>
      <c r="AW5" s="17">
        <f>89.6+115.4+52.7</f>
        <v>257.7</v>
      </c>
      <c r="AX5" s="17">
        <v>2</v>
      </c>
      <c r="AY5" s="17">
        <f>49.17+65.84+33.51</f>
        <v>148.52</v>
      </c>
      <c r="AZ5" s="17">
        <f>22.385+28.875+13.1725</f>
        <v>64.4325</v>
      </c>
      <c r="BA5" s="21"/>
      <c r="BB5" s="21"/>
      <c r="BC5" s="21"/>
      <c r="BD5" s="21"/>
      <c r="BE5" s="21"/>
      <c r="BF5" s="24">
        <f>105.4+15.9*6</f>
        <v>200.8</v>
      </c>
      <c r="BG5" s="24">
        <f>52.7</f>
        <v>52.7</v>
      </c>
      <c r="BH5" s="24">
        <v>0.77</v>
      </c>
      <c r="BI5" s="24">
        <f>33.51</f>
        <v>33.51</v>
      </c>
      <c r="BJ5" s="24">
        <f>13.1725</f>
        <v>13.1725</v>
      </c>
      <c r="BK5" s="25">
        <f>162.3+166.6+189.6+162.3</f>
        <v>680.8</v>
      </c>
      <c r="BL5" s="25">
        <f>66+45.9+49.5+66</f>
        <v>227.4</v>
      </c>
      <c r="BM5" s="25">
        <v>2</v>
      </c>
      <c r="BN5" s="25">
        <f>41.97+29.16+31.47</f>
        <v>102.6</v>
      </c>
      <c r="BO5" s="25">
        <f>16.5+11.4675+12.375+16.5</f>
        <v>56.8425</v>
      </c>
      <c r="BP5" s="27"/>
      <c r="BQ5" s="27"/>
      <c r="BR5" s="27"/>
      <c r="BS5" s="27"/>
      <c r="BT5" s="27"/>
      <c r="BU5" s="31">
        <v>84.3</v>
      </c>
      <c r="BV5" s="31">
        <v>84.3</v>
      </c>
      <c r="BW5" s="31"/>
      <c r="BX5" s="31">
        <v>53.64</v>
      </c>
      <c r="BY5" s="31">
        <v>21.0925</v>
      </c>
      <c r="BZ5" s="32"/>
      <c r="CA5" s="32"/>
      <c r="CB5" s="32"/>
      <c r="CC5" s="32"/>
      <c r="CD5" s="32"/>
      <c r="CE5" s="22">
        <v>449.3</v>
      </c>
      <c r="CF5" s="22">
        <v>449</v>
      </c>
      <c r="CG5" s="22">
        <v>1</v>
      </c>
      <c r="CH5" s="22">
        <v>319.11</v>
      </c>
      <c r="CI5" s="22">
        <f>164.78</f>
        <v>164.78</v>
      </c>
      <c r="CJ5" s="34"/>
      <c r="CK5" s="34"/>
      <c r="CL5" s="34"/>
      <c r="CM5" s="34"/>
      <c r="CN5" s="34"/>
      <c r="CO5" s="37">
        <v>200.2</v>
      </c>
      <c r="CP5" s="37">
        <f>247.6+185.9</f>
        <v>433.5</v>
      </c>
      <c r="CQ5" s="37"/>
      <c r="CR5" s="38">
        <v>175.49</v>
      </c>
      <c r="CS5" s="37">
        <v>87.6975</v>
      </c>
      <c r="CT5" s="41">
        <v>517.6</v>
      </c>
      <c r="CU5" s="41">
        <v>0</v>
      </c>
      <c r="CV5" s="41">
        <v>2</v>
      </c>
      <c r="CW5" s="41">
        <v>256.33</v>
      </c>
      <c r="CX5" s="41">
        <v>228.7175</v>
      </c>
      <c r="CY5" s="42">
        <v>1953.9</v>
      </c>
      <c r="CZ5" s="42">
        <v>106.9</v>
      </c>
      <c r="DA5" s="42">
        <v>1</v>
      </c>
      <c r="DB5" s="42">
        <v>61.81</v>
      </c>
      <c r="DC5" s="42"/>
      <c r="DD5" s="44"/>
      <c r="DE5" s="44"/>
      <c r="DF5" s="44"/>
      <c r="DG5" s="44"/>
      <c r="DH5" s="44"/>
      <c r="DI5" s="45"/>
      <c r="DJ5" s="45"/>
      <c r="DK5" s="45"/>
      <c r="DL5" s="45"/>
      <c r="DM5" s="45"/>
      <c r="DN5" s="46" t="s">
        <v>523</v>
      </c>
      <c r="DO5" s="1"/>
      <c r="DP5" s="1"/>
    </row>
    <row r="6" customFormat="1" customHeight="1" spans="1:120">
      <c r="A6" s="1"/>
      <c r="B6" s="1"/>
      <c r="C6" s="1"/>
      <c r="D6" s="1"/>
      <c r="E6" s="1"/>
      <c r="F6" s="1" t="s">
        <v>83</v>
      </c>
      <c r="G6" s="1" t="s">
        <v>69</v>
      </c>
      <c r="H6" s="1" t="s">
        <v>334</v>
      </c>
      <c r="I6" s="1" t="s">
        <v>525</v>
      </c>
      <c r="J6" s="6">
        <f>配装!C6</f>
        <v>0</v>
      </c>
      <c r="K6" s="12">
        <f>835+75</f>
        <v>910</v>
      </c>
      <c r="L6" s="3"/>
      <c r="M6" s="3"/>
      <c r="N6" s="12"/>
      <c r="O6" s="12">
        <v>90</v>
      </c>
      <c r="P6" s="3"/>
      <c r="Q6" s="3"/>
      <c r="R6" s="3">
        <v>0.02</v>
      </c>
      <c r="S6" s="3">
        <f>5%+30%</f>
        <v>0.35</v>
      </c>
      <c r="T6" s="3">
        <f>50%+9.6%*3</f>
        <v>0.788</v>
      </c>
      <c r="U6" s="3"/>
      <c r="V6" s="3">
        <v>-0.07</v>
      </c>
      <c r="W6" s="3"/>
      <c r="X6" s="3"/>
      <c r="Y6" s="3"/>
      <c r="Z6" s="3"/>
      <c r="AA6" s="3"/>
      <c r="AB6" s="3"/>
      <c r="AC6" s="3"/>
      <c r="AD6" s="3">
        <f>80%+IF(J6&gt;=2,40%,0)</f>
        <v>0.8</v>
      </c>
      <c r="AE6" s="3"/>
      <c r="AF6" s="3">
        <f>IF(J6&gt;=2,40%,0)</f>
        <v>0</v>
      </c>
      <c r="AG6" s="3"/>
      <c r="AH6" s="3"/>
      <c r="AI6" s="3"/>
      <c r="AJ6" s="3"/>
      <c r="AK6" s="3"/>
      <c r="AL6" s="3"/>
      <c r="AM6" s="3"/>
      <c r="AN6" s="3"/>
      <c r="AO6" s="3">
        <f>AD6</f>
        <v>0.8</v>
      </c>
      <c r="AP6" s="3"/>
      <c r="AQ6" s="3"/>
      <c r="AR6" s="3"/>
      <c r="AS6" s="3"/>
      <c r="AT6" s="15">
        <v>0.525</v>
      </c>
      <c r="AU6" s="16">
        <v>60</v>
      </c>
      <c r="AV6" s="17">
        <f>126.4+137.3+151+167</f>
        <v>581.7</v>
      </c>
      <c r="AW6" s="17">
        <f>97.3+94.7+124.3+142.9</f>
        <v>459.2</v>
      </c>
      <c r="AX6" s="17">
        <v>3.5</v>
      </c>
      <c r="AY6" s="17">
        <f>104.77+0+59.12+60.05</f>
        <v>223.94</v>
      </c>
      <c r="AZ6" s="17">
        <f>(18.9176+18.4254+24.182+27.071)*1.285</f>
        <v>113.84586</v>
      </c>
      <c r="BA6" s="21">
        <f>136.5+136.5+409.3</f>
        <v>682.3</v>
      </c>
      <c r="BB6" s="21">
        <f>60+60+180</f>
        <v>300</v>
      </c>
      <c r="BC6" s="21">
        <v>2.6</v>
      </c>
      <c r="BD6" s="21">
        <f>54.15+54.15+162.45</f>
        <v>270.75</v>
      </c>
      <c r="BE6" s="21">
        <f>(5.9064+10.914+29.1682)*1.285</f>
        <v>59.095351</v>
      </c>
      <c r="BF6" s="24"/>
      <c r="BG6" s="24"/>
      <c r="BH6" s="24"/>
      <c r="BI6" s="24"/>
      <c r="BJ6" s="24"/>
      <c r="BK6" s="25"/>
      <c r="BL6" s="25"/>
      <c r="BM6" s="25"/>
      <c r="BN6" s="25"/>
      <c r="BO6" s="25"/>
      <c r="BP6" s="27"/>
      <c r="BQ6" s="27"/>
      <c r="BR6" s="27"/>
      <c r="BS6" s="27"/>
      <c r="BT6" s="27"/>
      <c r="BU6" s="31">
        <v>51.4</v>
      </c>
      <c r="BV6" s="31">
        <v>51.4</v>
      </c>
      <c r="BW6" s="31">
        <v>0.5</v>
      </c>
      <c r="BX6" s="31">
        <v>46.7</v>
      </c>
      <c r="BY6" s="31">
        <f>(10.0152)*1.285</f>
        <v>12.869532</v>
      </c>
      <c r="BZ6" s="32"/>
      <c r="CA6" s="32"/>
      <c r="CB6" s="32"/>
      <c r="CC6" s="32"/>
      <c r="CD6" s="32"/>
      <c r="CE6" s="22">
        <v>574.6</v>
      </c>
      <c r="CF6" s="22">
        <v>468.1</v>
      </c>
      <c r="CG6" s="22">
        <v>1.1</v>
      </c>
      <c r="CH6" s="22">
        <v>485.12</v>
      </c>
      <c r="CI6" s="22">
        <f>(135.1838)*1.285</f>
        <v>173.711183</v>
      </c>
      <c r="CJ6" s="34">
        <f>IF(J6&gt;=6,880/2.27171,0)</f>
        <v>0</v>
      </c>
      <c r="CK6" s="34"/>
      <c r="CL6" s="34">
        <v>0</v>
      </c>
      <c r="CM6" s="34"/>
      <c r="CN6" s="34"/>
      <c r="CO6" s="37">
        <v>355.8</v>
      </c>
      <c r="CP6" s="37">
        <v>308.6</v>
      </c>
      <c r="CQ6" s="37">
        <v>2.5</v>
      </c>
      <c r="CR6" s="37">
        <v>301.97</v>
      </c>
      <c r="CS6" s="37">
        <f>(78.4096)*1.285</f>
        <v>100.756336</v>
      </c>
      <c r="CT6" s="41">
        <v>602.1</v>
      </c>
      <c r="CU6" s="41">
        <v>0</v>
      </c>
      <c r="CV6" s="41">
        <v>1.4</v>
      </c>
      <c r="CW6" s="41">
        <v>334.5</v>
      </c>
      <c r="CX6" s="41">
        <f>(171.2214)*1.285</f>
        <v>220.019499</v>
      </c>
      <c r="CY6" s="42">
        <v>1835.9</v>
      </c>
      <c r="CZ6" s="42">
        <v>143</v>
      </c>
      <c r="DA6" s="42">
        <v>1.3</v>
      </c>
      <c r="DB6" s="42">
        <v>103.33</v>
      </c>
      <c r="DC6" s="42"/>
      <c r="DD6" s="44"/>
      <c r="DE6" s="44"/>
      <c r="DF6" s="44"/>
      <c r="DG6" s="44"/>
      <c r="DH6" s="44"/>
      <c r="DI6" s="45"/>
      <c r="DJ6" s="45"/>
      <c r="DK6" s="45"/>
      <c r="DL6" s="45"/>
      <c r="DM6" s="45"/>
      <c r="DN6" s="46" t="s">
        <v>526</v>
      </c>
      <c r="DO6" s="1"/>
      <c r="DP6" s="1"/>
    </row>
    <row r="7" customHeight="1" spans="6:118">
      <c r="F7" s="1" t="s">
        <v>86</v>
      </c>
      <c r="G7" s="1" t="s">
        <v>69</v>
      </c>
      <c r="H7" s="1" t="s">
        <v>328</v>
      </c>
      <c r="I7" s="1" t="s">
        <v>527</v>
      </c>
      <c r="J7" s="6">
        <f>配装!C7</f>
        <v>0</v>
      </c>
      <c r="K7" s="12">
        <f>863+75</f>
        <v>938</v>
      </c>
      <c r="L7" s="3"/>
      <c r="M7" s="3"/>
      <c r="N7" s="12"/>
      <c r="O7" s="12">
        <v>93</v>
      </c>
      <c r="P7" s="3"/>
      <c r="Q7" s="3"/>
      <c r="R7" s="3">
        <v>-0.07</v>
      </c>
      <c r="S7" s="3">
        <f>5%+4.8%*3+IF(J7&gt;=1,12%,0)</f>
        <v>0.194</v>
      </c>
      <c r="T7" s="3">
        <v>0.5</v>
      </c>
      <c r="U7" s="3">
        <f>IF(J7&gt;=6,20%,0)</f>
        <v>0</v>
      </c>
      <c r="V7" s="3">
        <v>-0.06</v>
      </c>
      <c r="W7" s="3"/>
      <c r="X7" s="3"/>
      <c r="Y7" s="3"/>
      <c r="Z7" s="3"/>
      <c r="AA7" s="3"/>
      <c r="AB7" s="3"/>
      <c r="AC7" s="3">
        <v>0.3</v>
      </c>
      <c r="AD7" s="3">
        <v>0.3</v>
      </c>
      <c r="AE7" s="3">
        <f>30%+IF(J7&gt;=6,250%,0)</f>
        <v>0.3</v>
      </c>
      <c r="AF7" s="3">
        <v>0.3</v>
      </c>
      <c r="AG7" s="3">
        <v>0.3</v>
      </c>
      <c r="AH7" s="3">
        <v>0.3</v>
      </c>
      <c r="AI7" s="3">
        <v>0.3</v>
      </c>
      <c r="AJ7" s="3">
        <v>0.3</v>
      </c>
      <c r="AK7" s="3">
        <v>0.3</v>
      </c>
      <c r="AL7" s="3">
        <v>0.3</v>
      </c>
      <c r="AM7" s="3"/>
      <c r="AN7" s="3"/>
      <c r="AO7" s="3">
        <v>0.3</v>
      </c>
      <c r="AP7" s="3"/>
      <c r="AQ7" s="3"/>
      <c r="AR7" s="3"/>
      <c r="AS7" s="3"/>
      <c r="AT7" s="15">
        <v>0.5</v>
      </c>
      <c r="AU7" s="16">
        <v>40</v>
      </c>
      <c r="AV7" s="17">
        <f>99.6+184+496.2</f>
        <v>779.8</v>
      </c>
      <c r="AW7" s="17">
        <f>48.8+90.2+245.5</f>
        <v>384.5</v>
      </c>
      <c r="AX7" s="17">
        <v>3.2</v>
      </c>
      <c r="AY7" s="17">
        <f>44.35+81.99+223.17</f>
        <v>349.51</v>
      </c>
      <c r="AZ7" s="17">
        <f>(9.5016+17.548+47.7648)*1.285</f>
        <v>96.136504</v>
      </c>
      <c r="BA7" s="21">
        <v>496.2</v>
      </c>
      <c r="BB7" s="21">
        <v>245.5</v>
      </c>
      <c r="BC7" s="21">
        <v>1.8</v>
      </c>
      <c r="BD7" s="21">
        <v>223.17</v>
      </c>
      <c r="BE7" s="21">
        <f>47.7648*1.285</f>
        <v>61.377768</v>
      </c>
      <c r="BF7" s="24">
        <f>62.3+158.2</f>
        <v>220.5</v>
      </c>
      <c r="BG7" s="24">
        <f>62.3+121.7</f>
        <v>184</v>
      </c>
      <c r="BH7" s="24">
        <v>2.3</v>
      </c>
      <c r="BI7" s="24">
        <f>56.59+110.56</f>
        <v>167.15</v>
      </c>
      <c r="BJ7" s="24">
        <f>(12.1124+23.6684)*1.285</f>
        <v>45.978328</v>
      </c>
      <c r="BK7" s="25">
        <f>62.3+127.6</f>
        <v>189.9</v>
      </c>
      <c r="BL7" s="25">
        <f>62.3+98.2</f>
        <v>160.5</v>
      </c>
      <c r="BM7" s="25">
        <v>1.5</v>
      </c>
      <c r="BN7" s="25">
        <f>56.59+89.19</f>
        <v>145.78</v>
      </c>
      <c r="BO7" s="25">
        <f>(12.1124+19.0888)*1.285</f>
        <v>40.093542</v>
      </c>
      <c r="BP7" s="27"/>
      <c r="BQ7" s="27"/>
      <c r="BR7" s="27"/>
      <c r="BS7" s="27"/>
      <c r="BT7" s="27"/>
      <c r="BU7" s="31">
        <v>121.1</v>
      </c>
      <c r="BV7" s="31">
        <v>121.1</v>
      </c>
      <c r="BW7" s="31">
        <v>1.5</v>
      </c>
      <c r="BX7" s="31">
        <v>110.03</v>
      </c>
      <c r="BY7" s="31">
        <f>(23.5614)*1.285</f>
        <v>30.276399</v>
      </c>
      <c r="BZ7" s="32"/>
      <c r="CA7" s="32"/>
      <c r="CB7" s="32"/>
      <c r="CC7" s="32"/>
      <c r="CD7" s="32"/>
      <c r="CE7" s="22">
        <f>377.2</f>
        <v>377.2</v>
      </c>
      <c r="CF7" s="22">
        <v>405.1</v>
      </c>
      <c r="CG7" s="22">
        <v>1.6</v>
      </c>
      <c r="CH7" s="22">
        <v>403.73</v>
      </c>
      <c r="CI7" s="22">
        <f>(109.2256)*1.285</f>
        <v>140.354896</v>
      </c>
      <c r="CJ7" s="34">
        <v>553.3</v>
      </c>
      <c r="CK7" s="34">
        <v>371.7</v>
      </c>
      <c r="CL7" s="34">
        <v>1.3</v>
      </c>
      <c r="CM7" s="34">
        <v>372.19</v>
      </c>
      <c r="CN7" s="34">
        <f>(101.7142)*1.285</f>
        <v>130.702747</v>
      </c>
      <c r="CO7" s="37">
        <v>437.9</v>
      </c>
      <c r="CP7" s="37">
        <f>271.3+384.8</f>
        <v>656.1</v>
      </c>
      <c r="CQ7" s="37">
        <v>1.9</v>
      </c>
      <c r="CR7" s="37">
        <v>373.92</v>
      </c>
      <c r="CS7" s="37">
        <f>(95.5296)*1.285</f>
        <v>122.755536</v>
      </c>
      <c r="CT7" s="41">
        <v>794.6</v>
      </c>
      <c r="CU7" s="41">
        <v>0</v>
      </c>
      <c r="CV7" s="41">
        <v>3.2</v>
      </c>
      <c r="CW7" s="41">
        <v>522.83</v>
      </c>
      <c r="CX7" s="41">
        <f>(211.5176)*1.285</f>
        <v>271.800116</v>
      </c>
      <c r="CY7" s="42">
        <v>1890.8</v>
      </c>
      <c r="CZ7" s="42">
        <v>185.2</v>
      </c>
      <c r="DA7" s="42">
        <v>1.6</v>
      </c>
      <c r="DB7" s="42">
        <v>168.33</v>
      </c>
      <c r="DC7" s="42"/>
      <c r="DD7" s="44"/>
      <c r="DE7" s="44"/>
      <c r="DF7" s="44"/>
      <c r="DG7" s="44"/>
      <c r="DH7" s="44"/>
      <c r="DI7" s="45"/>
      <c r="DJ7" s="45"/>
      <c r="DK7" s="45"/>
      <c r="DL7" s="45"/>
      <c r="DM7" s="45"/>
      <c r="DN7" s="46" t="s">
        <v>528</v>
      </c>
    </row>
    <row r="8" customHeight="1" spans="6:118">
      <c r="F8" s="1" t="s">
        <v>91</v>
      </c>
      <c r="G8" s="1" t="s">
        <v>69</v>
      </c>
      <c r="H8" s="1" t="s">
        <v>320</v>
      </c>
      <c r="I8" s="1" t="s">
        <v>529</v>
      </c>
      <c r="J8" s="6">
        <f>配装!C8</f>
        <v>0</v>
      </c>
      <c r="K8" s="12">
        <v>908</v>
      </c>
      <c r="L8" s="3"/>
      <c r="M8" s="3"/>
      <c r="N8" s="12"/>
      <c r="O8" s="12">
        <v>92</v>
      </c>
      <c r="P8" s="3"/>
      <c r="Q8" s="3"/>
      <c r="R8" s="3">
        <v>-0.04</v>
      </c>
      <c r="S8" s="3">
        <f t="shared" ref="S7:S11" si="5">5%+4.8%*3</f>
        <v>0.194</v>
      </c>
      <c r="T8" s="3">
        <v>0.5</v>
      </c>
      <c r="U8" s="3"/>
      <c r="V8" s="3">
        <v>-0.03</v>
      </c>
      <c r="W8" s="3"/>
      <c r="X8" s="3"/>
      <c r="Y8" s="3"/>
      <c r="Z8" s="3"/>
      <c r="AA8" s="3"/>
      <c r="AB8" s="3"/>
      <c r="AC8" s="3">
        <f t="shared" ref="AC8:AL8" si="6">60%</f>
        <v>0.6</v>
      </c>
      <c r="AD8" s="3">
        <f t="shared" si="6"/>
        <v>0.6</v>
      </c>
      <c r="AE8" s="3">
        <f t="shared" si="6"/>
        <v>0.6</v>
      </c>
      <c r="AF8" s="3">
        <f t="shared" si="6"/>
        <v>0.6</v>
      </c>
      <c r="AG8" s="3">
        <f t="shared" si="6"/>
        <v>0.6</v>
      </c>
      <c r="AH8" s="3">
        <f t="shared" si="6"/>
        <v>0.6</v>
      </c>
      <c r="AI8" s="3">
        <f t="shared" si="6"/>
        <v>0.6</v>
      </c>
      <c r="AJ8" s="3">
        <f t="shared" si="6"/>
        <v>0.6</v>
      </c>
      <c r="AK8" s="3">
        <f t="shared" si="6"/>
        <v>0.6</v>
      </c>
      <c r="AL8" s="3">
        <f t="shared" si="6"/>
        <v>0.6</v>
      </c>
      <c r="AM8" s="3"/>
      <c r="AN8" s="3"/>
      <c r="AO8" s="3">
        <v>0.6</v>
      </c>
      <c r="AP8" s="3"/>
      <c r="AQ8" s="3"/>
      <c r="AR8" s="3"/>
      <c r="AS8" s="3"/>
      <c r="AT8" s="15">
        <v>0.5</v>
      </c>
      <c r="AU8" s="16">
        <v>40</v>
      </c>
      <c r="AV8" s="17">
        <f>55.2+62.6+72.7+170.2+123.6*5/3</f>
        <v>566.7</v>
      </c>
      <c r="AW8" s="17">
        <f>18+37.1+46.7+103.7+58.9*5/3</f>
        <v>303.666666666667</v>
      </c>
      <c r="AX8" s="17">
        <f>2.8*2/3+3.6/3</f>
        <v>3.06666666666667</v>
      </c>
      <c r="AY8" s="17">
        <f>17.08+35.24+44.4+98.73+56.02*5/3</f>
        <v>288.816666666667</v>
      </c>
      <c r="AZ8" s="17">
        <f>(3.6594+7.5542+9.523+21.1432+12.0054*5/3)*1.285</f>
        <v>79.527108</v>
      </c>
      <c r="BA8" s="21"/>
      <c r="BB8" s="21"/>
      <c r="BC8" s="21"/>
      <c r="BD8" s="21"/>
      <c r="BE8" s="21"/>
      <c r="BF8" s="24">
        <f>55.2+71.8*5/3</f>
        <v>174.866666666667</v>
      </c>
      <c r="BG8" s="24">
        <f>18+58.9*5/3</f>
        <v>116.166666666667</v>
      </c>
      <c r="BH8" s="24">
        <f>1.2*2/3+2.15/3</f>
        <v>1.51666666666667</v>
      </c>
      <c r="BI8" s="24">
        <f>17.08+56.02*5/3</f>
        <v>110.446666666667</v>
      </c>
      <c r="BJ8" s="24">
        <f>(12.0054*5/3)*1.285</f>
        <v>25.711565</v>
      </c>
      <c r="BK8" s="25"/>
      <c r="BL8" s="25"/>
      <c r="BM8" s="25"/>
      <c r="BN8" s="25"/>
      <c r="BO8" s="25"/>
      <c r="BP8" s="27"/>
      <c r="BQ8" s="27"/>
      <c r="BR8" s="27"/>
      <c r="BS8" s="27"/>
      <c r="BT8" s="27"/>
      <c r="BU8" s="31">
        <v>94.5</v>
      </c>
      <c r="BV8" s="31">
        <v>94.5</v>
      </c>
      <c r="BW8" s="31">
        <v>1</v>
      </c>
      <c r="BX8" s="31">
        <v>89.96</v>
      </c>
      <c r="BY8" s="31">
        <f>(19.26)*1.285</f>
        <v>24.7491</v>
      </c>
      <c r="BZ8" s="32"/>
      <c r="CA8" s="32"/>
      <c r="CB8" s="32"/>
      <c r="CC8" s="32"/>
      <c r="CD8" s="32"/>
      <c r="CE8" s="22">
        <v>539.7</v>
      </c>
      <c r="CF8" s="22">
        <v>455.4</v>
      </c>
      <c r="CG8" s="22">
        <v>1.5</v>
      </c>
      <c r="CH8" s="22">
        <v>430.73</v>
      </c>
      <c r="CI8" s="22">
        <f>(115.6456)*1.285</f>
        <v>148.604596</v>
      </c>
      <c r="CJ8" s="34"/>
      <c r="CK8" s="34"/>
      <c r="CL8" s="34"/>
      <c r="CM8" s="34"/>
      <c r="CN8" s="34"/>
      <c r="CO8" s="37">
        <v>300.4</v>
      </c>
      <c r="CP8" s="37">
        <f>238+258.1</f>
        <v>496.1</v>
      </c>
      <c r="CQ8" s="37">
        <v>2.3</v>
      </c>
      <c r="CR8" s="37">
        <v>265.92</v>
      </c>
      <c r="CS8" s="37">
        <f>(69.8496)*1.285</f>
        <v>89.756736</v>
      </c>
      <c r="CT8" s="41">
        <v>536.2</v>
      </c>
      <c r="CU8" s="41">
        <v>0</v>
      </c>
      <c r="CV8" s="41">
        <v>1.7</v>
      </c>
      <c r="CW8" s="41">
        <v>367.86</v>
      </c>
      <c r="CX8" s="41">
        <f>(178.3476)*1.285</f>
        <v>229.176666</v>
      </c>
      <c r="CY8" s="42">
        <v>1571.1</v>
      </c>
      <c r="CZ8" s="42">
        <v>118.1</v>
      </c>
      <c r="DA8" s="42">
        <v>2.1</v>
      </c>
      <c r="DB8" s="42">
        <v>124.96</v>
      </c>
      <c r="DC8" s="42"/>
      <c r="DD8" s="44"/>
      <c r="DE8" s="44"/>
      <c r="DF8" s="44"/>
      <c r="DG8" s="44"/>
      <c r="DH8" s="44"/>
      <c r="DI8" s="45"/>
      <c r="DJ8" s="45"/>
      <c r="DK8" s="45"/>
      <c r="DL8" s="45"/>
      <c r="DM8" s="45"/>
      <c r="DN8" s="46" t="s">
        <v>530</v>
      </c>
    </row>
    <row r="9" customHeight="1" spans="6:118">
      <c r="F9" s="1" t="s">
        <v>95</v>
      </c>
      <c r="G9" s="1" t="s">
        <v>69</v>
      </c>
      <c r="H9" s="1" t="s">
        <v>331</v>
      </c>
      <c r="I9" s="1" t="s">
        <v>520</v>
      </c>
      <c r="J9" s="6">
        <f>配装!C9</f>
        <v>0</v>
      </c>
      <c r="K9" s="12">
        <f>813+75</f>
        <v>888</v>
      </c>
      <c r="L9" s="3"/>
      <c r="M9" s="3"/>
      <c r="N9" s="12"/>
      <c r="O9" s="12">
        <v>93</v>
      </c>
      <c r="P9" s="3"/>
      <c r="Q9" s="3"/>
      <c r="R9" s="3">
        <v>-0.07</v>
      </c>
      <c r="S9" s="3">
        <f t="shared" si="5"/>
        <v>0.194</v>
      </c>
      <c r="T9" s="3">
        <v>0.5</v>
      </c>
      <c r="U9" s="3"/>
      <c r="V9" s="3">
        <v>-0.06</v>
      </c>
      <c r="W9" s="3"/>
      <c r="X9" s="3"/>
      <c r="Y9" s="3"/>
      <c r="Z9" s="3"/>
      <c r="AA9" s="3"/>
      <c r="AB9" s="3"/>
      <c r="AC9" s="3">
        <f>10%+70%+IF(J9&gt;=2,36%,0)</f>
        <v>0.8</v>
      </c>
      <c r="AD9" s="3">
        <f>10%+70%+IF(J9&gt;=2,36%,0)</f>
        <v>0.8</v>
      </c>
      <c r="AE9" s="3">
        <f>10%</f>
        <v>0.1</v>
      </c>
      <c r="AF9" s="3">
        <f>10%+IF(J9&gt;=2,36%,0)</f>
        <v>0.1</v>
      </c>
      <c r="AG9" s="3">
        <f>10%+IF($J9&gt;=2,36%,0)</f>
        <v>0.1</v>
      </c>
      <c r="AH9" s="3">
        <f>10%</f>
        <v>0.1</v>
      </c>
      <c r="AI9" s="3">
        <f>10%</f>
        <v>0.1</v>
      </c>
      <c r="AJ9" s="3">
        <f>10%</f>
        <v>0.1</v>
      </c>
      <c r="AK9" s="3">
        <f>10%</f>
        <v>0.1</v>
      </c>
      <c r="AL9" s="3">
        <f>10%</f>
        <v>0.1</v>
      </c>
      <c r="AM9" s="3"/>
      <c r="AN9" s="3"/>
      <c r="AO9" s="3">
        <f>AD9</f>
        <v>0.8</v>
      </c>
      <c r="AP9" s="3"/>
      <c r="AQ9" s="3"/>
      <c r="AR9" s="3"/>
      <c r="AS9" s="3"/>
      <c r="AT9" s="15">
        <v>0.5</v>
      </c>
      <c r="AU9" s="16">
        <v>80</v>
      </c>
      <c r="AV9" s="17">
        <f>55.1+57.2+132+340.7</f>
        <v>585</v>
      </c>
      <c r="AW9" s="17">
        <f>18+33.6+75.2+192</f>
        <v>318.8</v>
      </c>
      <c r="AX9" s="17">
        <v>3.5</v>
      </c>
      <c r="AY9" s="17">
        <f>17.05+31.91+71.57+182.8</f>
        <v>303.33</v>
      </c>
      <c r="AZ9" s="17">
        <f>(3.6594+6.848+15.3224+39.1406)*1.285</f>
        <v>83.486964</v>
      </c>
      <c r="BA9" s="21">
        <f>55.1+57.2+132+340.7</f>
        <v>585</v>
      </c>
      <c r="BB9" s="21">
        <f>18+33.6+75.2+192</f>
        <v>318.8</v>
      </c>
      <c r="BC9" s="21">
        <v>2.85</v>
      </c>
      <c r="BD9" s="21">
        <f>17.05+31.91+71.57+182.8</f>
        <v>303.33</v>
      </c>
      <c r="BE9" s="21">
        <f>64.9704*1.285</f>
        <v>83.486964</v>
      </c>
      <c r="BF9" s="24"/>
      <c r="BG9" s="24"/>
      <c r="BH9" s="24"/>
      <c r="BI9" s="24"/>
      <c r="BJ9" s="24"/>
      <c r="BK9" s="25"/>
      <c r="BL9" s="25"/>
      <c r="BM9" s="25"/>
      <c r="BN9" s="25"/>
      <c r="BO9" s="25"/>
      <c r="BP9" s="27"/>
      <c r="BQ9" s="27"/>
      <c r="BR9" s="27"/>
      <c r="BS9" s="27"/>
      <c r="BT9" s="27"/>
      <c r="BU9" s="31">
        <v>120.8</v>
      </c>
      <c r="BV9" s="31">
        <v>120.8</v>
      </c>
      <c r="BW9" s="31">
        <v>1.2</v>
      </c>
      <c r="BX9" s="31">
        <v>114.99</v>
      </c>
      <c r="BY9" s="31">
        <f>(24.61)*1.285</f>
        <v>31.62385</v>
      </c>
      <c r="BZ9" s="32"/>
      <c r="CA9" s="32"/>
      <c r="CB9" s="32"/>
      <c r="CC9" s="32"/>
      <c r="CD9" s="32"/>
      <c r="CE9" s="22">
        <v>675</v>
      </c>
      <c r="CF9" s="22">
        <v>543.5</v>
      </c>
      <c r="CG9" s="22">
        <v>1.2</v>
      </c>
      <c r="CH9" s="22">
        <v>580.18</v>
      </c>
      <c r="CI9" s="22">
        <f>(164.3948)*1.285</f>
        <v>211.247318</v>
      </c>
      <c r="CJ9" s="34"/>
      <c r="CK9" s="34"/>
      <c r="CL9" s="34"/>
      <c r="CM9" s="34"/>
      <c r="CN9" s="34"/>
      <c r="CO9" s="37">
        <v>383.7</v>
      </c>
      <c r="CP9" s="37">
        <f>238+335.5</f>
        <v>573.5</v>
      </c>
      <c r="CQ9" s="37">
        <v>2.3</v>
      </c>
      <c r="CR9" s="37">
        <v>342.42</v>
      </c>
      <c r="CS9" s="37">
        <f>(88.0396)*1.285</f>
        <v>113.130886</v>
      </c>
      <c r="CT9" s="41">
        <v>632.5</v>
      </c>
      <c r="CU9" s="41">
        <v>0</v>
      </c>
      <c r="CV9" s="41">
        <v>1.6</v>
      </c>
      <c r="CW9" s="41">
        <v>402.86</v>
      </c>
      <c r="CX9" s="41">
        <f>(185.8376)*1.285</f>
        <v>238.801316</v>
      </c>
      <c r="CY9" s="42">
        <v>2103</v>
      </c>
      <c r="CZ9" s="42">
        <v>285</v>
      </c>
      <c r="DA9" s="42">
        <v>2.2</v>
      </c>
      <c r="DB9" s="42">
        <v>246.7</v>
      </c>
      <c r="DC9" s="42"/>
      <c r="DD9" s="44"/>
      <c r="DE9" s="44"/>
      <c r="DF9" s="44"/>
      <c r="DG9" s="44"/>
      <c r="DH9" s="44"/>
      <c r="DI9" s="45"/>
      <c r="DJ9" s="45"/>
      <c r="DK9" s="45"/>
      <c r="DL9" s="45"/>
      <c r="DM9" s="45"/>
      <c r="DN9" s="46" t="s">
        <v>531</v>
      </c>
    </row>
    <row r="10" customHeight="1" spans="6:118">
      <c r="F10" s="1" t="s">
        <v>98</v>
      </c>
      <c r="G10" s="1" t="s">
        <v>69</v>
      </c>
      <c r="H10" s="1" t="s">
        <v>320</v>
      </c>
      <c r="I10" s="1" t="s">
        <v>527</v>
      </c>
      <c r="J10" s="6">
        <f>配装!C10</f>
        <v>6</v>
      </c>
      <c r="K10" s="12">
        <f>732+75</f>
        <v>807</v>
      </c>
      <c r="L10" s="3"/>
      <c r="M10" s="3"/>
      <c r="N10" s="12"/>
      <c r="O10" s="12">
        <v>93</v>
      </c>
      <c r="P10" s="3"/>
      <c r="Q10" s="3"/>
      <c r="R10" s="3">
        <v>-0.04</v>
      </c>
      <c r="S10" s="3">
        <f>5%</f>
        <v>0.05</v>
      </c>
      <c r="T10" s="3">
        <f>50%+9.6%*3</f>
        <v>0.788</v>
      </c>
      <c r="U10" s="3"/>
      <c r="V10" s="3">
        <v>-0.07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>
        <f>37.5%</f>
        <v>0.375</v>
      </c>
      <c r="AJ10" s="3"/>
      <c r="AK10" s="3"/>
      <c r="AL10" s="3"/>
      <c r="AM10" s="3"/>
      <c r="AN10" s="3"/>
      <c r="AO10" s="3">
        <v>0.375</v>
      </c>
      <c r="AP10" s="3"/>
      <c r="AQ10" s="3"/>
      <c r="AR10" s="3"/>
      <c r="AS10" s="3"/>
      <c r="AT10" s="15">
        <v>0.525</v>
      </c>
      <c r="AU10" s="16">
        <v>80</v>
      </c>
      <c r="BA10" s="22"/>
      <c r="BB10" s="22"/>
      <c r="BC10" s="22"/>
      <c r="BD10" s="22"/>
      <c r="BE10" s="22"/>
      <c r="BF10" s="24"/>
      <c r="BG10" s="24"/>
      <c r="BH10" s="24"/>
      <c r="BI10" s="24"/>
      <c r="BJ10" s="24"/>
      <c r="BK10" s="25"/>
      <c r="BL10" s="25"/>
      <c r="BM10" s="25"/>
      <c r="BN10" s="25"/>
      <c r="BO10" s="25"/>
      <c r="BP10" s="27"/>
      <c r="BQ10" s="27"/>
      <c r="BR10" s="27"/>
      <c r="BS10" s="27"/>
      <c r="BT10" s="27"/>
      <c r="BU10" s="31"/>
      <c r="BV10" s="31"/>
      <c r="BW10" s="31"/>
      <c r="BX10" s="31"/>
      <c r="BY10" s="31"/>
      <c r="BZ10" s="32"/>
      <c r="CA10" s="32"/>
      <c r="CB10" s="32"/>
      <c r="CC10" s="32"/>
      <c r="CD10" s="32"/>
      <c r="CE10" s="22">
        <f>345+1034.8+345</f>
        <v>1724.8</v>
      </c>
      <c r="CF10" s="22">
        <f>206.3+618.8+206.3</f>
        <v>1031.4</v>
      </c>
      <c r="CG10" s="22">
        <v>4.5</v>
      </c>
      <c r="CH10" s="22">
        <f>203.33+610.01+203.33</f>
        <v>1016.67</v>
      </c>
      <c r="CI10" s="22">
        <f>(53.6498+160.9066+53.6498)*1.285</f>
        <v>344.644967</v>
      </c>
      <c r="CL10" s="34"/>
      <c r="CM10" s="34"/>
      <c r="CN10" s="34"/>
      <c r="CO10" s="37">
        <v>547.5</v>
      </c>
      <c r="CP10" s="37">
        <f>246.7+488.6</f>
        <v>735.3</v>
      </c>
      <c r="CQ10" s="37">
        <v>3.5</v>
      </c>
      <c r="CR10" s="37">
        <v>518.01</v>
      </c>
      <c r="CS10" s="37">
        <f>(129.791)*1.285</f>
        <v>166.781435</v>
      </c>
      <c r="CT10" s="41">
        <v>687.3</v>
      </c>
      <c r="CU10" s="41">
        <v>0</v>
      </c>
      <c r="CV10" s="41">
        <v>2.6</v>
      </c>
      <c r="CW10" s="41">
        <v>487.79</v>
      </c>
      <c r="CX10" s="41">
        <f>(204.0062)*1.285</f>
        <v>262.147967</v>
      </c>
      <c r="CY10" s="42">
        <v>2026.5</v>
      </c>
      <c r="CZ10" s="42">
        <v>405</v>
      </c>
      <c r="DA10" s="42">
        <v>2.4</v>
      </c>
      <c r="DB10" s="42">
        <v>406.7</v>
      </c>
      <c r="DC10" s="42"/>
      <c r="DD10" s="44"/>
      <c r="DE10" s="44"/>
      <c r="DF10" s="44"/>
      <c r="DG10" s="44"/>
      <c r="DH10" s="44"/>
      <c r="DI10" s="45"/>
      <c r="DJ10" s="45"/>
      <c r="DK10" s="45"/>
      <c r="DL10" s="45"/>
      <c r="DM10" s="45"/>
      <c r="DN10" s="46" t="s">
        <v>532</v>
      </c>
    </row>
    <row r="11" customHeight="1" spans="6:118">
      <c r="F11" s="1" t="s">
        <v>101</v>
      </c>
      <c r="G11" s="1" t="s">
        <v>69</v>
      </c>
      <c r="H11" s="1" t="s">
        <v>324</v>
      </c>
      <c r="I11" s="1" t="s">
        <v>533</v>
      </c>
      <c r="J11" s="6">
        <f>配装!C11</f>
        <v>6</v>
      </c>
      <c r="K11" s="12">
        <f>716+75</f>
        <v>791</v>
      </c>
      <c r="L11" s="3"/>
      <c r="M11" s="3"/>
      <c r="N11" s="12"/>
      <c r="O11" s="12">
        <v>95</v>
      </c>
      <c r="P11" s="3"/>
      <c r="Q11" s="3"/>
      <c r="R11" s="3">
        <v>-0.1</v>
      </c>
      <c r="S11" s="3">
        <f t="shared" si="5"/>
        <v>0.194</v>
      </c>
      <c r="T11" s="3">
        <v>0.5</v>
      </c>
      <c r="U11" s="3"/>
      <c r="V11" s="3">
        <v>-0.14</v>
      </c>
      <c r="W11" s="3"/>
      <c r="X11" s="3"/>
      <c r="Y11" s="3"/>
      <c r="Z11" s="3"/>
      <c r="AA11" s="3"/>
      <c r="AB11" s="3"/>
      <c r="AC11" s="3">
        <f t="shared" ref="AC11:AE11" si="7">(40%+24%)/2</f>
        <v>0.32</v>
      </c>
      <c r="AD11" s="3">
        <f t="shared" si="7"/>
        <v>0.32</v>
      </c>
      <c r="AE11" s="3">
        <f t="shared" si="7"/>
        <v>0.32</v>
      </c>
      <c r="AF11" s="3">
        <v>0.4</v>
      </c>
      <c r="AG11" s="3">
        <v>0.4</v>
      </c>
      <c r="AH11" s="3">
        <v>0.24</v>
      </c>
      <c r="AI11" s="3">
        <v>0.24</v>
      </c>
      <c r="AJ11" s="3">
        <v>0.4</v>
      </c>
      <c r="AK11" s="3">
        <f>(40%+24%)/2</f>
        <v>0.32</v>
      </c>
      <c r="AL11" s="3">
        <v>0.24</v>
      </c>
      <c r="AM11" s="3"/>
      <c r="AN11" s="3"/>
      <c r="AO11" s="3">
        <v>0.4</v>
      </c>
      <c r="AP11" s="3"/>
      <c r="AQ11" s="3"/>
      <c r="AR11" s="3"/>
      <c r="AS11" s="3"/>
      <c r="AT11" s="15">
        <v>0.5</v>
      </c>
      <c r="AU11" s="16">
        <v>40</v>
      </c>
      <c r="AV11" s="17"/>
      <c r="AW11" s="17"/>
      <c r="AX11" s="17"/>
      <c r="AY11" s="17"/>
      <c r="AZ11" s="17"/>
      <c r="BA11" s="22">
        <f>240.9</f>
        <v>240.9</v>
      </c>
      <c r="BB11" s="22">
        <f>166</f>
        <v>166</v>
      </c>
      <c r="BC11" s="22">
        <v>0.5</v>
      </c>
      <c r="BD11" s="22">
        <v>177.49</v>
      </c>
      <c r="BE11" s="22">
        <f>45.4108*1.285</f>
        <v>58.352878</v>
      </c>
      <c r="BF11" s="22">
        <f>463.4+456.9</f>
        <v>920.3</v>
      </c>
      <c r="BG11" s="22">
        <f>319.4+314.8</f>
        <v>634.2</v>
      </c>
      <c r="BH11" s="22">
        <f>1.9+1.8</f>
        <v>3.7</v>
      </c>
      <c r="BI11" s="22">
        <f>345.73+336.68</f>
        <v>682.41</v>
      </c>
      <c r="BJ11" s="22">
        <f>(88.4462+86.1136)*1.285</f>
        <v>224.309343</v>
      </c>
      <c r="BK11" s="25"/>
      <c r="BL11" s="25"/>
      <c r="BM11" s="25"/>
      <c r="BN11" s="25"/>
      <c r="BO11" s="25"/>
      <c r="BP11" s="27"/>
      <c r="BQ11" s="27"/>
      <c r="BR11" s="27"/>
      <c r="BS11" s="27"/>
      <c r="BT11" s="27"/>
      <c r="BU11" s="31"/>
      <c r="BV11" s="31"/>
      <c r="BW11" s="31"/>
      <c r="BX11" s="31"/>
      <c r="BY11" s="31"/>
      <c r="BZ11" s="32"/>
      <c r="CA11" s="32"/>
      <c r="CB11" s="32"/>
      <c r="CC11" s="32"/>
      <c r="CD11" s="32"/>
      <c r="CE11" s="22">
        <v>195.7</v>
      </c>
      <c r="CF11" s="22">
        <v>195.7</v>
      </c>
      <c r="CG11" s="22">
        <v>0.4</v>
      </c>
      <c r="CH11" s="22">
        <v>195.03</v>
      </c>
      <c r="CI11" s="22">
        <f>(41.7514)*1.285</f>
        <v>53.650549</v>
      </c>
      <c r="CJ11" s="34"/>
      <c r="CK11" s="34"/>
      <c r="CL11" s="34"/>
      <c r="CM11" s="34"/>
      <c r="CN11" s="34"/>
      <c r="CO11" s="37">
        <v>325.8</v>
      </c>
      <c r="CP11" s="37">
        <f>246.7+282.7</f>
        <v>529.4</v>
      </c>
      <c r="CQ11" s="37">
        <v>1.7</v>
      </c>
      <c r="CR11" s="37">
        <v>304.22</v>
      </c>
      <c r="CS11" s="37">
        <f>(78.9446)*1.285</f>
        <v>101.443811</v>
      </c>
      <c r="CT11" s="41">
        <v>635.7</v>
      </c>
      <c r="CU11" s="41">
        <v>0</v>
      </c>
      <c r="CV11" s="41">
        <v>2.3</v>
      </c>
      <c r="CW11" s="41">
        <v>441.13</v>
      </c>
      <c r="CX11" s="41">
        <f>(194.0338)*1.285</f>
        <v>249.333433</v>
      </c>
      <c r="CY11" s="42">
        <v>1807.7</v>
      </c>
      <c r="CZ11" s="42">
        <v>236.7</v>
      </c>
      <c r="DA11" s="42">
        <v>1.6</v>
      </c>
      <c r="DB11" s="42">
        <v>243.36</v>
      </c>
      <c r="DC11" s="42"/>
      <c r="DD11" s="44"/>
      <c r="DE11" s="44"/>
      <c r="DF11" s="44"/>
      <c r="DG11" s="44"/>
      <c r="DH11" s="44"/>
      <c r="DI11" s="45"/>
      <c r="DJ11" s="45"/>
      <c r="DK11" s="45"/>
      <c r="DL11" s="45"/>
      <c r="DM11" s="45"/>
      <c r="DN11" s="46" t="s">
        <v>534</v>
      </c>
    </row>
    <row r="12" customHeight="1" spans="6:119">
      <c r="F12" s="1" t="s">
        <v>29</v>
      </c>
      <c r="G12" s="1" t="s">
        <v>102</v>
      </c>
      <c r="H12" s="1" t="s">
        <v>328</v>
      </c>
      <c r="I12" s="1" t="s">
        <v>524</v>
      </c>
      <c r="J12" s="6">
        <f>配装!C12</f>
        <v>0</v>
      </c>
      <c r="K12" s="12">
        <v>880</v>
      </c>
      <c r="L12" s="3"/>
      <c r="M12" s="3"/>
      <c r="N12" s="12"/>
      <c r="O12" s="12">
        <v>86</v>
      </c>
      <c r="P12" s="3"/>
      <c r="Q12" s="3"/>
      <c r="R12" s="3">
        <v>1.38</v>
      </c>
      <c r="S12" s="3">
        <f>5%+IF($J12&gt;1,15%,0)</f>
        <v>0.05</v>
      </c>
      <c r="T12" s="3">
        <v>0.5</v>
      </c>
      <c r="U12" s="3"/>
      <c r="V12" s="3">
        <v>0.16</v>
      </c>
      <c r="W12" s="3">
        <f>IFERROR(MIN($DO12,80%),0)</f>
        <v>0.8</v>
      </c>
      <c r="X12" s="3">
        <f>IFERROR(MIN($DO12,80%),0)</f>
        <v>0.8</v>
      </c>
      <c r="Y12" s="3">
        <f>IFERROR(MIN($DO12,80%),0)</f>
        <v>0.8</v>
      </c>
      <c r="Z12" s="3">
        <f>IFERROR(MIN($DO12,80%),0)</f>
        <v>0.8</v>
      </c>
      <c r="AA12" s="3"/>
      <c r="AB12" s="3"/>
      <c r="AC12" s="3">
        <f>IF($J12&gt;1,30%,0)</f>
        <v>0</v>
      </c>
      <c r="AD12" s="3">
        <v>0.6</v>
      </c>
      <c r="AE12" s="3">
        <f>60%+IF($J12&gt;5,30%,0)</f>
        <v>0.6</v>
      </c>
      <c r="AF12" s="3"/>
      <c r="AG12" s="3">
        <f>IF($J12&gt;1,30%,0)</f>
        <v>0</v>
      </c>
      <c r="AH12" s="3"/>
      <c r="AI12" s="3"/>
      <c r="AJ12" s="3"/>
      <c r="AK12" s="3"/>
      <c r="AL12" s="3"/>
      <c r="AM12" s="3"/>
      <c r="AN12" s="3">
        <f>IF($J12&gt;3,30%,0)</f>
        <v>0</v>
      </c>
      <c r="AO12" s="3">
        <v>0</v>
      </c>
      <c r="AP12" s="3"/>
      <c r="AQ12" s="3"/>
      <c r="AR12" s="3"/>
      <c r="AS12" s="3"/>
      <c r="AT12" s="15">
        <v>0.5</v>
      </c>
      <c r="AU12" s="16">
        <v>40</v>
      </c>
      <c r="AV12" s="17">
        <f>26.9+29.6+62.8+96.5+129</f>
        <v>344.8</v>
      </c>
      <c r="AW12" s="17">
        <f>13.5+26.9+46.4+82.1+131</f>
        <v>299.9</v>
      </c>
      <c r="AX12" s="17">
        <v>2.85</v>
      </c>
      <c r="AY12" s="17">
        <f>62.9+91.21+129.27</f>
        <v>283.38</v>
      </c>
      <c r="AZ12" s="17">
        <f>3.3825+6.7375+11.605+20.515+32.7525</f>
        <v>74.9925</v>
      </c>
      <c r="BA12" s="21"/>
      <c r="BB12" s="21"/>
      <c r="BC12" s="21"/>
      <c r="BD12" s="21"/>
      <c r="BE12" s="21"/>
      <c r="BF12" s="24">
        <f>IF($J12&gt;5,1.6,1)*2141.1</f>
        <v>2141.1</v>
      </c>
      <c r="BG12" s="24">
        <f>IF($J12&gt;5,1.6,1)*377.8</f>
        <v>377.8</v>
      </c>
      <c r="BH12" s="24">
        <v>3.5</v>
      </c>
      <c r="BI12" s="24">
        <f>IF($J12&gt;5,1.6,1)*343.36</f>
        <v>343.36</v>
      </c>
      <c r="BJ12" s="24">
        <f>94.435</f>
        <v>94.435</v>
      </c>
      <c r="BK12" s="25"/>
      <c r="BL12" s="25"/>
      <c r="BM12" s="25"/>
      <c r="BN12" s="25"/>
      <c r="BO12" s="25"/>
      <c r="BP12" s="27">
        <v>245.9</v>
      </c>
      <c r="BQ12" s="27">
        <v>214.5</v>
      </c>
      <c r="BR12" s="27">
        <v>1.15</v>
      </c>
      <c r="BS12" s="27">
        <v>94.99</v>
      </c>
      <c r="BT12" s="27">
        <v>26.125</v>
      </c>
      <c r="BU12" s="31">
        <v>104.5</v>
      </c>
      <c r="BV12" s="31">
        <v>104.5</v>
      </c>
      <c r="BW12" s="31">
        <v>1</v>
      </c>
      <c r="BX12" s="31">
        <v>94.99</v>
      </c>
      <c r="BY12" s="31">
        <v>26.125</v>
      </c>
      <c r="BZ12" s="32"/>
      <c r="CA12" s="32"/>
      <c r="CB12" s="32"/>
      <c r="CC12" s="32"/>
      <c r="CD12" s="32"/>
      <c r="CE12" s="22">
        <v>393.4</v>
      </c>
      <c r="CF12" s="22">
        <v>321.7</v>
      </c>
      <c r="CG12" s="22">
        <v>1</v>
      </c>
      <c r="CH12" s="35">
        <v>408.27</v>
      </c>
      <c r="CI12" s="22">
        <f>46.53+69.7675</f>
        <v>116.2975</v>
      </c>
      <c r="CJ12" s="34">
        <v>483.2</v>
      </c>
      <c r="CK12" s="34">
        <v>405</v>
      </c>
      <c r="CL12" s="34">
        <v>1.5</v>
      </c>
      <c r="CM12" s="34">
        <v>487.02</v>
      </c>
      <c r="CN12" s="34">
        <f>56.155+84.205</f>
        <v>140.36</v>
      </c>
      <c r="CO12" s="37">
        <v>337.8</v>
      </c>
      <c r="CP12" s="37">
        <f>271.3+291.9</f>
        <v>563.2</v>
      </c>
      <c r="CQ12" s="37">
        <v>2.2</v>
      </c>
      <c r="CR12" s="37">
        <v>286.17</v>
      </c>
      <c r="CS12" s="37">
        <v>95.9475</v>
      </c>
      <c r="CT12" s="41">
        <v>628</v>
      </c>
      <c r="CU12" s="41">
        <v>0</v>
      </c>
      <c r="CV12" s="41">
        <v>1.8</v>
      </c>
      <c r="CW12" s="41">
        <v>371.2</v>
      </c>
      <c r="CX12" s="41">
        <f>69.0525*2+92.0425</f>
        <v>230.1475</v>
      </c>
      <c r="CY12" s="42">
        <v>2388</v>
      </c>
      <c r="CZ12" s="42">
        <v>370.4</v>
      </c>
      <c r="DA12" s="42">
        <v>3.5</v>
      </c>
      <c r="DB12" s="42">
        <v>1137.16</v>
      </c>
      <c r="DC12" s="42"/>
      <c r="DD12" s="44"/>
      <c r="DE12" s="44"/>
      <c r="DF12" s="44"/>
      <c r="DG12" s="44"/>
      <c r="DH12" s="44"/>
      <c r="DI12" s="45">
        <f>1500/1.909</f>
        <v>785.751702462022</v>
      </c>
      <c r="DJ12" s="45">
        <v>0</v>
      </c>
      <c r="DK12" s="45">
        <v>0</v>
      </c>
      <c r="DL12" s="45">
        <v>0</v>
      </c>
      <c r="DM12" s="45">
        <v>0</v>
      </c>
      <c r="DN12" s="46" t="s">
        <v>535</v>
      </c>
      <c r="DO12" s="1">
        <f>IFERROR(INDEX(云配队!$B$6:$B$8,MATCH("雅",云配队!$F$6:$F$8,0)),0)</f>
        <v>0.89</v>
      </c>
    </row>
    <row r="13" customHeight="1" spans="6:119">
      <c r="F13" s="1" t="s">
        <v>31</v>
      </c>
      <c r="G13" s="1" t="s">
        <v>102</v>
      </c>
      <c r="H13" s="1" t="s">
        <v>334</v>
      </c>
      <c r="I13" s="1" t="s">
        <v>536</v>
      </c>
      <c r="J13" s="6">
        <f>配装!C14</f>
        <v>0</v>
      </c>
      <c r="K13" s="12">
        <v>880</v>
      </c>
      <c r="L13" s="3"/>
      <c r="M13" s="3"/>
      <c r="N13" s="12"/>
      <c r="O13" s="12">
        <v>86</v>
      </c>
      <c r="P13" s="3"/>
      <c r="Q13" s="3"/>
      <c r="R13" s="3">
        <v>0.18</v>
      </c>
      <c r="S13" s="3">
        <v>0.05</v>
      </c>
      <c r="T13" s="3">
        <v>0.5</v>
      </c>
      <c r="U13" s="3"/>
      <c r="V13" s="3">
        <v>0.44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>
        <v>0</v>
      </c>
      <c r="AP13" s="3"/>
      <c r="AQ13" s="3"/>
      <c r="AR13" s="3"/>
      <c r="AS13" s="3"/>
      <c r="AT13" s="18">
        <v>0.5</v>
      </c>
      <c r="AU13" s="16">
        <v>60</v>
      </c>
      <c r="AV13" s="17">
        <v>47.8</v>
      </c>
      <c r="AW13" s="17">
        <v>37.2</v>
      </c>
      <c r="AX13" s="17">
        <v>0.6</v>
      </c>
      <c r="AY13" s="17">
        <v>33.75</v>
      </c>
      <c r="AZ13" s="17">
        <v>9.295</v>
      </c>
      <c r="BA13" s="21">
        <v>80.2</v>
      </c>
      <c r="BB13" s="21">
        <v>62.4</v>
      </c>
      <c r="BC13" s="21">
        <v>0</v>
      </c>
      <c r="BD13" s="21">
        <v>56.65</v>
      </c>
      <c r="BE13" s="21">
        <v>15.5925</v>
      </c>
      <c r="BF13" s="24">
        <v>220</v>
      </c>
      <c r="BG13" s="24">
        <v>0</v>
      </c>
      <c r="BH13" s="24">
        <v>0</v>
      </c>
      <c r="BI13" s="24">
        <v>126</v>
      </c>
      <c r="BJ13" s="24">
        <v>0</v>
      </c>
      <c r="BK13" s="25"/>
      <c r="BL13" s="25"/>
      <c r="BM13" s="25"/>
      <c r="BN13" s="25"/>
      <c r="BO13" s="25"/>
      <c r="BP13" s="27"/>
      <c r="BQ13" s="27"/>
      <c r="BR13" s="27"/>
      <c r="BS13" s="28"/>
      <c r="BT13" s="27"/>
      <c r="BU13" s="31">
        <v>97.3</v>
      </c>
      <c r="BV13" s="31">
        <v>48.7</v>
      </c>
      <c r="BW13" s="31">
        <v>0.6</v>
      </c>
      <c r="BX13" s="31">
        <v>35.34</v>
      </c>
      <c r="BY13" s="31">
        <v>12.155</v>
      </c>
      <c r="BZ13" s="32"/>
      <c r="CA13" s="32"/>
      <c r="CB13" s="32"/>
      <c r="CC13" s="32"/>
      <c r="CD13" s="32"/>
      <c r="CE13" s="22">
        <v>592.6</v>
      </c>
      <c r="CF13" s="22">
        <v>484.8</v>
      </c>
      <c r="CG13" s="22">
        <v>1.6</v>
      </c>
      <c r="CH13" s="22">
        <v>352.56</v>
      </c>
      <c r="CI13" s="22">
        <v>175.12</v>
      </c>
      <c r="CJ13" s="34"/>
      <c r="CK13" s="34"/>
      <c r="CL13" s="34"/>
      <c r="CM13" s="34"/>
      <c r="CN13" s="34"/>
      <c r="CO13" s="37">
        <v>373.9</v>
      </c>
      <c r="CP13" s="37">
        <f>271.3+325.3</f>
        <v>596.6</v>
      </c>
      <c r="CQ13" s="37"/>
      <c r="CR13" s="37">
        <v>236.56</v>
      </c>
      <c r="CS13" s="37">
        <v>105.6</v>
      </c>
      <c r="CT13" s="41">
        <v>658.9</v>
      </c>
      <c r="CU13" s="41">
        <v>0</v>
      </c>
      <c r="CV13" s="41">
        <v>1.8</v>
      </c>
      <c r="CW13" s="41">
        <v>319.57</v>
      </c>
      <c r="CX13" s="43">
        <v>237.875</v>
      </c>
      <c r="CY13" s="42">
        <v>1686.8</v>
      </c>
      <c r="CZ13" s="42">
        <v>249.4</v>
      </c>
      <c r="DA13" s="42">
        <v>2</v>
      </c>
      <c r="DB13" s="42">
        <v>808.56</v>
      </c>
      <c r="DC13" s="42"/>
      <c r="DD13" s="44"/>
      <c r="DE13" s="44"/>
      <c r="DF13" s="44"/>
      <c r="DG13" s="44"/>
      <c r="DH13" s="44"/>
      <c r="DI13" s="45">
        <f>55/1.909</f>
        <v>28.8108957569408</v>
      </c>
      <c r="DJ13" s="45">
        <v>0</v>
      </c>
      <c r="DK13" s="45">
        <v>0</v>
      </c>
      <c r="DL13" s="45">
        <v>0</v>
      </c>
      <c r="DM13" s="45">
        <v>0</v>
      </c>
      <c r="DN13" s="46" t="s">
        <v>537</v>
      </c>
      <c r="DO13" s="1">
        <f>IFERROR(INDEX(云配队!$E$6:$E$8,MATCH("薇薇安",云配队!$F$6:$F$8,0)),0)</f>
        <v>585</v>
      </c>
    </row>
    <row r="14" customHeight="1" spans="6:118">
      <c r="F14" s="1" t="s">
        <v>111</v>
      </c>
      <c r="G14" s="1" t="s">
        <v>102</v>
      </c>
      <c r="H14" s="1" t="s">
        <v>324</v>
      </c>
      <c r="I14" s="1" t="s">
        <v>524</v>
      </c>
      <c r="J14" s="6">
        <f>配装!C14</f>
        <v>0</v>
      </c>
      <c r="K14" s="12">
        <v>872</v>
      </c>
      <c r="L14" s="3"/>
      <c r="M14" s="3"/>
      <c r="N14" s="12"/>
      <c r="O14" s="12">
        <v>86</v>
      </c>
      <c r="P14" s="3"/>
      <c r="Q14" s="3"/>
      <c r="R14" s="3">
        <f>14%+IF($J14&gt;0,80%,0)</f>
        <v>0.14</v>
      </c>
      <c r="S14" s="3">
        <v>0.05</v>
      </c>
      <c r="T14" s="3">
        <v>0.5</v>
      </c>
      <c r="U14" s="3">
        <v>0.1</v>
      </c>
      <c r="V14" s="3">
        <f>12%+36%</f>
        <v>0.48</v>
      </c>
      <c r="W14" s="3">
        <v>0.45</v>
      </c>
      <c r="X14" s="3"/>
      <c r="Y14" s="3"/>
      <c r="Z14" s="3"/>
      <c r="AA14" s="3"/>
      <c r="AB14" s="3"/>
      <c r="AC14" s="3">
        <v>0.3</v>
      </c>
      <c r="AD14" s="3">
        <v>0.3</v>
      </c>
      <c r="AE14" s="3">
        <v>0.3</v>
      </c>
      <c r="AF14" s="3">
        <v>0.3</v>
      </c>
      <c r="AG14" s="3">
        <v>0.3</v>
      </c>
      <c r="AH14" s="3">
        <v>0.3</v>
      </c>
      <c r="AI14" s="3">
        <f>30%+IF($J14&gt;5,20%,0)</f>
        <v>0.3</v>
      </c>
      <c r="AJ14" s="3">
        <v>0.3</v>
      </c>
      <c r="AK14" s="3">
        <v>0.3</v>
      </c>
      <c r="AL14" s="3">
        <v>0.3</v>
      </c>
      <c r="AM14" s="3"/>
      <c r="AN14" s="3"/>
      <c r="AO14" s="3">
        <f>AI14</f>
        <v>0.3</v>
      </c>
      <c r="AP14" s="3"/>
      <c r="AQ14" s="3"/>
      <c r="AR14" s="3"/>
      <c r="AS14" s="3"/>
      <c r="AT14" s="15">
        <v>0.5</v>
      </c>
      <c r="AU14" s="16">
        <v>40</v>
      </c>
      <c r="AV14" s="17">
        <f>113.1+126.6+236.9</f>
        <v>476.6</v>
      </c>
      <c r="AW14" s="17">
        <f>69.4+77.6+145.2</f>
        <v>292.2</v>
      </c>
      <c r="AX14" s="17">
        <v>3.2</v>
      </c>
      <c r="AY14" s="17">
        <f>79.91+89.42+167.35</f>
        <v>336.68</v>
      </c>
      <c r="AZ14" s="17">
        <f>(13.5034+15.1084+28.248)*1.285</f>
        <v>73.064843</v>
      </c>
      <c r="BA14" s="21">
        <f>72.8+107.7+271.8</f>
        <v>452.3</v>
      </c>
      <c r="BB14" s="21">
        <f>44.6+66.1+166.7</f>
        <v>277.4</v>
      </c>
      <c r="BC14" s="21">
        <v>2.6</v>
      </c>
      <c r="BD14" s="21">
        <f>51.38+76.07+192.04</f>
        <v>319.49</v>
      </c>
      <c r="BE14" s="21">
        <f>(8.6884+12.8614+32.421)*1.285</f>
        <v>69.352478</v>
      </c>
      <c r="BF14" s="24"/>
      <c r="BG14" s="24"/>
      <c r="BH14" s="24"/>
      <c r="BI14" s="24"/>
      <c r="BJ14" s="24"/>
      <c r="BK14" s="25"/>
      <c r="BL14" s="25"/>
      <c r="BM14" s="25"/>
      <c r="BN14" s="25"/>
      <c r="BO14" s="25"/>
      <c r="BP14" s="27">
        <v>231.6</v>
      </c>
      <c r="BQ14" s="27">
        <v>183.2</v>
      </c>
      <c r="BR14" s="27">
        <v>1</v>
      </c>
      <c r="BS14" s="28">
        <v>76.52</v>
      </c>
      <c r="BT14" s="27">
        <f>(16.3924)*1.285</f>
        <v>21.064234</v>
      </c>
      <c r="BU14" s="31">
        <v>93.6</v>
      </c>
      <c r="BV14" s="31">
        <v>84.2</v>
      </c>
      <c r="BW14" s="31">
        <v>0.8</v>
      </c>
      <c r="BX14" s="31">
        <v>76.52</v>
      </c>
      <c r="BY14" s="31">
        <f>(16.3924)*1.285</f>
        <v>21.064234</v>
      </c>
      <c r="BZ14" s="32">
        <v>117.4</v>
      </c>
      <c r="CA14" s="32">
        <v>105.7</v>
      </c>
      <c r="CB14" s="32">
        <v>0.4</v>
      </c>
      <c r="CC14" s="32">
        <v>96</v>
      </c>
      <c r="CD14" s="32">
        <f>(20.5654)*1.285</f>
        <v>26.426539</v>
      </c>
      <c r="CE14" s="22">
        <f>163.8+377.8</f>
        <v>541.6</v>
      </c>
      <c r="CF14" s="22">
        <f>127.1+109.6</f>
        <v>236.7</v>
      </c>
      <c r="CG14" s="22">
        <v>1.3</v>
      </c>
      <c r="CH14" s="22">
        <f>143.5*IF($J14&gt;1,115.36%,1)+268.54</f>
        <v>412.04</v>
      </c>
      <c r="CI14" s="22">
        <f>(32.635+59.4064)*1.285</f>
        <v>118.273199</v>
      </c>
      <c r="CJ14" s="34">
        <f>163.8*3+377.8</f>
        <v>869.2</v>
      </c>
      <c r="CK14" s="34">
        <f>127.1*3+109.6</f>
        <v>490.9</v>
      </c>
      <c r="CL14" s="34">
        <v>2.6</v>
      </c>
      <c r="CM14" s="34">
        <f>143.5*3*IF($J14&gt;1,115.36%,1)+268.54</f>
        <v>699.04</v>
      </c>
      <c r="CN14" s="34">
        <f>(32.635*3+59.4064)*1.285</f>
        <v>202.145149</v>
      </c>
      <c r="CO14" s="37">
        <v>407.1</v>
      </c>
      <c r="CP14" s="37">
        <f>244.2+320.6</f>
        <v>564.8</v>
      </c>
      <c r="CQ14" s="37">
        <v>3</v>
      </c>
      <c r="CR14" s="37">
        <v>312.23</v>
      </c>
      <c r="CS14" s="37">
        <f>(80.2072)*1.285</f>
        <v>103.066252</v>
      </c>
      <c r="CT14" s="41">
        <v>593.1</v>
      </c>
      <c r="CU14" s="41">
        <v>0</v>
      </c>
      <c r="CV14" s="41">
        <v>2.2</v>
      </c>
      <c r="CW14" s="41">
        <v>359.58</v>
      </c>
      <c r="CX14" s="43">
        <f>(166.6204)*1.285</f>
        <v>214.107214</v>
      </c>
      <c r="CY14" s="42">
        <v>1511.8</v>
      </c>
      <c r="CZ14" s="42">
        <v>97.5</v>
      </c>
      <c r="DA14" s="42">
        <v>2.5</v>
      </c>
      <c r="DB14" s="42">
        <v>904.39</v>
      </c>
      <c r="DC14" s="42"/>
      <c r="DD14" s="44"/>
      <c r="DE14" s="44"/>
      <c r="DF14" s="44"/>
      <c r="DG14" s="44"/>
      <c r="DH14" s="44"/>
      <c r="DI14" s="45"/>
      <c r="DJ14" s="45"/>
      <c r="DK14" s="45"/>
      <c r="DL14" s="45"/>
      <c r="DM14" s="45"/>
      <c r="DN14" s="46" t="s">
        <v>538</v>
      </c>
    </row>
    <row r="15" customHeight="1" spans="6:118">
      <c r="F15" s="1" t="s">
        <v>114</v>
      </c>
      <c r="G15" s="1" t="s">
        <v>102</v>
      </c>
      <c r="H15" s="1" t="s">
        <v>331</v>
      </c>
      <c r="I15" s="1" t="s">
        <v>539</v>
      </c>
      <c r="J15" s="6">
        <f>配装!C15</f>
        <v>0</v>
      </c>
      <c r="K15" s="12">
        <v>863</v>
      </c>
      <c r="L15" s="3"/>
      <c r="M15" s="3"/>
      <c r="N15" s="12"/>
      <c r="O15" s="12">
        <v>83</v>
      </c>
      <c r="P15" s="3"/>
      <c r="Q15" s="3"/>
      <c r="R15" s="3">
        <v>0.2</v>
      </c>
      <c r="S15" s="3">
        <f t="shared" ref="S15:S19" si="8">5%</f>
        <v>0.05</v>
      </c>
      <c r="T15" s="3">
        <v>0.5</v>
      </c>
      <c r="U15" s="3"/>
      <c r="V15" s="3">
        <v>0.18</v>
      </c>
      <c r="W15" s="3"/>
      <c r="X15" s="3">
        <v>0.65</v>
      </c>
      <c r="Y15" s="3">
        <f>65%+IF(J15&gt;=1,25%,0)</f>
        <v>0.65</v>
      </c>
      <c r="Z15" s="3"/>
      <c r="AA15" s="3">
        <v>0.36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>
        <v>0.3</v>
      </c>
      <c r="AO15" s="3">
        <v>0.3</v>
      </c>
      <c r="AP15" s="3"/>
      <c r="AQ15" s="3"/>
      <c r="AR15" s="3"/>
      <c r="AS15" s="3"/>
      <c r="AT15" s="15">
        <v>0.525</v>
      </c>
      <c r="AU15" s="19" t="s">
        <v>540</v>
      </c>
      <c r="AV15" s="17">
        <f>44.8+43.5+71.7+66.6+96.3</f>
        <v>322.9</v>
      </c>
      <c r="AW15" s="17">
        <f>18.7+30.8+47.8+30.4+52</f>
        <v>179.7</v>
      </c>
      <c r="AX15" s="17">
        <v>3.5</v>
      </c>
      <c r="AY15" s="17">
        <f>16.94+43.37+27.54+47.19</f>
        <v>135.04</v>
      </c>
      <c r="AZ15" s="17">
        <f>(3.638+5.992+9.2876+5.9064+10.1008)*1.285</f>
        <v>44.878368</v>
      </c>
      <c r="BA15" s="21"/>
      <c r="BB15" s="21"/>
      <c r="BC15" s="21"/>
      <c r="BD15" s="21"/>
      <c r="BE15" s="21"/>
      <c r="BF15" s="24">
        <f>125.4+232.8</f>
        <v>358.2</v>
      </c>
      <c r="BG15" s="24">
        <f>96.5+179.1</f>
        <v>275.6</v>
      </c>
      <c r="BH15" s="24">
        <v>1.9</v>
      </c>
      <c r="BI15" s="24">
        <f>35.98+171.11</f>
        <v>207.09</v>
      </c>
      <c r="BJ15" s="24">
        <f>(18.7678+34.8392)*1.285</f>
        <v>68.884995</v>
      </c>
      <c r="BK15" s="25">
        <v>67.9</v>
      </c>
      <c r="BL15" s="25">
        <v>34</v>
      </c>
      <c r="BM15" s="25">
        <v>0.8</v>
      </c>
      <c r="BN15" s="25">
        <v>30.83</v>
      </c>
      <c r="BO15" s="25">
        <f>(6.6126)*1.285</f>
        <v>8.497191</v>
      </c>
      <c r="BP15" s="27"/>
      <c r="BQ15" s="27"/>
      <c r="BR15" s="27"/>
      <c r="BS15" s="27"/>
      <c r="BT15" s="27"/>
      <c r="BU15" s="31">
        <v>84.4</v>
      </c>
      <c r="BV15" s="31">
        <v>84.4</v>
      </c>
      <c r="BW15" s="31">
        <v>0.6</v>
      </c>
      <c r="BX15" s="31">
        <v>76.66</v>
      </c>
      <c r="BY15" s="31">
        <f>(16.4138)*1.285</f>
        <v>21.091733</v>
      </c>
      <c r="BZ15" s="32">
        <f>543.8/2.5</f>
        <v>217.52</v>
      </c>
      <c r="CA15" s="32">
        <f>378.6/2.5</f>
        <v>151.44</v>
      </c>
      <c r="CB15" s="32">
        <v>1</v>
      </c>
      <c r="CC15" s="32">
        <f>411.1/2.5</f>
        <v>164.44</v>
      </c>
      <c r="CD15" s="32">
        <f>(106.4222/2.5)*1.285</f>
        <v>54.7010108</v>
      </c>
      <c r="CE15" s="22">
        <f>958.1/2</f>
        <v>479.05</v>
      </c>
      <c r="CF15" s="22">
        <f>585.7/2</f>
        <v>292.85</v>
      </c>
      <c r="CG15" s="22">
        <v>1</v>
      </c>
      <c r="CH15" s="22">
        <f>530.24/2</f>
        <v>265.12</v>
      </c>
      <c r="CI15" s="22">
        <f>(143.166/2)*1.285</f>
        <v>91.984155</v>
      </c>
      <c r="CJ15" s="34">
        <v>287.1</v>
      </c>
      <c r="CK15" s="34">
        <v>207.8</v>
      </c>
      <c r="CL15" s="34">
        <v>0.8</v>
      </c>
      <c r="CM15" s="34">
        <v>183.65</v>
      </c>
      <c r="CN15" s="34">
        <f>(46.973)*1.285</f>
        <v>60.360305</v>
      </c>
      <c r="CO15" s="37">
        <v>327.6</v>
      </c>
      <c r="CP15" s="37">
        <f>271.3+282.4</f>
        <v>553.7</v>
      </c>
      <c r="CQ15" s="37">
        <v>2.2</v>
      </c>
      <c r="CR15" s="37">
        <v>277.22</v>
      </c>
      <c r="CS15" s="37">
        <f>(72.5246)*1.285</f>
        <v>93.194111</v>
      </c>
      <c r="CT15" s="41">
        <v>680.9</v>
      </c>
      <c r="CU15" s="41">
        <v>0</v>
      </c>
      <c r="CV15" s="41">
        <v>1.6</v>
      </c>
      <c r="CW15" s="41">
        <v>1002.96</v>
      </c>
      <c r="CX15" s="41">
        <f>(189.39)*1.285</f>
        <v>243.36615</v>
      </c>
      <c r="CY15" s="42">
        <v>2012.2</v>
      </c>
      <c r="CZ15" s="42">
        <v>106.4</v>
      </c>
      <c r="DA15" s="42">
        <v>0.7</v>
      </c>
      <c r="DB15" s="42">
        <v>861.16</v>
      </c>
      <c r="DC15" s="42"/>
      <c r="DD15" s="44"/>
      <c r="DE15" s="44"/>
      <c r="DF15" s="44"/>
      <c r="DG15" s="44"/>
      <c r="DH15" s="44"/>
      <c r="DI15" s="45">
        <f>(350+IF(J15&gt;=1,100,0))/1.909</f>
        <v>183.342063907805</v>
      </c>
      <c r="DJ15" s="45">
        <v>0</v>
      </c>
      <c r="DK15" s="45">
        <v>0</v>
      </c>
      <c r="DL15" s="45">
        <f>60</f>
        <v>60</v>
      </c>
      <c r="DM15" s="45">
        <v>0</v>
      </c>
      <c r="DN15" s="46" t="s">
        <v>541</v>
      </c>
    </row>
    <row r="16" customHeight="1" spans="6:118">
      <c r="F16" s="1" t="s">
        <v>118</v>
      </c>
      <c r="G16" s="1" t="s">
        <v>102</v>
      </c>
      <c r="H16" s="1" t="s">
        <v>320</v>
      </c>
      <c r="I16" s="1" t="s">
        <v>525</v>
      </c>
      <c r="J16" s="6">
        <f>配装!C16</f>
        <v>0</v>
      </c>
      <c r="K16" s="12">
        <f>750+75</f>
        <v>825</v>
      </c>
      <c r="L16" s="3"/>
      <c r="M16" s="3"/>
      <c r="N16" s="12"/>
      <c r="O16" s="12">
        <v>83</v>
      </c>
      <c r="P16" s="3"/>
      <c r="Q16" s="3"/>
      <c r="R16" s="3">
        <f>14%</f>
        <v>0.14</v>
      </c>
      <c r="S16" s="3">
        <f t="shared" si="8"/>
        <v>0.05</v>
      </c>
      <c r="T16" s="3">
        <v>0.5</v>
      </c>
      <c r="U16" s="3"/>
      <c r="V16" s="3">
        <v>0.5</v>
      </c>
      <c r="W16" s="3">
        <v>0.35</v>
      </c>
      <c r="X16" s="3">
        <v>0.35</v>
      </c>
      <c r="Y16" s="3">
        <v>0.35</v>
      </c>
      <c r="Z16" s="3">
        <v>0.35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0</v>
      </c>
      <c r="AP16" s="3"/>
      <c r="AQ16" s="3"/>
      <c r="AR16" s="3"/>
      <c r="AS16" s="3"/>
      <c r="AT16" s="15">
        <v>0.5</v>
      </c>
      <c r="AU16" s="16">
        <v>60</v>
      </c>
      <c r="AV16" s="17">
        <f>36.1+62.3+83.5+163.4+98.8+291.3</f>
        <v>735.4</v>
      </c>
      <c r="AW16" s="17">
        <f>15.3+44.3+59.5+109.7+68.7+200</f>
        <v>497.5</v>
      </c>
      <c r="AX16" s="17">
        <v>4.5</v>
      </c>
      <c r="AY16" s="17">
        <f>18.86+48.11+63.86+118.2+71.93+211.66</f>
        <v>532.62</v>
      </c>
      <c r="AZ16" s="17">
        <f>(2.9746+8.6028+11.5774+21.3358+13.3536+38.9052)*1.285</f>
        <v>124.322979</v>
      </c>
      <c r="BA16" s="21"/>
      <c r="BB16" s="21"/>
      <c r="BC16" s="21"/>
      <c r="BD16" s="21"/>
      <c r="BE16" s="21"/>
      <c r="BF16" s="24">
        <f>300.8+161.3</f>
        <v>462.1</v>
      </c>
      <c r="BG16" s="24">
        <f>229.2+122.9</f>
        <v>352.1</v>
      </c>
      <c r="BH16" s="24">
        <v>3.3</v>
      </c>
      <c r="BI16" s="24">
        <f>273.4+146.56</f>
        <v>419.96</v>
      </c>
      <c r="BJ16" s="24">
        <f>(44.5762+23.9038)*1.285</f>
        <v>87.9968</v>
      </c>
      <c r="BK16" s="25"/>
      <c r="BL16" s="25"/>
      <c r="BM16" s="25"/>
      <c r="BN16" s="25"/>
      <c r="BO16" s="25"/>
      <c r="BP16" s="27">
        <v>387</v>
      </c>
      <c r="BQ16" s="27">
        <v>247.5</v>
      </c>
      <c r="BR16" s="27">
        <v>1.6</v>
      </c>
      <c r="BS16" s="27">
        <f>194.31</f>
        <v>194.31</v>
      </c>
      <c r="BT16" s="27">
        <f>(26.75)*1.285</f>
        <v>34.37375</v>
      </c>
      <c r="BU16" s="31">
        <v>137.5</v>
      </c>
      <c r="BV16" s="31">
        <v>137.5</v>
      </c>
      <c r="BW16" s="31">
        <v>1.2</v>
      </c>
      <c r="BX16" s="31">
        <v>124.96</v>
      </c>
      <c r="BY16" s="31">
        <f>(26.75)*1.285</f>
        <v>34.37375</v>
      </c>
      <c r="BZ16" s="32"/>
      <c r="CA16" s="32"/>
      <c r="CB16" s="32"/>
      <c r="CC16" s="32"/>
      <c r="CD16" s="32"/>
      <c r="CE16" s="22">
        <v>574.7</v>
      </c>
      <c r="CF16" s="22">
        <v>468.1</v>
      </c>
      <c r="CG16" s="22">
        <v>1.4</v>
      </c>
      <c r="CH16" s="22">
        <v>473.96</v>
      </c>
      <c r="CI16" s="22">
        <f>(132.5302)*1.285</f>
        <v>170.301307</v>
      </c>
      <c r="CJ16" s="34"/>
      <c r="CK16" s="34"/>
      <c r="CL16" s="34"/>
      <c r="CM16" s="34"/>
      <c r="CN16" s="34"/>
      <c r="CO16" s="37">
        <v>345.5</v>
      </c>
      <c r="CP16" s="37">
        <f>271.3+299</f>
        <v>570.3</v>
      </c>
      <c r="CQ16" s="37">
        <v>2</v>
      </c>
      <c r="CR16" s="37">
        <v>292.92</v>
      </c>
      <c r="CS16" s="37">
        <f>(76.2696)*1.285</f>
        <v>98.006436</v>
      </c>
      <c r="CT16" s="41">
        <v>632.6</v>
      </c>
      <c r="CU16" s="41">
        <v>0</v>
      </c>
      <c r="CV16" s="41">
        <v>2</v>
      </c>
      <c r="CW16" s="41">
        <v>439.46</v>
      </c>
      <c r="CX16" s="41">
        <f>(193.67)*1.285</f>
        <v>248.86595</v>
      </c>
      <c r="CY16" s="42">
        <v>1470.6</v>
      </c>
      <c r="CZ16" s="42">
        <v>186.5</v>
      </c>
      <c r="DA16" s="42">
        <v>1.8</v>
      </c>
      <c r="DB16" s="42">
        <v>966.58</v>
      </c>
      <c r="DC16" s="42"/>
      <c r="DD16" s="44"/>
      <c r="DE16" s="44"/>
      <c r="DF16" s="44"/>
      <c r="DG16" s="44"/>
      <c r="DH16" s="44"/>
      <c r="DI16" s="45"/>
      <c r="DJ16" s="45"/>
      <c r="DK16" s="45"/>
      <c r="DL16" s="45"/>
      <c r="DM16" s="45"/>
      <c r="DN16" s="46" t="s">
        <v>542</v>
      </c>
    </row>
    <row r="17" customHeight="1" spans="6:118">
      <c r="F17" s="1" t="s">
        <v>120</v>
      </c>
      <c r="G17" s="1" t="s">
        <v>102</v>
      </c>
      <c r="H17" s="1" t="s">
        <v>324</v>
      </c>
      <c r="I17" s="1" t="s">
        <v>533</v>
      </c>
      <c r="J17" s="6">
        <f>配装!C17</f>
        <v>0</v>
      </c>
      <c r="K17" s="12">
        <f>750+75</f>
        <v>825</v>
      </c>
      <c r="L17" s="3"/>
      <c r="M17" s="3"/>
      <c r="N17" s="12"/>
      <c r="O17" s="12">
        <v>83</v>
      </c>
      <c r="P17" s="3"/>
      <c r="Q17" s="3"/>
      <c r="R17" s="3">
        <f>16%</f>
        <v>0.16</v>
      </c>
      <c r="S17" s="3">
        <f t="shared" si="8"/>
        <v>0.05</v>
      </c>
      <c r="T17" s="3">
        <v>0.5</v>
      </c>
      <c r="U17" s="3"/>
      <c r="V17" s="3">
        <v>0.52</v>
      </c>
      <c r="W17" s="3"/>
      <c r="X17" s="3">
        <v>1.3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>
        <v>0</v>
      </c>
      <c r="AP17" s="3"/>
      <c r="AQ17" s="3"/>
      <c r="AR17" s="3"/>
      <c r="AS17" s="3"/>
      <c r="AT17" s="15">
        <v>0.5</v>
      </c>
      <c r="AU17" s="16">
        <v>40</v>
      </c>
      <c r="AV17" s="17">
        <f>55.1+59.7+124.8+186.3</f>
        <v>425.9</v>
      </c>
      <c r="AW17" s="17">
        <f>18+34.7+71.6+107.2</f>
        <v>231.5</v>
      </c>
      <c r="AX17" s="17">
        <v>2.5</v>
      </c>
      <c r="AY17" s="17">
        <v>64.6</v>
      </c>
      <c r="AZ17" s="17">
        <f>(3.6594+7.0834+14.5948+24.2676)*1.285</f>
        <v>63.742682</v>
      </c>
      <c r="BA17" s="21"/>
      <c r="BB17" s="21"/>
      <c r="BC17" s="21"/>
      <c r="BD17" s="21"/>
      <c r="BE17" s="21"/>
      <c r="BF17" s="24"/>
      <c r="BG17" s="24"/>
      <c r="BH17" s="24"/>
      <c r="BI17" s="24"/>
      <c r="BJ17" s="24"/>
      <c r="BK17" s="25"/>
      <c r="BL17" s="25"/>
      <c r="BM17" s="25"/>
      <c r="BN17" s="25"/>
      <c r="BO17" s="25"/>
      <c r="BP17" s="27"/>
      <c r="BQ17" s="27"/>
      <c r="BR17" s="27"/>
      <c r="BS17" s="27"/>
      <c r="BT17" s="27"/>
      <c r="BU17" s="31">
        <v>45.5</v>
      </c>
      <c r="BV17" s="31">
        <v>45.5</v>
      </c>
      <c r="BW17" s="31">
        <v>0.3</v>
      </c>
      <c r="BX17" s="31">
        <v>43.33</v>
      </c>
      <c r="BY17" s="31">
        <f>(82.711)*1.285</f>
        <v>106.283635</v>
      </c>
      <c r="BZ17" s="32">
        <f>42.1*IF(J17&gt;=6,4,1)</f>
        <v>42.1</v>
      </c>
      <c r="CA17" s="32">
        <f>42.1*IF(J17&gt;=6,2,1)</f>
        <v>42.1</v>
      </c>
      <c r="CB17" s="32">
        <v>0.35</v>
      </c>
      <c r="CC17" s="32">
        <f>70.03*IF(J17&gt;=6,2,1)</f>
        <v>70.03</v>
      </c>
      <c r="CD17" s="32">
        <f>(8.5814)*1.285</f>
        <v>11.027099</v>
      </c>
      <c r="CE17" s="22">
        <f>166.9*IF(J17&gt;=6,6,2)</f>
        <v>333.8</v>
      </c>
      <c r="CF17" s="22">
        <f>134.2*IF(J17&gt;=6,3,2)</f>
        <v>268.4</v>
      </c>
      <c r="CG17" s="22">
        <v>0.8</v>
      </c>
      <c r="CH17" s="22">
        <f>143.34*IF(J17&gt;=6,3,2)</f>
        <v>286.68</v>
      </c>
      <c r="CI17" s="22">
        <f>(40.7028)*1.285</f>
        <v>52.303098</v>
      </c>
      <c r="CJ17" s="34"/>
      <c r="CK17" s="34"/>
      <c r="CL17" s="34"/>
      <c r="CM17" s="34"/>
      <c r="CN17" s="34"/>
      <c r="CO17" s="37">
        <v>359.3</v>
      </c>
      <c r="CP17" s="37">
        <v>312.8</v>
      </c>
      <c r="CQ17" s="37">
        <v>1.7</v>
      </c>
      <c r="CR17" s="37">
        <v>320.01</v>
      </c>
      <c r="CS17" s="37">
        <f>(82.711)*1.285</f>
        <v>106.283635</v>
      </c>
      <c r="CT17" s="41">
        <v>571.3</v>
      </c>
      <c r="CU17" s="41">
        <v>0</v>
      </c>
      <c r="CV17" s="41">
        <v>1.2</v>
      </c>
      <c r="CW17" s="41">
        <v>344.5</v>
      </c>
      <c r="CX17" s="41">
        <f>(173.3614)*1.285</f>
        <v>222.769399</v>
      </c>
      <c r="CY17" s="42">
        <v>1478.8</v>
      </c>
      <c r="CZ17" s="42">
        <v>133.1</v>
      </c>
      <c r="DA17" s="42">
        <v>1</v>
      </c>
      <c r="DB17" s="42">
        <v>895.7</v>
      </c>
      <c r="DC17" s="42"/>
      <c r="DD17" s="44"/>
      <c r="DE17" s="44"/>
      <c r="DF17" s="44"/>
      <c r="DG17" s="44"/>
      <c r="DH17" s="44"/>
      <c r="DI17" s="45"/>
      <c r="DJ17" s="45"/>
      <c r="DK17" s="45"/>
      <c r="DL17" s="45"/>
      <c r="DM17" s="45"/>
      <c r="DN17" s="46" t="s">
        <v>543</v>
      </c>
    </row>
    <row r="18" customHeight="1" spans="6:118">
      <c r="F18" s="1" t="s">
        <v>123</v>
      </c>
      <c r="G18" s="1" t="s">
        <v>102</v>
      </c>
      <c r="H18" s="1" t="s">
        <v>320</v>
      </c>
      <c r="I18" s="1" t="s">
        <v>539</v>
      </c>
      <c r="J18" s="6">
        <f>配装!C18</f>
        <v>6</v>
      </c>
      <c r="K18" s="12">
        <f>683+75</f>
        <v>758</v>
      </c>
      <c r="L18" s="3"/>
      <c r="M18" s="3"/>
      <c r="N18" s="12"/>
      <c r="O18" s="12">
        <v>86</v>
      </c>
      <c r="P18" s="3"/>
      <c r="Q18" s="3"/>
      <c r="R18" s="3">
        <f>18%</f>
        <v>0.18</v>
      </c>
      <c r="S18" s="3">
        <f t="shared" si="8"/>
        <v>0.05</v>
      </c>
      <c r="T18" s="3">
        <v>0.5</v>
      </c>
      <c r="U18" s="3"/>
      <c r="V18" s="3">
        <v>0.18</v>
      </c>
      <c r="W18" s="3">
        <f>4%*IF($J18&gt;=1,30,20)</f>
        <v>1.2</v>
      </c>
      <c r="X18" s="3">
        <f>4%*IF($J18&gt;=1,30,20)</f>
        <v>1.2</v>
      </c>
      <c r="Y18" s="3">
        <f>4%*IF($J18&gt;=1,30,20)</f>
        <v>1.2</v>
      </c>
      <c r="Z18" s="3">
        <f>4%*IF($J18&gt;=1,30,20)</f>
        <v>1.2</v>
      </c>
      <c r="AA18" s="3">
        <v>0.36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>
        <v>0</v>
      </c>
      <c r="AP18" s="3"/>
      <c r="AQ18" s="3"/>
      <c r="AR18" s="3"/>
      <c r="AS18" s="3"/>
      <c r="AT18" s="15">
        <v>0.5</v>
      </c>
      <c r="AU18" s="16">
        <v>60</v>
      </c>
      <c r="AV18" s="17"/>
      <c r="AW18" s="17"/>
      <c r="AX18" s="17"/>
      <c r="AY18" s="17"/>
      <c r="AZ18" s="17"/>
      <c r="BA18" s="21"/>
      <c r="BB18" s="21"/>
      <c r="BC18" s="21"/>
      <c r="BD18" s="21"/>
      <c r="BE18" s="21"/>
      <c r="BF18" s="24"/>
      <c r="BG18" s="24"/>
      <c r="BH18" s="24"/>
      <c r="BI18" s="24"/>
      <c r="BJ18" s="24"/>
      <c r="BK18" s="25"/>
      <c r="BL18" s="25"/>
      <c r="BM18" s="25"/>
      <c r="BN18" s="25"/>
      <c r="BO18" s="25"/>
      <c r="BP18" s="27"/>
      <c r="BQ18" s="27"/>
      <c r="BR18" s="27"/>
      <c r="BS18" s="27"/>
      <c r="BT18" s="27"/>
      <c r="BU18" s="31">
        <v>130</v>
      </c>
      <c r="BV18" s="31">
        <v>130</v>
      </c>
      <c r="BW18" s="31">
        <v>1.2</v>
      </c>
      <c r="BX18" s="31">
        <v>129.96</v>
      </c>
      <c r="BY18" s="31">
        <f>(27.82)*1.285</f>
        <v>35.7487</v>
      </c>
      <c r="BZ18" s="32">
        <f>271.7+235</f>
        <v>506.7</v>
      </c>
      <c r="CA18" s="32">
        <f>271.7+235</f>
        <v>506.7</v>
      </c>
      <c r="CB18" s="32">
        <v>4.6</v>
      </c>
      <c r="CC18" s="32">
        <f>271.66+235</f>
        <v>506.66</v>
      </c>
      <c r="CD18" s="32">
        <f>(29.0826+50.29)*1.285</f>
        <v>101.993791</v>
      </c>
      <c r="CE18" s="22">
        <f>93.5*5+612.9</f>
        <v>1080.4</v>
      </c>
      <c r="CF18" s="22">
        <f>54.8*5+396.8</f>
        <v>670.8</v>
      </c>
      <c r="CG18" s="22">
        <v>6.75</v>
      </c>
      <c r="CH18" s="22">
        <f>80.625*5+532.55</f>
        <v>935.675</v>
      </c>
      <c r="CI18" s="22">
        <f>(98.2046+14.4343*5)*1.285</f>
        <v>218.9332885</v>
      </c>
      <c r="CJ18" s="34"/>
      <c r="CK18" s="34"/>
      <c r="CL18" s="34"/>
      <c r="CM18" s="34"/>
      <c r="CN18" s="34"/>
      <c r="CO18" s="37">
        <v>400.5</v>
      </c>
      <c r="CP18" s="37">
        <f>246.7+352</f>
        <v>598.7</v>
      </c>
      <c r="CQ18" s="37">
        <v>2.7</v>
      </c>
      <c r="CR18" s="37">
        <v>376.22</v>
      </c>
      <c r="CS18" s="37">
        <f>(96.0646)*1.285</f>
        <v>123.443011</v>
      </c>
      <c r="CT18" s="41">
        <v>652.3</v>
      </c>
      <c r="CU18" s="41">
        <v>0</v>
      </c>
      <c r="CV18" s="41">
        <v>2</v>
      </c>
      <c r="CW18" s="41">
        <v>452.79</v>
      </c>
      <c r="CX18" s="41">
        <f>(196.5162)*1.285</f>
        <v>252.523317</v>
      </c>
      <c r="CY18" s="42">
        <v>1660.4</v>
      </c>
      <c r="CZ18" s="42">
        <v>328.3</v>
      </c>
      <c r="DA18" s="42">
        <v>3.2</v>
      </c>
      <c r="DB18" s="42">
        <v>1127.54</v>
      </c>
      <c r="DC18" s="42"/>
      <c r="DD18" s="44"/>
      <c r="DE18" s="44"/>
      <c r="DF18" s="44"/>
      <c r="DG18" s="44"/>
      <c r="DH18" s="44"/>
      <c r="DI18" s="45"/>
      <c r="DJ18" s="45"/>
      <c r="DK18" s="45"/>
      <c r="DL18" s="45"/>
      <c r="DM18" s="45"/>
      <c r="DN18" s="46" t="s">
        <v>544</v>
      </c>
    </row>
    <row r="19" customHeight="1" spans="6:119">
      <c r="F19" s="1" t="s">
        <v>30</v>
      </c>
      <c r="G19" s="1" t="s">
        <v>126</v>
      </c>
      <c r="H19" s="1" t="s">
        <v>324</v>
      </c>
      <c r="I19" s="1" t="s">
        <v>520</v>
      </c>
      <c r="J19" s="6">
        <f>配装!C19</f>
        <v>0</v>
      </c>
      <c r="K19" s="12">
        <v>750</v>
      </c>
      <c r="L19" s="3"/>
      <c r="M19" s="3"/>
      <c r="N19" s="12"/>
      <c r="O19" s="12">
        <v>131</v>
      </c>
      <c r="P19" s="3"/>
      <c r="Q19" s="3"/>
      <c r="R19" s="3">
        <v>-0.05</v>
      </c>
      <c r="S19" s="3">
        <f t="shared" si="8"/>
        <v>0.05</v>
      </c>
      <c r="T19" s="3">
        <v>0.5</v>
      </c>
      <c r="U19" s="3"/>
      <c r="V19" s="3">
        <v>-0.04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>
        <v>0</v>
      </c>
      <c r="AP19" s="3"/>
      <c r="AQ19" s="3"/>
      <c r="AR19" s="3"/>
      <c r="AS19" s="3">
        <f>MIN(DO19-0.4,0.5)*1.5</f>
        <v>0.735</v>
      </c>
      <c r="AT19" s="18">
        <v>0.5</v>
      </c>
      <c r="AU19" s="16">
        <v>60</v>
      </c>
      <c r="AV19" s="17"/>
      <c r="AW19" s="17"/>
      <c r="AX19" s="17"/>
      <c r="AY19" s="17"/>
      <c r="AZ19" s="17"/>
      <c r="BA19" s="21"/>
      <c r="BB19" s="21"/>
      <c r="BC19" s="21"/>
      <c r="BD19" s="21"/>
      <c r="BE19" s="21"/>
      <c r="BF19" s="24"/>
      <c r="BG19" s="24"/>
      <c r="BH19" s="24"/>
      <c r="BI19" s="24"/>
      <c r="BJ19" s="24"/>
      <c r="BK19" s="25"/>
      <c r="BL19" s="25"/>
      <c r="BM19" s="25"/>
      <c r="BN19" s="25"/>
      <c r="BO19" s="25"/>
      <c r="BP19" s="27"/>
      <c r="BQ19" s="27"/>
      <c r="BR19" s="27"/>
      <c r="BS19" s="27"/>
      <c r="BT19" s="27"/>
      <c r="BU19" s="31"/>
      <c r="BV19" s="31"/>
      <c r="BW19" s="31"/>
      <c r="BX19" s="31"/>
      <c r="BY19" s="31"/>
      <c r="BZ19" s="32"/>
      <c r="CA19" s="32"/>
      <c r="CB19" s="32"/>
      <c r="CC19" s="32"/>
      <c r="CD19" s="32"/>
      <c r="CE19" s="22">
        <v>634.4</v>
      </c>
      <c r="CF19" s="22">
        <v>432.7</v>
      </c>
      <c r="CG19" s="22"/>
      <c r="CH19" s="22">
        <v>356.66</v>
      </c>
      <c r="CI19" s="22">
        <v>210.8425</v>
      </c>
      <c r="CJ19" s="34"/>
      <c r="CK19" s="34"/>
      <c r="CL19" s="34"/>
      <c r="CM19" s="34"/>
      <c r="CN19" s="34"/>
      <c r="CO19" s="37">
        <v>432.9</v>
      </c>
      <c r="CP19" s="37">
        <f>271.3+327.4</f>
        <v>598.7</v>
      </c>
      <c r="CQ19" s="37"/>
      <c r="CR19" s="37">
        <v>369.51</v>
      </c>
      <c r="CS19" s="37">
        <v>27.7475</v>
      </c>
      <c r="CT19" s="41">
        <v>574.7</v>
      </c>
      <c r="CU19" s="41">
        <v>0</v>
      </c>
      <c r="CV19" s="41"/>
      <c r="CW19" s="41">
        <v>322.86</v>
      </c>
      <c r="CX19" s="41">
        <v>216.81</v>
      </c>
      <c r="CY19" s="42">
        <v>1480.5</v>
      </c>
      <c r="CZ19" s="42">
        <v>922</v>
      </c>
      <c r="DA19" s="42"/>
      <c r="DB19" s="42">
        <v>76.66</v>
      </c>
      <c r="DC19" s="42"/>
      <c r="DD19" s="44">
        <f>47.9*2*0.3+(45.7*3+45.2)*0.04</f>
        <v>36.032</v>
      </c>
      <c r="DE19" s="44">
        <f>22.6*2*0.3+(17*3+34)*0.04</f>
        <v>16.96</v>
      </c>
      <c r="DF19" s="44">
        <v>0</v>
      </c>
      <c r="DG19" s="44">
        <f>10.86*2*0.3+(20.49*3+40.98)*0.04</f>
        <v>10.614</v>
      </c>
      <c r="DH19" s="44">
        <v>0</v>
      </c>
      <c r="DI19" s="45"/>
      <c r="DJ19" s="45"/>
      <c r="DK19" s="45"/>
      <c r="DL19" s="45"/>
      <c r="DM19" s="45"/>
      <c r="DN19" s="46" t="s">
        <v>545</v>
      </c>
      <c r="DO19" s="1">
        <f>IFERROR(INDEX(云配队!$B$6:$B$8,MATCH("版机",云配队!$F$6:$F$8,0)),0)</f>
        <v>0.89</v>
      </c>
    </row>
    <row r="20" customHeight="1" spans="6:118">
      <c r="F20" s="1" t="s">
        <v>130</v>
      </c>
      <c r="G20" s="1" t="s">
        <v>126</v>
      </c>
      <c r="H20" s="1" t="s">
        <v>331</v>
      </c>
      <c r="I20" s="1" t="s">
        <v>539</v>
      </c>
      <c r="J20" s="6">
        <f>配装!C20</f>
        <v>0</v>
      </c>
      <c r="K20" s="12">
        <v>797</v>
      </c>
      <c r="L20" s="3"/>
      <c r="M20" s="3"/>
      <c r="N20" s="12"/>
      <c r="O20" s="12">
        <v>137</v>
      </c>
      <c r="P20" s="3"/>
      <c r="Q20" s="3">
        <v>0.1</v>
      </c>
      <c r="R20" s="3">
        <v>-0.1</v>
      </c>
      <c r="S20" s="3">
        <v>0.05</v>
      </c>
      <c r="T20" s="3">
        <v>0.5</v>
      </c>
      <c r="U20" s="3"/>
      <c r="V20" s="3">
        <v>-0.09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>
        <v>0</v>
      </c>
      <c r="AP20" s="3"/>
      <c r="AQ20" s="3"/>
      <c r="AR20" s="3"/>
      <c r="AS20" s="3"/>
      <c r="AT20" s="15">
        <v>0.5</v>
      </c>
      <c r="AU20" s="16">
        <v>40</v>
      </c>
      <c r="BA20" s="21">
        <f>177.2+364.3+119.7</f>
        <v>661.2</v>
      </c>
      <c r="BB20" s="21">
        <f>136.3+85.5+92.1</f>
        <v>313.9</v>
      </c>
      <c r="BC20" s="21">
        <v>2.3</v>
      </c>
      <c r="BD20" s="21">
        <f>123.87+77.7+83.66</f>
        <v>285.23</v>
      </c>
      <c r="BE20" s="21">
        <f>34.0725+21.395+23.0175</f>
        <v>78.485</v>
      </c>
      <c r="BF20" s="22"/>
      <c r="BG20" s="22"/>
      <c r="BH20" s="22"/>
      <c r="BI20" s="22"/>
      <c r="BJ20" s="22"/>
      <c r="BK20" s="25"/>
      <c r="BL20" s="25"/>
      <c r="BM20" s="25"/>
      <c r="BN20" s="25"/>
      <c r="BO20" s="25"/>
      <c r="BP20" s="27"/>
      <c r="BQ20" s="27"/>
      <c r="BR20" s="27"/>
      <c r="BS20" s="27"/>
      <c r="BT20" s="27"/>
      <c r="BU20" s="31">
        <v>69.7</v>
      </c>
      <c r="BV20" s="31">
        <v>69.7</v>
      </c>
      <c r="BW20" s="31"/>
      <c r="BX20" s="31">
        <v>63.33</v>
      </c>
      <c r="BY20" s="31">
        <v>17.435</v>
      </c>
      <c r="BZ20" s="32"/>
      <c r="CA20" s="32"/>
      <c r="CB20" s="32"/>
      <c r="CC20" s="32"/>
      <c r="CD20" s="32"/>
      <c r="CE20" s="22">
        <v>486.3</v>
      </c>
      <c r="CF20" s="22">
        <v>403.5</v>
      </c>
      <c r="CG20" s="22">
        <v>2.2</v>
      </c>
      <c r="CH20" s="22">
        <v>367.64</v>
      </c>
      <c r="CI20" s="22">
        <v>129.3325</v>
      </c>
      <c r="CJ20" s="34">
        <v>292.7</v>
      </c>
      <c r="CK20" s="34">
        <v>247.7</v>
      </c>
      <c r="CL20" s="34"/>
      <c r="CM20" s="34">
        <v>223.26</v>
      </c>
      <c r="CN20" s="34">
        <v>76.725</v>
      </c>
      <c r="CO20" s="37">
        <v>219.8</v>
      </c>
      <c r="CP20" s="37">
        <f>271.3+182.3</f>
        <v>453.6</v>
      </c>
      <c r="CQ20" s="37">
        <v>1.5</v>
      </c>
      <c r="CR20" s="37">
        <v>182.72</v>
      </c>
      <c r="CS20" s="37">
        <v>64.3225</v>
      </c>
      <c r="CT20" s="41">
        <v>712.1</v>
      </c>
      <c r="CU20" s="41">
        <v>0</v>
      </c>
      <c r="CV20" s="41">
        <v>2.1</v>
      </c>
      <c r="CW20" s="41">
        <v>447.83</v>
      </c>
      <c r="CX20" s="41">
        <v>251.185</v>
      </c>
      <c r="CY20" s="42">
        <v>1508</v>
      </c>
      <c r="CZ20" s="42">
        <v>947.4</v>
      </c>
      <c r="DA20" s="42">
        <v>1.6</v>
      </c>
      <c r="DB20" s="42">
        <v>96.69</v>
      </c>
      <c r="DC20" s="42"/>
      <c r="DD20" s="44"/>
      <c r="DE20" s="44"/>
      <c r="DF20" s="44"/>
      <c r="DG20" s="44"/>
      <c r="DH20" s="44"/>
      <c r="DI20" s="45"/>
      <c r="DJ20" s="45"/>
      <c r="DK20" s="45"/>
      <c r="DL20" s="45"/>
      <c r="DM20" s="45"/>
      <c r="DN20" s="46" t="s">
        <v>546</v>
      </c>
    </row>
    <row r="21" customHeight="1" spans="6:118">
      <c r="F21" s="1" t="s">
        <v>133</v>
      </c>
      <c r="G21" s="1" t="s">
        <v>126</v>
      </c>
      <c r="H21" s="1" t="s">
        <v>324</v>
      </c>
      <c r="I21" s="1" t="s">
        <v>525</v>
      </c>
      <c r="J21" s="6">
        <f>配装!C21</f>
        <v>0</v>
      </c>
      <c r="K21" s="12">
        <v>758</v>
      </c>
      <c r="L21" s="3"/>
      <c r="M21" s="3"/>
      <c r="N21" s="12">
        <v>600</v>
      </c>
      <c r="O21" s="12">
        <v>138</v>
      </c>
      <c r="P21" s="3"/>
      <c r="Q21" s="3"/>
      <c r="R21" s="3">
        <f>-10%</f>
        <v>-0.1</v>
      </c>
      <c r="S21" s="3">
        <f t="shared" ref="S21:S25" si="9">5%</f>
        <v>0.05</v>
      </c>
      <c r="T21" s="3">
        <v>0.5</v>
      </c>
      <c r="U21" s="3"/>
      <c r="V21" s="3">
        <v>-0.07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>
        <f>60%</f>
        <v>0.6</v>
      </c>
      <c r="AL21" s="3"/>
      <c r="AM21" s="3"/>
      <c r="AN21" s="3"/>
      <c r="AO21" s="3">
        <v>0</v>
      </c>
      <c r="AP21" s="3">
        <f>20%</f>
        <v>0.2</v>
      </c>
      <c r="AQ21" s="3"/>
      <c r="AR21" s="3"/>
      <c r="AS21" s="3"/>
      <c r="AT21" s="15">
        <v>0.5</v>
      </c>
      <c r="AU21" s="16" t="s">
        <v>547</v>
      </c>
      <c r="AV21" s="17">
        <f>47.2+122.1+17.6*16</f>
        <v>450.9</v>
      </c>
      <c r="AW21" s="17">
        <f>23.6+82.2+11*16</f>
        <v>281.8</v>
      </c>
      <c r="AX21" s="17">
        <v>4.7</v>
      </c>
      <c r="AY21" s="17">
        <f>13.33*16</f>
        <v>213.28</v>
      </c>
      <c r="AZ21" s="17">
        <f>(4.601+18.618+2.8676*16)*1.285</f>
        <v>88.794271</v>
      </c>
      <c r="BA21" s="21"/>
      <c r="BB21" s="21"/>
      <c r="BC21" s="21"/>
      <c r="BD21" s="21"/>
      <c r="BE21" s="21"/>
      <c r="BF21" s="24">
        <f>448.7+394.4</f>
        <v>843.1</v>
      </c>
      <c r="BG21" s="24">
        <f>394.4+217.6</f>
        <v>612</v>
      </c>
      <c r="BH21" s="24">
        <v>3.1</v>
      </c>
      <c r="BI21" s="24">
        <f>190.13+152.14</f>
        <v>342.27</v>
      </c>
      <c r="BJ21" s="24">
        <f>(40.7028+32.5708)*1.285</f>
        <v>94.156576</v>
      </c>
      <c r="BK21" s="25"/>
      <c r="BL21" s="25"/>
      <c r="BM21" s="25"/>
      <c r="BN21" s="25"/>
      <c r="BO21" s="25"/>
      <c r="BP21" s="27">
        <v>284</v>
      </c>
      <c r="BQ21" s="27">
        <v>190.4</v>
      </c>
      <c r="BR21" s="27">
        <v>1.6</v>
      </c>
      <c r="BS21" s="27">
        <v>121.66</v>
      </c>
      <c r="BT21" s="27">
        <f>(26.0438)*1.285</f>
        <v>33.466283</v>
      </c>
      <c r="BU21" s="31">
        <v>133.9</v>
      </c>
      <c r="BV21" s="31">
        <v>133.9</v>
      </c>
      <c r="BW21" s="31">
        <v>1</v>
      </c>
      <c r="BX21" s="31">
        <v>121.66</v>
      </c>
      <c r="BY21" s="31">
        <f>(26.0438)*1.285</f>
        <v>33.466283</v>
      </c>
      <c r="BZ21" s="32"/>
      <c r="CA21" s="32"/>
      <c r="CB21" s="32"/>
      <c r="CC21" s="32"/>
      <c r="CD21" s="32"/>
      <c r="CE21" s="22">
        <f>150.7+211+241</f>
        <v>602.7</v>
      </c>
      <c r="CF21" s="22">
        <f>111.1+155.5+177.7</f>
        <v>444.3</v>
      </c>
      <c r="CG21" s="22">
        <v>1.6</v>
      </c>
      <c r="CH21" s="22">
        <f>124.64+174.51+199.44</f>
        <v>498.59</v>
      </c>
      <c r="CI21" s="22">
        <f>(31.8004+44.512+50.8678)*1.285</f>
        <v>163.426557</v>
      </c>
      <c r="CJ21" s="34">
        <f>150.7+211*2+241</f>
        <v>813.7</v>
      </c>
      <c r="CK21" s="34">
        <f>111.1+155.5*2+177.7</f>
        <v>599.8</v>
      </c>
      <c r="CL21" s="34">
        <v>1.9</v>
      </c>
      <c r="CM21" s="34">
        <f>124.64+174.51*2+199.44</f>
        <v>673.1</v>
      </c>
      <c r="CN21" s="34">
        <f>(31.8004+44.512*2+50.8678)*1.285</f>
        <v>220.624477</v>
      </c>
      <c r="CO21" s="37">
        <v>376.4</v>
      </c>
      <c r="CP21" s="37">
        <f>249.3+279</f>
        <v>528.3</v>
      </c>
      <c r="CQ21" s="37">
        <v>2.3</v>
      </c>
      <c r="CR21" s="37">
        <v>320.01</v>
      </c>
      <c r="CS21" s="37">
        <f>(35.3314)*1.285</f>
        <v>45.400849</v>
      </c>
      <c r="CT21" s="41">
        <v>647.9</v>
      </c>
      <c r="CU21" s="41">
        <v>0</v>
      </c>
      <c r="CV21" s="41">
        <v>1.8</v>
      </c>
      <c r="CW21" s="41">
        <v>389.46</v>
      </c>
      <c r="CX21" s="41">
        <f>(182.97)*1.285</f>
        <v>235.11645</v>
      </c>
      <c r="CY21" s="42">
        <v>1670.7</v>
      </c>
      <c r="CZ21" s="42">
        <v>1097.1</v>
      </c>
      <c r="DA21" s="42">
        <v>1.9</v>
      </c>
      <c r="DB21" s="42">
        <v>215.03</v>
      </c>
      <c r="DC21" s="42"/>
      <c r="DD21" s="44"/>
      <c r="DE21" s="44"/>
      <c r="DF21" s="44"/>
      <c r="DG21" s="44"/>
      <c r="DH21" s="44"/>
      <c r="DI21" s="45"/>
      <c r="DJ21" s="45"/>
      <c r="DK21" s="45"/>
      <c r="DL21" s="45"/>
      <c r="DM21" s="45"/>
      <c r="DN21" s="46" t="s">
        <v>548</v>
      </c>
    </row>
    <row r="22" customHeight="1" spans="6:118">
      <c r="F22" s="1" t="s">
        <v>136</v>
      </c>
      <c r="G22" s="1" t="s">
        <v>126</v>
      </c>
      <c r="H22" s="1" t="s">
        <v>328</v>
      </c>
      <c r="I22" s="1" t="s">
        <v>527</v>
      </c>
      <c r="J22" s="6">
        <f>配装!C22</f>
        <v>0</v>
      </c>
      <c r="K22" s="12">
        <f>653+75</f>
        <v>728</v>
      </c>
      <c r="L22" s="3"/>
      <c r="M22" s="3"/>
      <c r="N22" s="12"/>
      <c r="O22" s="12">
        <f>119+18</f>
        <v>137</v>
      </c>
      <c r="P22" s="3"/>
      <c r="Q22" s="3"/>
      <c r="R22" s="3">
        <f>-10%</f>
        <v>-0.1</v>
      </c>
      <c r="S22" s="3">
        <f t="shared" si="9"/>
        <v>0.05</v>
      </c>
      <c r="T22" s="3">
        <v>0.5</v>
      </c>
      <c r="U22" s="3"/>
      <c r="V22" s="3">
        <v>-0.09</v>
      </c>
      <c r="W22" s="3"/>
      <c r="X22" s="3"/>
      <c r="Y22" s="3"/>
      <c r="Z22" s="3"/>
      <c r="AA22" s="3"/>
      <c r="AB22" s="3"/>
      <c r="AC22" s="3"/>
      <c r="AD22" s="3"/>
      <c r="AE22" s="3">
        <f>IF(J22&gt;=6,50%,0)</f>
        <v>0</v>
      </c>
      <c r="AF22" s="3"/>
      <c r="AG22" s="3"/>
      <c r="AH22" s="3"/>
      <c r="AI22" s="3">
        <f>IF(J22&gt;=6,50%,0)</f>
        <v>0</v>
      </c>
      <c r="AJ22" s="3"/>
      <c r="AK22" s="3"/>
      <c r="AL22" s="3"/>
      <c r="AM22" s="3"/>
      <c r="AN22" s="3"/>
      <c r="AO22" s="3">
        <v>0</v>
      </c>
      <c r="AP22" s="3">
        <v>0.8</v>
      </c>
      <c r="AQ22" s="3"/>
      <c r="AR22" s="3">
        <f>IF(J22&gt;=1,22%,0)</f>
        <v>0</v>
      </c>
      <c r="AS22" s="3"/>
      <c r="AT22" s="15">
        <v>0.5</v>
      </c>
      <c r="AU22" s="16" t="s">
        <v>549</v>
      </c>
      <c r="AV22" s="17"/>
      <c r="AW22" s="17"/>
      <c r="AX22" s="17"/>
      <c r="AY22" s="17"/>
      <c r="AZ22" s="17"/>
      <c r="BF22" s="24">
        <f>37.1+56.4+99.5+210.9+335.7</f>
        <v>739.6</v>
      </c>
      <c r="BG22" s="24">
        <f>12.1+32.9+53.7+107.1+205.6</f>
        <v>411.4</v>
      </c>
      <c r="BH22" s="24">
        <v>4.2</v>
      </c>
      <c r="BI22" s="24">
        <f>11.48+31.28+51.13+101.98+195.75</f>
        <v>391.62</v>
      </c>
      <c r="BJ22" s="24">
        <f>(2.461+6.6982+10.9568+21.828+41.9012)*1.285</f>
        <v>107.741082</v>
      </c>
      <c r="BK22" s="25"/>
      <c r="BL22" s="25"/>
      <c r="BM22" s="25"/>
      <c r="BN22" s="25"/>
      <c r="BO22" s="25"/>
      <c r="BP22" s="27"/>
      <c r="BQ22" s="27"/>
      <c r="BR22" s="27"/>
      <c r="BS22" s="27"/>
      <c r="BT22" s="27"/>
      <c r="BU22" s="31">
        <v>71.8</v>
      </c>
      <c r="BV22" s="31">
        <v>71.8</v>
      </c>
      <c r="BW22" s="31">
        <v>0.4</v>
      </c>
      <c r="BX22" s="31">
        <v>60.03</v>
      </c>
      <c r="BY22" s="31">
        <f>(12.8614)*1.285</f>
        <v>16.526899</v>
      </c>
      <c r="BZ22" s="32"/>
      <c r="CA22" s="32"/>
      <c r="CB22" s="32"/>
      <c r="CC22" s="32"/>
      <c r="CD22" s="32"/>
      <c r="CE22" s="22">
        <v>534.3</v>
      </c>
      <c r="CF22" s="22">
        <f>450.4</f>
        <v>450.4</v>
      </c>
      <c r="CG22" s="22">
        <v>1.9</v>
      </c>
      <c r="CH22" s="22">
        <f>200.76+225.42</f>
        <v>426.18</v>
      </c>
      <c r="CI22" s="22">
        <f>(54.356+60.2196)*1.285</f>
        <v>147.229646</v>
      </c>
      <c r="CJ22" s="34">
        <v>789.5</v>
      </c>
      <c r="CK22" s="34">
        <f>664.4</f>
        <v>664.4</v>
      </c>
      <c r="CL22" s="34">
        <v>2.6</v>
      </c>
      <c r="CM22" s="34">
        <f>200.76+428.48</f>
        <v>629.24</v>
      </c>
      <c r="CN22" s="34">
        <f>(54.356+115.1106)*1.285</f>
        <v>217.764581</v>
      </c>
      <c r="CO22" s="37">
        <v>288.3</v>
      </c>
      <c r="CP22" s="37">
        <f>238+246.8</f>
        <v>484.8</v>
      </c>
      <c r="CQ22" s="37">
        <v>1.7</v>
      </c>
      <c r="CR22" s="37">
        <v>254.76</v>
      </c>
      <c r="CS22" s="37">
        <f>(67.196)*1.285</f>
        <v>86.34686</v>
      </c>
      <c r="CT22" s="41">
        <v>637.8</v>
      </c>
      <c r="CU22" s="41">
        <v>0</v>
      </c>
      <c r="CV22" s="41">
        <v>1.9</v>
      </c>
      <c r="CW22" s="41">
        <v>407.86</v>
      </c>
      <c r="CX22" s="41">
        <f>(186.9076)*1.285</f>
        <v>240.176266</v>
      </c>
      <c r="CY22" s="42">
        <v>1694.1</v>
      </c>
      <c r="CZ22" s="42">
        <v>1096.6</v>
      </c>
      <c r="DA22" s="42">
        <v>1.4</v>
      </c>
      <c r="DB22" s="42">
        <v>173.36</v>
      </c>
      <c r="DC22" s="42"/>
      <c r="DD22" s="44"/>
      <c r="DE22" s="44"/>
      <c r="DF22" s="44"/>
      <c r="DG22" s="44"/>
      <c r="DH22" s="44"/>
      <c r="DI22" s="45"/>
      <c r="DJ22" s="45"/>
      <c r="DK22" s="45"/>
      <c r="DL22" s="45"/>
      <c r="DM22" s="45"/>
      <c r="DN22" s="46" t="s">
        <v>550</v>
      </c>
    </row>
    <row r="23" customHeight="1" spans="6:118">
      <c r="F23" s="1" t="s">
        <v>138</v>
      </c>
      <c r="G23" s="1" t="s">
        <v>126</v>
      </c>
      <c r="H23" s="1" t="s">
        <v>331</v>
      </c>
      <c r="I23" s="1" t="s">
        <v>533</v>
      </c>
      <c r="J23" s="6">
        <f>配装!C23</f>
        <v>0</v>
      </c>
      <c r="K23" s="12">
        <f>660+75</f>
        <v>735</v>
      </c>
      <c r="L23" s="3"/>
      <c r="M23" s="3"/>
      <c r="N23" s="12"/>
      <c r="O23" s="12">
        <f>116+18</f>
        <v>134</v>
      </c>
      <c r="P23" s="3"/>
      <c r="Q23" s="3"/>
      <c r="R23" s="3">
        <f>-4%</f>
        <v>-0.04</v>
      </c>
      <c r="S23" s="3">
        <f t="shared" si="9"/>
        <v>0.05</v>
      </c>
      <c r="T23" s="3">
        <v>0.5</v>
      </c>
      <c r="U23" s="3"/>
      <c r="V23" s="3">
        <v>-0.03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>
        <v>0</v>
      </c>
      <c r="AP23" s="3"/>
      <c r="AQ23" s="3">
        <v>0.6</v>
      </c>
      <c r="AR23" s="3">
        <v>0.6</v>
      </c>
      <c r="AS23" s="3"/>
      <c r="AT23" s="15">
        <v>0.5</v>
      </c>
      <c r="AU23" s="16">
        <v>60</v>
      </c>
      <c r="AV23" s="17">
        <f>63.6+79.2+126.1+317.4</f>
        <v>586.3</v>
      </c>
      <c r="AW23" s="17">
        <f>31.8+65.5+104.3+249.3</f>
        <v>450.9</v>
      </c>
      <c r="AX23" s="17">
        <v>4.5</v>
      </c>
      <c r="AY23" s="17">
        <v>0</v>
      </c>
      <c r="AZ23" s="17">
        <f>(6.4842+13.3536+21.2502+50.825)*1.285</f>
        <v>118.108205</v>
      </c>
      <c r="BA23" s="21">
        <f>63.6+79.2+160.8+404.8</f>
        <v>708.4</v>
      </c>
      <c r="BB23" s="21">
        <f>31.8+65.5+61.4+156.6</f>
        <v>315.3</v>
      </c>
      <c r="BC23" s="21">
        <v>3.7</v>
      </c>
      <c r="BD23" s="21">
        <f>44.35+149.08</f>
        <v>193.43</v>
      </c>
      <c r="BE23" s="21">
        <f>(6.4842+13.3536+12.519+35.5026)*1.285</f>
        <v>87.199329</v>
      </c>
      <c r="BF23" s="24"/>
      <c r="BG23" s="24"/>
      <c r="BH23" s="24"/>
      <c r="BI23" s="24"/>
      <c r="BJ23" s="24"/>
      <c r="BK23" s="25"/>
      <c r="BL23" s="25"/>
      <c r="BM23" s="25"/>
      <c r="BN23" s="25"/>
      <c r="BO23" s="25"/>
      <c r="BP23" s="27"/>
      <c r="BQ23" s="27"/>
      <c r="BR23" s="27"/>
      <c r="BS23" s="27"/>
      <c r="BT23" s="27"/>
      <c r="BU23" s="31">
        <v>197.8</v>
      </c>
      <c r="BV23" s="31">
        <v>197.8</v>
      </c>
      <c r="BW23" s="31">
        <v>0.8</v>
      </c>
      <c r="BX23" s="31">
        <v>0</v>
      </c>
      <c r="BY23" s="31">
        <f>(37.45)*1.285</f>
        <v>48.12325</v>
      </c>
      <c r="BZ23" s="32">
        <v>77.8</v>
      </c>
      <c r="CA23" s="32">
        <v>77.8</v>
      </c>
      <c r="CB23" s="32">
        <v>0</v>
      </c>
      <c r="CC23" s="32">
        <v>59.18</v>
      </c>
      <c r="CD23" s="32">
        <f>(15.8574)*1.285</f>
        <v>20.376759</v>
      </c>
      <c r="CE23" s="22">
        <f>152.3+606</f>
        <v>758.3</v>
      </c>
      <c r="CF23" s="22">
        <f>152.3+494</f>
        <v>646.3</v>
      </c>
      <c r="CG23" s="22">
        <v>2.1</v>
      </c>
      <c r="CH23" s="22">
        <v>476.12</v>
      </c>
      <c r="CI23" s="22">
        <f>(31.03+133.0438)*1.285</f>
        <v>210.834833</v>
      </c>
      <c r="CJ23" s="34">
        <v>606</v>
      </c>
      <c r="CK23" s="34">
        <f>494</f>
        <v>494</v>
      </c>
      <c r="CL23" s="34">
        <v>0</v>
      </c>
      <c r="CM23" s="34">
        <v>476.12</v>
      </c>
      <c r="CN23" s="34">
        <f>(133.0438)*1.285</f>
        <v>170.961283</v>
      </c>
      <c r="CO23" s="37">
        <v>359.2</v>
      </c>
      <c r="CP23" s="37">
        <f>238+312.7</f>
        <v>550.7</v>
      </c>
      <c r="CQ23" s="37">
        <v>1.6</v>
      </c>
      <c r="CR23" s="37">
        <v>319.92</v>
      </c>
      <c r="CS23" s="37">
        <f>(82.6896)*1.285</f>
        <v>106.256136</v>
      </c>
      <c r="CT23" s="41">
        <v>636</v>
      </c>
      <c r="CU23" s="41">
        <v>0</v>
      </c>
      <c r="CV23" s="41">
        <v>1.8</v>
      </c>
      <c r="CW23" s="41">
        <v>406.13</v>
      </c>
      <c r="CX23" s="41">
        <f>(186.5438)*1.285</f>
        <v>239.708783</v>
      </c>
      <c r="CY23" s="42">
        <v>1548.8</v>
      </c>
      <c r="CZ23" s="42">
        <v>1004.9</v>
      </c>
      <c r="DA23" s="42">
        <v>1.6</v>
      </c>
      <c r="DB23" s="42">
        <v>180.03</v>
      </c>
      <c r="DC23" s="42"/>
      <c r="DD23" s="44"/>
      <c r="DE23" s="44"/>
      <c r="DF23" s="44"/>
      <c r="DG23" s="44"/>
      <c r="DH23" s="44"/>
      <c r="DI23" s="45"/>
      <c r="DJ23" s="45"/>
      <c r="DK23" s="45"/>
      <c r="DL23" s="45"/>
      <c r="DM23" s="45"/>
      <c r="DN23" s="46" t="s">
        <v>551</v>
      </c>
    </row>
    <row r="24" customHeight="1" spans="6:118">
      <c r="F24" s="1" t="s">
        <v>140</v>
      </c>
      <c r="G24" s="1" t="s">
        <v>126</v>
      </c>
      <c r="H24" s="1" t="s">
        <v>331</v>
      </c>
      <c r="I24" s="1" t="s">
        <v>533</v>
      </c>
      <c r="J24" s="6">
        <f>配装!C24</f>
        <v>0</v>
      </c>
      <c r="K24" s="12">
        <f>660+75</f>
        <v>735</v>
      </c>
      <c r="L24" s="3"/>
      <c r="M24" s="3"/>
      <c r="N24" s="12"/>
      <c r="O24" s="12">
        <f>116+18</f>
        <v>134</v>
      </c>
      <c r="P24" s="3"/>
      <c r="Q24" s="3"/>
      <c r="R24" s="3">
        <f>-4%</f>
        <v>-0.04</v>
      </c>
      <c r="S24" s="3">
        <f t="shared" si="9"/>
        <v>0.05</v>
      </c>
      <c r="T24" s="3">
        <v>0.5</v>
      </c>
      <c r="U24" s="3"/>
      <c r="V24" s="3">
        <v>-0.03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>
        <v>0</v>
      </c>
      <c r="AP24" s="3"/>
      <c r="AQ24" s="3">
        <v>0.6</v>
      </c>
      <c r="AR24" s="3">
        <v>0.6</v>
      </c>
      <c r="AS24" s="3"/>
      <c r="AT24" s="15">
        <v>0.5</v>
      </c>
      <c r="AU24" s="16">
        <v>40</v>
      </c>
      <c r="AV24" s="17">
        <f>63.6+79.2+126.1+317.4</f>
        <v>586.3</v>
      </c>
      <c r="AW24" s="17">
        <f>31.8+65.5+104.3+249.3</f>
        <v>450.9</v>
      </c>
      <c r="AX24" s="17">
        <v>4.5</v>
      </c>
      <c r="AY24" s="17">
        <v>0</v>
      </c>
      <c r="AZ24" s="17">
        <f>(6.4842+13.3536+21.2502+50.825)*1.285</f>
        <v>118.108205</v>
      </c>
      <c r="BA24" s="21">
        <f>63.6+79.2+160.8+501.3</f>
        <v>804.9</v>
      </c>
      <c r="BB24" s="21">
        <f>31.8+65.5+61.4+213.3</f>
        <v>372</v>
      </c>
      <c r="BC24" s="21">
        <v>4.5</v>
      </c>
      <c r="BD24" s="21">
        <f>44.35+186.29</f>
        <v>230.64</v>
      </c>
      <c r="BE24" s="21">
        <f>(6.4842+13.3536+12.519+43.4634)*1.285</f>
        <v>97.428957</v>
      </c>
      <c r="BF24" s="24"/>
      <c r="BG24" s="24"/>
      <c r="BH24" s="24"/>
      <c r="BI24" s="24"/>
      <c r="BJ24" s="24"/>
      <c r="BK24" s="25"/>
      <c r="BL24" s="25"/>
      <c r="BM24" s="25"/>
      <c r="BN24" s="25"/>
      <c r="BO24" s="25"/>
      <c r="BP24" s="27"/>
      <c r="BQ24" s="27"/>
      <c r="BR24" s="27"/>
      <c r="BS24" s="27"/>
      <c r="BT24" s="27"/>
      <c r="BU24" s="31">
        <v>197.8</v>
      </c>
      <c r="BV24" s="31">
        <v>197.8</v>
      </c>
      <c r="BW24" s="31">
        <v>0.8</v>
      </c>
      <c r="BX24" s="31">
        <v>0</v>
      </c>
      <c r="BY24" s="31">
        <f>(37.45)*1.285</f>
        <v>48.12325</v>
      </c>
      <c r="BZ24" s="32">
        <v>85.5</v>
      </c>
      <c r="CA24" s="32">
        <v>77.8</v>
      </c>
      <c r="CB24" s="32">
        <v>0</v>
      </c>
      <c r="CC24" s="32">
        <v>59.18</v>
      </c>
      <c r="CD24" s="32">
        <f>(15.8574)*1.285</f>
        <v>20.376759</v>
      </c>
      <c r="CE24" s="22">
        <f>152.3+666.6</f>
        <v>818.9</v>
      </c>
      <c r="CF24" s="22">
        <f>152.3+494</f>
        <v>646.3</v>
      </c>
      <c r="CG24" s="22">
        <v>2.1</v>
      </c>
      <c r="CH24" s="22">
        <v>476.12</v>
      </c>
      <c r="CI24" s="22">
        <f>(31.03+133.0438)*1.285</f>
        <v>210.834833</v>
      </c>
      <c r="CJ24" s="34">
        <v>666.6</v>
      </c>
      <c r="CK24" s="34">
        <f>494</f>
        <v>494</v>
      </c>
      <c r="CL24" s="34">
        <v>0</v>
      </c>
      <c r="CM24" s="34">
        <v>476.12</v>
      </c>
      <c r="CN24" s="34">
        <f>(133.0438)*1.285</f>
        <v>170.961283</v>
      </c>
      <c r="CO24" s="37">
        <v>359.2</v>
      </c>
      <c r="CP24" s="37">
        <f>238+312.7</f>
        <v>550.7</v>
      </c>
      <c r="CQ24" s="37">
        <v>1.6</v>
      </c>
      <c r="CR24" s="37">
        <v>319.92</v>
      </c>
      <c r="CS24" s="37">
        <f>(82.6896)*1.285</f>
        <v>106.256136</v>
      </c>
      <c r="CT24" s="41">
        <v>636</v>
      </c>
      <c r="CU24" s="41">
        <v>0</v>
      </c>
      <c r="CV24" s="41">
        <v>1.8</v>
      </c>
      <c r="CW24" s="41">
        <v>406.13</v>
      </c>
      <c r="CX24" s="41">
        <f>(186.5438)*1.285</f>
        <v>239.708783</v>
      </c>
      <c r="CY24" s="42">
        <v>1694</v>
      </c>
      <c r="CZ24" s="42">
        <v>1096.5</v>
      </c>
      <c r="DA24" s="42">
        <v>1.3</v>
      </c>
      <c r="DB24" s="42">
        <v>190.66</v>
      </c>
      <c r="DC24" s="42"/>
      <c r="DD24" s="44"/>
      <c r="DE24" s="44"/>
      <c r="DF24" s="44"/>
      <c r="DG24" s="44"/>
      <c r="DH24" s="44"/>
      <c r="DI24" s="45"/>
      <c r="DJ24" s="45"/>
      <c r="DK24" s="45"/>
      <c r="DL24" s="45"/>
      <c r="DM24" s="45"/>
      <c r="DN24" s="46" t="s">
        <v>551</v>
      </c>
    </row>
    <row r="25" customFormat="1" customHeight="1" spans="1:120">
      <c r="A25" s="1"/>
      <c r="B25" s="1"/>
      <c r="C25" s="1"/>
      <c r="D25" s="1"/>
      <c r="E25" s="1"/>
      <c r="F25" s="1" t="s">
        <v>141</v>
      </c>
      <c r="G25" s="1" t="s">
        <v>126</v>
      </c>
      <c r="H25" s="1" t="s">
        <v>320</v>
      </c>
      <c r="I25" s="1" t="s">
        <v>539</v>
      </c>
      <c r="J25" s="6">
        <f>配装!C25</f>
        <v>0</v>
      </c>
      <c r="K25" s="12">
        <v>665</v>
      </c>
      <c r="L25" s="3"/>
      <c r="M25" s="3">
        <f>IF(J25&gt;1,10%,0)</f>
        <v>0</v>
      </c>
      <c r="N25" s="12"/>
      <c r="O25" s="12">
        <v>136</v>
      </c>
      <c r="P25" s="3"/>
      <c r="Q25" s="3"/>
      <c r="R25" s="3">
        <v>-0.1</v>
      </c>
      <c r="S25" s="3">
        <f>5%+IF(J25&gt;0,10%,0)</f>
        <v>0.05</v>
      </c>
      <c r="T25" s="3">
        <v>0.5</v>
      </c>
      <c r="U25" s="3"/>
      <c r="V25" s="3">
        <v>-0.08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>
        <f>IF(J25&gt;5,15%,0)</f>
        <v>0</v>
      </c>
      <c r="AN25" s="3"/>
      <c r="AO25" s="3">
        <v>0</v>
      </c>
      <c r="AP25" s="3">
        <v>0.3</v>
      </c>
      <c r="AQ25" s="3">
        <v>0.3</v>
      </c>
      <c r="AR25" s="3">
        <v>0.3</v>
      </c>
      <c r="AS25" s="3"/>
      <c r="AT25" s="15">
        <v>0.5</v>
      </c>
      <c r="AU25" s="16">
        <f>IF(J25&gt;3,55,60)</f>
        <v>60</v>
      </c>
      <c r="AV25" s="17"/>
      <c r="AW25" s="17"/>
      <c r="AX25" s="17"/>
      <c r="AY25" s="17"/>
      <c r="AZ25" s="17"/>
      <c r="BA25" s="21"/>
      <c r="BB25" s="21"/>
      <c r="BC25" s="21"/>
      <c r="BD25" s="21"/>
      <c r="BE25" s="21"/>
      <c r="BF25" s="24"/>
      <c r="BG25" s="24"/>
      <c r="BH25" s="24"/>
      <c r="BI25" s="24"/>
      <c r="BJ25" s="24"/>
      <c r="BK25" s="25"/>
      <c r="BL25" s="25"/>
      <c r="BM25" s="25"/>
      <c r="BN25" s="25"/>
      <c r="BO25" s="25"/>
      <c r="BP25" s="27"/>
      <c r="BQ25" s="27"/>
      <c r="BR25" s="27"/>
      <c r="BS25" s="27"/>
      <c r="BT25" s="27"/>
      <c r="BU25" s="31">
        <v>78.3</v>
      </c>
      <c r="BV25" s="31">
        <v>78.3</v>
      </c>
      <c r="BW25" s="31">
        <v>0.5</v>
      </c>
      <c r="BX25" s="31">
        <v>78.29</v>
      </c>
      <c r="BY25" s="31">
        <v>21.5325</v>
      </c>
      <c r="BZ25" s="32"/>
      <c r="CA25" s="32"/>
      <c r="CB25" s="32"/>
      <c r="CC25" s="32"/>
      <c r="CD25" s="32"/>
      <c r="CE25" s="22">
        <v>347.7</v>
      </c>
      <c r="CF25" s="22">
        <v>211.7</v>
      </c>
      <c r="CG25" s="22">
        <v>0.8</v>
      </c>
      <c r="CH25" s="22">
        <v>255.48</v>
      </c>
      <c r="CI25" s="22">
        <v>142.6425</v>
      </c>
      <c r="CJ25" s="34"/>
      <c r="CK25" s="34"/>
      <c r="CL25" s="34"/>
      <c r="CM25" s="34"/>
      <c r="CN25" s="34"/>
      <c r="CO25" s="37">
        <v>307.1</v>
      </c>
      <c r="CP25" s="37">
        <v>265.3</v>
      </c>
      <c r="CQ25" s="37">
        <v>1.67</v>
      </c>
      <c r="CR25" s="37">
        <v>286.17</v>
      </c>
      <c r="CS25" s="37">
        <v>95.9475</v>
      </c>
      <c r="CT25" s="41">
        <v>534.1</v>
      </c>
      <c r="CU25" s="41">
        <v>0</v>
      </c>
      <c r="CV25" s="41">
        <v>1.4</v>
      </c>
      <c r="CW25" s="41">
        <v>334.53</v>
      </c>
      <c r="CX25" s="41">
        <v>220.0275</v>
      </c>
      <c r="CY25" s="42">
        <v>1393.8</v>
      </c>
      <c r="CZ25" s="42">
        <v>882.3</v>
      </c>
      <c r="DA25" s="42">
        <v>0.8</v>
      </c>
      <c r="DB25" s="42">
        <v>114.96</v>
      </c>
      <c r="DC25" s="42"/>
      <c r="DD25" s="44">
        <f>46.3*IF(J25&gt;5,7,5)+53.5</f>
        <v>285</v>
      </c>
      <c r="DE25" s="44">
        <f>29*IF(J25&gt;5,7,5)+34.8</f>
        <v>179.8</v>
      </c>
      <c r="DF25" s="44">
        <v>0</v>
      </c>
      <c r="DG25" s="44">
        <f>17.36*IF(J25&gt;5,8,6)</f>
        <v>104.16</v>
      </c>
      <c r="DH25" s="44">
        <v>0</v>
      </c>
      <c r="DI25" s="45"/>
      <c r="DJ25" s="45"/>
      <c r="DK25" s="45"/>
      <c r="DL25" s="45"/>
      <c r="DM25" s="45"/>
      <c r="DN25" s="46" t="s">
        <v>552</v>
      </c>
      <c r="DO25" s="1"/>
      <c r="DP25" s="1"/>
    </row>
    <row r="26" customHeight="1" spans="6:118">
      <c r="F26" s="1" t="s">
        <v>144</v>
      </c>
      <c r="G26" s="1" t="s">
        <v>126</v>
      </c>
      <c r="H26" s="1" t="s">
        <v>324</v>
      </c>
      <c r="I26" s="1" t="s">
        <v>529</v>
      </c>
      <c r="J26" s="6">
        <f>配装!C26</f>
        <v>6</v>
      </c>
      <c r="K26" s="12">
        <v>659</v>
      </c>
      <c r="L26" s="3"/>
      <c r="M26" s="3"/>
      <c r="N26" s="12"/>
      <c r="O26" s="12">
        <f>118+18</f>
        <v>136</v>
      </c>
      <c r="P26" s="3"/>
      <c r="Q26" s="3"/>
      <c r="R26" s="3">
        <f>-7%</f>
        <v>-0.07</v>
      </c>
      <c r="S26" s="3">
        <f>5%</f>
        <v>0.05</v>
      </c>
      <c r="T26" s="3">
        <v>0.5</v>
      </c>
      <c r="U26" s="3"/>
      <c r="V26" s="3">
        <v>-0.06</v>
      </c>
      <c r="W26" s="3"/>
      <c r="X26" s="3"/>
      <c r="Y26" s="3"/>
      <c r="Z26" s="3"/>
      <c r="AA26" s="3"/>
      <c r="AB26" s="3">
        <f>IF(J26&gt;=1,12%,0)</f>
        <v>0.12</v>
      </c>
      <c r="AC26" s="3">
        <f>IF($J26&gt;5,45%,0)</f>
        <v>0.45</v>
      </c>
      <c r="AD26" s="3">
        <f>IF($J26&gt;5,45%,0)</f>
        <v>0.45</v>
      </c>
      <c r="AE26" s="3"/>
      <c r="AF26" s="3">
        <f>IF($J26&gt;5,45%,0)</f>
        <v>0.45</v>
      </c>
      <c r="AG26" s="3"/>
      <c r="AH26" s="3"/>
      <c r="AI26" s="3"/>
      <c r="AJ26" s="3"/>
      <c r="AK26" s="3"/>
      <c r="AL26" s="3"/>
      <c r="AM26" s="3"/>
      <c r="AN26" s="3"/>
      <c r="AO26" s="3">
        <v>0</v>
      </c>
      <c r="AP26" s="3"/>
      <c r="AQ26" s="3">
        <f>64%</f>
        <v>0.64</v>
      </c>
      <c r="AR26" s="3">
        <f>64%+10%</f>
        <v>0.74</v>
      </c>
      <c r="AS26" s="3"/>
      <c r="AT26" s="15">
        <v>0.5</v>
      </c>
      <c r="AU26" s="16">
        <v>60</v>
      </c>
      <c r="AV26" s="17">
        <f>31.2+33.7+113.6</f>
        <v>178.5</v>
      </c>
      <c r="AW26" s="17">
        <f>15.6+28.7+89.6</f>
        <v>133.9</v>
      </c>
      <c r="AX26" s="17">
        <v>1.6</v>
      </c>
      <c r="AY26" s="17">
        <v>0</v>
      </c>
      <c r="AZ26" s="17">
        <f>(3.3384+6.1418+19.1744)*1.285</f>
        <v>36.821161</v>
      </c>
      <c r="BA26" s="21">
        <f>328.6</f>
        <v>328.6</v>
      </c>
      <c r="BB26" s="21">
        <f>142.4</f>
        <v>142.4</v>
      </c>
      <c r="BC26" s="21">
        <v>1.2</v>
      </c>
      <c r="BD26" s="21">
        <v>127.5</v>
      </c>
      <c r="BE26" s="21">
        <f>(30.4736)*1.285</f>
        <v>39.158576</v>
      </c>
      <c r="BF26" s="24"/>
      <c r="BG26" s="24"/>
      <c r="BH26" s="24"/>
      <c r="BI26" s="24"/>
      <c r="BJ26" s="24"/>
      <c r="BK26" s="25"/>
      <c r="BL26" s="25"/>
      <c r="BM26" s="25"/>
      <c r="BN26" s="25"/>
      <c r="BO26" s="25"/>
      <c r="BP26" s="27"/>
      <c r="BQ26" s="27"/>
      <c r="BR26" s="27"/>
      <c r="BS26" s="27"/>
      <c r="BT26" s="27"/>
      <c r="BU26" s="31">
        <v>61.7</v>
      </c>
      <c r="BV26" s="31">
        <v>61.7</v>
      </c>
      <c r="BW26" s="31">
        <v>0.8</v>
      </c>
      <c r="BX26" s="31">
        <v>61.63</v>
      </c>
      <c r="BY26" s="31">
        <f>(13.2038)*1.285</f>
        <v>16.966883</v>
      </c>
      <c r="BZ26" s="32">
        <v>93.4</v>
      </c>
      <c r="CA26" s="32">
        <f>93.4*1.64</f>
        <v>153.176</v>
      </c>
      <c r="CB26" s="32">
        <v>0.8</v>
      </c>
      <c r="CC26" s="32">
        <v>93.3</v>
      </c>
      <c r="CD26" s="32">
        <f>(19.9876)*1.285</f>
        <v>25.684066</v>
      </c>
      <c r="CE26" s="22">
        <v>583</v>
      </c>
      <c r="CF26" s="22">
        <f>481.8</f>
        <v>481.8</v>
      </c>
      <c r="CG26" s="22">
        <v>1.8</v>
      </c>
      <c r="CH26" s="22">
        <v>532.37</v>
      </c>
      <c r="CI26" s="22">
        <f>(146.4188)*1.285</f>
        <v>188.148158</v>
      </c>
      <c r="CJ26" s="34">
        <v>583</v>
      </c>
      <c r="CK26" s="34">
        <f>481.8*1.64</f>
        <v>790.152</v>
      </c>
      <c r="CL26" s="34">
        <v>1.5</v>
      </c>
      <c r="CM26" s="34">
        <v>532.37</v>
      </c>
      <c r="CN26" s="34">
        <f>(146.4188)*1.285</f>
        <v>188.148158</v>
      </c>
      <c r="CO26" s="37">
        <v>335.2</v>
      </c>
      <c r="CP26" s="37">
        <f>226.7+291.4</f>
        <v>518.1</v>
      </c>
      <c r="CQ26" s="37">
        <v>1.9</v>
      </c>
      <c r="CR26" s="37">
        <v>313.22</v>
      </c>
      <c r="CS26" s="37">
        <f>(81.0846)*1.285</f>
        <v>104.193711</v>
      </c>
      <c r="CT26" s="41">
        <v>542.4</v>
      </c>
      <c r="CU26" s="41">
        <v>0</v>
      </c>
      <c r="CV26" s="41">
        <v>1</v>
      </c>
      <c r="CW26" s="41">
        <v>342.83</v>
      </c>
      <c r="CX26" s="41">
        <f>(172.9976)*1.285</f>
        <v>222.301916</v>
      </c>
      <c r="CY26" s="42">
        <v>1512.6</v>
      </c>
      <c r="CZ26" s="42">
        <v>991.6</v>
      </c>
      <c r="DA26" s="42">
        <v>2</v>
      </c>
      <c r="DB26" s="42">
        <v>210.03</v>
      </c>
      <c r="DC26" s="42"/>
      <c r="DD26" s="44"/>
      <c r="DE26" s="44"/>
      <c r="DF26" s="44"/>
      <c r="DG26" s="44"/>
      <c r="DH26" s="44"/>
      <c r="DI26" s="45"/>
      <c r="DJ26" s="45"/>
      <c r="DK26" s="45"/>
      <c r="DL26" s="45"/>
      <c r="DM26" s="45"/>
      <c r="DN26" s="46" t="s">
        <v>553</v>
      </c>
    </row>
    <row r="27" customHeight="1" spans="6:118">
      <c r="F27" s="1" t="s">
        <v>146</v>
      </c>
      <c r="G27" s="1" t="s">
        <v>147</v>
      </c>
      <c r="H27" s="1" t="s">
        <v>334</v>
      </c>
      <c r="I27" s="1" t="s">
        <v>522</v>
      </c>
      <c r="J27" s="6">
        <f>配装!C27</f>
        <v>0</v>
      </c>
      <c r="K27" s="12">
        <v>715</v>
      </c>
      <c r="L27" s="3"/>
      <c r="M27" s="3"/>
      <c r="N27" s="12"/>
      <c r="O27" s="12">
        <v>83</v>
      </c>
      <c r="P27" s="3"/>
      <c r="Q27" s="3"/>
      <c r="R27" s="3">
        <v>-0.08</v>
      </c>
      <c r="S27" s="3">
        <f>5%</f>
        <v>0.05</v>
      </c>
      <c r="T27" s="3">
        <v>0.5</v>
      </c>
      <c r="U27" s="3"/>
      <c r="V27" s="3">
        <v>-0.07</v>
      </c>
      <c r="W27" s="3"/>
      <c r="X27" s="3"/>
      <c r="Y27" s="3"/>
      <c r="Z27" s="3"/>
      <c r="AA27" s="3">
        <v>0.36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>
        <v>0</v>
      </c>
      <c r="AP27" s="3"/>
      <c r="AQ27" s="3"/>
      <c r="AR27" s="3"/>
      <c r="AS27" s="3"/>
      <c r="AT27" s="15">
        <v>0.5</v>
      </c>
      <c r="AU27" s="16">
        <v>25</v>
      </c>
      <c r="AV27" s="17"/>
      <c r="AW27" s="17"/>
      <c r="AX27" s="17"/>
      <c r="AY27" s="17"/>
      <c r="AZ27" s="17"/>
      <c r="BA27" s="21"/>
      <c r="BB27" s="21"/>
      <c r="BC27" s="21"/>
      <c r="BD27" s="21"/>
      <c r="BE27" s="21"/>
      <c r="BF27" s="24"/>
      <c r="BG27" s="24"/>
      <c r="BH27" s="24"/>
      <c r="BI27" s="24"/>
      <c r="BJ27" s="24"/>
      <c r="BK27" s="25"/>
      <c r="BL27" s="25"/>
      <c r="BM27" s="25"/>
      <c r="BN27" s="25"/>
      <c r="BO27" s="25"/>
      <c r="BP27" s="27"/>
      <c r="BQ27" s="27"/>
      <c r="BR27" s="27"/>
      <c r="BS27" s="27"/>
      <c r="BT27" s="27"/>
      <c r="BU27" s="31"/>
      <c r="BV27" s="31"/>
      <c r="BW27" s="31"/>
      <c r="BX27" s="31"/>
      <c r="BY27" s="31"/>
      <c r="BZ27" s="32"/>
      <c r="CA27" s="32"/>
      <c r="CB27" s="32"/>
      <c r="CC27" s="32"/>
      <c r="CD27" s="32"/>
      <c r="CE27" s="22">
        <f>46*2+24*3</f>
        <v>164</v>
      </c>
      <c r="CF27" s="22">
        <v>0</v>
      </c>
      <c r="CG27" s="22">
        <v>0</v>
      </c>
      <c r="CH27" s="22">
        <f>29.77*2+10.32*3</f>
        <v>90.5</v>
      </c>
      <c r="CI27" s="22">
        <v>0</v>
      </c>
      <c r="CJ27" s="34"/>
      <c r="CK27" s="34"/>
      <c r="CL27" s="34"/>
      <c r="CM27" s="34"/>
      <c r="CN27" s="34"/>
      <c r="CO27" s="37"/>
      <c r="CP27" s="37"/>
      <c r="CQ27" s="37"/>
      <c r="CR27" s="37"/>
      <c r="CS27" s="37"/>
      <c r="CT27" s="43">
        <v>671.8</v>
      </c>
      <c r="CU27" s="41">
        <v>0</v>
      </c>
      <c r="CV27" s="41"/>
      <c r="CW27" s="41">
        <v>411.16</v>
      </c>
      <c r="CX27" s="41">
        <v>241.0925</v>
      </c>
      <c r="CY27" s="42">
        <v>1959.8</v>
      </c>
      <c r="CZ27" s="42">
        <v>238.3</v>
      </c>
      <c r="DA27" s="42"/>
      <c r="DB27" s="42">
        <v>216.63</v>
      </c>
      <c r="DC27" s="42"/>
      <c r="DD27" s="44"/>
      <c r="DE27" s="44"/>
      <c r="DF27" s="44"/>
      <c r="DG27" s="44"/>
      <c r="DH27" s="44"/>
      <c r="DI27" s="45"/>
      <c r="DJ27" s="45"/>
      <c r="DK27" s="45"/>
      <c r="DL27" s="45"/>
      <c r="DM27" s="45"/>
      <c r="DN27" s="46" t="s">
        <v>554</v>
      </c>
    </row>
    <row r="28" customHeight="1" spans="6:118">
      <c r="F28" s="1" t="s">
        <v>151</v>
      </c>
      <c r="G28" s="1" t="s">
        <v>147</v>
      </c>
      <c r="H28" s="1" t="s">
        <v>328</v>
      </c>
      <c r="I28" s="1" t="s">
        <v>524</v>
      </c>
      <c r="J28" s="6">
        <f>配装!C28</f>
        <v>6</v>
      </c>
      <c r="K28" s="12">
        <f>590+75</f>
        <v>665</v>
      </c>
      <c r="L28" s="3"/>
      <c r="M28" s="3"/>
      <c r="N28" s="12"/>
      <c r="O28" s="12">
        <v>86</v>
      </c>
      <c r="P28" s="3"/>
      <c r="Q28" s="3"/>
      <c r="R28" s="3">
        <f>-4%</f>
        <v>-0.04</v>
      </c>
      <c r="S28" s="3">
        <f>5%</f>
        <v>0.05</v>
      </c>
      <c r="T28" s="3">
        <v>0.5</v>
      </c>
      <c r="U28" s="3"/>
      <c r="V28" s="3">
        <v>-0.07</v>
      </c>
      <c r="W28" s="3"/>
      <c r="X28" s="3"/>
      <c r="Y28" s="3"/>
      <c r="Z28" s="3"/>
      <c r="AA28" s="3">
        <v>0.36</v>
      </c>
      <c r="AB28" s="3"/>
      <c r="AC28" s="3"/>
      <c r="AD28" s="3">
        <f>IF($J28&gt;=6,45%,0)</f>
        <v>0.45</v>
      </c>
      <c r="AE28" s="3"/>
      <c r="AF28" s="3">
        <f>IF($J28&gt;=6,45%,0)</f>
        <v>0.45</v>
      </c>
      <c r="AG28" s="3"/>
      <c r="AH28" s="3"/>
      <c r="AI28" s="3"/>
      <c r="AJ28" s="3"/>
      <c r="AK28" s="3"/>
      <c r="AL28" s="3"/>
      <c r="AM28" s="3"/>
      <c r="AN28" s="3"/>
      <c r="AO28" s="3">
        <v>0</v>
      </c>
      <c r="AP28" s="3"/>
      <c r="AQ28" s="3"/>
      <c r="AR28" s="3"/>
      <c r="AS28" s="3"/>
      <c r="AT28" s="15">
        <v>0.5</v>
      </c>
      <c r="AU28" s="16">
        <v>60</v>
      </c>
      <c r="AV28" s="17"/>
      <c r="AW28" s="17"/>
      <c r="AX28" s="17"/>
      <c r="AY28" s="17"/>
      <c r="AZ28" s="17"/>
      <c r="BA28" s="21">
        <f>76.6+228.5+511.4</f>
        <v>816.5</v>
      </c>
      <c r="BB28" s="21">
        <f>46.6+127.5+263.3</f>
        <v>437.4</v>
      </c>
      <c r="BC28" s="21">
        <v>4.5</v>
      </c>
      <c r="BD28" s="21">
        <f>46.57+127.43+263.21</f>
        <v>437.21</v>
      </c>
      <c r="BE28" s="21">
        <f>(9.9724+27.285+56.3462)*1.285</f>
        <v>120.280626</v>
      </c>
      <c r="BF28" s="24"/>
      <c r="BG28" s="24"/>
      <c r="BH28" s="24"/>
      <c r="BI28" s="24"/>
      <c r="BJ28" s="24"/>
      <c r="BK28" s="25">
        <v>131.5</v>
      </c>
      <c r="BL28" s="25">
        <v>80.1</v>
      </c>
      <c r="BM28" s="25">
        <v>1</v>
      </c>
      <c r="BN28" s="25">
        <v>80.03</v>
      </c>
      <c r="BO28" s="25">
        <f>(17.1414)*1.285</f>
        <v>22.026699</v>
      </c>
      <c r="BP28" s="27"/>
      <c r="BQ28" s="27"/>
      <c r="BR28" s="27"/>
      <c r="BS28" s="27"/>
      <c r="BT28" s="27"/>
      <c r="BU28" s="31">
        <v>113.4</v>
      </c>
      <c r="BV28" s="31">
        <v>113.4</v>
      </c>
      <c r="BW28" s="31">
        <v>0.77</v>
      </c>
      <c r="BX28" s="31">
        <v>113.3</v>
      </c>
      <c r="BY28" s="31">
        <f>(24.2676)*1.285</f>
        <v>31.183866</v>
      </c>
      <c r="BZ28" s="32"/>
      <c r="CA28" s="32"/>
      <c r="CB28" s="32"/>
      <c r="CC28" s="32"/>
      <c r="CD28" s="32"/>
      <c r="CE28" s="22">
        <f>(131.2+102.1)+140.1+245</f>
        <v>618.4</v>
      </c>
      <c r="CF28" s="22">
        <f>(112.9+87.9)+140.1+245</f>
        <v>585.9</v>
      </c>
      <c r="CG28" s="22">
        <v>2.1</v>
      </c>
      <c r="CH28" s="22">
        <f>(94.91+122.035)+70.01+122.5</f>
        <v>409.455</v>
      </c>
      <c r="CI28" s="22">
        <f>((24.8882+31.993)+29.9814+52.43)*1.285</f>
        <v>178.990991</v>
      </c>
      <c r="CJ28" s="34">
        <f>(131.2+102.1)*2+140.1*0.3</f>
        <v>508.63</v>
      </c>
      <c r="CK28" s="34">
        <f>(112.9+87.9)*2+140.1*0.3</f>
        <v>443.63</v>
      </c>
      <c r="CL28" s="34">
        <v>3</v>
      </c>
      <c r="CM28" s="34">
        <f>(94.91+122.035)*2+70.01*0.3</f>
        <v>454.893</v>
      </c>
      <c r="CN28" s="34">
        <f>((24.8882+31.993)*2+29.9814)*1.285</f>
        <v>184.710783</v>
      </c>
      <c r="CO28" s="37">
        <v>377.2</v>
      </c>
      <c r="CP28" s="37">
        <f>246.7+330.4</f>
        <v>577.1</v>
      </c>
      <c r="CQ28" s="37">
        <v>2.7</v>
      </c>
      <c r="CR28" s="37">
        <v>113.3</v>
      </c>
      <c r="CS28" s="37">
        <f>(63.4938)*1.285</f>
        <v>81.589533</v>
      </c>
      <c r="CT28" s="41">
        <v>745.8</v>
      </c>
      <c r="CU28" s="41">
        <v>0</v>
      </c>
      <c r="CV28" s="41">
        <v>3.6</v>
      </c>
      <c r="CW28" s="41">
        <v>546.2</v>
      </c>
      <c r="CX28" s="41">
        <f>(216.5252)*1.285</f>
        <v>278.234882</v>
      </c>
      <c r="CY28" s="42">
        <v>1989.8</v>
      </c>
      <c r="CZ28" s="42">
        <v>376.8</v>
      </c>
      <c r="DA28" s="42">
        <v>3.55</v>
      </c>
      <c r="DB28" s="42">
        <v>376.7</v>
      </c>
      <c r="DC28" s="42"/>
      <c r="DD28" s="44"/>
      <c r="DE28" s="44"/>
      <c r="DF28" s="44"/>
      <c r="DG28" s="44"/>
      <c r="DH28" s="44"/>
      <c r="DI28" s="45"/>
      <c r="DJ28" s="45"/>
      <c r="DK28" s="45"/>
      <c r="DL28" s="45"/>
      <c r="DM28" s="45"/>
      <c r="DN28" s="46" t="s">
        <v>555</v>
      </c>
    </row>
    <row r="29" customHeight="1" spans="6:118">
      <c r="F29" s="1" t="s">
        <v>154</v>
      </c>
      <c r="G29" s="1" t="s">
        <v>147</v>
      </c>
      <c r="H29" s="1" t="s">
        <v>324</v>
      </c>
      <c r="I29" s="1" t="s">
        <v>527</v>
      </c>
      <c r="J29" s="6">
        <f>配装!C29</f>
        <v>0</v>
      </c>
      <c r="K29" s="12">
        <f>642+75</f>
        <v>717</v>
      </c>
      <c r="L29" s="3"/>
      <c r="M29" s="3"/>
      <c r="N29" s="12"/>
      <c r="O29" s="12">
        <v>83</v>
      </c>
      <c r="P29" s="3"/>
      <c r="Q29" s="3"/>
      <c r="R29" s="3">
        <f>-8%</f>
        <v>-0.08</v>
      </c>
      <c r="S29" s="3">
        <f t="shared" ref="S29:S35" si="10">5%</f>
        <v>0.05</v>
      </c>
      <c r="T29" s="3">
        <v>0.5</v>
      </c>
      <c r="U29" s="3">
        <f>4.8%*3</f>
        <v>0.144</v>
      </c>
      <c r="V29" s="3">
        <v>-0.07</v>
      </c>
      <c r="W29" s="3"/>
      <c r="X29" s="3"/>
      <c r="Y29" s="3"/>
      <c r="Z29" s="3"/>
      <c r="AA29" s="3"/>
      <c r="AB29" s="3"/>
      <c r="AC29" s="3"/>
      <c r="AD29" s="3">
        <f t="shared" ref="AD29:AL29" si="11">IF($J29&gt;=6,15%,0)</f>
        <v>0</v>
      </c>
      <c r="AE29" s="3">
        <f t="shared" si="11"/>
        <v>0</v>
      </c>
      <c r="AF29" s="3">
        <f t="shared" si="11"/>
        <v>0</v>
      </c>
      <c r="AG29" s="3">
        <f t="shared" si="11"/>
        <v>0</v>
      </c>
      <c r="AH29" s="3">
        <f t="shared" si="11"/>
        <v>0</v>
      </c>
      <c r="AI29" s="3">
        <f t="shared" si="11"/>
        <v>0</v>
      </c>
      <c r="AJ29" s="3">
        <f t="shared" si="11"/>
        <v>0</v>
      </c>
      <c r="AK29" s="3">
        <f t="shared" si="11"/>
        <v>0</v>
      </c>
      <c r="AL29" s="3">
        <f t="shared" si="11"/>
        <v>0</v>
      </c>
      <c r="AM29" s="3"/>
      <c r="AN29" s="3"/>
      <c r="AO29" s="3">
        <v>0</v>
      </c>
      <c r="AP29" s="3"/>
      <c r="AQ29" s="3"/>
      <c r="AR29" s="3"/>
      <c r="AS29" s="3"/>
      <c r="AT29" s="15">
        <v>0.5</v>
      </c>
      <c r="AU29" s="16">
        <v>60</v>
      </c>
      <c r="AV29" s="17"/>
      <c r="AW29" s="17"/>
      <c r="AX29" s="17"/>
      <c r="AY29" s="17"/>
      <c r="AZ29" s="17"/>
      <c r="BA29" s="21"/>
      <c r="BB29" s="21"/>
      <c r="BC29" s="21"/>
      <c r="BD29" s="21"/>
      <c r="BE29" s="21"/>
      <c r="BF29" s="24"/>
      <c r="BG29" s="24"/>
      <c r="BH29" s="24"/>
      <c r="BI29" s="24"/>
      <c r="BJ29" s="24"/>
      <c r="BK29" s="25"/>
      <c r="BL29" s="25"/>
      <c r="BM29" s="25"/>
      <c r="BN29" s="25"/>
      <c r="BO29" s="25"/>
      <c r="BP29" s="27"/>
      <c r="BQ29" s="27"/>
      <c r="BR29" s="27"/>
      <c r="BS29" s="27"/>
      <c r="BT29" s="27"/>
      <c r="BU29" s="31"/>
      <c r="BV29" s="31"/>
      <c r="BW29" s="31"/>
      <c r="BX29" s="31"/>
      <c r="BY29" s="31"/>
      <c r="BZ29" s="32"/>
      <c r="CA29" s="32"/>
      <c r="CB29" s="32"/>
      <c r="CC29" s="32"/>
      <c r="CD29" s="32"/>
      <c r="CE29" s="22">
        <v>546</v>
      </c>
      <c r="CF29" s="22">
        <v>444.5</v>
      </c>
      <c r="CG29" s="22">
        <v>1.1</v>
      </c>
      <c r="CH29" s="22">
        <v>471.62</v>
      </c>
      <c r="CI29" s="22">
        <f>(89.1738)*1.285</f>
        <v>114.588333</v>
      </c>
      <c r="CJ29" s="34"/>
      <c r="CK29" s="34"/>
      <c r="CL29" s="34"/>
      <c r="CM29" s="34"/>
      <c r="CN29" s="34"/>
      <c r="CO29" s="37">
        <v>310.92</v>
      </c>
      <c r="CP29" s="37">
        <v>303.6</v>
      </c>
      <c r="CQ29" s="37">
        <v>1.3</v>
      </c>
      <c r="CR29" s="37">
        <v>310.92</v>
      </c>
      <c r="CS29" s="37">
        <f>(80.5496)*1.285</f>
        <v>103.506236</v>
      </c>
      <c r="CT29" s="41">
        <v>1013</v>
      </c>
      <c r="CU29" s="41">
        <v>0</v>
      </c>
      <c r="CV29" s="41">
        <v>1.5</v>
      </c>
      <c r="CW29" s="41">
        <v>366.2</v>
      </c>
      <c r="CX29" s="41">
        <f>(178.0052)*1.285</f>
        <v>228.736682</v>
      </c>
      <c r="CY29" s="42">
        <v>2116.7</v>
      </c>
      <c r="CZ29" s="42">
        <v>113.8</v>
      </c>
      <c r="DA29" s="42">
        <v>0.9</v>
      </c>
      <c r="DB29" s="42">
        <v>108.37</v>
      </c>
      <c r="DC29" s="42"/>
      <c r="DD29" s="44"/>
      <c r="DE29" s="44"/>
      <c r="DF29" s="44"/>
      <c r="DG29" s="44"/>
      <c r="DH29" s="44"/>
      <c r="DI29" s="45"/>
      <c r="DJ29" s="45"/>
      <c r="DK29" s="45"/>
      <c r="DL29" s="45"/>
      <c r="DM29" s="45"/>
      <c r="DN29" s="46" t="s">
        <v>556</v>
      </c>
    </row>
    <row r="30" customHeight="1" spans="6:118">
      <c r="F30" s="1" t="s">
        <v>157</v>
      </c>
      <c r="G30" s="1" t="s">
        <v>147</v>
      </c>
      <c r="H30" s="1" t="s">
        <v>334</v>
      </c>
      <c r="I30" s="1" t="s">
        <v>529</v>
      </c>
      <c r="J30" s="6">
        <f>配装!C30</f>
        <v>6</v>
      </c>
      <c r="K30" s="12">
        <v>649</v>
      </c>
      <c r="L30" s="3"/>
      <c r="M30" s="3"/>
      <c r="N30" s="12"/>
      <c r="O30" s="12">
        <v>88</v>
      </c>
      <c r="P30" s="3"/>
      <c r="Q30" s="3"/>
      <c r="R30" s="3">
        <v>-0.07</v>
      </c>
      <c r="S30" s="3">
        <f t="shared" si="10"/>
        <v>0.05</v>
      </c>
      <c r="T30" s="3">
        <v>0.5</v>
      </c>
      <c r="U30" s="3"/>
      <c r="V30" s="3">
        <v>-0.1</v>
      </c>
      <c r="W30" s="3"/>
      <c r="X30" s="3">
        <f>IF(J30&gt;=1,16%,0)</f>
        <v>0.16</v>
      </c>
      <c r="Y30" s="3"/>
      <c r="Z30" s="3"/>
      <c r="AA30" s="3">
        <v>0.36</v>
      </c>
      <c r="AB30" s="3"/>
      <c r="AC30" s="3"/>
      <c r="AD30" s="3"/>
      <c r="AE30" s="3"/>
      <c r="AF30" s="3"/>
      <c r="AG30" s="3"/>
      <c r="AH30" s="3"/>
      <c r="AI30" s="3">
        <f>IF(J30&gt;=1,16%,0)</f>
        <v>0.16</v>
      </c>
      <c r="AJ30" s="3"/>
      <c r="AK30" s="3"/>
      <c r="AL30" s="3"/>
      <c r="AM30" s="3"/>
      <c r="AN30" s="3"/>
      <c r="AO30" s="3">
        <v>0.16</v>
      </c>
      <c r="AP30" s="3"/>
      <c r="AQ30" s="3"/>
      <c r="AR30" s="3"/>
      <c r="AS30" s="3"/>
      <c r="AT30" s="15">
        <v>0.5</v>
      </c>
      <c r="AU30" s="16">
        <v>60</v>
      </c>
      <c r="AV30" s="17"/>
      <c r="AW30" s="17"/>
      <c r="AX30" s="17"/>
      <c r="AY30" s="17"/>
      <c r="AZ30" s="17"/>
      <c r="BA30" s="21"/>
      <c r="BB30" s="21"/>
      <c r="BC30" s="21"/>
      <c r="BD30" s="21"/>
      <c r="BE30" s="21"/>
      <c r="BF30" s="24"/>
      <c r="BG30" s="24"/>
      <c r="BH30" s="24"/>
      <c r="BI30" s="24"/>
      <c r="BJ30" s="24"/>
      <c r="BK30" s="25"/>
      <c r="BL30" s="25"/>
      <c r="BM30" s="25"/>
      <c r="BN30" s="25"/>
      <c r="BO30" s="25"/>
      <c r="BP30" s="27"/>
      <c r="BQ30" s="27"/>
      <c r="BR30" s="27"/>
      <c r="BS30" s="27"/>
      <c r="BT30" s="27"/>
      <c r="BU30" s="31"/>
      <c r="BV30" s="31"/>
      <c r="BW30" s="31"/>
      <c r="BX30" s="31"/>
      <c r="BY30" s="31"/>
      <c r="BZ30" s="32"/>
      <c r="CA30" s="32"/>
      <c r="CB30" s="32"/>
      <c r="CC30" s="32"/>
      <c r="CD30" s="32"/>
      <c r="CE30" s="22">
        <f>107.5+387</f>
        <v>494.5</v>
      </c>
      <c r="CF30" s="22">
        <f>89.9+323.6</f>
        <v>413.5</v>
      </c>
      <c r="CG30" s="22">
        <v>1.2</v>
      </c>
      <c r="CH30" s="22">
        <f>98.67+394.71</f>
        <v>493.38</v>
      </c>
      <c r="CI30" s="22">
        <f>(26.7714+107.0856)*1.285</f>
        <v>172.006245</v>
      </c>
      <c r="CJ30" s="34">
        <f>215+107.5+387</f>
        <v>709.5</v>
      </c>
      <c r="CK30" s="34">
        <f>179.8+89.9+323.6</f>
        <v>593.3</v>
      </c>
      <c r="CL30" s="34">
        <v>2.4</v>
      </c>
      <c r="CM30" s="34">
        <f>197.35+98.67+394.71</f>
        <v>690.73</v>
      </c>
      <c r="CN30" s="34">
        <f>(53.5428+26.7714+107.0856)*1.285</f>
        <v>240.808743</v>
      </c>
      <c r="CO30" s="37">
        <v>377.1</v>
      </c>
      <c r="CP30" s="37">
        <f>246.7+330.3</f>
        <v>577</v>
      </c>
      <c r="CQ30" s="37">
        <v>2</v>
      </c>
      <c r="CR30" s="37">
        <v>353.67</v>
      </c>
      <c r="CS30" s="37">
        <f>(90.7146)*1.285</f>
        <v>116.568261</v>
      </c>
      <c r="CT30" s="41">
        <f>104.8+283</f>
        <v>387.8</v>
      </c>
      <c r="CU30" s="41">
        <v>0</v>
      </c>
      <c r="CV30" s="41">
        <v>0.6</v>
      </c>
      <c r="CW30" s="41">
        <f>64.89+194.69</f>
        <v>259.58</v>
      </c>
      <c r="CX30" s="41">
        <f>(33.812+101.436)*1.285</f>
        <v>173.79368</v>
      </c>
      <c r="CY30" s="42">
        <f>646.8+873.2</f>
        <v>1520</v>
      </c>
      <c r="CZ30" s="42">
        <f>36+48.6</f>
        <v>84.6</v>
      </c>
      <c r="DA30" s="42">
        <v>0</v>
      </c>
      <c r="DB30" s="42">
        <f>35.99+53.99</f>
        <v>89.98</v>
      </c>
      <c r="DC30" s="42"/>
      <c r="DD30" s="44"/>
      <c r="DE30" s="44"/>
      <c r="DF30" s="44"/>
      <c r="DG30" s="44"/>
      <c r="DH30" s="44"/>
      <c r="DI30" s="45"/>
      <c r="DJ30" s="45"/>
      <c r="DK30" s="45"/>
      <c r="DL30" s="45"/>
      <c r="DM30" s="45"/>
      <c r="DN30" s="46" t="s">
        <v>557</v>
      </c>
    </row>
    <row r="31" customHeight="1" spans="6:118">
      <c r="F31" s="1" t="s">
        <v>159</v>
      </c>
      <c r="G31" s="1" t="s">
        <v>147</v>
      </c>
      <c r="H31" s="1" t="s">
        <v>331</v>
      </c>
      <c r="I31" s="1" t="s">
        <v>539</v>
      </c>
      <c r="J31" s="6">
        <f>配装!C31</f>
        <v>6</v>
      </c>
      <c r="K31" s="12">
        <f>583+75</f>
        <v>658</v>
      </c>
      <c r="L31" s="3"/>
      <c r="M31" s="3"/>
      <c r="N31" s="12"/>
      <c r="O31" s="12">
        <v>86</v>
      </c>
      <c r="P31" s="3"/>
      <c r="Q31" s="3"/>
      <c r="R31" s="3">
        <v>-0.07</v>
      </c>
      <c r="S31" s="3">
        <f t="shared" si="10"/>
        <v>0.05</v>
      </c>
      <c r="T31" s="3">
        <v>0.5</v>
      </c>
      <c r="U31" s="3"/>
      <c r="V31" s="3">
        <v>-0.06</v>
      </c>
      <c r="W31" s="3"/>
      <c r="X31" s="3"/>
      <c r="Y31" s="3"/>
      <c r="Z31" s="3"/>
      <c r="AA31" s="3">
        <v>0.36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>
        <v>0</v>
      </c>
      <c r="AP31" s="3"/>
      <c r="AQ31" s="3"/>
      <c r="AR31" s="3"/>
      <c r="AS31" s="3"/>
      <c r="AT31" s="15">
        <v>0.5</v>
      </c>
      <c r="AU31" s="16">
        <v>60</v>
      </c>
      <c r="AV31" s="17"/>
      <c r="AW31" s="17"/>
      <c r="AX31" s="17"/>
      <c r="AY31" s="17"/>
      <c r="AZ31" s="17"/>
      <c r="BA31" s="21"/>
      <c r="BB31" s="21"/>
      <c r="BC31" s="21"/>
      <c r="BD31" s="21"/>
      <c r="BE31" s="21"/>
      <c r="BF31" s="24"/>
      <c r="BG31" s="24"/>
      <c r="BH31" s="24"/>
      <c r="BI31" s="24"/>
      <c r="BJ31" s="24"/>
      <c r="BK31" s="25"/>
      <c r="BL31" s="25"/>
      <c r="BM31" s="25"/>
      <c r="BN31" s="25"/>
      <c r="BO31" s="25"/>
      <c r="BP31" s="27"/>
      <c r="BQ31" s="27"/>
      <c r="BR31" s="27"/>
      <c r="BS31" s="27"/>
      <c r="BT31" s="27"/>
      <c r="BU31" s="31"/>
      <c r="BV31" s="31"/>
      <c r="BW31" s="31"/>
      <c r="BX31" s="31"/>
      <c r="BY31" s="31"/>
      <c r="BZ31" s="32"/>
      <c r="CA31" s="32"/>
      <c r="CB31" s="32"/>
      <c r="CC31" s="32"/>
      <c r="CD31" s="32"/>
      <c r="CE31" s="22">
        <v>508.4</v>
      </c>
      <c r="CF31" s="22">
        <f>364.6</f>
        <v>364.6</v>
      </c>
      <c r="CG31" s="22">
        <v>1.3</v>
      </c>
      <c r="CH31" s="22">
        <v>335.41</v>
      </c>
      <c r="CI31" s="22">
        <f>(129.2988)*1.285</f>
        <v>166.148958</v>
      </c>
      <c r="CJ31" s="34">
        <f>536.4</f>
        <v>536.4</v>
      </c>
      <c r="CK31" s="34">
        <f>389.6</f>
        <v>389.6</v>
      </c>
      <c r="CL31" s="34">
        <v>0.7</v>
      </c>
      <c r="CM31" s="34">
        <v>342.41</v>
      </c>
      <c r="CN31" s="34">
        <f>(135.7188)*1.285</f>
        <v>174.398658</v>
      </c>
      <c r="CO31" s="37">
        <v>349.1</v>
      </c>
      <c r="CP31" s="37">
        <v>304.3</v>
      </c>
      <c r="CQ31" s="37">
        <v>2.1</v>
      </c>
      <c r="CR31" s="37">
        <v>326.67</v>
      </c>
      <c r="CS31" s="37">
        <f>(84.2946)*1.285</f>
        <v>108.318561</v>
      </c>
      <c r="CT31" s="41">
        <v>492.4</v>
      </c>
      <c r="CU31" s="41">
        <v>0</v>
      </c>
      <c r="CV31" s="41">
        <v>1.1</v>
      </c>
      <c r="CW31" s="41">
        <v>292.8</v>
      </c>
      <c r="CX31" s="41">
        <f>(162.2976)*1.285</f>
        <v>208.552416</v>
      </c>
      <c r="CY31" s="42">
        <v>1718.6</v>
      </c>
      <c r="CZ31" s="42">
        <v>283.5</v>
      </c>
      <c r="DA31" s="42">
        <v>0.8</v>
      </c>
      <c r="DB31" s="42">
        <v>315</v>
      </c>
      <c r="DC31" s="42"/>
      <c r="DD31" s="44"/>
      <c r="DE31" s="44"/>
      <c r="DF31" s="44"/>
      <c r="DG31" s="44"/>
      <c r="DH31" s="44"/>
      <c r="DI31" s="45"/>
      <c r="DJ31" s="45"/>
      <c r="DK31" s="45"/>
      <c r="DL31" s="45"/>
      <c r="DM31" s="45"/>
      <c r="DN31" s="46" t="s">
        <v>558</v>
      </c>
    </row>
    <row r="32" customHeight="1" spans="6:118">
      <c r="F32" s="1" t="s">
        <v>161</v>
      </c>
      <c r="G32" s="1" t="s">
        <v>147</v>
      </c>
      <c r="H32" s="1" t="s">
        <v>338</v>
      </c>
      <c r="I32" s="1" t="s">
        <v>539</v>
      </c>
      <c r="J32" s="6">
        <f>配装!C32</f>
        <v>6</v>
      </c>
      <c r="K32" s="12">
        <f>583+75</f>
        <v>658</v>
      </c>
      <c r="L32" s="3"/>
      <c r="M32" s="3"/>
      <c r="N32" s="12">
        <v>600</v>
      </c>
      <c r="O32" s="12">
        <v>86</v>
      </c>
      <c r="P32" s="3"/>
      <c r="Q32" s="3"/>
      <c r="R32" s="3">
        <v>-0.07</v>
      </c>
      <c r="S32" s="3">
        <f t="shared" si="10"/>
        <v>0.05</v>
      </c>
      <c r="T32" s="3">
        <v>0.5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>
        <v>0</v>
      </c>
      <c r="AP32" s="3"/>
      <c r="AQ32" s="3"/>
      <c r="AR32" s="3"/>
      <c r="AS32" s="3"/>
      <c r="AT32" s="15">
        <v>0.5</v>
      </c>
      <c r="AU32" s="16"/>
      <c r="AV32" s="17">
        <f>92.5+127.5+175</f>
        <v>395</v>
      </c>
      <c r="AW32" s="17">
        <f>15.5+21.3+29.2</f>
        <v>66</v>
      </c>
      <c r="AX32" s="17">
        <f>(3+5+8)/3</f>
        <v>5.33333333333333</v>
      </c>
      <c r="AY32" s="17"/>
      <c r="AZ32" s="17"/>
      <c r="BA32" s="21"/>
      <c r="BB32" s="21"/>
      <c r="BC32" s="21"/>
      <c r="BD32" s="21"/>
      <c r="BE32" s="21"/>
      <c r="BF32" s="24"/>
      <c r="BG32" s="24"/>
      <c r="BH32" s="24"/>
      <c r="BI32" s="24"/>
      <c r="BJ32" s="24"/>
      <c r="BK32" s="25"/>
      <c r="BL32" s="25"/>
      <c r="BM32" s="25"/>
      <c r="BN32" s="25"/>
      <c r="BO32" s="25"/>
      <c r="BP32" s="27"/>
      <c r="BQ32" s="27"/>
      <c r="BR32" s="27"/>
      <c r="BS32" s="27"/>
      <c r="BT32" s="27"/>
      <c r="BU32" s="31">
        <f>300/1.909</f>
        <v>157.150340492404</v>
      </c>
      <c r="BV32" s="31">
        <f>41.7/1.4556</f>
        <v>28.6479802143446</v>
      </c>
      <c r="BW32" s="31">
        <v>0</v>
      </c>
      <c r="BX32" s="31">
        <v>41.66</v>
      </c>
      <c r="BY32" s="31">
        <v>0</v>
      </c>
      <c r="BZ32" s="32"/>
      <c r="CA32" s="32"/>
      <c r="CB32" s="32"/>
      <c r="CC32" s="32"/>
      <c r="CD32" s="32"/>
      <c r="CE32" s="22">
        <f>250*3</f>
        <v>750</v>
      </c>
      <c r="CF32" s="22">
        <f>20*3</f>
        <v>60</v>
      </c>
      <c r="CG32" s="22">
        <v>4</v>
      </c>
      <c r="CH32" s="22"/>
      <c r="CI32" s="22"/>
      <c r="CJ32" s="34"/>
      <c r="CK32" s="34"/>
      <c r="CL32" s="34"/>
      <c r="CM32" s="34"/>
      <c r="CN32" s="34"/>
      <c r="CO32" s="37"/>
      <c r="CP32" s="37"/>
      <c r="CQ32" s="37"/>
      <c r="CR32" s="37"/>
      <c r="CS32" s="37"/>
      <c r="CT32" s="41"/>
      <c r="CU32" s="41"/>
      <c r="CV32" s="41"/>
      <c r="CW32" s="41"/>
      <c r="CX32" s="41"/>
      <c r="CY32" s="42"/>
      <c r="CZ32" s="42"/>
      <c r="DA32" s="42"/>
      <c r="DB32" s="42"/>
      <c r="DC32" s="42"/>
      <c r="DD32" s="44"/>
      <c r="DE32" s="44"/>
      <c r="DF32" s="44"/>
      <c r="DG32" s="44"/>
      <c r="DH32" s="44"/>
      <c r="DI32" s="45"/>
      <c r="DJ32" s="45"/>
      <c r="DK32" s="45"/>
      <c r="DL32" s="45"/>
      <c r="DM32" s="45"/>
      <c r="DN32" s="46"/>
    </row>
    <row r="33" customHeight="1" spans="6:118">
      <c r="F33" s="1" t="s">
        <v>162</v>
      </c>
      <c r="G33" s="1" t="s">
        <v>163</v>
      </c>
      <c r="H33" s="1" t="s">
        <v>320</v>
      </c>
      <c r="I33" s="1" t="s">
        <v>539</v>
      </c>
      <c r="J33" s="6">
        <f>配装!C33</f>
        <v>0</v>
      </c>
      <c r="K33" s="12">
        <v>712</v>
      </c>
      <c r="L33" s="3"/>
      <c r="M33" s="3"/>
      <c r="N33" s="12"/>
      <c r="O33" s="12">
        <v>123</v>
      </c>
      <c r="P33" s="3"/>
      <c r="Q33" s="3">
        <v>0.2</v>
      </c>
      <c r="R33" s="3">
        <v>-0.13</v>
      </c>
      <c r="S33" s="3">
        <f t="shared" si="10"/>
        <v>0.05</v>
      </c>
      <c r="T33" s="3">
        <v>0.5</v>
      </c>
      <c r="U33" s="3"/>
      <c r="V33" s="3">
        <v>-0.1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>
        <v>0</v>
      </c>
      <c r="AP33" s="3"/>
      <c r="AQ33" s="3"/>
      <c r="AR33" s="3"/>
      <c r="AS33" s="3"/>
      <c r="AT33" s="15">
        <v>0.5</v>
      </c>
      <c r="AU33" s="16">
        <v>40</v>
      </c>
      <c r="AV33" s="17"/>
      <c r="AW33" s="17"/>
      <c r="AX33" s="17"/>
      <c r="AY33" s="17"/>
      <c r="AZ33" s="17"/>
      <c r="BA33" s="21"/>
      <c r="BB33" s="21"/>
      <c r="BC33" s="21"/>
      <c r="BD33" s="21"/>
      <c r="BE33" s="21"/>
      <c r="BF33" s="24">
        <f>47.2+126.3</f>
        <v>173.5</v>
      </c>
      <c r="BG33" s="24">
        <f>21.3+93.2</f>
        <v>114.5</v>
      </c>
      <c r="BH33" s="24">
        <v>1.1</v>
      </c>
      <c r="BI33" s="24">
        <f>21.42+94.1</f>
        <v>115.52</v>
      </c>
      <c r="BJ33" s="26">
        <f>(4.601+20.1588)*1.285</f>
        <v>31.816343</v>
      </c>
      <c r="BK33" s="25"/>
      <c r="BL33" s="25"/>
      <c r="BM33" s="25"/>
      <c r="BN33" s="25"/>
      <c r="BO33" s="25"/>
      <c r="BP33" s="27"/>
      <c r="BQ33" s="27"/>
      <c r="BR33" s="27"/>
      <c r="BS33" s="27"/>
      <c r="BT33" s="27"/>
      <c r="BU33" s="31"/>
      <c r="BV33" s="31"/>
      <c r="BW33" s="31"/>
      <c r="BX33" s="31"/>
      <c r="BY33" s="31"/>
      <c r="BZ33" s="32"/>
      <c r="CA33" s="32"/>
      <c r="CB33" s="32"/>
      <c r="CC33" s="32"/>
      <c r="CD33" s="32"/>
      <c r="CE33" s="22">
        <v>387.2</v>
      </c>
      <c r="CF33" s="22">
        <v>252.6</v>
      </c>
      <c r="CG33" s="22">
        <v>0.8</v>
      </c>
      <c r="CH33" s="22">
        <v>249.11</v>
      </c>
      <c r="CI33" s="22">
        <f>(65.8478)*1.285</f>
        <v>84.614423</v>
      </c>
      <c r="CJ33" s="34">
        <v>425.7</v>
      </c>
      <c r="CK33" s="34">
        <v>288.4</v>
      </c>
      <c r="CL33" s="34">
        <v>1</v>
      </c>
      <c r="CM33" s="34">
        <v>282.87</v>
      </c>
      <c r="CN33" s="34">
        <f>(73.8728)*1.285</f>
        <v>94.926548</v>
      </c>
      <c r="CO33" s="37">
        <v>407.2</v>
      </c>
      <c r="CP33" s="37">
        <f>271.3+356.3</f>
        <v>627.6</v>
      </c>
      <c r="CQ33" s="37">
        <v>2.5</v>
      </c>
      <c r="CR33" s="38">
        <v>346.97</v>
      </c>
      <c r="CS33" s="37">
        <f>(89.1096)*1.285</f>
        <v>114.505836</v>
      </c>
      <c r="CT33" s="41">
        <v>638.8</v>
      </c>
      <c r="CU33" s="41">
        <v>0</v>
      </c>
      <c r="CV33" s="41">
        <v>1.7</v>
      </c>
      <c r="CW33" s="41">
        <v>381.16</v>
      </c>
      <c r="CX33" s="41">
        <f>(181.1938)*1.285</f>
        <v>232.834033</v>
      </c>
      <c r="CY33" s="42">
        <v>2012.3</v>
      </c>
      <c r="CZ33" s="42">
        <v>278.7</v>
      </c>
      <c r="DA33" s="42">
        <v>2.6</v>
      </c>
      <c r="DB33" s="42">
        <v>253.29</v>
      </c>
      <c r="DC33" s="42"/>
      <c r="DD33" s="44"/>
      <c r="DE33" s="44"/>
      <c r="DF33" s="44"/>
      <c r="DG33" s="44"/>
      <c r="DH33" s="44"/>
      <c r="DI33" s="45"/>
      <c r="DJ33" s="45"/>
      <c r="DK33" s="45"/>
      <c r="DL33" s="45"/>
      <c r="DM33" s="45"/>
      <c r="DN33" s="46" t="s">
        <v>559</v>
      </c>
    </row>
    <row r="34" customHeight="1" spans="6:118">
      <c r="F34" s="1" t="s">
        <v>166</v>
      </c>
      <c r="G34" s="1" t="s">
        <v>163</v>
      </c>
      <c r="H34" s="1" t="s">
        <v>324</v>
      </c>
      <c r="I34" s="1" t="s">
        <v>525</v>
      </c>
      <c r="J34" s="6">
        <f>配装!C34</f>
        <v>6</v>
      </c>
      <c r="K34" s="12">
        <v>643</v>
      </c>
      <c r="L34" s="3"/>
      <c r="M34" s="3"/>
      <c r="N34" s="12"/>
      <c r="O34" s="12">
        <v>94</v>
      </c>
      <c r="P34" s="3"/>
      <c r="Q34" s="3"/>
      <c r="R34" s="3">
        <v>-0.14</v>
      </c>
      <c r="S34" s="3">
        <f t="shared" si="10"/>
        <v>0.05</v>
      </c>
      <c r="T34" s="3">
        <v>0.5</v>
      </c>
      <c r="U34" s="3"/>
      <c r="V34" s="3">
        <v>-0.1</v>
      </c>
      <c r="W34" s="3">
        <f>IF(J34&gt;=2,35%,0)</f>
        <v>0.35</v>
      </c>
      <c r="X34" s="3"/>
      <c r="Y34" s="3"/>
      <c r="Z34" s="3"/>
      <c r="AA34" s="3">
        <v>0.36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>
        <v>0</v>
      </c>
      <c r="AP34" s="3"/>
      <c r="AQ34" s="3"/>
      <c r="AR34" s="3"/>
      <c r="AS34" s="3"/>
      <c r="AT34" s="15">
        <v>0.5</v>
      </c>
      <c r="AU34" s="16">
        <v>80</v>
      </c>
      <c r="AV34" s="17"/>
      <c r="AW34" s="17"/>
      <c r="AX34" s="17"/>
      <c r="AY34" s="17"/>
      <c r="AZ34" s="17"/>
      <c r="BA34" s="21">
        <f>382.8+424.2</f>
        <v>807</v>
      </c>
      <c r="BB34" s="21">
        <f>161.7+145.5</f>
        <v>307.2</v>
      </c>
      <c r="BC34" s="21">
        <v>2.3</v>
      </c>
      <c r="BD34" s="21">
        <f>161.68*1.35</f>
        <v>218.268</v>
      </c>
      <c r="BE34" s="21">
        <f>(34.6038+28.3122)*1.285</f>
        <v>80.84706</v>
      </c>
      <c r="BF34" s="24"/>
      <c r="BG34" s="24"/>
      <c r="BH34" s="24"/>
      <c r="BI34" s="24"/>
      <c r="BJ34" s="24"/>
      <c r="BK34" s="25"/>
      <c r="BL34" s="25"/>
      <c r="BM34" s="25"/>
      <c r="BN34" s="25"/>
      <c r="BO34" s="25"/>
      <c r="BP34" s="27"/>
      <c r="BQ34" s="27"/>
      <c r="BR34" s="27"/>
      <c r="BS34" s="27"/>
      <c r="BT34" s="27"/>
      <c r="BU34" s="31"/>
      <c r="BV34" s="31"/>
      <c r="BW34" s="31"/>
      <c r="BX34" s="31"/>
      <c r="BY34" s="31"/>
      <c r="BZ34" s="32"/>
      <c r="CA34" s="32"/>
      <c r="CB34" s="32"/>
      <c r="CC34" s="32"/>
      <c r="CD34" s="32"/>
      <c r="CE34" s="22">
        <v>646</v>
      </c>
      <c r="CF34" s="22">
        <v>540.4</v>
      </c>
      <c r="CG34" s="22">
        <v>2</v>
      </c>
      <c r="CH34" s="22">
        <v>593.16</v>
      </c>
      <c r="CI34" s="22">
        <f>(160.8638)*1.285</f>
        <v>206.709983</v>
      </c>
      <c r="CJ34" s="34"/>
      <c r="CK34" s="34"/>
      <c r="CL34" s="34"/>
      <c r="CM34" s="34"/>
      <c r="CN34" s="34"/>
      <c r="CO34" s="37">
        <v>428.5</v>
      </c>
      <c r="CP34" s="37">
        <f>246.7*IF(J34&gt;=4,1.25,1)+378</f>
        <v>686.375</v>
      </c>
      <c r="CQ34" s="37">
        <v>1.8</v>
      </c>
      <c r="CR34" s="37">
        <v>403.22</v>
      </c>
      <c r="CS34" s="37">
        <f>(102.4846)*1.285</f>
        <v>131.692711</v>
      </c>
      <c r="CT34" s="41">
        <v>704.1</v>
      </c>
      <c r="CU34" s="41">
        <v>0</v>
      </c>
      <c r="CV34" s="41">
        <v>2.9</v>
      </c>
      <c r="CW34" s="41">
        <v>504.53</v>
      </c>
      <c r="CX34" s="41">
        <f>(207.6014)*1.285</f>
        <v>266.767799</v>
      </c>
      <c r="CY34" s="42">
        <v>2024.3</v>
      </c>
      <c r="CZ34" s="42">
        <v>403.3</v>
      </c>
      <c r="DA34" s="42">
        <v>3.3</v>
      </c>
      <c r="DB34" s="42">
        <v>403.29</v>
      </c>
      <c r="DC34" s="42"/>
      <c r="DD34" s="44"/>
      <c r="DE34" s="44"/>
      <c r="DF34" s="44"/>
      <c r="DG34" s="44"/>
      <c r="DH34" s="44"/>
      <c r="DI34" s="45"/>
      <c r="DJ34" s="45"/>
      <c r="DK34" s="45"/>
      <c r="DL34" s="45"/>
      <c r="DM34" s="45"/>
      <c r="DN34" s="46" t="s">
        <v>560</v>
      </c>
    </row>
    <row r="35" customHeight="1" spans="6:117">
      <c r="F35" s="1" t="str">
        <f t="shared" ref="F35:I35" si="12">""</f>
        <v/>
      </c>
      <c r="G35" s="1" t="str">
        <f t="shared" si="12"/>
        <v/>
      </c>
      <c r="H35" s="1" t="str">
        <f t="shared" si="12"/>
        <v/>
      </c>
      <c r="I35" s="1" t="str">
        <f t="shared" si="12"/>
        <v/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6"/>
      <c r="AU35" s="3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25"/>
      <c r="BL35" s="25"/>
      <c r="BM35" s="25"/>
      <c r="BN35" s="25"/>
      <c r="BO35" s="25"/>
      <c r="BP35" s="27"/>
      <c r="BQ35" s="27"/>
      <c r="BR35" s="27"/>
      <c r="BS35" s="27"/>
      <c r="BT35" s="27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44"/>
      <c r="DE35" s="44"/>
      <c r="DF35" s="44"/>
      <c r="DG35" s="44"/>
      <c r="DH35" s="44"/>
      <c r="DI35" s="45"/>
      <c r="DJ35" s="45"/>
      <c r="DK35" s="45"/>
      <c r="DL35" s="45"/>
      <c r="DM35" s="45"/>
    </row>
    <row r="36" customHeight="1" spans="10:117"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6"/>
      <c r="AU36" s="3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25"/>
      <c r="BL36" s="25"/>
      <c r="BM36" s="25"/>
      <c r="BN36" s="25"/>
      <c r="BO36" s="25"/>
      <c r="BP36" s="27"/>
      <c r="BQ36" s="27"/>
      <c r="BR36" s="27"/>
      <c r="BS36" s="27"/>
      <c r="BT36" s="27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44"/>
      <c r="DE36" s="44"/>
      <c r="DF36" s="44"/>
      <c r="DG36" s="44"/>
      <c r="DH36" s="44"/>
      <c r="DI36" s="45"/>
      <c r="DJ36" s="45"/>
      <c r="DK36" s="45"/>
      <c r="DL36" s="45"/>
      <c r="DM36" s="45"/>
    </row>
    <row r="37" customHeight="1" spans="10:117"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6"/>
      <c r="AU37" s="3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25"/>
      <c r="BL37" s="25"/>
      <c r="BM37" s="25"/>
      <c r="BN37" s="25"/>
      <c r="BO37" s="25"/>
      <c r="BP37" s="27"/>
      <c r="BQ37" s="27"/>
      <c r="BR37" s="27"/>
      <c r="BS37" s="27"/>
      <c r="BT37" s="27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44"/>
      <c r="DE37" s="44"/>
      <c r="DF37" s="44"/>
      <c r="DG37" s="44"/>
      <c r="DH37" s="44"/>
      <c r="DI37" s="45"/>
      <c r="DJ37" s="45"/>
      <c r="DK37" s="45"/>
      <c r="DL37" s="45"/>
      <c r="DM37" s="45"/>
    </row>
    <row r="38" customHeight="1" spans="10:117"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6"/>
      <c r="AU38" s="3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25"/>
      <c r="BL38" s="25"/>
      <c r="BM38" s="25"/>
      <c r="BN38" s="25"/>
      <c r="BO38" s="25"/>
      <c r="BP38" s="27"/>
      <c r="BQ38" s="27"/>
      <c r="BR38" s="27"/>
      <c r="BS38" s="27"/>
      <c r="BT38" s="27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44"/>
      <c r="DE38" s="44"/>
      <c r="DF38" s="44"/>
      <c r="DG38" s="44"/>
      <c r="DH38" s="44"/>
      <c r="DI38" s="45"/>
      <c r="DJ38" s="45"/>
      <c r="DK38" s="45"/>
      <c r="DL38" s="45"/>
      <c r="DM38" s="45"/>
    </row>
    <row r="39" customHeight="1" spans="10:117"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6"/>
      <c r="AU39" s="3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25"/>
      <c r="BL39" s="25"/>
      <c r="BM39" s="25"/>
      <c r="BN39" s="25"/>
      <c r="BO39" s="25"/>
      <c r="BP39" s="27"/>
      <c r="BQ39" s="27"/>
      <c r="BR39" s="27"/>
      <c r="BS39" s="27"/>
      <c r="BT39" s="27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44"/>
      <c r="DE39" s="44"/>
      <c r="DF39" s="44"/>
      <c r="DG39" s="44"/>
      <c r="DH39" s="44"/>
      <c r="DI39" s="45"/>
      <c r="DJ39" s="45"/>
      <c r="DK39" s="45"/>
      <c r="DL39" s="45"/>
      <c r="DM39" s="45"/>
    </row>
  </sheetData>
  <sheetProtection formatCells="0" insertHyperlinks="0" autoFilter="0"/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8"/>
  <sheetViews>
    <sheetView zoomScale="85" zoomScaleNormal="85" topLeftCell="A2" workbookViewId="0">
      <pane xSplit="1" ySplit="1" topLeftCell="C23" activePane="bottomRight" state="frozen"/>
      <selection/>
      <selection pane="topRight"/>
      <selection pane="bottomLeft"/>
      <selection pane="bottomRight" activeCell="J28" sqref="J28"/>
    </sheetView>
  </sheetViews>
  <sheetFormatPr defaultColWidth="9.90740740740741" defaultRowHeight="44" customHeight="1"/>
  <cols>
    <col min="1" max="10" width="13.7777777777778" style="1"/>
    <col min="11" max="11" width="26.1111111111111" style="5" customWidth="1"/>
    <col min="12" max="16384" width="13.7777777777778" style="1"/>
  </cols>
  <sheetData>
    <row r="1" customHeight="1" spans="1:36">
      <c r="A1" s="1">
        <f t="shared" ref="A1:Q1" si="0">COLUMN()</f>
        <v>1</v>
      </c>
      <c r="B1" s="1">
        <f t="shared" si="0"/>
        <v>2</v>
      </c>
      <c r="C1" s="1">
        <f t="shared" si="0"/>
        <v>3</v>
      </c>
      <c r="D1" s="1">
        <f t="shared" si="0"/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ref="R1:AJ1" si="1">COLUMN()</f>
        <v>18</v>
      </c>
      <c r="S1" s="1">
        <f t="shared" si="1"/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si="1"/>
        <v>25</v>
      </c>
      <c r="Z1" s="1">
        <f t="shared" si="1"/>
        <v>26</v>
      </c>
      <c r="AA1" s="1">
        <f t="shared" si="1"/>
        <v>27</v>
      </c>
      <c r="AB1" s="1">
        <f t="shared" si="1"/>
        <v>28</v>
      </c>
      <c r="AC1" s="1">
        <f t="shared" si="1"/>
        <v>29</v>
      </c>
      <c r="AD1" s="1">
        <f t="shared" si="1"/>
        <v>30</v>
      </c>
      <c r="AE1" s="1">
        <f t="shared" si="1"/>
        <v>31</v>
      </c>
      <c r="AF1" s="1">
        <f t="shared" si="1"/>
        <v>32</v>
      </c>
      <c r="AG1" s="1">
        <f t="shared" si="1"/>
        <v>33</v>
      </c>
      <c r="AH1" s="1">
        <f t="shared" si="1"/>
        <v>34</v>
      </c>
      <c r="AI1" s="1">
        <f t="shared" si="1"/>
        <v>35</v>
      </c>
      <c r="AJ1" s="1">
        <f t="shared" si="1"/>
        <v>36</v>
      </c>
    </row>
    <row r="2" customHeight="1" spans="1:36">
      <c r="A2" s="1" t="s">
        <v>376</v>
      </c>
      <c r="B2" s="1" t="s">
        <v>313</v>
      </c>
      <c r="C2" s="1" t="s">
        <v>427</v>
      </c>
      <c r="D2" s="1" t="s">
        <v>174</v>
      </c>
      <c r="E2" s="1" t="s">
        <v>80</v>
      </c>
      <c r="F2" s="1" t="s">
        <v>73</v>
      </c>
      <c r="G2" s="1" t="s">
        <v>340</v>
      </c>
      <c r="H2" s="1" t="s">
        <v>109</v>
      </c>
      <c r="I2" s="1" t="s">
        <v>430</v>
      </c>
      <c r="J2" s="1" t="s">
        <v>150</v>
      </c>
      <c r="K2" s="1" t="s">
        <v>55</v>
      </c>
      <c r="L2" s="1" t="s">
        <v>561</v>
      </c>
      <c r="M2" s="1" t="s">
        <v>80</v>
      </c>
      <c r="N2" s="1" t="s">
        <v>73</v>
      </c>
      <c r="O2" s="1" t="s">
        <v>340</v>
      </c>
      <c r="P2" s="1" t="s">
        <v>109</v>
      </c>
      <c r="Q2" s="1" t="s">
        <v>110</v>
      </c>
      <c r="R2" s="1" t="s">
        <v>417</v>
      </c>
      <c r="S2" s="1" t="s">
        <v>395</v>
      </c>
      <c r="T2" s="1" t="s">
        <v>311</v>
      </c>
      <c r="U2" s="1" t="s">
        <v>172</v>
      </c>
      <c r="V2" s="1" t="s">
        <v>436</v>
      </c>
      <c r="W2" s="1" t="s">
        <v>437</v>
      </c>
      <c r="X2" s="1" t="s">
        <v>438</v>
      </c>
      <c r="Y2" s="1" t="s">
        <v>439</v>
      </c>
      <c r="Z2" s="1" t="s">
        <v>440</v>
      </c>
      <c r="AA2" s="1" t="s">
        <v>441</v>
      </c>
      <c r="AB2" s="1" t="s">
        <v>442</v>
      </c>
      <c r="AC2" s="4" t="s">
        <v>443</v>
      </c>
      <c r="AD2" s="4" t="s">
        <v>444</v>
      </c>
      <c r="AE2" s="4" t="s">
        <v>445</v>
      </c>
      <c r="AF2" s="4" t="s">
        <v>446</v>
      </c>
      <c r="AG2" s="4" t="s">
        <v>562</v>
      </c>
      <c r="AH2" s="4" t="s">
        <v>448</v>
      </c>
      <c r="AI2" s="4" t="s">
        <v>450</v>
      </c>
      <c r="AJ2" s="4" t="s">
        <v>563</v>
      </c>
    </row>
    <row r="3" customHeight="1" spans="1:36">
      <c r="A3" s="1" t="s">
        <v>564</v>
      </c>
      <c r="B3" s="1" t="s">
        <v>69</v>
      </c>
      <c r="C3" s="6">
        <v>713</v>
      </c>
      <c r="D3" s="3"/>
      <c r="E3" s="3"/>
      <c r="F3" s="3">
        <v>0.48</v>
      </c>
      <c r="G3" s="3"/>
      <c r="H3" s="3"/>
      <c r="I3" s="3"/>
      <c r="J3" s="3"/>
      <c r="K3" s="2" t="s">
        <v>565</v>
      </c>
      <c r="L3" s="3"/>
      <c r="M3" s="3"/>
      <c r="N3" s="3">
        <f>30%+30%</f>
        <v>0.6</v>
      </c>
      <c r="O3" s="3"/>
      <c r="P3" s="3"/>
      <c r="Q3" s="3"/>
      <c r="R3" s="3"/>
      <c r="S3" s="3"/>
      <c r="T3" s="3"/>
      <c r="U3" s="3"/>
      <c r="V3" s="3">
        <v>0.2</v>
      </c>
      <c r="W3" s="3">
        <v>0.2</v>
      </c>
      <c r="X3" s="3">
        <v>0.2</v>
      </c>
      <c r="Y3" s="3">
        <v>0.2</v>
      </c>
      <c r="Z3" s="3">
        <v>0.2</v>
      </c>
      <c r="AA3" s="3">
        <v>0.2</v>
      </c>
      <c r="AB3" s="3">
        <v>0.2</v>
      </c>
      <c r="AC3" s="3">
        <v>0.2</v>
      </c>
      <c r="AD3" s="3">
        <v>0.2</v>
      </c>
      <c r="AE3" s="3">
        <v>0.2</v>
      </c>
      <c r="AF3" s="3">
        <v>0.2</v>
      </c>
      <c r="AG3" s="3">
        <v>0.2</v>
      </c>
      <c r="AH3" s="3"/>
      <c r="AI3" s="3"/>
      <c r="AJ3" s="3"/>
    </row>
    <row r="4" customHeight="1" spans="1:36">
      <c r="A4" s="1" t="s">
        <v>566</v>
      </c>
      <c r="B4" s="1" t="s">
        <v>69</v>
      </c>
      <c r="C4" s="6">
        <v>713</v>
      </c>
      <c r="D4" s="3"/>
      <c r="E4" s="3">
        <v>0.24</v>
      </c>
      <c r="F4" s="3"/>
      <c r="G4" s="3"/>
      <c r="H4" s="3"/>
      <c r="I4" s="3"/>
      <c r="J4" s="3"/>
      <c r="K4" s="2" t="s">
        <v>567</v>
      </c>
      <c r="L4" s="3"/>
      <c r="M4" s="3">
        <v>0.2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>
        <v>0.4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customHeight="1" spans="1:36">
      <c r="A5" s="1" t="s">
        <v>568</v>
      </c>
      <c r="B5" s="1" t="s">
        <v>69</v>
      </c>
      <c r="C5" s="6">
        <v>713</v>
      </c>
      <c r="D5" s="3"/>
      <c r="E5" s="3"/>
      <c r="F5" s="3">
        <v>0.48</v>
      </c>
      <c r="G5" s="3"/>
      <c r="H5" s="3"/>
      <c r="I5" s="3"/>
      <c r="J5" s="3"/>
      <c r="K5" s="2" t="s">
        <v>569</v>
      </c>
      <c r="L5" s="3"/>
      <c r="M5" s="3">
        <v>0.2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>
        <v>0.4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customHeight="1" spans="1:36">
      <c r="A6" s="1" t="s">
        <v>570</v>
      </c>
      <c r="B6" s="1" t="s">
        <v>69</v>
      </c>
      <c r="C6" s="6">
        <v>713</v>
      </c>
      <c r="D6" s="3"/>
      <c r="E6" s="3"/>
      <c r="F6" s="3">
        <v>0.48</v>
      </c>
      <c r="G6" s="3"/>
      <c r="H6" s="3"/>
      <c r="I6" s="3"/>
      <c r="J6" s="3"/>
      <c r="K6" s="2" t="s">
        <v>571</v>
      </c>
      <c r="L6" s="3"/>
      <c r="M6" s="3">
        <v>0.15</v>
      </c>
      <c r="N6" s="3"/>
      <c r="O6" s="3"/>
      <c r="P6" s="3"/>
      <c r="Q6" s="3"/>
      <c r="R6" s="3"/>
      <c r="S6" s="3"/>
      <c r="T6" s="3"/>
      <c r="U6" s="3"/>
      <c r="V6" s="3">
        <v>0.35</v>
      </c>
      <c r="W6" s="3">
        <v>0.35</v>
      </c>
      <c r="X6" s="3"/>
      <c r="Y6" s="3"/>
      <c r="Z6" s="3"/>
      <c r="AA6" s="3"/>
      <c r="AB6" s="3"/>
      <c r="AC6" s="3"/>
      <c r="AD6" s="3"/>
      <c r="AE6" s="3"/>
      <c r="AF6" s="3">
        <v>0.35</v>
      </c>
      <c r="AG6" s="3"/>
      <c r="AH6" s="3"/>
      <c r="AI6" s="3"/>
      <c r="AJ6" s="3"/>
    </row>
    <row r="7" customHeight="1" spans="1:36">
      <c r="A7" s="1" t="s">
        <v>87</v>
      </c>
      <c r="B7" s="1" t="s">
        <v>69</v>
      </c>
      <c r="C7" s="6">
        <v>713</v>
      </c>
      <c r="D7" s="3"/>
      <c r="E7" s="3">
        <v>0.24</v>
      </c>
      <c r="F7" s="3"/>
      <c r="G7" s="3"/>
      <c r="H7" s="3"/>
      <c r="I7" s="3"/>
      <c r="J7" s="3"/>
      <c r="K7" s="2" t="s">
        <v>572</v>
      </c>
      <c r="L7" s="3"/>
      <c r="M7" s="3">
        <v>0.2</v>
      </c>
      <c r="N7" s="3"/>
      <c r="O7" s="3"/>
      <c r="P7" s="3"/>
      <c r="Q7" s="3"/>
      <c r="R7" s="3"/>
      <c r="S7" s="3"/>
      <c r="T7" s="3"/>
      <c r="U7" s="3"/>
      <c r="V7" s="3">
        <v>0.25</v>
      </c>
      <c r="W7" s="3">
        <v>0.25</v>
      </c>
      <c r="X7" s="3">
        <v>0.25</v>
      </c>
      <c r="Y7" s="3">
        <v>0.25</v>
      </c>
      <c r="Z7" s="3">
        <v>0.25</v>
      </c>
      <c r="AA7" s="3">
        <v>0.25</v>
      </c>
      <c r="AB7" s="3">
        <v>0.25</v>
      </c>
      <c r="AC7" s="3">
        <v>0.25</v>
      </c>
      <c r="AD7" s="3">
        <v>0.25</v>
      </c>
      <c r="AE7" s="3">
        <v>0.25</v>
      </c>
      <c r="AF7" s="3">
        <v>0.25</v>
      </c>
      <c r="AG7" s="3">
        <v>0.25</v>
      </c>
      <c r="AH7" s="3"/>
      <c r="AI7" s="3"/>
      <c r="AJ7" s="3"/>
    </row>
    <row r="8" customHeight="1" spans="1:36">
      <c r="A8" s="1" t="s">
        <v>573</v>
      </c>
      <c r="B8" s="1" t="s">
        <v>69</v>
      </c>
      <c r="C8" s="6">
        <v>684</v>
      </c>
      <c r="D8" s="3"/>
      <c r="E8" s="3">
        <v>0.24</v>
      </c>
      <c r="F8" s="3"/>
      <c r="G8" s="3"/>
      <c r="H8" s="3"/>
      <c r="I8" s="3"/>
      <c r="J8" s="3"/>
      <c r="K8" s="2" t="s">
        <v>574</v>
      </c>
      <c r="L8" s="3"/>
      <c r="M8" s="3"/>
      <c r="N8" s="3"/>
      <c r="O8" s="3"/>
      <c r="P8" s="3"/>
      <c r="Q8" s="3"/>
      <c r="R8" s="3"/>
      <c r="S8" s="3"/>
      <c r="T8" s="3"/>
      <c r="U8" s="3"/>
      <c r="V8" s="3">
        <v>0.25</v>
      </c>
      <c r="W8" s="3">
        <v>0.25</v>
      </c>
      <c r="X8" s="3">
        <v>0.25</v>
      </c>
      <c r="Y8" s="3">
        <v>0.25</v>
      </c>
      <c r="Z8" s="3">
        <v>0.25</v>
      </c>
      <c r="AA8" s="3">
        <v>0.25</v>
      </c>
      <c r="AB8" s="3">
        <v>0.25</v>
      </c>
      <c r="AC8" s="3">
        <v>0.25</v>
      </c>
      <c r="AD8" s="3">
        <v>0.25</v>
      </c>
      <c r="AE8" s="3">
        <v>0.25</v>
      </c>
      <c r="AF8" s="3">
        <v>0.25</v>
      </c>
      <c r="AG8" s="3">
        <v>0.25</v>
      </c>
      <c r="AH8" s="3"/>
      <c r="AI8" s="3"/>
      <c r="AJ8" s="3"/>
    </row>
    <row r="9" customHeight="1" spans="1:36">
      <c r="A9" s="1" t="s">
        <v>70</v>
      </c>
      <c r="B9" s="1" t="s">
        <v>69</v>
      </c>
      <c r="C9" s="6">
        <v>684</v>
      </c>
      <c r="D9" s="3">
        <v>0.3</v>
      </c>
      <c r="E9" s="3"/>
      <c r="F9" s="3"/>
      <c r="G9" s="3"/>
      <c r="H9" s="3"/>
      <c r="I9" s="3"/>
      <c r="J9" s="3"/>
      <c r="K9" s="2" t="s">
        <v>575</v>
      </c>
      <c r="L9" s="3">
        <f>3.5%*8</f>
        <v>0.28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customHeight="1" spans="1:36">
      <c r="A10" s="1" t="s">
        <v>99</v>
      </c>
      <c r="B10" s="1" t="s">
        <v>69</v>
      </c>
      <c r="C10" s="6">
        <v>625</v>
      </c>
      <c r="D10" s="3">
        <v>0.25</v>
      </c>
      <c r="E10" s="3"/>
      <c r="F10" s="3"/>
      <c r="G10" s="3"/>
      <c r="H10" s="3"/>
      <c r="I10" s="3"/>
      <c r="J10" s="3"/>
      <c r="K10" s="2" t="s">
        <v>576</v>
      </c>
      <c r="L10" s="3"/>
      <c r="M10" s="3"/>
      <c r="N10" s="3"/>
      <c r="O10" s="3"/>
      <c r="P10" s="3"/>
      <c r="Q10" s="3"/>
      <c r="R10" s="3"/>
      <c r="S10" s="3">
        <v>0.45</v>
      </c>
      <c r="T10" s="3"/>
      <c r="U10" s="3"/>
      <c r="V10" s="3"/>
      <c r="W10" s="3"/>
      <c r="X10" s="3"/>
      <c r="Y10" s="3"/>
      <c r="Z10" s="3"/>
      <c r="AA10" s="3"/>
      <c r="AB10" s="3">
        <v>0.45</v>
      </c>
      <c r="AC10" s="3"/>
      <c r="AD10" s="3"/>
      <c r="AE10" s="3"/>
      <c r="AF10" s="3"/>
      <c r="AG10" s="3"/>
      <c r="AH10" s="3"/>
      <c r="AI10" s="3"/>
      <c r="AJ10" s="3"/>
    </row>
    <row r="11" customHeight="1" spans="1:36">
      <c r="A11" s="1" t="s">
        <v>577</v>
      </c>
      <c r="B11" s="1" t="s">
        <v>69</v>
      </c>
      <c r="C11" s="6">
        <v>625</v>
      </c>
      <c r="D11" s="3"/>
      <c r="E11" s="3"/>
      <c r="F11" s="3"/>
      <c r="G11" s="3"/>
      <c r="H11" s="3"/>
      <c r="I11" s="3"/>
      <c r="J11" s="3">
        <v>0.5</v>
      </c>
      <c r="K11" s="2" t="s">
        <v>578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>
        <v>0.5</v>
      </c>
      <c r="W11" s="3">
        <v>0.5</v>
      </c>
      <c r="X11" s="3">
        <v>0.5</v>
      </c>
      <c r="Y11" s="3">
        <v>0.5</v>
      </c>
      <c r="Z11" s="3">
        <v>0.5</v>
      </c>
      <c r="AA11" s="3">
        <v>0.5</v>
      </c>
      <c r="AB11" s="3">
        <v>0.5</v>
      </c>
      <c r="AC11" s="3">
        <v>0.5</v>
      </c>
      <c r="AD11" s="3">
        <v>0.5</v>
      </c>
      <c r="AE11" s="3">
        <v>0.5</v>
      </c>
      <c r="AF11" s="3">
        <v>0.5</v>
      </c>
      <c r="AG11" s="3">
        <v>0.5</v>
      </c>
      <c r="AH11" s="3"/>
      <c r="AI11" s="3"/>
      <c r="AJ11" s="3"/>
    </row>
    <row r="12" customHeight="1" spans="1:36">
      <c r="A12" s="1" t="s">
        <v>579</v>
      </c>
      <c r="B12" s="1" t="s">
        <v>69</v>
      </c>
      <c r="C12" s="6">
        <v>594</v>
      </c>
      <c r="D12" s="3"/>
      <c r="E12" s="3">
        <v>0.2</v>
      </c>
      <c r="F12" s="3"/>
      <c r="G12" s="3"/>
      <c r="H12" s="3"/>
      <c r="I12" s="3"/>
      <c r="J12" s="3"/>
      <c r="K12" s="2" t="s">
        <v>580</v>
      </c>
      <c r="L12" s="3">
        <f>9.6%*2</f>
        <v>0.192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customHeight="1" spans="1:36">
      <c r="A13" s="1" t="s">
        <v>581</v>
      </c>
      <c r="B13" s="1" t="s">
        <v>69</v>
      </c>
      <c r="C13" s="6">
        <v>594</v>
      </c>
      <c r="D13" s="3">
        <v>0.25</v>
      </c>
      <c r="E13" s="3"/>
      <c r="F13" s="3"/>
      <c r="G13" s="3"/>
      <c r="H13" s="3"/>
      <c r="I13" s="3"/>
      <c r="J13" s="3"/>
      <c r="K13" s="2" t="s">
        <v>582</v>
      </c>
      <c r="L13" s="3">
        <v>0.096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>
        <v>0.24</v>
      </c>
      <c r="AC13" s="3"/>
      <c r="AD13" s="3"/>
      <c r="AE13" s="3"/>
      <c r="AF13" s="3"/>
      <c r="AG13" s="3"/>
      <c r="AH13" s="3"/>
      <c r="AI13" s="3"/>
      <c r="AJ13" s="3"/>
    </row>
    <row r="14" customHeight="1" spans="1:36">
      <c r="A14" s="1" t="s">
        <v>583</v>
      </c>
      <c r="B14" s="1" t="s">
        <v>69</v>
      </c>
      <c r="C14" s="6">
        <v>594</v>
      </c>
      <c r="D14" s="3">
        <v>0.25</v>
      </c>
      <c r="E14" s="3"/>
      <c r="F14" s="3"/>
      <c r="G14" s="3"/>
      <c r="H14" s="3"/>
      <c r="I14" s="3"/>
      <c r="J14" s="3"/>
      <c r="K14" s="2" t="s">
        <v>584</v>
      </c>
      <c r="L14" s="3">
        <v>0.192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customHeight="1" spans="1:36">
      <c r="A15" s="1" t="s">
        <v>585</v>
      </c>
      <c r="B15" s="1" t="s">
        <v>69</v>
      </c>
      <c r="C15" s="6">
        <v>594</v>
      </c>
      <c r="D15" s="3"/>
      <c r="E15" s="3">
        <v>0.2</v>
      </c>
      <c r="F15" s="3"/>
      <c r="G15" s="3"/>
      <c r="H15" s="3"/>
      <c r="I15" s="3"/>
      <c r="J15" s="3"/>
      <c r="K15" s="2" t="s">
        <v>586</v>
      </c>
      <c r="L15" s="3">
        <v>0.12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customHeight="1" spans="1:36">
      <c r="A16" s="1" t="s">
        <v>103</v>
      </c>
      <c r="B16" s="1" t="s">
        <v>102</v>
      </c>
      <c r="C16" s="6">
        <v>743</v>
      </c>
      <c r="D16" s="3"/>
      <c r="E16" s="3">
        <v>0.24</v>
      </c>
      <c r="F16" s="3"/>
      <c r="G16" s="3"/>
      <c r="H16" s="3"/>
      <c r="I16" s="3"/>
      <c r="J16" s="3"/>
      <c r="K16" s="2" t="s">
        <v>587</v>
      </c>
      <c r="L16" s="3"/>
      <c r="M16" s="3"/>
      <c r="N16" s="3">
        <v>0.5</v>
      </c>
      <c r="O16" s="3"/>
      <c r="P16" s="3"/>
      <c r="Q16" s="3"/>
      <c r="R16" s="3"/>
      <c r="S16" s="3"/>
      <c r="T16" s="3"/>
      <c r="U16" s="3"/>
      <c r="V16" s="3">
        <v>0.4</v>
      </c>
      <c r="W16" s="3">
        <v>0.4</v>
      </c>
      <c r="X16" s="3">
        <v>0.4</v>
      </c>
      <c r="Y16" s="3">
        <v>0.4</v>
      </c>
      <c r="Z16" s="3">
        <v>0.4</v>
      </c>
      <c r="AA16" s="3">
        <v>0.4</v>
      </c>
      <c r="AB16" s="3">
        <v>0.4</v>
      </c>
      <c r="AC16" s="3">
        <v>0.4</v>
      </c>
      <c r="AD16" s="3">
        <v>0.4</v>
      </c>
      <c r="AE16" s="3">
        <v>0.4</v>
      </c>
      <c r="AF16" s="3">
        <v>0.4</v>
      </c>
      <c r="AG16" s="3">
        <v>0.4</v>
      </c>
      <c r="AH16" s="3"/>
      <c r="AI16" s="3"/>
      <c r="AJ16" s="3"/>
    </row>
    <row r="17" customHeight="1" spans="1:36">
      <c r="A17" s="1" t="s">
        <v>106</v>
      </c>
      <c r="B17" s="1" t="s">
        <v>102</v>
      </c>
      <c r="C17" s="6">
        <v>713</v>
      </c>
      <c r="D17" s="3"/>
      <c r="E17" s="3"/>
      <c r="F17" s="3"/>
      <c r="G17" s="3"/>
      <c r="H17" s="3">
        <v>0.9</v>
      </c>
      <c r="I17" s="3"/>
      <c r="J17" s="3"/>
      <c r="K17" s="2" t="s">
        <v>588</v>
      </c>
      <c r="L17" s="3"/>
      <c r="M17" s="3"/>
      <c r="N17" s="3"/>
      <c r="O17" s="3"/>
      <c r="P17" s="3">
        <v>1.2</v>
      </c>
      <c r="Q17" s="3"/>
      <c r="R17" s="3"/>
      <c r="S17" s="3"/>
      <c r="T17" s="3"/>
      <c r="U17" s="3">
        <v>0.4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customHeight="1" spans="1:36">
      <c r="A18" s="1" t="s">
        <v>112</v>
      </c>
      <c r="B18" s="1" t="s">
        <v>102</v>
      </c>
      <c r="C18" s="6">
        <v>713</v>
      </c>
      <c r="D18" s="3">
        <v>0.3</v>
      </c>
      <c r="E18" s="3"/>
      <c r="F18" s="3"/>
      <c r="G18" s="3"/>
      <c r="H18" s="3"/>
      <c r="I18" s="3"/>
      <c r="J18" s="3"/>
      <c r="K18" s="2" t="s">
        <v>589</v>
      </c>
      <c r="L18" s="3"/>
      <c r="M18" s="3"/>
      <c r="N18" s="3"/>
      <c r="O18" s="3"/>
      <c r="P18" s="3">
        <v>0.75</v>
      </c>
      <c r="Q18" s="3"/>
      <c r="R18" s="3"/>
      <c r="S18" s="3"/>
      <c r="T18" s="3"/>
      <c r="U18" s="3">
        <v>0.3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customHeight="1" spans="1:36">
      <c r="A19" s="1" t="s">
        <v>115</v>
      </c>
      <c r="B19" s="1" t="s">
        <v>102</v>
      </c>
      <c r="C19" s="6">
        <v>713</v>
      </c>
      <c r="D19" s="3">
        <v>0.3</v>
      </c>
      <c r="E19" s="3"/>
      <c r="F19" s="3"/>
      <c r="G19" s="3"/>
      <c r="H19" s="3"/>
      <c r="I19" s="3"/>
      <c r="J19" s="3"/>
      <c r="K19" s="2" t="s">
        <v>590</v>
      </c>
      <c r="L19" s="3"/>
      <c r="M19" s="3"/>
      <c r="N19" s="3"/>
      <c r="O19" s="3"/>
      <c r="P19" s="3">
        <v>0.5</v>
      </c>
      <c r="Q19" s="3"/>
      <c r="R19" s="3"/>
      <c r="S19" s="3">
        <v>0.6</v>
      </c>
      <c r="T19" s="3"/>
      <c r="U19" s="3"/>
      <c r="V19" s="3"/>
      <c r="W19" s="3"/>
      <c r="X19" s="3"/>
      <c r="Y19" s="3"/>
      <c r="Z19" s="3"/>
      <c r="AA19" s="3"/>
      <c r="AB19" s="3">
        <v>0.35</v>
      </c>
      <c r="AC19" s="3"/>
      <c r="AD19" s="3"/>
      <c r="AE19" s="3"/>
      <c r="AF19" s="3"/>
      <c r="AG19" s="3">
        <v>0.35</v>
      </c>
      <c r="AH19" s="3"/>
      <c r="AI19" s="3"/>
      <c r="AJ19" s="3"/>
    </row>
    <row r="20" customHeight="1" spans="1:36">
      <c r="A20" s="1" t="s">
        <v>119</v>
      </c>
      <c r="B20" s="1" t="s">
        <v>102</v>
      </c>
      <c r="C20" s="6">
        <v>713</v>
      </c>
      <c r="D20" s="3"/>
      <c r="E20" s="3"/>
      <c r="F20" s="3"/>
      <c r="G20" s="3"/>
      <c r="H20" s="3">
        <v>0.9</v>
      </c>
      <c r="I20" s="3"/>
      <c r="J20" s="3"/>
      <c r="K20" s="2" t="s">
        <v>591</v>
      </c>
      <c r="L20" s="3"/>
      <c r="M20" s="3"/>
      <c r="N20" s="3"/>
      <c r="O20" s="3"/>
      <c r="P20" s="3"/>
      <c r="Q20" s="3"/>
      <c r="R20" s="3"/>
      <c r="S20" s="3"/>
      <c r="T20" s="3"/>
      <c r="U20" s="3">
        <v>0.4</v>
      </c>
      <c r="V20" s="3">
        <v>0.36</v>
      </c>
      <c r="W20" s="3">
        <v>0.36</v>
      </c>
      <c r="X20" s="3">
        <v>0.36</v>
      </c>
      <c r="Y20" s="3">
        <v>0.36</v>
      </c>
      <c r="Z20" s="3">
        <v>0.36</v>
      </c>
      <c r="AA20" s="3">
        <v>0.36</v>
      </c>
      <c r="AB20" s="3">
        <v>0.36</v>
      </c>
      <c r="AC20" s="3">
        <v>0.36</v>
      </c>
      <c r="AD20" s="3">
        <v>0.36</v>
      </c>
      <c r="AE20" s="3">
        <v>0.36</v>
      </c>
      <c r="AF20" s="3">
        <v>0.36</v>
      </c>
      <c r="AG20" s="3">
        <v>0.36</v>
      </c>
      <c r="AH20" s="3"/>
      <c r="AI20" s="3"/>
      <c r="AJ20" s="3"/>
    </row>
    <row r="21" customHeight="1" spans="1:36">
      <c r="A21" s="1" t="s">
        <v>121</v>
      </c>
      <c r="B21" s="1" t="s">
        <v>102</v>
      </c>
      <c r="C21" s="6">
        <v>684</v>
      </c>
      <c r="D21" s="3"/>
      <c r="E21" s="3"/>
      <c r="F21" s="3"/>
      <c r="G21" s="3">
        <v>0.24</v>
      </c>
      <c r="H21" s="3"/>
      <c r="I21" s="3"/>
      <c r="J21" s="3"/>
      <c r="K21" s="2" t="s">
        <v>592</v>
      </c>
      <c r="L21" s="3">
        <v>0.12</v>
      </c>
      <c r="M21" s="3"/>
      <c r="N21" s="3"/>
      <c r="O21" s="3"/>
      <c r="P21" s="3">
        <v>0.75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customHeight="1" spans="1:36">
      <c r="A22" s="1" t="s">
        <v>124</v>
      </c>
      <c r="B22" s="1" t="s">
        <v>102</v>
      </c>
      <c r="C22" s="6">
        <v>625</v>
      </c>
      <c r="D22" s="3">
        <v>0.25</v>
      </c>
      <c r="E22" s="3"/>
      <c r="F22" s="3"/>
      <c r="G22" s="3"/>
      <c r="H22" s="3"/>
      <c r="I22" s="3"/>
      <c r="J22" s="3"/>
      <c r="K22" s="2" t="s">
        <v>593</v>
      </c>
      <c r="L22" s="3">
        <v>0.08</v>
      </c>
      <c r="M22" s="3"/>
      <c r="N22" s="3"/>
      <c r="O22" s="3"/>
      <c r="P22" s="3">
        <v>0.4</v>
      </c>
      <c r="Q22" s="3"/>
      <c r="R22" s="3"/>
      <c r="S22" s="3"/>
      <c r="T22" s="3"/>
      <c r="U22" s="3">
        <v>0.25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customHeight="1" spans="1:36">
      <c r="A23" s="1" t="s">
        <v>594</v>
      </c>
      <c r="B23" s="1" t="s">
        <v>102</v>
      </c>
      <c r="C23" s="6">
        <v>594</v>
      </c>
      <c r="D23" s="3">
        <v>0.25</v>
      </c>
      <c r="E23" s="3"/>
      <c r="F23" s="3"/>
      <c r="G23" s="3"/>
      <c r="H23" s="3"/>
      <c r="I23" s="3"/>
      <c r="J23" s="3"/>
      <c r="K23" s="2" t="s">
        <v>595</v>
      </c>
      <c r="L23" s="3"/>
      <c r="M23" s="3"/>
      <c r="N23" s="3"/>
      <c r="O23" s="3"/>
      <c r="P23" s="3">
        <f>48%*4</f>
        <v>1.92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customHeight="1" spans="1:36">
      <c r="A24" s="1" t="s">
        <v>596</v>
      </c>
      <c r="B24" s="1" t="s">
        <v>102</v>
      </c>
      <c r="C24" s="6">
        <v>594</v>
      </c>
      <c r="D24" s="3"/>
      <c r="E24" s="3"/>
      <c r="F24" s="3"/>
      <c r="G24" s="3"/>
      <c r="H24" s="3">
        <v>0.75</v>
      </c>
      <c r="I24" s="3"/>
      <c r="J24" s="3"/>
      <c r="K24" s="2" t="s">
        <v>597</v>
      </c>
      <c r="L24" s="3">
        <f>4%*10</f>
        <v>0.4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customHeight="1" spans="1:36">
      <c r="A25" s="1" t="s">
        <v>598</v>
      </c>
      <c r="B25" s="1" t="s">
        <v>102</v>
      </c>
      <c r="C25" s="6">
        <v>594</v>
      </c>
      <c r="D25" s="3"/>
      <c r="E25" s="3"/>
      <c r="F25" s="3"/>
      <c r="G25" s="3"/>
      <c r="H25" s="3">
        <v>0.75</v>
      </c>
      <c r="I25" s="3"/>
      <c r="J25" s="3"/>
      <c r="K25" s="2" t="s">
        <v>599</v>
      </c>
      <c r="L25" s="3">
        <v>0.16</v>
      </c>
      <c r="M25" s="3"/>
      <c r="N25" s="3"/>
      <c r="O25" s="3"/>
      <c r="P25" s="3"/>
      <c r="Q25" s="3"/>
      <c r="R25" s="3"/>
      <c r="S25" s="3"/>
      <c r="T25" s="3"/>
      <c r="U25" s="3"/>
      <c r="V25" s="3">
        <v>0.25</v>
      </c>
      <c r="W25" s="3">
        <v>0.25</v>
      </c>
      <c r="X25" s="3">
        <v>0.25</v>
      </c>
      <c r="Y25" s="3">
        <v>0.25</v>
      </c>
      <c r="Z25" s="3">
        <v>0.25</v>
      </c>
      <c r="AA25" s="3">
        <v>0.25</v>
      </c>
      <c r="AB25" s="3">
        <v>0.25</v>
      </c>
      <c r="AC25" s="3">
        <v>0.25</v>
      </c>
      <c r="AD25" s="3">
        <v>0.25</v>
      </c>
      <c r="AE25" s="3">
        <v>0.25</v>
      </c>
      <c r="AF25" s="3">
        <v>0.25</v>
      </c>
      <c r="AG25" s="3">
        <v>0.25</v>
      </c>
      <c r="AH25" s="3"/>
      <c r="AI25" s="3"/>
      <c r="AJ25" s="3"/>
    </row>
    <row r="26" customHeight="1" spans="1:36">
      <c r="A26" s="1" t="s">
        <v>600</v>
      </c>
      <c r="B26" s="1" t="s">
        <v>102</v>
      </c>
      <c r="C26" s="6">
        <v>475</v>
      </c>
      <c r="D26" s="3">
        <v>0.2</v>
      </c>
      <c r="E26" s="3"/>
      <c r="F26" s="3"/>
      <c r="G26" s="3"/>
      <c r="H26" s="3"/>
      <c r="I26" s="3"/>
      <c r="J26" s="3"/>
      <c r="K26" s="2" t="s">
        <v>601</v>
      </c>
      <c r="L26" s="3"/>
      <c r="M26" s="3"/>
      <c r="N26" s="3"/>
      <c r="O26" s="3"/>
      <c r="P26" s="3"/>
      <c r="Q26" s="3">
        <v>0.4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customHeight="1" spans="1:36">
      <c r="A27" s="1" t="s">
        <v>602</v>
      </c>
      <c r="B27" s="1" t="s">
        <v>102</v>
      </c>
      <c r="C27" s="6">
        <v>475</v>
      </c>
      <c r="D27" s="3"/>
      <c r="E27" s="3"/>
      <c r="F27" s="3"/>
      <c r="G27" s="3"/>
      <c r="H27" s="3">
        <v>0.6</v>
      </c>
      <c r="I27" s="3"/>
      <c r="J27" s="3"/>
      <c r="K27" s="2" t="s">
        <v>603</v>
      </c>
      <c r="L27" s="3"/>
      <c r="M27" s="3"/>
      <c r="N27" s="3"/>
      <c r="O27" s="3"/>
      <c r="P27" s="3">
        <v>0.4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customHeight="1" spans="1:36">
      <c r="A28" s="1" t="s">
        <v>127</v>
      </c>
      <c r="B28" s="1" t="s">
        <v>126</v>
      </c>
      <c r="C28" s="6">
        <v>713</v>
      </c>
      <c r="D28" s="3"/>
      <c r="E28" s="3">
        <v>0.24</v>
      </c>
      <c r="F28" s="3"/>
      <c r="G28" s="3"/>
      <c r="H28" s="3"/>
      <c r="I28" s="3"/>
      <c r="J28" s="3"/>
      <c r="K28" s="2" t="s">
        <v>604</v>
      </c>
      <c r="L28" s="3"/>
      <c r="M28" s="3"/>
      <c r="N28" s="3"/>
      <c r="O28" s="3"/>
      <c r="P28" s="3"/>
      <c r="Q28" s="3"/>
      <c r="R28" s="3">
        <v>0.2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customHeight="1" spans="1:36">
      <c r="A29" s="1" t="s">
        <v>217</v>
      </c>
      <c r="B29" s="1" t="s">
        <v>126</v>
      </c>
      <c r="C29" s="6">
        <v>713</v>
      </c>
      <c r="D29" s="3"/>
      <c r="E29" s="3"/>
      <c r="F29" s="3"/>
      <c r="G29" s="3"/>
      <c r="H29" s="3"/>
      <c r="I29" s="3">
        <v>0.18</v>
      </c>
      <c r="J29" s="3"/>
      <c r="K29" s="2" t="s">
        <v>605</v>
      </c>
      <c r="L29" s="3"/>
      <c r="M29" s="3"/>
      <c r="N29" s="3"/>
      <c r="O29" s="3"/>
      <c r="P29" s="3"/>
      <c r="Q29" s="3"/>
      <c r="R29" s="3">
        <v>0.22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customHeight="1" spans="1:36">
      <c r="A30" s="1" t="s">
        <v>218</v>
      </c>
      <c r="B30" s="1" t="s">
        <v>126</v>
      </c>
      <c r="C30" s="6">
        <v>713</v>
      </c>
      <c r="D30" s="3"/>
      <c r="E30" s="3"/>
      <c r="F30" s="3"/>
      <c r="G30" s="3"/>
      <c r="H30" s="3"/>
      <c r="I30" s="3">
        <v>0.18</v>
      </c>
      <c r="J30" s="3"/>
      <c r="K30" s="2" t="s">
        <v>606</v>
      </c>
      <c r="L30" s="3"/>
      <c r="M30" s="3"/>
      <c r="N30" s="3"/>
      <c r="O30" s="3"/>
      <c r="P30" s="3"/>
      <c r="Q30" s="3"/>
      <c r="R30" s="3">
        <v>0.21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customHeight="1" spans="1:36">
      <c r="A31" s="1" t="s">
        <v>607</v>
      </c>
      <c r="B31" s="1" t="s">
        <v>126</v>
      </c>
      <c r="C31" s="6">
        <v>684</v>
      </c>
      <c r="D31" s="3"/>
      <c r="E31" s="3"/>
      <c r="F31" s="3"/>
      <c r="G31" s="3"/>
      <c r="H31" s="3"/>
      <c r="I31" s="3">
        <v>0.18</v>
      </c>
      <c r="J31" s="3"/>
      <c r="K31" s="2" t="s">
        <v>608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>
        <v>0.3</v>
      </c>
      <c r="W31" s="3">
        <v>0.3</v>
      </c>
      <c r="X31" s="3"/>
      <c r="Y31" s="3"/>
      <c r="Z31" s="3"/>
      <c r="AA31" s="3"/>
      <c r="AB31" s="3"/>
      <c r="AC31" s="3"/>
      <c r="AD31" s="3"/>
      <c r="AE31" s="3"/>
      <c r="AF31" s="3">
        <v>0.3</v>
      </c>
      <c r="AG31" s="3"/>
      <c r="AH31" s="3">
        <v>0.3</v>
      </c>
      <c r="AI31" s="3"/>
      <c r="AJ31" s="3"/>
    </row>
    <row r="32" customHeight="1" spans="1:36">
      <c r="A32" s="1" t="s">
        <v>609</v>
      </c>
      <c r="B32" s="1" t="s">
        <v>126</v>
      </c>
      <c r="C32" s="6">
        <v>684</v>
      </c>
      <c r="D32" s="3"/>
      <c r="E32" s="3"/>
      <c r="F32" s="3"/>
      <c r="G32" s="3"/>
      <c r="H32" s="3"/>
      <c r="I32" s="3">
        <v>0.18</v>
      </c>
      <c r="J32" s="3"/>
      <c r="K32" s="2" t="s">
        <v>610</v>
      </c>
      <c r="L32" s="3"/>
      <c r="M32" s="3"/>
      <c r="N32" s="3"/>
      <c r="O32" s="3"/>
      <c r="P32" s="3"/>
      <c r="Q32" s="3"/>
      <c r="R32" s="3">
        <v>0.1</v>
      </c>
      <c r="S32" s="3">
        <v>0.6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customHeight="1" spans="1:36">
      <c r="A33" s="1" t="s">
        <v>611</v>
      </c>
      <c r="B33" s="1" t="s">
        <v>126</v>
      </c>
      <c r="C33" s="6">
        <v>625</v>
      </c>
      <c r="D33" s="3"/>
      <c r="E33" s="3"/>
      <c r="F33" s="3"/>
      <c r="G33" s="3"/>
      <c r="H33" s="3"/>
      <c r="I33" s="3">
        <v>0.15</v>
      </c>
      <c r="J33" s="3"/>
      <c r="K33" s="2" t="s">
        <v>612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>
        <v>0.15</v>
      </c>
      <c r="W33" s="3">
        <v>0.15</v>
      </c>
      <c r="X33" s="3">
        <v>0.15</v>
      </c>
      <c r="Y33" s="3">
        <v>0.15</v>
      </c>
      <c r="Z33" s="3">
        <v>0.15</v>
      </c>
      <c r="AA33" s="3">
        <v>0.15</v>
      </c>
      <c r="AB33" s="3">
        <v>0.15</v>
      </c>
      <c r="AC33" s="3">
        <v>0.15</v>
      </c>
      <c r="AD33" s="3">
        <v>0.15</v>
      </c>
      <c r="AE33" s="3">
        <v>0.15</v>
      </c>
      <c r="AF33" s="3">
        <v>0.15</v>
      </c>
      <c r="AG33" s="3">
        <v>0.15</v>
      </c>
      <c r="AH33" s="3">
        <v>0.1</v>
      </c>
      <c r="AI33" s="3">
        <v>0.1</v>
      </c>
      <c r="AJ33" s="3"/>
    </row>
    <row r="34" customHeight="1" spans="1:36">
      <c r="A34" s="1" t="s">
        <v>613</v>
      </c>
      <c r="B34" s="1" t="s">
        <v>126</v>
      </c>
      <c r="C34" s="6">
        <v>625</v>
      </c>
      <c r="D34" s="3"/>
      <c r="E34" s="3"/>
      <c r="F34" s="3"/>
      <c r="G34" s="3"/>
      <c r="H34" s="3"/>
      <c r="I34" s="3">
        <v>0.15</v>
      </c>
      <c r="J34" s="3"/>
      <c r="K34" s="2" t="s">
        <v>614</v>
      </c>
      <c r="L34" s="3"/>
      <c r="M34" s="3"/>
      <c r="N34" s="3"/>
      <c r="O34" s="3"/>
      <c r="P34" s="3"/>
      <c r="Q34" s="3"/>
      <c r="R34" s="3"/>
      <c r="S34" s="3"/>
      <c r="T34" s="3">
        <v>0.18</v>
      </c>
      <c r="U34" s="3"/>
      <c r="V34" s="3">
        <v>0.15</v>
      </c>
      <c r="W34" s="3">
        <v>0.15</v>
      </c>
      <c r="X34" s="3">
        <v>0.15</v>
      </c>
      <c r="Y34" s="3">
        <v>0.15</v>
      </c>
      <c r="Z34" s="3">
        <v>0.15</v>
      </c>
      <c r="AA34" s="3">
        <v>0.15</v>
      </c>
      <c r="AB34" s="3">
        <v>0.15</v>
      </c>
      <c r="AC34" s="3">
        <v>0.15</v>
      </c>
      <c r="AD34" s="3">
        <v>0.15</v>
      </c>
      <c r="AE34" s="3">
        <v>0.15</v>
      </c>
      <c r="AF34" s="3">
        <v>0.15</v>
      </c>
      <c r="AG34" s="3">
        <v>0.15</v>
      </c>
      <c r="AH34" s="3"/>
      <c r="AI34" s="3"/>
      <c r="AJ34" s="3"/>
    </row>
    <row r="35" customHeight="1" spans="1:36">
      <c r="A35" s="1" t="s">
        <v>615</v>
      </c>
      <c r="B35" s="1" t="s">
        <v>126</v>
      </c>
      <c r="C35" s="6">
        <v>594</v>
      </c>
      <c r="D35" s="3"/>
      <c r="E35" s="3"/>
      <c r="F35" s="3"/>
      <c r="G35" s="3"/>
      <c r="H35" s="3"/>
      <c r="I35" s="3">
        <v>0.15</v>
      </c>
      <c r="J35" s="3"/>
      <c r="K35" s="2" t="s">
        <v>616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>
        <v>0.384</v>
      </c>
      <c r="AJ35" s="3"/>
    </row>
    <row r="36" customHeight="1" spans="1:36">
      <c r="A36" s="1" t="s">
        <v>134</v>
      </c>
      <c r="B36" s="1" t="s">
        <v>126</v>
      </c>
      <c r="C36" s="6">
        <v>594</v>
      </c>
      <c r="D36" s="3"/>
      <c r="E36" s="3"/>
      <c r="F36" s="3"/>
      <c r="G36" s="3"/>
      <c r="H36" s="3"/>
      <c r="I36" s="3">
        <v>0.15</v>
      </c>
      <c r="J36" s="3"/>
      <c r="K36" s="2" t="s">
        <v>617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>
        <f>18%+18%</f>
        <v>0.36</v>
      </c>
      <c r="AI36" s="3">
        <f>18%+18%</f>
        <v>0.36</v>
      </c>
      <c r="AJ36" s="3"/>
    </row>
    <row r="37" customHeight="1" spans="1:36">
      <c r="A37" s="1" t="s">
        <v>131</v>
      </c>
      <c r="B37" s="1" t="s">
        <v>126</v>
      </c>
      <c r="C37" s="6">
        <v>594</v>
      </c>
      <c r="D37" s="3"/>
      <c r="E37" s="3"/>
      <c r="F37" s="3"/>
      <c r="G37" s="3"/>
      <c r="H37" s="3"/>
      <c r="I37" s="3"/>
      <c r="J37" s="3">
        <v>0.5</v>
      </c>
      <c r="K37" s="2" t="s">
        <v>618</v>
      </c>
      <c r="L37" s="3"/>
      <c r="M37" s="3"/>
      <c r="N37" s="3"/>
      <c r="O37" s="3"/>
      <c r="P37" s="3"/>
      <c r="Q37" s="3"/>
      <c r="R37" s="3">
        <f>3.2%*8</f>
        <v>0.256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customHeight="1" spans="1:36">
      <c r="A38" s="1" t="s">
        <v>619</v>
      </c>
      <c r="B38" s="1" t="s">
        <v>126</v>
      </c>
      <c r="C38" s="6">
        <v>475</v>
      </c>
      <c r="D38" s="3"/>
      <c r="E38" s="3"/>
      <c r="F38" s="3"/>
      <c r="G38" s="3"/>
      <c r="H38" s="3"/>
      <c r="I38" s="3">
        <v>0.12</v>
      </c>
      <c r="J38" s="3"/>
      <c r="K38" s="2" t="s">
        <v>620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>
        <v>0.12</v>
      </c>
      <c r="AI38" s="3">
        <v>0.12</v>
      </c>
      <c r="AJ38" s="3"/>
    </row>
    <row r="39" customHeight="1" spans="1:36">
      <c r="A39" s="1" t="s">
        <v>219</v>
      </c>
      <c r="B39" s="1" t="s">
        <v>147</v>
      </c>
      <c r="C39" s="6">
        <v>713</v>
      </c>
      <c r="D39" s="3">
        <v>0.3</v>
      </c>
      <c r="E39" s="3"/>
      <c r="F39" s="3"/>
      <c r="G39" s="3"/>
      <c r="H39" s="3"/>
      <c r="I39" s="3"/>
      <c r="J39" s="3"/>
      <c r="K39" s="2" t="s">
        <v>621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customHeight="1" spans="1:36">
      <c r="A40" s="1" t="s">
        <v>155</v>
      </c>
      <c r="B40" s="1" t="s">
        <v>147</v>
      </c>
      <c r="C40" s="6">
        <v>684</v>
      </c>
      <c r="D40" s="3"/>
      <c r="E40" s="3"/>
      <c r="F40" s="3"/>
      <c r="G40" s="3">
        <v>0.24</v>
      </c>
      <c r="H40" s="3"/>
      <c r="I40" s="3"/>
      <c r="J40" s="3"/>
      <c r="K40" s="2" t="s">
        <v>622</v>
      </c>
      <c r="L40" s="3"/>
      <c r="M40" s="3"/>
      <c r="N40" s="3"/>
      <c r="O40" s="3"/>
      <c r="P40" s="3"/>
      <c r="Q40" s="3"/>
      <c r="R40" s="3"/>
      <c r="S40" s="3">
        <v>0.6</v>
      </c>
      <c r="T40" s="3"/>
      <c r="U40" s="3"/>
      <c r="V40" s="3">
        <v>0.202</v>
      </c>
      <c r="W40" s="3">
        <v>0.202</v>
      </c>
      <c r="X40" s="3">
        <v>0.202</v>
      </c>
      <c r="Y40" s="3">
        <v>0.202</v>
      </c>
      <c r="Z40" s="3">
        <v>0.202</v>
      </c>
      <c r="AA40" s="3">
        <v>0.202</v>
      </c>
      <c r="AB40" s="3">
        <v>0.202</v>
      </c>
      <c r="AC40" s="3">
        <v>0.202</v>
      </c>
      <c r="AD40" s="3">
        <v>0.202</v>
      </c>
      <c r="AE40" s="3">
        <v>0.202</v>
      </c>
      <c r="AF40" s="3">
        <v>0.202</v>
      </c>
      <c r="AG40" s="3">
        <v>0.202</v>
      </c>
      <c r="AH40" s="3"/>
      <c r="AI40" s="3"/>
      <c r="AJ40" s="3"/>
    </row>
    <row r="41" customHeight="1" spans="1:36">
      <c r="A41" s="1" t="s">
        <v>158</v>
      </c>
      <c r="B41" s="1" t="s">
        <v>147</v>
      </c>
      <c r="C41" s="6">
        <v>625</v>
      </c>
      <c r="D41" s="3"/>
      <c r="E41" s="3"/>
      <c r="F41" s="3"/>
      <c r="G41" s="3"/>
      <c r="H41" s="3"/>
      <c r="I41" s="3"/>
      <c r="J41" s="3">
        <v>0.5</v>
      </c>
      <c r="K41" s="2" t="s">
        <v>623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customHeight="1" spans="1:36">
      <c r="A42" s="1" t="s">
        <v>148</v>
      </c>
      <c r="B42" s="1" t="s">
        <v>147</v>
      </c>
      <c r="C42" s="6">
        <v>625</v>
      </c>
      <c r="D42" s="3"/>
      <c r="E42" s="3"/>
      <c r="F42" s="3"/>
      <c r="G42" s="3"/>
      <c r="H42" s="3"/>
      <c r="I42" s="3"/>
      <c r="J42" s="3">
        <v>0.5</v>
      </c>
      <c r="K42" s="2" t="s">
        <v>624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customHeight="1" spans="1:36">
      <c r="A43" s="1" t="s">
        <v>152</v>
      </c>
      <c r="B43" s="1" t="s">
        <v>147</v>
      </c>
      <c r="C43" s="6">
        <v>625</v>
      </c>
      <c r="D43" s="3">
        <v>0.25</v>
      </c>
      <c r="E43" s="3"/>
      <c r="F43" s="3"/>
      <c r="G43" s="3"/>
      <c r="H43" s="3"/>
      <c r="I43" s="3"/>
      <c r="J43" s="3"/>
      <c r="K43" s="2" t="s">
        <v>625</v>
      </c>
      <c r="L43" s="3">
        <f>2%*3</f>
        <v>0.06</v>
      </c>
      <c r="M43" s="3"/>
      <c r="N43" s="3"/>
      <c r="O43" s="3"/>
      <c r="P43" s="3"/>
      <c r="Q43" s="3"/>
      <c r="R43" s="3"/>
      <c r="S43" s="3"/>
      <c r="T43" s="3"/>
      <c r="U43" s="3"/>
      <c r="V43" s="3">
        <v>0.15</v>
      </c>
      <c r="W43" s="3">
        <v>0.15</v>
      </c>
      <c r="X43" s="3">
        <v>0.15</v>
      </c>
      <c r="Y43" s="3">
        <v>0.15</v>
      </c>
      <c r="Z43" s="3">
        <v>0.15</v>
      </c>
      <c r="AA43" s="3">
        <v>0.15</v>
      </c>
      <c r="AB43" s="3">
        <v>0.15</v>
      </c>
      <c r="AC43" s="3">
        <v>0.15</v>
      </c>
      <c r="AD43" s="3">
        <v>0.15</v>
      </c>
      <c r="AE43" s="3">
        <v>0.15</v>
      </c>
      <c r="AF43" s="3">
        <v>0.15</v>
      </c>
      <c r="AG43" s="3">
        <v>0.15</v>
      </c>
      <c r="AH43" s="3"/>
      <c r="AI43" s="3"/>
      <c r="AJ43" s="3"/>
    </row>
    <row r="44" customHeight="1" spans="1:36">
      <c r="A44" s="1" t="s">
        <v>626</v>
      </c>
      <c r="B44" s="1" t="s">
        <v>147</v>
      </c>
      <c r="C44" s="6">
        <v>594</v>
      </c>
      <c r="D44" s="3"/>
      <c r="E44" s="3"/>
      <c r="F44" s="3"/>
      <c r="G44" s="3">
        <v>0.2</v>
      </c>
      <c r="H44" s="3"/>
      <c r="I44" s="3"/>
      <c r="J44" s="3"/>
      <c r="K44" s="2" t="s">
        <v>627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customHeight="1" spans="1:36">
      <c r="A45" s="1" t="s">
        <v>628</v>
      </c>
      <c r="B45" s="1" t="s">
        <v>147</v>
      </c>
      <c r="C45" s="6">
        <v>594</v>
      </c>
      <c r="D45" s="3"/>
      <c r="E45" s="3"/>
      <c r="F45" s="3"/>
      <c r="G45" s="3"/>
      <c r="H45" s="3"/>
      <c r="I45" s="3"/>
      <c r="J45" s="3">
        <v>0.5</v>
      </c>
      <c r="K45" s="2" t="s">
        <v>629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customHeight="1" spans="1:36">
      <c r="A46" s="1" t="s">
        <v>630</v>
      </c>
      <c r="B46" s="1" t="s">
        <v>147</v>
      </c>
      <c r="C46" s="6">
        <v>475</v>
      </c>
      <c r="D46" s="3"/>
      <c r="E46" s="3"/>
      <c r="F46" s="3"/>
      <c r="G46" s="3"/>
      <c r="H46" s="3"/>
      <c r="I46" s="3"/>
      <c r="J46" s="3">
        <v>0.4</v>
      </c>
      <c r="K46" s="2" t="s">
        <v>631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customHeight="1" spans="1:36">
      <c r="A47" s="1" t="s">
        <v>164</v>
      </c>
      <c r="B47" s="1" t="s">
        <v>163</v>
      </c>
      <c r="C47" s="6">
        <v>713</v>
      </c>
      <c r="D47" s="3"/>
      <c r="E47" s="3"/>
      <c r="F47" s="3"/>
      <c r="G47" s="3"/>
      <c r="H47" s="3"/>
      <c r="I47" s="3">
        <v>0.18</v>
      </c>
      <c r="J47" s="3"/>
      <c r="K47" s="2" t="s">
        <v>632</v>
      </c>
      <c r="L47" s="3"/>
      <c r="M47" s="3"/>
      <c r="N47" s="3"/>
      <c r="O47" s="3"/>
      <c r="P47" s="3"/>
      <c r="Q47" s="3"/>
      <c r="R47" s="3"/>
      <c r="S47" s="3"/>
      <c r="T47" s="3">
        <v>0.2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customHeight="1" spans="1:36">
      <c r="A48" s="1" t="s">
        <v>633</v>
      </c>
      <c r="B48" s="1" t="s">
        <v>163</v>
      </c>
      <c r="C48" s="6">
        <v>625</v>
      </c>
      <c r="D48" s="3">
        <v>0.25</v>
      </c>
      <c r="E48" s="3"/>
      <c r="F48" s="3"/>
      <c r="G48" s="3"/>
      <c r="H48" s="3"/>
      <c r="I48" s="3"/>
      <c r="J48" s="3"/>
      <c r="K48" s="2" t="s">
        <v>634</v>
      </c>
      <c r="L48" s="3"/>
      <c r="M48" s="3"/>
      <c r="N48" s="3"/>
      <c r="O48" s="3"/>
      <c r="P48" s="3"/>
      <c r="Q48" s="3"/>
      <c r="R48" s="3"/>
      <c r="S48" s="3">
        <v>0.4</v>
      </c>
      <c r="T48" s="3"/>
      <c r="U48" s="3">
        <v>0.36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customHeight="1" spans="1:36">
      <c r="A49" s="1" t="s">
        <v>635</v>
      </c>
      <c r="B49" s="1" t="s">
        <v>163</v>
      </c>
      <c r="C49" s="6">
        <v>595</v>
      </c>
      <c r="D49" s="3"/>
      <c r="E49" s="3"/>
      <c r="F49" s="3"/>
      <c r="G49" s="3"/>
      <c r="H49" s="3"/>
      <c r="I49" s="3"/>
      <c r="J49" s="3"/>
      <c r="K49" s="2" t="s">
        <v>636</v>
      </c>
      <c r="L49" s="3"/>
      <c r="M49" s="3"/>
      <c r="N49" s="3"/>
      <c r="O49" s="3"/>
      <c r="P49" s="3"/>
      <c r="Q49" s="3"/>
      <c r="R49" s="3">
        <v>0.16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5" customHeight="1" spans="22:36"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customHeight="1" spans="22:36"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customHeight="1" spans="22:36"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customHeight="1" spans="22:36"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</sheetData>
  <sheetProtection formatCells="0" insertHyperlinks="0" autoFilter="0"/>
  <conditionalFormatting sqref="C3">
    <cfRule type="cellIs" dxfId="0" priority="8" operator="equal">
      <formula>0</formula>
    </cfRule>
  </conditionalFormatting>
  <conditionalFormatting sqref="C5">
    <cfRule type="cellIs" dxfId="0" priority="12" operator="equal">
      <formula>0</formula>
    </cfRule>
  </conditionalFormatting>
  <conditionalFormatting sqref="D5:H5">
    <cfRule type="cellIs" dxfId="0" priority="14" operator="equal">
      <formula>0</formula>
    </cfRule>
  </conditionalFormatting>
  <conditionalFormatting sqref="I5:J5">
    <cfRule type="cellIs" dxfId="0" priority="13" operator="equal">
      <formula>0</formula>
    </cfRule>
  </conditionalFormatting>
  <conditionalFormatting sqref="L5:P5">
    <cfRule type="cellIs" dxfId="0" priority="11" operator="equal">
      <formula>0</formula>
    </cfRule>
  </conditionalFormatting>
  <conditionalFormatting sqref="Q5">
    <cfRule type="cellIs" dxfId="0" priority="9" operator="equal">
      <formula>0</formula>
    </cfRule>
  </conditionalFormatting>
  <conditionalFormatting sqref="R5:U5">
    <cfRule type="cellIs" dxfId="0" priority="10" operator="equal">
      <formula>0</formula>
    </cfRule>
  </conditionalFormatting>
  <conditionalFormatting sqref="C6">
    <cfRule type="cellIs" dxfId="0" priority="18" operator="equal">
      <formula>0</formula>
    </cfRule>
  </conditionalFormatting>
  <conditionalFormatting sqref="D6:H6">
    <cfRule type="cellIs" dxfId="0" priority="20" operator="equal">
      <formula>0</formula>
    </cfRule>
  </conditionalFormatting>
  <conditionalFormatting sqref="I6:J6">
    <cfRule type="cellIs" dxfId="0" priority="19" operator="equal">
      <formula>0</formula>
    </cfRule>
  </conditionalFormatting>
  <conditionalFormatting sqref="L6:P6">
    <cfRule type="cellIs" dxfId="0" priority="17" operator="equal">
      <formula>0</formula>
    </cfRule>
  </conditionalFormatting>
  <conditionalFormatting sqref="Q6">
    <cfRule type="cellIs" dxfId="0" priority="15" operator="equal">
      <formula>0</formula>
    </cfRule>
  </conditionalFormatting>
  <conditionalFormatting sqref="R6:U6">
    <cfRule type="cellIs" dxfId="0" priority="16" operator="equal">
      <formula>0</formula>
    </cfRule>
  </conditionalFormatting>
  <conditionalFormatting sqref="C16">
    <cfRule type="cellIs" dxfId="0" priority="24" operator="equal">
      <formula>0</formula>
    </cfRule>
  </conditionalFormatting>
  <conditionalFormatting sqref="D16:H16">
    <cfRule type="cellIs" dxfId="0" priority="26" operator="equal">
      <formula>0</formula>
    </cfRule>
  </conditionalFormatting>
  <conditionalFormatting sqref="I16:J16">
    <cfRule type="cellIs" dxfId="0" priority="25" operator="equal">
      <formula>0</formula>
    </cfRule>
  </conditionalFormatting>
  <conditionalFormatting sqref="L16:P16">
    <cfRule type="cellIs" dxfId="0" priority="23" operator="equal">
      <formula>0</formula>
    </cfRule>
  </conditionalFormatting>
  <conditionalFormatting sqref="Q16">
    <cfRule type="cellIs" dxfId="0" priority="21" operator="equal">
      <formula>0</formula>
    </cfRule>
  </conditionalFormatting>
  <conditionalFormatting sqref="R16:U16">
    <cfRule type="cellIs" dxfId="0" priority="22" operator="equal">
      <formula>0</formula>
    </cfRule>
  </conditionalFormatting>
  <conditionalFormatting sqref="C17">
    <cfRule type="cellIs" dxfId="0" priority="4" operator="equal">
      <formula>0</formula>
    </cfRule>
  </conditionalFormatting>
  <conditionalFormatting sqref="D17:H17">
    <cfRule type="cellIs" dxfId="0" priority="6" operator="equal">
      <formula>0</formula>
    </cfRule>
  </conditionalFormatting>
  <conditionalFormatting sqref="I17:J17">
    <cfRule type="cellIs" dxfId="0" priority="5" operator="equal">
      <formula>0</formula>
    </cfRule>
  </conditionalFormatting>
  <conditionalFormatting sqref="L17:P17">
    <cfRule type="cellIs" dxfId="0" priority="3" operator="equal">
      <formula>0</formula>
    </cfRule>
  </conditionalFormatting>
  <conditionalFormatting sqref="Q17">
    <cfRule type="cellIs" dxfId="0" priority="1" operator="equal">
      <formula>0</formula>
    </cfRule>
  </conditionalFormatting>
  <conditionalFormatting sqref="R17:U17">
    <cfRule type="cellIs" dxfId="0" priority="2" operator="equal">
      <formula>0</formula>
    </cfRule>
  </conditionalFormatting>
  <conditionalFormatting sqref="C18">
    <cfRule type="cellIs" dxfId="0" priority="43" operator="equal">
      <formula>0</formula>
    </cfRule>
  </conditionalFormatting>
  <conditionalFormatting sqref="D18:H18">
    <cfRule type="cellIs" dxfId="0" priority="45" operator="equal">
      <formula>0</formula>
    </cfRule>
  </conditionalFormatting>
  <conditionalFormatting sqref="I18:J18">
    <cfRule type="cellIs" dxfId="0" priority="44" operator="equal">
      <formula>0</formula>
    </cfRule>
  </conditionalFormatting>
  <conditionalFormatting sqref="L18:P18">
    <cfRule type="cellIs" dxfId="0" priority="42" operator="equal">
      <formula>0</formula>
    </cfRule>
  </conditionalFormatting>
  <conditionalFormatting sqref="Q18">
    <cfRule type="cellIs" dxfId="0" priority="40" operator="equal">
      <formula>0</formula>
    </cfRule>
  </conditionalFormatting>
  <conditionalFormatting sqref="R18:U18">
    <cfRule type="cellIs" dxfId="0" priority="41" operator="equal">
      <formula>0</formula>
    </cfRule>
  </conditionalFormatting>
  <conditionalFormatting sqref="C19">
    <cfRule type="cellIs" dxfId="0" priority="82" operator="equal">
      <formula>0</formula>
    </cfRule>
  </conditionalFormatting>
  <conditionalFormatting sqref="D19:H19">
    <cfRule type="cellIs" dxfId="0" priority="84" operator="equal">
      <formula>0</formula>
    </cfRule>
  </conditionalFormatting>
  <conditionalFormatting sqref="I19:J19">
    <cfRule type="cellIs" dxfId="0" priority="83" operator="equal">
      <formula>0</formula>
    </cfRule>
  </conditionalFormatting>
  <conditionalFormatting sqref="L19:P19">
    <cfRule type="cellIs" dxfId="0" priority="81" operator="equal">
      <formula>0</formula>
    </cfRule>
  </conditionalFormatting>
  <conditionalFormatting sqref="Q19">
    <cfRule type="cellIs" dxfId="0" priority="61" operator="equal">
      <formula>0</formula>
    </cfRule>
  </conditionalFormatting>
  <conditionalFormatting sqref="R19:U19">
    <cfRule type="cellIs" dxfId="0" priority="80" operator="equal">
      <formula>0</formula>
    </cfRule>
  </conditionalFormatting>
  <conditionalFormatting sqref="C26">
    <cfRule type="cellIs" dxfId="0" priority="69" operator="equal">
      <formula>0</formula>
    </cfRule>
  </conditionalFormatting>
  <conditionalFormatting sqref="D26:H26">
    <cfRule type="cellIs" dxfId="0" priority="71" operator="equal">
      <formula>0</formula>
    </cfRule>
  </conditionalFormatting>
  <conditionalFormatting sqref="I26:J26">
    <cfRule type="cellIs" dxfId="0" priority="70" operator="equal">
      <formula>0</formula>
    </cfRule>
  </conditionalFormatting>
  <conditionalFormatting sqref="L26:P26">
    <cfRule type="cellIs" dxfId="0" priority="68" operator="equal">
      <formula>0</formula>
    </cfRule>
  </conditionalFormatting>
  <conditionalFormatting sqref="Q26">
    <cfRule type="cellIs" dxfId="0" priority="57" operator="equal">
      <formula>0</formula>
    </cfRule>
  </conditionalFormatting>
  <conditionalFormatting sqref="R26:U26">
    <cfRule type="cellIs" dxfId="0" priority="67" operator="equal">
      <formula>0</formula>
    </cfRule>
  </conditionalFormatting>
  <conditionalFormatting sqref="C30">
    <cfRule type="cellIs" dxfId="0" priority="37" operator="equal">
      <formula>0</formula>
    </cfRule>
  </conditionalFormatting>
  <conditionalFormatting sqref="D30:H30">
    <cfRule type="cellIs" dxfId="0" priority="39" operator="equal">
      <formula>0</formula>
    </cfRule>
  </conditionalFormatting>
  <conditionalFormatting sqref="I30:J30">
    <cfRule type="cellIs" dxfId="0" priority="38" operator="equal">
      <formula>0</formula>
    </cfRule>
  </conditionalFormatting>
  <conditionalFormatting sqref="L30:P30">
    <cfRule type="cellIs" dxfId="0" priority="36" operator="equal">
      <formula>0</formula>
    </cfRule>
  </conditionalFormatting>
  <conditionalFormatting sqref="Q30">
    <cfRule type="cellIs" dxfId="0" priority="34" operator="equal">
      <formula>0</formula>
    </cfRule>
  </conditionalFormatting>
  <conditionalFormatting sqref="R30:U30">
    <cfRule type="cellIs" dxfId="0" priority="35" operator="equal">
      <formula>0</formula>
    </cfRule>
  </conditionalFormatting>
  <conditionalFormatting sqref="C36">
    <cfRule type="cellIs" dxfId="0" priority="85" operator="equal">
      <formula>0</formula>
    </cfRule>
  </conditionalFormatting>
  <conditionalFormatting sqref="D44:H44">
    <cfRule type="cellIs" dxfId="0" priority="107" operator="equal">
      <formula>0</formula>
    </cfRule>
  </conditionalFormatting>
  <conditionalFormatting sqref="I44:J44">
    <cfRule type="cellIs" dxfId="0" priority="106" operator="equal">
      <formula>0</formula>
    </cfRule>
  </conditionalFormatting>
  <conditionalFormatting sqref="L44:P44">
    <cfRule type="cellIs" dxfId="0" priority="95" operator="equal">
      <formula>0</formula>
    </cfRule>
  </conditionalFormatting>
  <conditionalFormatting sqref="Q44">
    <cfRule type="cellIs" dxfId="0" priority="65" operator="equal">
      <formula>0</formula>
    </cfRule>
  </conditionalFormatting>
  <conditionalFormatting sqref="R44:U44">
    <cfRule type="cellIs" dxfId="0" priority="94" operator="equal">
      <formula>0</formula>
    </cfRule>
  </conditionalFormatting>
  <conditionalFormatting sqref="D45:H45">
    <cfRule type="cellIs" dxfId="0" priority="105" operator="equal">
      <formula>0</formula>
    </cfRule>
  </conditionalFormatting>
  <conditionalFormatting sqref="I45:J45">
    <cfRule type="cellIs" dxfId="0" priority="104" operator="equal">
      <formula>0</formula>
    </cfRule>
  </conditionalFormatting>
  <conditionalFormatting sqref="L45:P45">
    <cfRule type="cellIs" dxfId="0" priority="93" operator="equal">
      <formula>0</formula>
    </cfRule>
  </conditionalFormatting>
  <conditionalFormatting sqref="Q45">
    <cfRule type="cellIs" dxfId="0" priority="64" operator="equal">
      <formula>0</formula>
    </cfRule>
  </conditionalFormatting>
  <conditionalFormatting sqref="R45:U45">
    <cfRule type="cellIs" dxfId="0" priority="92" operator="equal">
      <formula>0</formula>
    </cfRule>
  </conditionalFormatting>
  <conditionalFormatting sqref="D46:H46">
    <cfRule type="cellIs" dxfId="0" priority="89" operator="equal">
      <formula>0</formula>
    </cfRule>
  </conditionalFormatting>
  <conditionalFormatting sqref="I46:J46">
    <cfRule type="cellIs" dxfId="0" priority="88" operator="equal">
      <formula>0</formula>
    </cfRule>
  </conditionalFormatting>
  <conditionalFormatting sqref="L46:P46">
    <cfRule type="cellIs" dxfId="0" priority="87" operator="equal">
      <formula>0</formula>
    </cfRule>
  </conditionalFormatting>
  <conditionalFormatting sqref="Q46">
    <cfRule type="cellIs" dxfId="0" priority="62" operator="equal">
      <formula>0</formula>
    </cfRule>
  </conditionalFormatting>
  <conditionalFormatting sqref="R46:U46">
    <cfRule type="cellIs" dxfId="0" priority="86" operator="equal">
      <formula>0</formula>
    </cfRule>
  </conditionalFormatting>
  <conditionalFormatting sqref="D47:H47">
    <cfRule type="cellIs" dxfId="0" priority="79" operator="equal">
      <formula>0</formula>
    </cfRule>
  </conditionalFormatting>
  <conditionalFormatting sqref="I47:J47">
    <cfRule type="cellIs" dxfId="0" priority="78" operator="equal">
      <formula>0</formula>
    </cfRule>
  </conditionalFormatting>
  <conditionalFormatting sqref="L47:P47">
    <cfRule type="cellIs" dxfId="0" priority="77" operator="equal">
      <formula>0</formula>
    </cfRule>
  </conditionalFormatting>
  <conditionalFormatting sqref="Q47">
    <cfRule type="cellIs" dxfId="0" priority="60" operator="equal">
      <formula>0</formula>
    </cfRule>
  </conditionalFormatting>
  <conditionalFormatting sqref="R47:U47">
    <cfRule type="cellIs" dxfId="0" priority="76" operator="equal">
      <formula>0</formula>
    </cfRule>
  </conditionalFormatting>
  <conditionalFormatting sqref="D48:H48">
    <cfRule type="cellIs" dxfId="0" priority="75" operator="equal">
      <formula>0</formula>
    </cfRule>
  </conditionalFormatting>
  <conditionalFormatting sqref="I48:J48">
    <cfRule type="cellIs" dxfId="0" priority="74" operator="equal">
      <formula>0</formula>
    </cfRule>
  </conditionalFormatting>
  <conditionalFormatting sqref="L48:P48">
    <cfRule type="cellIs" dxfId="0" priority="73" operator="equal">
      <formula>0</formula>
    </cfRule>
  </conditionalFormatting>
  <conditionalFormatting sqref="Q48">
    <cfRule type="cellIs" dxfId="0" priority="59" operator="equal">
      <formula>0</formula>
    </cfRule>
  </conditionalFormatting>
  <conditionalFormatting sqref="R48:U48">
    <cfRule type="cellIs" dxfId="0" priority="72" operator="equal">
      <formula>0</formula>
    </cfRule>
  </conditionalFormatting>
  <conditionalFormatting sqref="D49:H49">
    <cfRule type="cellIs" dxfId="0" priority="103" operator="equal">
      <formula>0</formula>
    </cfRule>
  </conditionalFormatting>
  <conditionalFormatting sqref="I49:J49">
    <cfRule type="cellIs" dxfId="0" priority="102" operator="equal">
      <formula>0</formula>
    </cfRule>
  </conditionalFormatting>
  <conditionalFormatting sqref="L49:P49">
    <cfRule type="cellIs" dxfId="0" priority="91" operator="equal">
      <formula>0</formula>
    </cfRule>
  </conditionalFormatting>
  <conditionalFormatting sqref="Q49">
    <cfRule type="cellIs" dxfId="0" priority="63" operator="equal">
      <formula>0</formula>
    </cfRule>
  </conditionalFormatting>
  <conditionalFormatting sqref="R49:U49">
    <cfRule type="cellIs" dxfId="0" priority="90" operator="equal">
      <formula>0</formula>
    </cfRule>
  </conditionalFormatting>
  <conditionalFormatting sqref="C7:C14">
    <cfRule type="cellIs" dxfId="0" priority="99" operator="equal">
      <formula>0</formula>
    </cfRule>
  </conditionalFormatting>
  <conditionalFormatting sqref="C28:C29">
    <cfRule type="cellIs" dxfId="0" priority="31" operator="equal">
      <formula>0</formula>
    </cfRule>
  </conditionalFormatting>
  <conditionalFormatting sqref="C31:C34">
    <cfRule type="cellIs" dxfId="0" priority="101" operator="equal">
      <formula>0</formula>
    </cfRule>
  </conditionalFormatting>
  <conditionalFormatting sqref="Q28:Q29">
    <cfRule type="cellIs" dxfId="0" priority="28" operator="equal">
      <formula>0</formula>
    </cfRule>
  </conditionalFormatting>
  <conditionalFormatting sqref="D7:H15 D3:H4 D20:H25 D27:H27 D31:H43">
    <cfRule type="cellIs" dxfId="0" priority="109" operator="equal">
      <formula>0</formula>
    </cfRule>
  </conditionalFormatting>
  <conditionalFormatting sqref="I7:J15 I3:J4 I20:J25 I27:J27 I31:J43">
    <cfRule type="cellIs" dxfId="0" priority="108" operator="equal">
      <formula>0</formula>
    </cfRule>
  </conditionalFormatting>
  <conditionalFormatting sqref="L7:P15 L3:P4 L20:P25 L27:P27 L31:P43">
    <cfRule type="cellIs" dxfId="0" priority="97" operator="equal">
      <formula>0</formula>
    </cfRule>
  </conditionalFormatting>
  <conditionalFormatting sqref="Q7:Q15 Q3:Q4 Q20:Q25 Q27 Q31:Q43">
    <cfRule type="cellIs" dxfId="0" priority="66" operator="equal">
      <formula>0</formula>
    </cfRule>
  </conditionalFormatting>
  <conditionalFormatting sqref="R7:U15 R3:U4 R20:U25 R27:U27 R31:U43">
    <cfRule type="cellIs" dxfId="0" priority="96" operator="equal">
      <formula>0</formula>
    </cfRule>
  </conditionalFormatting>
  <conditionalFormatting sqref="C4 C37:C38 C35">
    <cfRule type="cellIs" dxfId="0" priority="100" operator="equal">
      <formula>0</formula>
    </cfRule>
  </conditionalFormatting>
  <conditionalFormatting sqref="C15 C27 C20:C25 C39:C40">
    <cfRule type="cellIs" dxfId="0" priority="98" operator="equal">
      <formula>0</formula>
    </cfRule>
  </conditionalFormatting>
  <conditionalFormatting sqref="D28:H29">
    <cfRule type="cellIs" dxfId="0" priority="33" operator="equal">
      <formula>0</formula>
    </cfRule>
  </conditionalFormatting>
  <conditionalFormatting sqref="I28:J29">
    <cfRule type="cellIs" dxfId="0" priority="32" operator="equal">
      <formula>0</formula>
    </cfRule>
  </conditionalFormatting>
  <conditionalFormatting sqref="L28:P29">
    <cfRule type="cellIs" dxfId="0" priority="30" operator="equal">
      <formula>0</formula>
    </cfRule>
  </conditionalFormatting>
  <conditionalFormatting sqref="R28:U29">
    <cfRule type="cellIs" dxfId="0" priority="29" operator="equal">
      <formula>0</formula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1"/>
  <sheetViews>
    <sheetView zoomScale="85" zoomScaleNormal="85" topLeftCell="A2" workbookViewId="0">
      <pane xSplit="1" ySplit="1" topLeftCell="B11" activePane="bottomRight" state="frozen"/>
      <selection/>
      <selection pane="topRight"/>
      <selection pane="bottomLeft"/>
      <selection pane="bottomRight" activeCell="E15" sqref="E15"/>
    </sheetView>
  </sheetViews>
  <sheetFormatPr defaultColWidth="9.90740740740741" defaultRowHeight="44" customHeight="1"/>
  <cols>
    <col min="1" max="10" width="13.7777777777778" style="1"/>
    <col min="11" max="11" width="30.7777777777778" style="2" customWidth="1"/>
    <col min="12" max="16384" width="13.7777777777778" style="1"/>
  </cols>
  <sheetData>
    <row r="1" customHeight="1" spans="1:29">
      <c r="A1" s="1">
        <f>COLUMN()</f>
        <v>1</v>
      </c>
      <c r="B1" s="1">
        <f>COLUMN()</f>
        <v>2</v>
      </c>
      <c r="C1" s="1">
        <f>COLUMN()</f>
        <v>3</v>
      </c>
      <c r="D1" s="1">
        <f>COLUMN()</f>
        <v>4</v>
      </c>
      <c r="E1" s="1">
        <f>COLUMN()</f>
        <v>5</v>
      </c>
      <c r="F1" s="1">
        <f>COLUMN()</f>
        <v>6</v>
      </c>
      <c r="G1" s="1">
        <f>COLUMN()</f>
        <v>7</v>
      </c>
      <c r="H1" s="1">
        <f>COLUMN()</f>
        <v>8</v>
      </c>
      <c r="I1" s="1">
        <f>COLUMN()</f>
        <v>9</v>
      </c>
      <c r="J1" s="1">
        <f>COLUMN()</f>
        <v>10</v>
      </c>
      <c r="K1" s="1">
        <f>COLUMN()</f>
        <v>11</v>
      </c>
      <c r="L1" s="1">
        <f>COLUMN()</f>
        <v>12</v>
      </c>
      <c r="M1" s="1">
        <f>COLUMN()</f>
        <v>13</v>
      </c>
      <c r="N1" s="1">
        <f>COLUMN()</f>
        <v>14</v>
      </c>
      <c r="O1" s="1">
        <f>COLUMN()</f>
        <v>15</v>
      </c>
      <c r="P1" s="1">
        <f t="shared" ref="P1:AC1" si="0">COLUMN()</f>
        <v>16</v>
      </c>
      <c r="Q1" s="1">
        <f t="shared" si="0"/>
        <v>17</v>
      </c>
      <c r="R1" s="1">
        <f t="shared" si="0"/>
        <v>18</v>
      </c>
      <c r="S1" s="1">
        <f t="shared" si="0"/>
        <v>19</v>
      </c>
      <c r="T1" s="1">
        <f t="shared" si="0"/>
        <v>20</v>
      </c>
      <c r="U1" s="1">
        <f t="shared" si="0"/>
        <v>21</v>
      </c>
      <c r="V1" s="1">
        <f t="shared" si="0"/>
        <v>22</v>
      </c>
      <c r="W1" s="1">
        <f t="shared" si="0"/>
        <v>23</v>
      </c>
      <c r="X1" s="1">
        <f t="shared" si="0"/>
        <v>24</v>
      </c>
      <c r="Y1" s="1">
        <f t="shared" si="0"/>
        <v>25</v>
      </c>
      <c r="Z1" s="1">
        <f t="shared" si="0"/>
        <v>26</v>
      </c>
      <c r="AA1" s="1">
        <f t="shared" si="0"/>
        <v>27</v>
      </c>
      <c r="AB1" s="1">
        <f t="shared" si="0"/>
        <v>28</v>
      </c>
      <c r="AC1" s="1">
        <f t="shared" si="0"/>
        <v>29</v>
      </c>
    </row>
    <row r="2" customHeight="1" spans="1:29">
      <c r="A2" s="1" t="s">
        <v>263</v>
      </c>
      <c r="B2" s="1" t="s">
        <v>74</v>
      </c>
      <c r="C2" s="1" t="s">
        <v>75</v>
      </c>
      <c r="D2" s="1" t="s">
        <v>80</v>
      </c>
      <c r="E2" s="1" t="s">
        <v>73</v>
      </c>
      <c r="F2" s="1" t="s">
        <v>89</v>
      </c>
      <c r="G2" s="1" t="s">
        <v>109</v>
      </c>
      <c r="H2" s="1" t="s">
        <v>129</v>
      </c>
      <c r="I2" s="1" t="s">
        <v>150</v>
      </c>
      <c r="J2" s="1" t="s">
        <v>110</v>
      </c>
      <c r="K2" s="4" t="s">
        <v>637</v>
      </c>
      <c r="L2" s="1" t="s">
        <v>75</v>
      </c>
      <c r="M2" s="1" t="s">
        <v>80</v>
      </c>
      <c r="N2" s="1" t="s">
        <v>73</v>
      </c>
      <c r="O2" s="1" t="s">
        <v>109</v>
      </c>
      <c r="P2" s="1" t="s">
        <v>436</v>
      </c>
      <c r="Q2" s="1" t="s">
        <v>437</v>
      </c>
      <c r="R2" s="1" t="s">
        <v>438</v>
      </c>
      <c r="S2" s="1" t="s">
        <v>439</v>
      </c>
      <c r="T2" s="1" t="s">
        <v>440</v>
      </c>
      <c r="U2" s="1" t="s">
        <v>441</v>
      </c>
      <c r="V2" s="1" t="s">
        <v>442</v>
      </c>
      <c r="W2" s="4" t="s">
        <v>443</v>
      </c>
      <c r="X2" s="4" t="s">
        <v>444</v>
      </c>
      <c r="Y2" s="4" t="s">
        <v>445</v>
      </c>
      <c r="Z2" s="4" t="s">
        <v>446</v>
      </c>
      <c r="AA2" s="4" t="s">
        <v>562</v>
      </c>
      <c r="AB2" s="1" t="s">
        <v>448</v>
      </c>
      <c r="AC2" s="1" t="s">
        <v>563</v>
      </c>
    </row>
    <row r="3" customHeight="1" spans="1:28">
      <c r="A3" s="1" t="s">
        <v>72</v>
      </c>
      <c r="B3" s="3"/>
      <c r="C3" s="3"/>
      <c r="D3" s="3">
        <v>0.08</v>
      </c>
      <c r="E3" s="3"/>
      <c r="F3" s="3"/>
      <c r="G3" s="3"/>
      <c r="H3" s="3"/>
      <c r="I3" s="3"/>
      <c r="J3" s="3"/>
      <c r="K3" s="2" t="s">
        <v>638</v>
      </c>
      <c r="L3" s="3">
        <f>9%*3</f>
        <v>0.27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spans="1:28">
      <c r="A4" s="1" t="s">
        <v>78</v>
      </c>
      <c r="B4" s="3"/>
      <c r="C4" s="3"/>
      <c r="D4" s="3"/>
      <c r="E4" s="3"/>
      <c r="F4" s="3">
        <v>0.08</v>
      </c>
      <c r="G4" s="3"/>
      <c r="H4" s="3"/>
      <c r="I4" s="3"/>
      <c r="J4" s="3"/>
      <c r="K4" s="2" t="s">
        <v>639</v>
      </c>
      <c r="L4" s="3">
        <v>0.15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>
        <v>0.2</v>
      </c>
      <c r="Z4" s="3"/>
      <c r="AA4" s="3"/>
      <c r="AB4" s="3"/>
    </row>
    <row r="5" customHeight="1" spans="1:28">
      <c r="A5" s="1" t="s">
        <v>92</v>
      </c>
      <c r="B5" s="3"/>
      <c r="C5" s="3">
        <v>0.1</v>
      </c>
      <c r="D5" s="3"/>
      <c r="E5" s="3"/>
      <c r="F5" s="3"/>
      <c r="G5" s="3"/>
      <c r="H5" s="3"/>
      <c r="I5" s="3"/>
      <c r="J5" s="3"/>
      <c r="K5" s="2" t="s">
        <v>640</v>
      </c>
      <c r="L5" s="3">
        <v>0.25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Height="1" spans="1:28">
      <c r="A6" s="1" t="s">
        <v>88</v>
      </c>
      <c r="B6" s="3">
        <v>0.1</v>
      </c>
      <c r="C6" s="3"/>
      <c r="D6" s="3"/>
      <c r="E6" s="3"/>
      <c r="F6" s="3"/>
      <c r="G6" s="3"/>
      <c r="H6" s="3"/>
      <c r="I6" s="3"/>
      <c r="J6" s="3"/>
      <c r="K6" s="2" t="s">
        <v>641</v>
      </c>
      <c r="L6" s="3"/>
      <c r="M6" s="3"/>
      <c r="N6" s="3"/>
      <c r="O6" s="3"/>
      <c r="P6" s="3">
        <v>0.5</v>
      </c>
      <c r="Q6" s="3">
        <v>0.5</v>
      </c>
      <c r="R6" s="3">
        <v>0.5</v>
      </c>
      <c r="S6" s="3">
        <v>0.5</v>
      </c>
      <c r="T6" s="3"/>
      <c r="U6" s="3"/>
      <c r="V6" s="3"/>
      <c r="W6" s="3"/>
      <c r="X6" s="3"/>
      <c r="Y6" s="3"/>
      <c r="Z6" s="3">
        <v>0.5</v>
      </c>
      <c r="AA6" s="3">
        <v>0.5</v>
      </c>
      <c r="AB6" s="3"/>
    </row>
    <row r="7" customHeight="1" spans="1:28">
      <c r="A7" s="1" t="s">
        <v>84</v>
      </c>
      <c r="B7" s="3">
        <v>0.1</v>
      </c>
      <c r="C7" s="3"/>
      <c r="D7" s="3"/>
      <c r="E7" s="3"/>
      <c r="F7" s="3"/>
      <c r="G7" s="3"/>
      <c r="H7" s="3"/>
      <c r="I7" s="3"/>
      <c r="J7" s="3"/>
      <c r="K7" s="2" t="s">
        <v>642</v>
      </c>
      <c r="L7" s="3"/>
      <c r="M7" s="3"/>
      <c r="N7" s="3">
        <f>20%+5.5%*6</f>
        <v>0.53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Height="1" spans="1:28">
      <c r="A8" s="1" t="s">
        <v>96</v>
      </c>
      <c r="B8" s="3">
        <v>0.1</v>
      </c>
      <c r="C8" s="3"/>
      <c r="D8" s="3"/>
      <c r="E8" s="3"/>
      <c r="F8" s="3"/>
      <c r="G8" s="3"/>
      <c r="H8" s="3"/>
      <c r="I8" s="3"/>
      <c r="J8" s="3"/>
      <c r="K8" s="2" t="s">
        <v>643</v>
      </c>
      <c r="L8" s="3"/>
      <c r="M8" s="3">
        <v>0.28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Height="1" spans="1:28">
      <c r="A9" s="1" t="s">
        <v>79</v>
      </c>
      <c r="B9" s="3">
        <v>0.1</v>
      </c>
      <c r="C9" s="3"/>
      <c r="D9" s="3"/>
      <c r="E9" s="3"/>
      <c r="F9" s="3"/>
      <c r="G9" s="3"/>
      <c r="H9" s="3"/>
      <c r="I9" s="3"/>
      <c r="J9" s="3"/>
      <c r="K9" s="2" t="s">
        <v>644</v>
      </c>
      <c r="L9" s="3">
        <v>0.27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Height="1" spans="1:28">
      <c r="A10" s="1" t="s">
        <v>93</v>
      </c>
      <c r="B10" s="3">
        <v>0.1</v>
      </c>
      <c r="C10" s="3"/>
      <c r="D10" s="3"/>
      <c r="E10" s="3"/>
      <c r="F10" s="3"/>
      <c r="G10" s="3"/>
      <c r="H10" s="3"/>
      <c r="I10" s="3"/>
      <c r="J10" s="3"/>
      <c r="K10" s="2" t="s">
        <v>645</v>
      </c>
      <c r="L10" s="3"/>
      <c r="M10" s="3"/>
      <c r="N10" s="3"/>
      <c r="O10" s="3"/>
      <c r="P10" s="3">
        <v>0.35</v>
      </c>
      <c r="Q10" s="3">
        <v>0.35</v>
      </c>
      <c r="R10" s="3">
        <v>0.35</v>
      </c>
      <c r="S10" s="3">
        <v>0.35</v>
      </c>
      <c r="T10" s="3">
        <v>0.35</v>
      </c>
      <c r="U10" s="3">
        <v>0.35</v>
      </c>
      <c r="V10" s="3">
        <v>0.35</v>
      </c>
      <c r="W10" s="3">
        <v>0.35</v>
      </c>
      <c r="X10" s="3">
        <v>0.35</v>
      </c>
      <c r="Y10" s="3">
        <v>0.35</v>
      </c>
      <c r="Z10" s="3">
        <v>0.35</v>
      </c>
      <c r="AA10" s="3">
        <v>0.35</v>
      </c>
      <c r="AB10" s="3"/>
    </row>
    <row r="11" customHeight="1" spans="1:28">
      <c r="A11" s="1" t="s">
        <v>104</v>
      </c>
      <c r="B11" s="3"/>
      <c r="C11" s="3"/>
      <c r="D11" s="3"/>
      <c r="E11" s="3">
        <v>0.16</v>
      </c>
      <c r="F11" s="3"/>
      <c r="G11" s="3"/>
      <c r="H11" s="3"/>
      <c r="I11" s="3"/>
      <c r="J11" s="3"/>
      <c r="K11" s="2" t="s">
        <v>646</v>
      </c>
      <c r="L11" s="3"/>
      <c r="M11" s="3">
        <v>0.12</v>
      </c>
      <c r="N11" s="3">
        <v>0.3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Height="1" spans="1:28">
      <c r="A12" s="1" t="s">
        <v>71</v>
      </c>
      <c r="B12" s="3"/>
      <c r="C12" s="3"/>
      <c r="D12" s="3"/>
      <c r="E12" s="3"/>
      <c r="F12" s="3"/>
      <c r="G12" s="3"/>
      <c r="H12" s="3"/>
      <c r="I12" s="3"/>
      <c r="J12" s="3"/>
      <c r="K12" s="2" t="s">
        <v>647</v>
      </c>
      <c r="L12" s="3">
        <v>0.12</v>
      </c>
      <c r="M12" s="3">
        <v>0.12</v>
      </c>
      <c r="N12" s="3"/>
      <c r="O12" s="3"/>
      <c r="P12" s="3"/>
      <c r="Q12" s="3"/>
      <c r="R12" s="3"/>
      <c r="S12" s="3">
        <v>0.15</v>
      </c>
      <c r="T12" s="3"/>
      <c r="U12" s="3"/>
      <c r="V12" s="3"/>
      <c r="W12" s="3"/>
      <c r="X12" s="3"/>
      <c r="Y12" s="3"/>
      <c r="Z12" s="3">
        <v>0.15</v>
      </c>
      <c r="AA12" s="3"/>
      <c r="AB12" s="3"/>
    </row>
    <row r="13" customHeight="1" spans="1:28">
      <c r="A13" s="1" t="s">
        <v>116</v>
      </c>
      <c r="B13" s="3"/>
      <c r="C13" s="3"/>
      <c r="D13" s="3"/>
      <c r="E13" s="3"/>
      <c r="F13" s="3"/>
      <c r="G13" s="3">
        <v>0.3</v>
      </c>
      <c r="H13" s="3"/>
      <c r="I13" s="3"/>
      <c r="J13" s="3"/>
      <c r="K13" s="2" t="s">
        <v>648</v>
      </c>
      <c r="L13" s="3"/>
      <c r="M13" s="3"/>
      <c r="N13" s="3"/>
      <c r="O13" s="3"/>
      <c r="P13" s="3">
        <v>0.15</v>
      </c>
      <c r="Q13" s="3">
        <v>0.15</v>
      </c>
      <c r="R13" s="3">
        <v>0.15</v>
      </c>
      <c r="S13" s="3">
        <v>0.15</v>
      </c>
      <c r="T13" s="3">
        <v>0.15</v>
      </c>
      <c r="U13" s="3">
        <v>0.15</v>
      </c>
      <c r="V13" s="3">
        <v>0.35</v>
      </c>
      <c r="W13" s="3">
        <v>0.15</v>
      </c>
      <c r="X13" s="3">
        <v>0.15</v>
      </c>
      <c r="Y13" s="3">
        <v>0.15</v>
      </c>
      <c r="Z13" s="3">
        <v>0.15</v>
      </c>
      <c r="AA13" s="3">
        <v>0.35</v>
      </c>
      <c r="AB13" s="3"/>
    </row>
    <row r="14" customHeight="1" spans="1:28">
      <c r="A14" s="1" t="s">
        <v>107</v>
      </c>
      <c r="B14" s="3"/>
      <c r="C14" s="3"/>
      <c r="D14" s="3"/>
      <c r="E14" s="3"/>
      <c r="F14" s="3"/>
      <c r="G14" s="3"/>
      <c r="H14" s="3"/>
      <c r="I14" s="3"/>
      <c r="J14" s="3">
        <v>0.08</v>
      </c>
      <c r="K14" s="2" t="s">
        <v>649</v>
      </c>
      <c r="L14" s="3"/>
      <c r="M14" s="3"/>
      <c r="N14" s="3"/>
      <c r="O14" s="3">
        <v>0.45</v>
      </c>
      <c r="P14" s="3">
        <v>0.25</v>
      </c>
      <c r="Q14" s="3">
        <v>0.25</v>
      </c>
      <c r="R14" s="3">
        <v>0.25</v>
      </c>
      <c r="S14" s="3">
        <v>0.25</v>
      </c>
      <c r="T14" s="3">
        <v>0.25</v>
      </c>
      <c r="U14" s="3">
        <v>0.25</v>
      </c>
      <c r="V14" s="3">
        <v>0.25</v>
      </c>
      <c r="W14" s="3">
        <v>0.25</v>
      </c>
      <c r="X14" s="3">
        <v>0.25</v>
      </c>
      <c r="Y14" s="3">
        <v>0.25</v>
      </c>
      <c r="Z14" s="3">
        <v>0.25</v>
      </c>
      <c r="AA14" s="3">
        <v>0.25</v>
      </c>
      <c r="AB14" s="3"/>
    </row>
    <row r="15" customHeight="1" spans="1:28">
      <c r="A15" s="1" t="s">
        <v>128</v>
      </c>
      <c r="B15" s="3"/>
      <c r="C15" s="3"/>
      <c r="D15" s="3"/>
      <c r="E15" s="3"/>
      <c r="F15" s="3"/>
      <c r="G15" s="3"/>
      <c r="H15" s="3">
        <v>0.06</v>
      </c>
      <c r="I15" s="3"/>
      <c r="J15" s="3"/>
      <c r="K15" s="2" t="s">
        <v>650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>
        <v>0.2</v>
      </c>
    </row>
    <row r="16" customHeight="1" spans="1:28">
      <c r="A16" s="1" t="s">
        <v>132</v>
      </c>
      <c r="B16" s="3"/>
      <c r="C16" s="3"/>
      <c r="D16" s="3"/>
      <c r="E16" s="3"/>
      <c r="F16" s="3"/>
      <c r="G16" s="3"/>
      <c r="H16" s="3"/>
      <c r="I16" s="3">
        <v>0.2</v>
      </c>
      <c r="J16" s="3"/>
      <c r="K16" s="2" t="s">
        <v>651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Height="1" spans="1:28">
      <c r="A17" s="1" t="s">
        <v>108</v>
      </c>
      <c r="B17" s="3"/>
      <c r="C17" s="3"/>
      <c r="D17" s="3"/>
      <c r="E17" s="3"/>
      <c r="F17" s="3"/>
      <c r="G17" s="3">
        <v>0.3</v>
      </c>
      <c r="H17" s="3"/>
      <c r="I17" s="3"/>
      <c r="J17" s="3"/>
      <c r="K17" s="2" t="s">
        <v>652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Height="1" spans="1:28">
      <c r="A18" s="1" t="s">
        <v>142</v>
      </c>
      <c r="B18" s="3"/>
      <c r="C18" s="3"/>
      <c r="D18" s="3"/>
      <c r="E18" s="3"/>
      <c r="F18" s="3"/>
      <c r="G18" s="3"/>
      <c r="H18" s="3"/>
      <c r="I18" s="3"/>
      <c r="J18" s="3"/>
      <c r="K18" s="2" t="s">
        <v>653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Height="1" spans="1:28">
      <c r="A19" s="1" t="s">
        <v>149</v>
      </c>
      <c r="B19" s="3"/>
      <c r="C19" s="3">
        <v>0.1</v>
      </c>
      <c r="D19" s="3"/>
      <c r="E19" s="3"/>
      <c r="F19" s="3"/>
      <c r="G19" s="3"/>
      <c r="H19" s="3"/>
      <c r="I19" s="3"/>
      <c r="J19" s="3"/>
      <c r="K19" s="2" t="s">
        <v>654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Height="1" spans="1:28">
      <c r="A20" s="1" t="s">
        <v>655</v>
      </c>
      <c r="B20" s="3"/>
      <c r="C20" s="3"/>
      <c r="D20" s="3"/>
      <c r="E20" s="3"/>
      <c r="F20" s="3"/>
      <c r="G20" s="3"/>
      <c r="H20" s="3"/>
      <c r="I20" s="3"/>
      <c r="J20" s="3"/>
      <c r="K20" s="2" t="s">
        <v>656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Height="1" spans="1:11">
      <c r="A21" s="1" t="str">
        <f>""</f>
        <v/>
      </c>
      <c r="K21" s="2" t="s">
        <v>338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区域2" rangeCreator="" othersAccessPermission="edit"/>
    <arrUserId title="区域1" rangeCreator="" othersAccessPermission="edit"/>
  </rangeList>
  <rangeList sheetStid="2" master="" otherUserPermission="visible"/>
  <rangeList sheetStid="10" master="" otherUserPermission="visible"/>
  <rangeList sheetStid="3" master="" otherUserPermission="visible"/>
  <rangeList sheetStid="4" master="" otherUserPermission="visible"/>
  <rangeList sheetStid="5" master="" otherUserPermission="visible"/>
  <rangeList sheetStid="6" master="" otherUserPermission="visible">
    <arrUserId title="区域1" rangeCreator="" othersAccessPermission="edit"/>
  </rangeList>
  <rangeList sheetStid="7" master="" otherUserPermission="visible"/>
  <rangeList sheetStid="8" master="" otherUserPermission="visible"/>
  <rangeList sheetStid="9" master="" otherUserPermission="visible"/>
</allowEditUser>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云配队</vt:lpstr>
      <vt:lpstr>配装</vt:lpstr>
      <vt:lpstr>增益</vt:lpstr>
      <vt:lpstr>声明</vt:lpstr>
      <vt:lpstr>邦布</vt:lpstr>
      <vt:lpstr>数值</vt:lpstr>
      <vt:lpstr>计算</vt:lpstr>
      <vt:lpstr>角色</vt:lpstr>
      <vt:lpstr>音擎</vt:lpstr>
      <vt:lpstr>驱动盘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14252</dc:creator>
  <cp:lastModifiedBy>静默之光</cp:lastModifiedBy>
  <dcterms:created xsi:type="dcterms:W3CDTF">2024-06-01T11:21:00Z</dcterms:created>
  <dcterms:modified xsi:type="dcterms:W3CDTF">2025-03-30T17:42:55Z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0DEE2D978E5545FEA34E70D12880764B</vt:lpwstr>
  </property>
  <property fmtid="{D5CDD505-2E9C-101B-9397-08002B2CF9AE}" pid="3" name="KSOProductBuildVer">
    <vt:lpwstr>2052-12.1.0.20305</vt:lpwstr>
  </property>
</Properties>
</file>